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h4294\Desktop\"/>
    </mc:Choice>
  </mc:AlternateContent>
  <xr:revisionPtr revIDLastSave="0" documentId="13_ncr:1_{B3785FD3-AD09-4B7F-93FF-339AAE244B52}" xr6:coauthVersionLast="47" xr6:coauthVersionMax="47" xr10:uidLastSave="{00000000-0000-0000-0000-000000000000}"/>
  <bookViews>
    <workbookView xWindow="-120" yWindow="-120" windowWidth="29040" windowHeight="15840" activeTab="7" xr2:uid="{00000000-000D-0000-FFFF-FFFF00000000}"/>
  </bookViews>
  <sheets>
    <sheet name="清单" sheetId="1" r:id="rId1"/>
    <sheet name="敌人" sheetId="2" r:id="rId2"/>
    <sheet name="NPC" sheetId="3" r:id="rId3"/>
    <sheet name="支线" sheetId="4" r:id="rId4"/>
    <sheet name="商店" sheetId="5" r:id="rId5"/>
    <sheet name="装备" sheetId="6" r:id="rId6"/>
    <sheet name="道具" sheetId="7" r:id="rId7"/>
    <sheet name="Summon" sheetId="8" r:id="rId8"/>
    <sheet name="角色" sheetId="9" r:id="rId9"/>
    <sheet name="信息" sheetId="10" r:id="rId10"/>
    <sheet name="语言" sheetId="11" r:id="rId11"/>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2309" i="11" l="1"/>
  <c r="AF18" i="9"/>
  <c r="AG18" i="9" s="1"/>
  <c r="AH18" i="9" s="1"/>
  <c r="AI18" i="9" s="1"/>
  <c r="AJ18" i="9" s="1"/>
  <c r="AK18" i="9" s="1"/>
  <c r="AL18" i="9" s="1"/>
  <c r="AM18" i="9" s="1"/>
  <c r="AN18" i="9" s="1"/>
  <c r="AO18" i="9" s="1"/>
  <c r="AP18" i="9" s="1"/>
  <c r="AQ18" i="9" s="1"/>
  <c r="AR18" i="9" s="1"/>
  <c r="AS18" i="9" s="1"/>
  <c r="AT18" i="9" s="1"/>
  <c r="AU18" i="9" s="1"/>
  <c r="AV18" i="9" s="1"/>
  <c r="AW18" i="9" s="1"/>
  <c r="AX18" i="9" s="1"/>
  <c r="AY18" i="9" s="1"/>
  <c r="AZ18" i="9" s="1"/>
  <c r="BA18" i="9" s="1"/>
  <c r="BB18" i="9" s="1"/>
  <c r="BC18" i="9" s="1"/>
  <c r="BD18" i="9" s="1"/>
  <c r="BE18" i="9" s="1"/>
  <c r="BF18" i="9" s="1"/>
  <c r="BG18" i="9" s="1"/>
  <c r="BH18" i="9" s="1"/>
  <c r="BI18" i="9" s="1"/>
  <c r="BJ18" i="9" s="1"/>
  <c r="BK18" i="9" s="1"/>
  <c r="BL18" i="9" s="1"/>
  <c r="BM18" i="9" s="1"/>
  <c r="BN18" i="9" s="1"/>
  <c r="BO18" i="9" s="1"/>
  <c r="BP18" i="9" s="1"/>
  <c r="BQ18" i="9" s="1"/>
  <c r="BR18" i="9" s="1"/>
  <c r="BS18" i="9" s="1"/>
  <c r="BT18" i="9" s="1"/>
  <c r="BU18" i="9" s="1"/>
  <c r="BV18" i="9" s="1"/>
  <c r="BW18" i="9" s="1"/>
  <c r="BX18" i="9" s="1"/>
  <c r="BY18" i="9" s="1"/>
  <c r="BZ18" i="9" s="1"/>
  <c r="CA18" i="9" s="1"/>
  <c r="CB18" i="9" s="1"/>
  <c r="CC18" i="9" s="1"/>
  <c r="CD18" i="9" s="1"/>
  <c r="CE18" i="9" s="1"/>
  <c r="CF18" i="9" s="1"/>
  <c r="CG18" i="9" s="1"/>
  <c r="CH18" i="9" s="1"/>
  <c r="CI18" i="9" s="1"/>
  <c r="CJ18" i="9" s="1"/>
  <c r="CK18" i="9" s="1"/>
  <c r="CL18" i="9" s="1"/>
  <c r="CM18" i="9" s="1"/>
  <c r="CN18" i="9" s="1"/>
  <c r="CO18" i="9" s="1"/>
  <c r="CP18" i="9" s="1"/>
  <c r="CQ18" i="9" s="1"/>
  <c r="CR18" i="9" s="1"/>
  <c r="CS18" i="9" s="1"/>
  <c r="CT18" i="9" s="1"/>
  <c r="CU18" i="9" s="1"/>
  <c r="CV18" i="9" s="1"/>
  <c r="G18" i="9"/>
  <c r="H18" i="9" s="1"/>
  <c r="I18" i="9" s="1"/>
  <c r="J18" i="9" s="1"/>
  <c r="K18" i="9" s="1"/>
  <c r="L18" i="9" s="1"/>
  <c r="M18" i="9" s="1"/>
  <c r="N18" i="9" s="1"/>
  <c r="O18" i="9" s="1"/>
  <c r="P18" i="9" s="1"/>
  <c r="Q18" i="9" s="1"/>
  <c r="R18" i="9" s="1"/>
  <c r="S18" i="9" s="1"/>
  <c r="T18" i="9" s="1"/>
  <c r="U18" i="9" s="1"/>
  <c r="V18" i="9" s="1"/>
  <c r="W18" i="9" s="1"/>
  <c r="X18" i="9" s="1"/>
  <c r="Y18" i="9" s="1"/>
  <c r="Z18" i="9" s="1"/>
  <c r="AA18" i="9" s="1"/>
  <c r="AB18" i="9" s="1"/>
  <c r="AC18" i="9" s="1"/>
  <c r="AD18" i="9" s="1"/>
  <c r="AE18" i="9" s="1"/>
  <c r="C18" i="9"/>
  <c r="D18" i="9" s="1"/>
  <c r="E18" i="9" s="1"/>
  <c r="F18" i="9" s="1"/>
  <c r="B18" i="9"/>
  <c r="F21" i="8"/>
  <c r="K1" i="6"/>
  <c r="E1" i="6"/>
  <c r="E141" i="4"/>
  <c r="D141" i="4"/>
  <c r="E139" i="4"/>
  <c r="D139" i="4"/>
  <c r="E133" i="4"/>
  <c r="D133" i="4"/>
  <c r="E128" i="4"/>
  <c r="D128" i="4"/>
  <c r="E127" i="4"/>
  <c r="D127" i="4"/>
  <c r="E126" i="4"/>
  <c r="D126" i="4"/>
  <c r="E121" i="4"/>
  <c r="D121" i="4"/>
  <c r="E119" i="4"/>
  <c r="E118" i="4"/>
  <c r="E115" i="4"/>
  <c r="D115" i="4"/>
  <c r="E110" i="4"/>
  <c r="D110" i="4"/>
  <c r="E109" i="4"/>
  <c r="E105" i="4"/>
  <c r="E104" i="4"/>
  <c r="E97" i="4"/>
  <c r="D97" i="4"/>
  <c r="E88" i="4"/>
  <c r="D88" i="4"/>
  <c r="E83" i="4"/>
  <c r="D83" i="4"/>
  <c r="E80" i="4"/>
  <c r="D78" i="4"/>
  <c r="E65" i="4"/>
  <c r="E48" i="4"/>
  <c r="D48" i="4"/>
  <c r="E35" i="4"/>
  <c r="E33" i="4"/>
  <c r="D33" i="4"/>
  <c r="E29" i="4"/>
  <c r="E20" i="4"/>
  <c r="D20" i="4"/>
  <c r="E15" i="4"/>
  <c r="D15" i="4"/>
  <c r="V1615" i="3"/>
  <c r="V1477" i="3"/>
  <c r="V1377" i="3"/>
  <c r="V1324" i="3"/>
  <c r="B510" i="2"/>
  <c r="B507" i="2"/>
  <c r="B506" i="2"/>
  <c r="B505" i="2"/>
  <c r="B504" i="2"/>
  <c r="B503" i="2"/>
  <c r="B502" i="2"/>
  <c r="B501" i="2"/>
  <c r="B500" i="2"/>
  <c r="B499" i="2"/>
  <c r="B498" i="2"/>
  <c r="B497" i="2"/>
  <c r="B496" i="2"/>
  <c r="B492" i="2"/>
  <c r="B490" i="2"/>
  <c r="B489" i="2"/>
  <c r="B485" i="2"/>
  <c r="B482" i="2"/>
  <c r="B481" i="2"/>
  <c r="B480" i="2"/>
  <c r="B479" i="2"/>
  <c r="B478" i="2"/>
  <c r="B474" i="2"/>
  <c r="B473" i="2"/>
  <c r="B472" i="2"/>
  <c r="B471" i="2"/>
  <c r="B470" i="2"/>
  <c r="B467" i="2"/>
  <c r="B464" i="2"/>
  <c r="B463" i="2"/>
  <c r="B462" i="2"/>
  <c r="B461" i="2"/>
  <c r="B460" i="2"/>
  <c r="B459" i="2"/>
  <c r="B458" i="2"/>
  <c r="B457" i="2"/>
  <c r="B456" i="2"/>
  <c r="B455" i="2"/>
  <c r="B454" i="2"/>
  <c r="B453" i="2"/>
  <c r="B449" i="2"/>
  <c r="B448" i="2"/>
  <c r="B447" i="2"/>
  <c r="B446" i="2"/>
  <c r="B445" i="2"/>
  <c r="B444" i="2"/>
  <c r="B443" i="2"/>
  <c r="B442" i="2"/>
  <c r="B441" i="2"/>
  <c r="B440" i="2"/>
  <c r="B437" i="2"/>
  <c r="B436" i="2"/>
  <c r="B435" i="2"/>
  <c r="B434" i="2"/>
  <c r="B433" i="2"/>
  <c r="B432" i="2"/>
  <c r="B429"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7" i="2"/>
  <c r="B386" i="2"/>
  <c r="B385" i="2"/>
  <c r="B384" i="2"/>
  <c r="B383" i="2"/>
  <c r="B382" i="2"/>
  <c r="B381" i="2"/>
  <c r="B380" i="2"/>
  <c r="B379" i="2"/>
  <c r="B378"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J1236" i="1"/>
  <c r="I1236" i="1"/>
  <c r="H1236" i="1"/>
  <c r="G1236" i="1"/>
  <c r="F1236" i="1"/>
  <c r="E1236" i="1"/>
  <c r="J1235" i="1"/>
  <c r="I1235" i="1"/>
  <c r="H1235" i="1"/>
  <c r="G1235" i="1"/>
  <c r="F1235" i="1"/>
  <c r="E1235" i="1"/>
  <c r="J1234" i="1"/>
  <c r="I1234" i="1"/>
  <c r="H1234" i="1"/>
  <c r="G1234" i="1"/>
  <c r="F1234" i="1"/>
  <c r="E1234" i="1"/>
  <c r="J1232" i="1"/>
  <c r="I1232" i="1"/>
  <c r="H1232" i="1"/>
  <c r="G1232" i="1"/>
  <c r="F1232" i="1"/>
  <c r="E1232" i="1"/>
  <c r="J1231" i="1"/>
  <c r="I1231" i="1"/>
  <c r="H1231" i="1"/>
  <c r="G1231" i="1"/>
  <c r="F1231" i="1"/>
  <c r="E1231" i="1"/>
  <c r="J1230" i="1"/>
  <c r="I1230" i="1"/>
  <c r="H1230" i="1"/>
  <c r="G1230" i="1"/>
  <c r="F1230" i="1"/>
  <c r="E1230" i="1"/>
  <c r="J1229" i="1"/>
  <c r="I1229" i="1"/>
  <c r="H1229" i="1"/>
  <c r="G1229" i="1"/>
  <c r="F1229" i="1"/>
  <c r="E1229" i="1"/>
  <c r="J1228" i="1"/>
  <c r="I1228" i="1"/>
  <c r="H1228" i="1"/>
  <c r="G1228" i="1"/>
  <c r="F1228" i="1"/>
  <c r="E1228" i="1"/>
  <c r="J1227" i="1"/>
  <c r="I1227" i="1"/>
  <c r="H1227" i="1"/>
  <c r="G1227" i="1"/>
  <c r="F1227" i="1"/>
  <c r="E1227" i="1"/>
  <c r="J1226" i="1"/>
  <c r="I1226" i="1"/>
  <c r="H1226" i="1"/>
  <c r="G1226" i="1"/>
  <c r="F1226" i="1"/>
  <c r="E1226" i="1"/>
  <c r="J1224" i="1"/>
  <c r="I1224" i="1"/>
  <c r="H1224" i="1"/>
  <c r="G1224" i="1"/>
  <c r="F1224" i="1"/>
  <c r="E1224" i="1"/>
  <c r="J1223" i="1"/>
  <c r="I1223" i="1"/>
  <c r="H1223" i="1"/>
  <c r="G1223" i="1"/>
  <c r="F1223" i="1"/>
  <c r="E1223" i="1"/>
  <c r="J1222" i="1"/>
  <c r="I1222" i="1"/>
  <c r="H1222" i="1"/>
  <c r="G1222" i="1"/>
  <c r="F1222" i="1"/>
  <c r="E1222" i="1"/>
  <c r="J1221" i="1"/>
  <c r="I1221" i="1"/>
  <c r="H1221" i="1"/>
  <c r="G1221" i="1"/>
  <c r="F1221" i="1"/>
  <c r="E1221" i="1"/>
  <c r="J1220" i="1"/>
  <c r="I1220" i="1"/>
  <c r="H1220" i="1"/>
  <c r="G1220" i="1"/>
  <c r="F1220" i="1"/>
  <c r="E1220" i="1"/>
  <c r="J1219" i="1"/>
  <c r="I1219" i="1"/>
  <c r="H1219" i="1"/>
  <c r="G1219" i="1"/>
  <c r="F1219" i="1"/>
  <c r="E1219" i="1"/>
  <c r="J1218" i="1"/>
  <c r="I1218" i="1"/>
  <c r="H1218" i="1"/>
  <c r="G1218" i="1"/>
  <c r="F1218" i="1"/>
  <c r="E1218" i="1"/>
  <c r="J1214" i="1"/>
  <c r="I1214" i="1"/>
  <c r="H1214" i="1"/>
  <c r="G1214" i="1"/>
  <c r="F1214" i="1"/>
  <c r="J1213" i="1"/>
  <c r="I1213" i="1"/>
  <c r="H1213" i="1"/>
  <c r="G1213" i="1"/>
  <c r="F1213" i="1"/>
  <c r="J1212" i="1"/>
  <c r="I1212" i="1"/>
  <c r="H1212" i="1"/>
  <c r="G1212" i="1"/>
  <c r="F1212" i="1"/>
  <c r="J1211" i="1"/>
  <c r="I1211" i="1"/>
  <c r="H1211" i="1"/>
  <c r="G1211" i="1"/>
  <c r="F1211" i="1"/>
  <c r="E1211" i="1"/>
  <c r="J1209" i="1"/>
  <c r="I1209" i="1"/>
  <c r="H1209" i="1"/>
  <c r="G1209" i="1"/>
  <c r="F1209" i="1"/>
  <c r="E1209" i="1"/>
  <c r="J1208" i="1"/>
  <c r="I1208" i="1"/>
  <c r="H1208" i="1"/>
  <c r="G1208" i="1"/>
  <c r="F1208" i="1"/>
  <c r="E1208" i="1"/>
  <c r="J1207" i="1"/>
  <c r="I1207" i="1"/>
  <c r="H1207" i="1"/>
  <c r="G1207" i="1"/>
  <c r="F1207" i="1"/>
  <c r="E1207" i="1"/>
  <c r="J1206" i="1"/>
  <c r="I1206" i="1"/>
  <c r="H1206" i="1"/>
  <c r="G1206" i="1"/>
  <c r="F1206" i="1"/>
  <c r="E1206" i="1"/>
  <c r="J1205" i="1"/>
  <c r="I1205" i="1"/>
  <c r="H1205" i="1"/>
  <c r="G1205" i="1"/>
  <c r="F1205" i="1"/>
  <c r="E1205" i="1"/>
  <c r="J1204" i="1"/>
  <c r="I1204" i="1"/>
  <c r="H1204" i="1"/>
  <c r="G1204" i="1"/>
  <c r="F1204" i="1"/>
  <c r="E1204" i="1"/>
  <c r="J1203" i="1"/>
  <c r="I1203" i="1"/>
  <c r="H1203" i="1"/>
  <c r="G1203" i="1"/>
  <c r="F1203" i="1"/>
  <c r="E1203" i="1"/>
  <c r="J1201" i="1"/>
  <c r="I1201" i="1"/>
  <c r="H1201" i="1"/>
  <c r="G1201" i="1"/>
  <c r="F1201" i="1"/>
  <c r="E1201" i="1"/>
  <c r="J1200" i="1"/>
  <c r="I1200" i="1"/>
  <c r="H1200" i="1"/>
  <c r="G1200" i="1"/>
  <c r="F1200" i="1"/>
  <c r="E1200" i="1"/>
  <c r="J1199" i="1"/>
  <c r="I1199" i="1"/>
  <c r="H1199" i="1"/>
  <c r="G1199" i="1"/>
  <c r="F1199" i="1"/>
  <c r="E1199" i="1"/>
  <c r="J1198" i="1"/>
  <c r="I1198" i="1"/>
  <c r="H1198" i="1"/>
  <c r="G1198" i="1"/>
  <c r="F1198" i="1"/>
  <c r="E1198" i="1"/>
  <c r="J1197" i="1"/>
  <c r="I1197" i="1"/>
  <c r="H1197" i="1"/>
  <c r="G1197" i="1"/>
  <c r="F1197" i="1"/>
  <c r="E1197" i="1"/>
  <c r="J1196" i="1"/>
  <c r="I1196" i="1"/>
  <c r="H1196" i="1"/>
  <c r="G1196" i="1"/>
  <c r="F1196" i="1"/>
  <c r="E1196" i="1"/>
  <c r="J1195" i="1"/>
  <c r="I1195" i="1"/>
  <c r="H1195" i="1"/>
  <c r="G1195" i="1"/>
  <c r="F1195" i="1"/>
  <c r="E1195" i="1"/>
  <c r="J1193" i="1"/>
  <c r="I1193" i="1"/>
  <c r="H1193" i="1"/>
  <c r="G1193" i="1"/>
  <c r="F1193" i="1"/>
  <c r="E1193" i="1"/>
  <c r="J1192" i="1"/>
  <c r="I1192" i="1"/>
  <c r="H1192" i="1"/>
  <c r="G1192" i="1"/>
  <c r="F1192" i="1"/>
  <c r="E1192" i="1"/>
  <c r="J1191" i="1"/>
  <c r="I1191" i="1"/>
  <c r="H1191" i="1"/>
  <c r="G1191" i="1"/>
  <c r="F1191" i="1"/>
  <c r="E1191" i="1"/>
  <c r="J1190" i="1"/>
  <c r="I1190" i="1"/>
  <c r="H1190" i="1"/>
  <c r="G1190" i="1"/>
  <c r="F1190" i="1"/>
  <c r="E1190" i="1"/>
  <c r="J1189" i="1"/>
  <c r="I1189" i="1"/>
  <c r="H1189" i="1"/>
  <c r="G1189" i="1"/>
  <c r="F1189" i="1"/>
  <c r="E1189" i="1"/>
  <c r="J1188" i="1"/>
  <c r="I1188" i="1"/>
  <c r="H1188" i="1"/>
  <c r="G1188" i="1"/>
  <c r="F1188" i="1"/>
  <c r="E1188" i="1"/>
  <c r="J1187" i="1"/>
  <c r="I1187" i="1"/>
  <c r="H1187" i="1"/>
  <c r="G1187" i="1"/>
  <c r="F1187" i="1"/>
  <c r="E1187" i="1"/>
  <c r="J1185" i="1"/>
  <c r="I1185" i="1"/>
  <c r="H1185" i="1"/>
  <c r="G1185" i="1"/>
  <c r="F1185" i="1"/>
  <c r="E1185" i="1"/>
  <c r="J1182" i="1"/>
  <c r="I1182" i="1"/>
  <c r="H1182" i="1"/>
  <c r="G1182" i="1"/>
  <c r="F1182" i="1"/>
  <c r="E1182" i="1"/>
  <c r="J1180" i="1"/>
  <c r="I1180" i="1"/>
  <c r="H1180" i="1"/>
  <c r="G1180" i="1"/>
  <c r="F1180" i="1"/>
  <c r="E1180" i="1"/>
  <c r="J1179" i="1"/>
  <c r="I1179" i="1"/>
  <c r="H1179" i="1"/>
  <c r="G1179" i="1"/>
  <c r="F1179" i="1"/>
  <c r="E1179" i="1"/>
  <c r="J1178" i="1"/>
  <c r="I1178" i="1"/>
  <c r="H1178" i="1"/>
  <c r="G1178" i="1"/>
  <c r="F1178" i="1"/>
  <c r="E1178" i="1"/>
  <c r="J1177" i="1"/>
  <c r="I1177" i="1"/>
  <c r="H1177" i="1"/>
  <c r="G1177" i="1"/>
  <c r="F1177" i="1"/>
  <c r="E1177" i="1"/>
  <c r="J1176" i="1"/>
  <c r="I1176" i="1"/>
  <c r="H1176" i="1"/>
  <c r="G1176" i="1"/>
  <c r="F1176" i="1"/>
  <c r="E1176" i="1"/>
  <c r="J1175" i="1"/>
  <c r="I1175" i="1"/>
  <c r="H1175" i="1"/>
  <c r="G1175" i="1"/>
  <c r="F1175" i="1"/>
  <c r="E1175" i="1"/>
  <c r="J1173" i="1"/>
  <c r="I1173" i="1"/>
  <c r="H1173" i="1"/>
  <c r="G1173" i="1"/>
  <c r="F1173" i="1"/>
  <c r="E1173" i="1"/>
  <c r="J1172" i="1"/>
  <c r="I1172" i="1"/>
  <c r="H1172" i="1"/>
  <c r="G1172" i="1"/>
  <c r="F1172" i="1"/>
  <c r="E1172" i="1"/>
  <c r="J1171" i="1"/>
  <c r="I1171" i="1"/>
  <c r="H1171" i="1"/>
  <c r="G1171" i="1"/>
  <c r="F1171" i="1"/>
  <c r="E1171" i="1"/>
  <c r="J1170" i="1"/>
  <c r="I1170" i="1"/>
  <c r="H1170" i="1"/>
  <c r="G1170" i="1"/>
  <c r="F1170" i="1"/>
  <c r="E1170" i="1"/>
  <c r="J1169" i="1"/>
  <c r="I1169" i="1"/>
  <c r="H1169" i="1"/>
  <c r="G1169" i="1"/>
  <c r="F1169" i="1"/>
  <c r="E1169" i="1"/>
  <c r="J1164" i="1"/>
  <c r="I1164" i="1"/>
  <c r="H1164" i="1"/>
  <c r="G1164" i="1"/>
  <c r="F1164" i="1"/>
  <c r="E1164" i="1"/>
  <c r="J1163" i="1"/>
  <c r="I1163" i="1"/>
  <c r="H1163" i="1"/>
  <c r="G1163" i="1"/>
  <c r="F1163" i="1"/>
  <c r="E1163" i="1"/>
  <c r="J1161" i="1"/>
  <c r="I1161" i="1"/>
  <c r="H1161" i="1"/>
  <c r="G1161" i="1"/>
  <c r="F1161" i="1"/>
  <c r="E1161" i="1"/>
  <c r="J1160" i="1"/>
  <c r="I1160" i="1"/>
  <c r="H1160" i="1"/>
  <c r="G1160" i="1"/>
  <c r="F1160" i="1"/>
  <c r="E1160" i="1"/>
  <c r="J1158" i="1"/>
  <c r="I1158" i="1"/>
  <c r="H1158" i="1"/>
  <c r="G1158" i="1"/>
  <c r="F1158" i="1"/>
  <c r="E1158" i="1"/>
  <c r="J1157" i="1"/>
  <c r="I1157" i="1"/>
  <c r="H1157" i="1"/>
  <c r="G1157" i="1"/>
  <c r="F1157" i="1"/>
  <c r="E1157" i="1"/>
  <c r="J1155" i="1"/>
  <c r="I1155" i="1"/>
  <c r="H1155" i="1"/>
  <c r="G1155" i="1"/>
  <c r="F1155" i="1"/>
  <c r="E1155" i="1"/>
  <c r="J1154" i="1"/>
  <c r="I1154" i="1"/>
  <c r="H1154" i="1"/>
  <c r="G1154" i="1"/>
  <c r="F1154" i="1"/>
  <c r="E1154" i="1"/>
  <c r="J1149" i="1"/>
  <c r="I1149" i="1"/>
  <c r="H1149" i="1"/>
  <c r="G1149" i="1"/>
  <c r="F1149" i="1"/>
  <c r="E1149" i="1"/>
  <c r="J1147" i="1"/>
  <c r="I1147" i="1"/>
  <c r="H1147" i="1"/>
  <c r="G1147" i="1"/>
  <c r="F1147" i="1"/>
  <c r="E1147" i="1"/>
  <c r="J1146" i="1"/>
  <c r="I1146" i="1"/>
  <c r="H1146" i="1"/>
  <c r="G1146" i="1"/>
  <c r="F1146" i="1"/>
  <c r="J1145" i="1"/>
  <c r="I1145" i="1"/>
  <c r="H1145" i="1"/>
  <c r="G1145" i="1"/>
  <c r="F1145" i="1"/>
  <c r="J1144" i="1"/>
  <c r="I1144" i="1"/>
  <c r="H1144" i="1"/>
  <c r="G1144" i="1"/>
  <c r="F1144" i="1"/>
  <c r="E1144" i="1"/>
  <c r="J1141" i="1"/>
  <c r="I1141" i="1"/>
  <c r="H1141" i="1"/>
  <c r="G1141" i="1"/>
  <c r="F1141" i="1"/>
  <c r="E1141" i="1"/>
  <c r="J1140" i="1"/>
  <c r="I1140" i="1"/>
  <c r="H1140" i="1"/>
  <c r="G1140" i="1"/>
  <c r="F1140" i="1"/>
  <c r="E1140" i="1"/>
  <c r="J1139" i="1"/>
  <c r="I1139" i="1"/>
  <c r="H1139" i="1"/>
  <c r="G1139" i="1"/>
  <c r="F1139" i="1"/>
  <c r="E1139" i="1"/>
  <c r="J1138" i="1"/>
  <c r="I1138" i="1"/>
  <c r="H1138" i="1"/>
  <c r="G1138" i="1"/>
  <c r="F1138" i="1"/>
  <c r="E1138" i="1"/>
  <c r="J1137" i="1"/>
  <c r="I1137" i="1"/>
  <c r="H1137" i="1"/>
  <c r="G1137" i="1"/>
  <c r="F1137" i="1"/>
  <c r="E1137" i="1"/>
  <c r="J1136" i="1"/>
  <c r="I1136" i="1"/>
  <c r="H1136" i="1"/>
  <c r="G1136" i="1"/>
  <c r="F1136" i="1"/>
  <c r="E1136" i="1"/>
  <c r="J1135" i="1"/>
  <c r="I1135" i="1"/>
  <c r="H1135" i="1"/>
  <c r="G1135" i="1"/>
  <c r="F1135" i="1"/>
  <c r="E1135" i="1"/>
  <c r="J1134" i="1"/>
  <c r="I1134" i="1"/>
  <c r="H1134" i="1"/>
  <c r="G1134" i="1"/>
  <c r="F1134" i="1"/>
  <c r="E1134" i="1"/>
  <c r="J1132" i="1"/>
  <c r="I1132" i="1"/>
  <c r="H1132" i="1"/>
  <c r="G1132" i="1"/>
  <c r="F1132" i="1"/>
  <c r="E1132" i="1"/>
  <c r="J1131" i="1"/>
  <c r="I1131" i="1"/>
  <c r="H1131" i="1"/>
  <c r="G1131" i="1"/>
  <c r="F1131" i="1"/>
  <c r="E1131" i="1"/>
  <c r="J1130" i="1"/>
  <c r="I1130" i="1"/>
  <c r="H1130" i="1"/>
  <c r="G1130" i="1"/>
  <c r="F1130" i="1"/>
  <c r="E1130" i="1"/>
  <c r="J1129" i="1"/>
  <c r="I1129" i="1"/>
  <c r="H1129" i="1"/>
  <c r="G1129" i="1"/>
  <c r="F1129" i="1"/>
  <c r="E1129" i="1"/>
  <c r="J1128" i="1"/>
  <c r="I1128" i="1"/>
  <c r="H1128" i="1"/>
  <c r="G1128" i="1"/>
  <c r="F1128" i="1"/>
  <c r="E1128" i="1"/>
  <c r="J1127" i="1"/>
  <c r="I1127" i="1"/>
  <c r="H1127" i="1"/>
  <c r="G1127" i="1"/>
  <c r="F1127" i="1"/>
  <c r="E1127" i="1"/>
  <c r="J1126" i="1"/>
  <c r="I1126" i="1"/>
  <c r="H1126" i="1"/>
  <c r="G1126" i="1"/>
  <c r="F1126" i="1"/>
  <c r="E1126" i="1"/>
  <c r="J1125" i="1"/>
  <c r="I1125" i="1"/>
  <c r="H1125" i="1"/>
  <c r="G1125" i="1"/>
  <c r="F1125" i="1"/>
  <c r="E1125" i="1"/>
  <c r="J1124" i="1"/>
  <c r="I1124" i="1"/>
  <c r="H1124" i="1"/>
  <c r="G1124" i="1"/>
  <c r="F1124" i="1"/>
  <c r="E1124" i="1"/>
  <c r="J1123" i="1"/>
  <c r="I1123" i="1"/>
  <c r="H1123" i="1"/>
  <c r="G1123" i="1"/>
  <c r="F1123" i="1"/>
  <c r="E1123" i="1"/>
  <c r="J1122" i="1"/>
  <c r="I1122" i="1"/>
  <c r="H1122" i="1"/>
  <c r="G1122" i="1"/>
  <c r="F1122" i="1"/>
  <c r="E1122" i="1"/>
  <c r="J1120" i="1"/>
  <c r="I1120" i="1"/>
  <c r="H1120" i="1"/>
  <c r="G1120" i="1"/>
  <c r="F1120" i="1"/>
  <c r="E1120" i="1"/>
  <c r="J1115" i="1"/>
  <c r="I1115" i="1"/>
  <c r="H1115" i="1"/>
  <c r="G1115" i="1"/>
  <c r="F1115" i="1"/>
  <c r="E1115" i="1"/>
  <c r="J1113" i="1"/>
  <c r="I1113" i="1"/>
  <c r="H1113" i="1"/>
  <c r="G1113" i="1"/>
  <c r="F1113" i="1"/>
  <c r="E1113" i="1"/>
  <c r="J1112" i="1"/>
  <c r="I1112" i="1"/>
  <c r="H1112" i="1"/>
  <c r="G1112" i="1"/>
  <c r="F1112" i="1"/>
  <c r="E1112" i="1"/>
  <c r="J1111" i="1"/>
  <c r="I1111" i="1"/>
  <c r="H1111" i="1"/>
  <c r="G1111" i="1"/>
  <c r="F1111" i="1"/>
  <c r="E1111" i="1"/>
  <c r="J1110" i="1"/>
  <c r="I1110" i="1"/>
  <c r="H1110" i="1"/>
  <c r="G1110" i="1"/>
  <c r="F1110" i="1"/>
  <c r="E1110" i="1"/>
  <c r="J1109" i="1"/>
  <c r="I1109" i="1"/>
  <c r="H1109" i="1"/>
  <c r="G1109" i="1"/>
  <c r="F1109" i="1"/>
  <c r="E1109" i="1"/>
  <c r="J1108" i="1"/>
  <c r="I1108" i="1"/>
  <c r="H1108" i="1"/>
  <c r="G1108" i="1"/>
  <c r="F1108" i="1"/>
  <c r="E1108" i="1"/>
  <c r="J1107" i="1"/>
  <c r="I1107" i="1"/>
  <c r="H1107" i="1"/>
  <c r="G1107" i="1"/>
  <c r="F1107" i="1"/>
  <c r="E1107" i="1"/>
  <c r="J1103" i="1"/>
  <c r="I1103" i="1"/>
  <c r="H1103" i="1"/>
  <c r="G1103" i="1"/>
  <c r="F1103" i="1"/>
  <c r="E1103" i="1"/>
  <c r="J1102" i="1"/>
  <c r="I1102" i="1"/>
  <c r="H1102" i="1"/>
  <c r="G1102" i="1"/>
  <c r="F1102" i="1"/>
  <c r="E1102" i="1"/>
  <c r="J1101" i="1"/>
  <c r="I1101" i="1"/>
  <c r="H1101" i="1"/>
  <c r="G1101" i="1"/>
  <c r="F1101" i="1"/>
  <c r="E1101" i="1"/>
  <c r="J1100" i="1"/>
  <c r="I1100" i="1"/>
  <c r="H1100" i="1"/>
  <c r="G1100" i="1"/>
  <c r="F1100" i="1"/>
  <c r="E1100" i="1"/>
  <c r="J1099" i="1"/>
  <c r="I1099" i="1"/>
  <c r="H1099" i="1"/>
  <c r="G1099" i="1"/>
  <c r="F1099" i="1"/>
  <c r="E1099" i="1"/>
  <c r="J1098" i="1"/>
  <c r="I1098" i="1"/>
  <c r="H1098" i="1"/>
  <c r="G1098" i="1"/>
  <c r="F1098" i="1"/>
  <c r="E1098" i="1"/>
  <c r="J1095" i="1"/>
  <c r="I1095" i="1"/>
  <c r="H1095" i="1"/>
  <c r="G1095" i="1"/>
  <c r="F1095" i="1"/>
  <c r="E1095" i="1"/>
  <c r="J1093" i="1"/>
  <c r="I1093" i="1"/>
  <c r="H1093" i="1"/>
  <c r="G1093" i="1"/>
  <c r="F1093" i="1"/>
  <c r="E1093" i="1"/>
  <c r="J1092" i="1"/>
  <c r="I1092" i="1"/>
  <c r="H1092" i="1"/>
  <c r="G1092" i="1"/>
  <c r="F1092" i="1"/>
  <c r="E1092" i="1"/>
  <c r="J1091" i="1"/>
  <c r="I1091" i="1"/>
  <c r="H1091" i="1"/>
  <c r="G1091" i="1"/>
  <c r="F1091" i="1"/>
  <c r="E1091" i="1"/>
  <c r="J1090" i="1"/>
  <c r="I1090" i="1"/>
  <c r="H1090" i="1"/>
  <c r="G1090" i="1"/>
  <c r="F1090" i="1"/>
  <c r="E1090" i="1"/>
  <c r="J1089" i="1"/>
  <c r="I1089" i="1"/>
  <c r="H1089" i="1"/>
  <c r="G1089" i="1"/>
  <c r="F1089" i="1"/>
  <c r="E1089" i="1"/>
  <c r="J1088" i="1"/>
  <c r="I1088" i="1"/>
  <c r="H1088" i="1"/>
  <c r="G1088" i="1"/>
  <c r="F1088" i="1"/>
  <c r="E1088" i="1"/>
  <c r="J1087" i="1"/>
  <c r="I1087" i="1"/>
  <c r="H1087" i="1"/>
  <c r="G1087" i="1"/>
  <c r="F1087" i="1"/>
  <c r="E1087" i="1"/>
  <c r="J1082" i="1"/>
  <c r="I1082" i="1"/>
  <c r="H1082" i="1"/>
  <c r="G1082" i="1"/>
  <c r="F1082" i="1"/>
  <c r="E1082" i="1"/>
  <c r="J1072" i="1"/>
  <c r="I1072" i="1"/>
  <c r="H1072" i="1"/>
  <c r="G1072" i="1"/>
  <c r="F1072" i="1"/>
  <c r="E1072" i="1"/>
  <c r="J1070" i="1"/>
  <c r="I1070" i="1"/>
  <c r="H1070" i="1"/>
  <c r="G1070" i="1"/>
  <c r="F1070" i="1"/>
  <c r="E1070" i="1"/>
  <c r="J1069" i="1"/>
  <c r="I1069" i="1"/>
  <c r="H1069" i="1"/>
  <c r="G1069" i="1"/>
  <c r="F1069" i="1"/>
  <c r="E1069" i="1"/>
  <c r="J1068" i="1"/>
  <c r="I1068" i="1"/>
  <c r="H1068" i="1"/>
  <c r="G1068" i="1"/>
  <c r="F1068" i="1"/>
  <c r="E1068" i="1"/>
  <c r="J1067" i="1"/>
  <c r="I1067" i="1"/>
  <c r="H1067" i="1"/>
  <c r="G1067" i="1"/>
  <c r="F1067" i="1"/>
  <c r="E1067" i="1"/>
  <c r="J1066" i="1"/>
  <c r="I1066" i="1"/>
  <c r="H1066" i="1"/>
  <c r="G1066" i="1"/>
  <c r="F1066" i="1"/>
  <c r="E1066" i="1"/>
  <c r="J1064" i="1"/>
  <c r="I1064" i="1"/>
  <c r="H1064" i="1"/>
  <c r="G1064" i="1"/>
  <c r="F1064" i="1"/>
  <c r="E1064" i="1"/>
  <c r="J1063" i="1"/>
  <c r="I1063" i="1"/>
  <c r="H1063" i="1"/>
  <c r="G1063" i="1"/>
  <c r="F1063" i="1"/>
  <c r="E1063" i="1"/>
  <c r="J1062" i="1"/>
  <c r="I1062" i="1"/>
  <c r="H1062" i="1"/>
  <c r="G1062" i="1"/>
  <c r="F1062" i="1"/>
  <c r="E1062" i="1"/>
  <c r="J1061" i="1"/>
  <c r="I1061" i="1"/>
  <c r="H1061" i="1"/>
  <c r="G1061" i="1"/>
  <c r="F1061" i="1"/>
  <c r="E1061" i="1"/>
  <c r="J1059" i="1"/>
  <c r="I1059" i="1"/>
  <c r="H1059" i="1"/>
  <c r="G1059" i="1"/>
  <c r="F1059" i="1"/>
  <c r="E1059" i="1"/>
  <c r="J1058" i="1"/>
  <c r="I1058" i="1"/>
  <c r="H1058" i="1"/>
  <c r="G1058" i="1"/>
  <c r="F1058" i="1"/>
  <c r="E1058" i="1"/>
  <c r="J1057" i="1"/>
  <c r="I1057" i="1"/>
  <c r="H1057" i="1"/>
  <c r="G1057" i="1"/>
  <c r="F1057" i="1"/>
  <c r="E1057" i="1"/>
  <c r="J1056" i="1"/>
  <c r="I1056" i="1"/>
  <c r="H1056" i="1"/>
  <c r="G1056" i="1"/>
  <c r="F1056" i="1"/>
  <c r="E1056" i="1"/>
  <c r="J1052" i="1"/>
  <c r="I1052" i="1"/>
  <c r="H1052" i="1"/>
  <c r="G1052" i="1"/>
  <c r="F1052" i="1"/>
  <c r="E1052" i="1"/>
  <c r="J1051" i="1"/>
  <c r="I1051" i="1"/>
  <c r="H1051" i="1"/>
  <c r="G1051" i="1"/>
  <c r="F1051" i="1"/>
  <c r="E1051" i="1"/>
  <c r="J1050" i="1"/>
  <c r="I1050" i="1"/>
  <c r="H1050" i="1"/>
  <c r="G1050" i="1"/>
  <c r="F1050" i="1"/>
  <c r="E1050" i="1"/>
  <c r="J1049" i="1"/>
  <c r="I1049" i="1"/>
  <c r="H1049" i="1"/>
  <c r="G1049" i="1"/>
  <c r="F1049" i="1"/>
  <c r="E1049" i="1"/>
  <c r="J1048" i="1"/>
  <c r="I1048" i="1"/>
  <c r="H1048" i="1"/>
  <c r="G1048" i="1"/>
  <c r="F1048" i="1"/>
  <c r="E1048" i="1"/>
  <c r="J1047" i="1"/>
  <c r="I1047" i="1"/>
  <c r="H1047" i="1"/>
  <c r="G1047" i="1"/>
  <c r="F1047" i="1"/>
  <c r="E1047" i="1"/>
  <c r="J1046" i="1"/>
  <c r="I1046" i="1"/>
  <c r="H1046" i="1"/>
  <c r="G1046" i="1"/>
  <c r="F1046" i="1"/>
  <c r="E1046" i="1"/>
  <c r="J1045" i="1"/>
  <c r="I1045" i="1"/>
  <c r="H1045" i="1"/>
  <c r="G1045" i="1"/>
  <c r="F1045" i="1"/>
  <c r="E1045" i="1"/>
  <c r="J1044" i="1"/>
  <c r="I1044" i="1"/>
  <c r="H1044" i="1"/>
  <c r="G1044" i="1"/>
  <c r="F1044" i="1"/>
  <c r="E1044" i="1"/>
  <c r="J1043" i="1"/>
  <c r="I1043" i="1"/>
  <c r="H1043" i="1"/>
  <c r="G1043" i="1"/>
  <c r="F1043" i="1"/>
  <c r="E1043" i="1"/>
  <c r="J1041" i="1"/>
  <c r="I1041" i="1"/>
  <c r="H1041" i="1"/>
  <c r="G1041" i="1"/>
  <c r="F1041" i="1"/>
  <c r="E1041" i="1"/>
  <c r="J1040" i="1"/>
  <c r="I1040" i="1"/>
  <c r="H1040" i="1"/>
  <c r="G1040" i="1"/>
  <c r="F1040" i="1"/>
  <c r="E1040" i="1"/>
  <c r="J1039" i="1"/>
  <c r="I1039" i="1"/>
  <c r="H1039" i="1"/>
  <c r="G1039" i="1"/>
  <c r="F1039" i="1"/>
  <c r="E1039" i="1"/>
  <c r="J1038" i="1"/>
  <c r="I1038" i="1"/>
  <c r="H1038" i="1"/>
  <c r="G1038" i="1"/>
  <c r="F1038" i="1"/>
  <c r="E1038" i="1"/>
  <c r="J1037" i="1"/>
  <c r="I1037" i="1"/>
  <c r="H1037" i="1"/>
  <c r="G1037" i="1"/>
  <c r="F1037" i="1"/>
  <c r="E1037" i="1"/>
  <c r="J1036" i="1"/>
  <c r="I1036" i="1"/>
  <c r="H1036" i="1"/>
  <c r="G1036" i="1"/>
  <c r="F1036" i="1"/>
  <c r="E1036" i="1"/>
  <c r="J1035" i="1"/>
  <c r="I1035" i="1"/>
  <c r="H1035" i="1"/>
  <c r="G1035" i="1"/>
  <c r="F1035" i="1"/>
  <c r="E1035" i="1"/>
  <c r="J1033" i="1"/>
  <c r="I1033" i="1"/>
  <c r="H1033" i="1"/>
  <c r="G1033" i="1"/>
  <c r="F1033" i="1"/>
  <c r="E1033" i="1"/>
  <c r="J1030" i="1"/>
  <c r="I1030" i="1"/>
  <c r="H1030" i="1"/>
  <c r="G1030" i="1"/>
  <c r="F1030" i="1"/>
  <c r="E1030" i="1"/>
  <c r="J1029" i="1"/>
  <c r="I1029" i="1"/>
  <c r="H1029" i="1"/>
  <c r="G1029" i="1"/>
  <c r="F1029" i="1"/>
  <c r="E1029" i="1"/>
  <c r="J1027" i="1"/>
  <c r="I1027" i="1"/>
  <c r="H1027" i="1"/>
  <c r="G1027" i="1"/>
  <c r="F1027" i="1"/>
  <c r="E1027" i="1"/>
  <c r="J1026" i="1"/>
  <c r="I1026" i="1"/>
  <c r="H1026" i="1"/>
  <c r="G1026" i="1"/>
  <c r="F1026" i="1"/>
  <c r="E1026" i="1"/>
  <c r="J1025" i="1"/>
  <c r="I1025" i="1"/>
  <c r="H1025" i="1"/>
  <c r="G1025" i="1"/>
  <c r="F1025" i="1"/>
  <c r="E1025" i="1"/>
  <c r="J1024" i="1"/>
  <c r="I1024" i="1"/>
  <c r="H1024" i="1"/>
  <c r="G1024" i="1"/>
  <c r="F1024" i="1"/>
  <c r="E1024" i="1"/>
  <c r="J1023" i="1"/>
  <c r="I1023" i="1"/>
  <c r="H1023" i="1"/>
  <c r="G1023" i="1"/>
  <c r="F1023" i="1"/>
  <c r="E1023" i="1"/>
  <c r="J1022" i="1"/>
  <c r="I1022" i="1"/>
  <c r="H1022" i="1"/>
  <c r="G1022" i="1"/>
  <c r="F1022" i="1"/>
  <c r="E1022" i="1"/>
  <c r="J1021" i="1"/>
  <c r="I1021" i="1"/>
  <c r="H1021" i="1"/>
  <c r="G1021" i="1"/>
  <c r="F1021" i="1"/>
  <c r="E1021" i="1"/>
  <c r="J1017" i="1"/>
  <c r="I1017" i="1"/>
  <c r="H1017" i="1"/>
  <c r="G1017" i="1"/>
  <c r="F1017" i="1"/>
  <c r="E1017" i="1"/>
  <c r="J1016" i="1"/>
  <c r="I1016" i="1"/>
  <c r="H1016" i="1"/>
  <c r="G1016" i="1"/>
  <c r="F1016" i="1"/>
  <c r="E1016" i="1"/>
  <c r="J1014" i="1"/>
  <c r="I1014" i="1"/>
  <c r="H1014" i="1"/>
  <c r="G1014" i="1"/>
  <c r="F1014" i="1"/>
  <c r="E1014" i="1"/>
  <c r="J1013" i="1"/>
  <c r="I1013" i="1"/>
  <c r="H1013" i="1"/>
  <c r="G1013" i="1"/>
  <c r="F1013" i="1"/>
  <c r="E1013" i="1"/>
  <c r="J1012" i="1"/>
  <c r="I1012" i="1"/>
  <c r="H1012" i="1"/>
  <c r="G1012" i="1"/>
  <c r="F1012" i="1"/>
  <c r="E1012" i="1"/>
  <c r="J1011" i="1"/>
  <c r="I1011" i="1"/>
  <c r="H1011" i="1"/>
  <c r="G1011" i="1"/>
  <c r="F1011" i="1"/>
  <c r="E1011" i="1"/>
  <c r="J1010" i="1"/>
  <c r="I1010" i="1"/>
  <c r="H1010" i="1"/>
  <c r="G1010" i="1"/>
  <c r="F1010" i="1"/>
  <c r="E1010" i="1"/>
  <c r="J1009" i="1"/>
  <c r="I1009" i="1"/>
  <c r="H1009" i="1"/>
  <c r="G1009" i="1"/>
  <c r="F1009" i="1"/>
  <c r="E1009" i="1"/>
  <c r="J1005" i="1"/>
  <c r="I1005" i="1"/>
  <c r="H1005" i="1"/>
  <c r="G1005" i="1"/>
  <c r="F1005" i="1"/>
  <c r="E1005" i="1"/>
  <c r="J1004" i="1"/>
  <c r="I1004" i="1"/>
  <c r="H1004" i="1"/>
  <c r="G1004" i="1"/>
  <c r="F1004" i="1"/>
  <c r="E1004" i="1"/>
  <c r="J1003" i="1"/>
  <c r="I1003" i="1"/>
  <c r="H1003" i="1"/>
  <c r="G1003" i="1"/>
  <c r="F1003" i="1"/>
  <c r="E1003" i="1"/>
  <c r="J1002" i="1"/>
  <c r="I1002" i="1"/>
  <c r="H1002" i="1"/>
  <c r="G1002" i="1"/>
  <c r="F1002" i="1"/>
  <c r="E1002" i="1"/>
  <c r="J1000" i="1"/>
  <c r="I1000" i="1"/>
  <c r="H1000" i="1"/>
  <c r="G1000" i="1"/>
  <c r="F1000" i="1"/>
  <c r="E1000" i="1"/>
  <c r="J998" i="1"/>
  <c r="I998" i="1"/>
  <c r="H998" i="1"/>
  <c r="G998" i="1"/>
  <c r="F998" i="1"/>
  <c r="E998" i="1"/>
  <c r="J997" i="1"/>
  <c r="I997" i="1"/>
  <c r="H997" i="1"/>
  <c r="G997" i="1"/>
  <c r="F997" i="1"/>
  <c r="E997" i="1"/>
  <c r="J996" i="1"/>
  <c r="I996" i="1"/>
  <c r="H996" i="1"/>
  <c r="G996" i="1"/>
  <c r="F996" i="1"/>
  <c r="E996" i="1"/>
  <c r="J995" i="1"/>
  <c r="I995" i="1"/>
  <c r="H995" i="1"/>
  <c r="G995" i="1"/>
  <c r="F995" i="1"/>
  <c r="E995" i="1"/>
  <c r="J994" i="1"/>
  <c r="I994" i="1"/>
  <c r="H994" i="1"/>
  <c r="G994" i="1"/>
  <c r="F994" i="1"/>
  <c r="E994" i="1"/>
  <c r="J993" i="1"/>
  <c r="I993" i="1"/>
  <c r="H993" i="1"/>
  <c r="G993" i="1"/>
  <c r="F993" i="1"/>
  <c r="E993" i="1"/>
  <c r="J992" i="1"/>
  <c r="I992" i="1"/>
  <c r="H992" i="1"/>
  <c r="G992" i="1"/>
  <c r="F992" i="1"/>
  <c r="E992" i="1"/>
  <c r="J991" i="1"/>
  <c r="I991" i="1"/>
  <c r="H991" i="1"/>
  <c r="G991" i="1"/>
  <c r="F991" i="1"/>
  <c r="E991" i="1"/>
  <c r="J990" i="1"/>
  <c r="I990" i="1"/>
  <c r="H990" i="1"/>
  <c r="G990" i="1"/>
  <c r="F990" i="1"/>
  <c r="E990" i="1"/>
  <c r="J989" i="1"/>
  <c r="I989" i="1"/>
  <c r="H989" i="1"/>
  <c r="G989" i="1"/>
  <c r="F989" i="1"/>
  <c r="E989" i="1"/>
  <c r="J987" i="1"/>
  <c r="I987" i="1"/>
  <c r="H987" i="1"/>
  <c r="G987" i="1"/>
  <c r="F987" i="1"/>
  <c r="E987" i="1"/>
  <c r="J986" i="1"/>
  <c r="I986" i="1"/>
  <c r="H986" i="1"/>
  <c r="G986" i="1"/>
  <c r="F986" i="1"/>
  <c r="E986" i="1"/>
  <c r="J985" i="1"/>
  <c r="I985" i="1"/>
  <c r="H985" i="1"/>
  <c r="G985" i="1"/>
  <c r="F985" i="1"/>
  <c r="E985" i="1"/>
  <c r="J984" i="1"/>
  <c r="I984" i="1"/>
  <c r="H984" i="1"/>
  <c r="G984" i="1"/>
  <c r="F984" i="1"/>
  <c r="E984" i="1"/>
  <c r="J983" i="1"/>
  <c r="I983" i="1"/>
  <c r="H983" i="1"/>
  <c r="G983" i="1"/>
  <c r="F983" i="1"/>
  <c r="E983" i="1"/>
  <c r="J982" i="1"/>
  <c r="I982" i="1"/>
  <c r="H982" i="1"/>
  <c r="G982" i="1"/>
  <c r="F982" i="1"/>
  <c r="E982" i="1"/>
  <c r="J981" i="1"/>
  <c r="I981" i="1"/>
  <c r="H981" i="1"/>
  <c r="G981" i="1"/>
  <c r="F981" i="1"/>
  <c r="E981" i="1"/>
  <c r="J980" i="1"/>
  <c r="I980" i="1"/>
  <c r="H980" i="1"/>
  <c r="G980" i="1"/>
  <c r="F980" i="1"/>
  <c r="E980" i="1"/>
  <c r="J979" i="1"/>
  <c r="I979" i="1"/>
  <c r="H979" i="1"/>
  <c r="G979" i="1"/>
  <c r="F979" i="1"/>
  <c r="E979" i="1"/>
  <c r="J978" i="1"/>
  <c r="I978" i="1"/>
  <c r="H978" i="1"/>
  <c r="G978" i="1"/>
  <c r="F978" i="1"/>
  <c r="E978" i="1"/>
  <c r="J976" i="1"/>
  <c r="I976" i="1"/>
  <c r="H976" i="1"/>
  <c r="G976" i="1"/>
  <c r="F976" i="1"/>
  <c r="E976" i="1"/>
  <c r="J973" i="1"/>
  <c r="I973" i="1"/>
  <c r="H973" i="1"/>
  <c r="G973" i="1"/>
  <c r="F973" i="1"/>
  <c r="E973" i="1"/>
  <c r="J972" i="1"/>
  <c r="I972" i="1"/>
  <c r="H972" i="1"/>
  <c r="G972" i="1"/>
  <c r="F972" i="1"/>
  <c r="E972" i="1"/>
  <c r="J970" i="1"/>
  <c r="I970" i="1"/>
  <c r="H970" i="1"/>
  <c r="G970" i="1"/>
  <c r="F970" i="1"/>
  <c r="E970" i="1"/>
  <c r="J969" i="1"/>
  <c r="I969" i="1"/>
  <c r="H969" i="1"/>
  <c r="G969" i="1"/>
  <c r="F969" i="1"/>
  <c r="E969" i="1"/>
  <c r="J968" i="1"/>
  <c r="I968" i="1"/>
  <c r="H968" i="1"/>
  <c r="G968" i="1"/>
  <c r="F968" i="1"/>
  <c r="E968" i="1"/>
  <c r="J967" i="1"/>
  <c r="I967" i="1"/>
  <c r="H967" i="1"/>
  <c r="G967" i="1"/>
  <c r="F967" i="1"/>
  <c r="E967" i="1"/>
  <c r="J966" i="1"/>
  <c r="I966" i="1"/>
  <c r="H966" i="1"/>
  <c r="G966" i="1"/>
  <c r="F966" i="1"/>
  <c r="E966" i="1"/>
  <c r="J965" i="1"/>
  <c r="I965" i="1"/>
  <c r="H965" i="1"/>
  <c r="G965" i="1"/>
  <c r="F965" i="1"/>
  <c r="E965" i="1"/>
  <c r="J961" i="1"/>
  <c r="I961" i="1"/>
  <c r="H961" i="1"/>
  <c r="G961" i="1"/>
  <c r="F961" i="1"/>
  <c r="E961" i="1"/>
  <c r="J959" i="1"/>
  <c r="I959" i="1"/>
  <c r="H959" i="1"/>
  <c r="G959" i="1"/>
  <c r="F959" i="1"/>
  <c r="E959" i="1"/>
  <c r="J958" i="1"/>
  <c r="I958" i="1"/>
  <c r="H958" i="1"/>
  <c r="G958" i="1"/>
  <c r="F958" i="1"/>
  <c r="E958" i="1"/>
  <c r="J957" i="1"/>
  <c r="I957" i="1"/>
  <c r="H957" i="1"/>
  <c r="G957" i="1"/>
  <c r="F957" i="1"/>
  <c r="E957" i="1"/>
  <c r="J956" i="1"/>
  <c r="I956" i="1"/>
  <c r="H956" i="1"/>
  <c r="G956" i="1"/>
  <c r="F956" i="1"/>
  <c r="E956" i="1"/>
  <c r="J955" i="1"/>
  <c r="I955" i="1"/>
  <c r="H955" i="1"/>
  <c r="G955" i="1"/>
  <c r="F955" i="1"/>
  <c r="E955" i="1"/>
  <c r="J954" i="1"/>
  <c r="I954" i="1"/>
  <c r="H954" i="1"/>
  <c r="G954" i="1"/>
  <c r="F954" i="1"/>
  <c r="E954" i="1"/>
  <c r="J953" i="1"/>
  <c r="I953" i="1"/>
  <c r="H953" i="1"/>
  <c r="G953" i="1"/>
  <c r="F953" i="1"/>
  <c r="E953" i="1"/>
  <c r="J952" i="1"/>
  <c r="I952" i="1"/>
  <c r="H952" i="1"/>
  <c r="G952" i="1"/>
  <c r="F952" i="1"/>
  <c r="E952" i="1"/>
  <c r="J951" i="1"/>
  <c r="I951" i="1"/>
  <c r="H951" i="1"/>
  <c r="G951" i="1"/>
  <c r="F951" i="1"/>
  <c r="E951" i="1"/>
  <c r="J948" i="1"/>
  <c r="I948" i="1"/>
  <c r="H948" i="1"/>
  <c r="G948" i="1"/>
  <c r="F948" i="1"/>
  <c r="E948" i="1"/>
  <c r="J947" i="1"/>
  <c r="I947" i="1"/>
  <c r="H947" i="1"/>
  <c r="G947" i="1"/>
  <c r="F947" i="1"/>
  <c r="E947" i="1"/>
  <c r="J946" i="1"/>
  <c r="I946" i="1"/>
  <c r="H946" i="1"/>
  <c r="G946" i="1"/>
  <c r="F946" i="1"/>
  <c r="E946" i="1"/>
  <c r="J945" i="1"/>
  <c r="I945" i="1"/>
  <c r="H945" i="1"/>
  <c r="G945" i="1"/>
  <c r="F945" i="1"/>
  <c r="E945" i="1"/>
  <c r="J944" i="1"/>
  <c r="I944" i="1"/>
  <c r="H944" i="1"/>
  <c r="G944" i="1"/>
  <c r="F944" i="1"/>
  <c r="E944" i="1"/>
  <c r="J943" i="1"/>
  <c r="I943" i="1"/>
  <c r="H943" i="1"/>
  <c r="G943" i="1"/>
  <c r="F943" i="1"/>
  <c r="E943" i="1"/>
  <c r="J942" i="1"/>
  <c r="I942" i="1"/>
  <c r="H942" i="1"/>
  <c r="G942" i="1"/>
  <c r="F942" i="1"/>
  <c r="E942" i="1"/>
  <c r="J938" i="1"/>
  <c r="I938" i="1"/>
  <c r="H938" i="1"/>
  <c r="G938" i="1"/>
  <c r="F938" i="1"/>
  <c r="E938" i="1"/>
  <c r="J933" i="1"/>
  <c r="I933" i="1"/>
  <c r="H933" i="1"/>
  <c r="G933" i="1"/>
  <c r="F933" i="1"/>
  <c r="E933" i="1"/>
  <c r="J931" i="1"/>
  <c r="I931" i="1"/>
  <c r="H931" i="1"/>
  <c r="G931" i="1"/>
  <c r="F931" i="1"/>
  <c r="E931" i="1"/>
  <c r="J930" i="1"/>
  <c r="I930" i="1"/>
  <c r="H930" i="1"/>
  <c r="G930" i="1"/>
  <c r="F930" i="1"/>
  <c r="E930" i="1"/>
  <c r="J929" i="1"/>
  <c r="I929" i="1"/>
  <c r="H929" i="1"/>
  <c r="G929" i="1"/>
  <c r="F929" i="1"/>
  <c r="E929" i="1"/>
  <c r="J928" i="1"/>
  <c r="I928" i="1"/>
  <c r="H928" i="1"/>
  <c r="G928" i="1"/>
  <c r="F928" i="1"/>
  <c r="E928" i="1"/>
  <c r="J927" i="1"/>
  <c r="I927" i="1"/>
  <c r="H927" i="1"/>
  <c r="G927" i="1"/>
  <c r="F927" i="1"/>
  <c r="E927" i="1"/>
  <c r="J926" i="1"/>
  <c r="I926" i="1"/>
  <c r="H926" i="1"/>
  <c r="G926" i="1"/>
  <c r="F926" i="1"/>
  <c r="E926" i="1"/>
  <c r="J925" i="1"/>
  <c r="I925" i="1"/>
  <c r="H925" i="1"/>
  <c r="G925" i="1"/>
  <c r="F925" i="1"/>
  <c r="E925" i="1"/>
  <c r="J924" i="1"/>
  <c r="I924" i="1"/>
  <c r="H924" i="1"/>
  <c r="G924" i="1"/>
  <c r="F924" i="1"/>
  <c r="E924" i="1"/>
  <c r="J922" i="1"/>
  <c r="I922" i="1"/>
  <c r="H922" i="1"/>
  <c r="G922" i="1"/>
  <c r="F922" i="1"/>
  <c r="E922" i="1"/>
  <c r="J921" i="1"/>
  <c r="I921" i="1"/>
  <c r="H921" i="1"/>
  <c r="G921" i="1"/>
  <c r="F921" i="1"/>
  <c r="E921" i="1"/>
  <c r="J920" i="1"/>
  <c r="I920" i="1"/>
  <c r="H920" i="1"/>
  <c r="G920" i="1"/>
  <c r="F920" i="1"/>
  <c r="E920" i="1"/>
  <c r="J919" i="1"/>
  <c r="I919" i="1"/>
  <c r="H919" i="1"/>
  <c r="G919" i="1"/>
  <c r="F919" i="1"/>
  <c r="E919" i="1"/>
  <c r="J918" i="1"/>
  <c r="I918" i="1"/>
  <c r="H918" i="1"/>
  <c r="G918" i="1"/>
  <c r="F918" i="1"/>
  <c r="E918" i="1"/>
  <c r="J917" i="1"/>
  <c r="I917" i="1"/>
  <c r="H917" i="1"/>
  <c r="G917" i="1"/>
  <c r="F917" i="1"/>
  <c r="E917" i="1"/>
  <c r="J912" i="1"/>
  <c r="I912" i="1"/>
  <c r="H912" i="1"/>
  <c r="G912" i="1"/>
  <c r="F912" i="1"/>
  <c r="J911" i="1"/>
  <c r="I911" i="1"/>
  <c r="H911" i="1"/>
  <c r="G911" i="1"/>
  <c r="F911" i="1"/>
  <c r="E911" i="1"/>
  <c r="J909" i="1"/>
  <c r="I909" i="1"/>
  <c r="H909" i="1"/>
  <c r="G909" i="1"/>
  <c r="F909" i="1"/>
  <c r="E909" i="1"/>
  <c r="J908" i="1"/>
  <c r="I908" i="1"/>
  <c r="H908" i="1"/>
  <c r="G908" i="1"/>
  <c r="F908" i="1"/>
  <c r="E908" i="1"/>
  <c r="J907" i="1"/>
  <c r="I907" i="1"/>
  <c r="H907" i="1"/>
  <c r="G907" i="1"/>
  <c r="F907" i="1"/>
  <c r="E907" i="1"/>
  <c r="J906" i="1"/>
  <c r="I906" i="1"/>
  <c r="H906" i="1"/>
  <c r="G906" i="1"/>
  <c r="F906" i="1"/>
  <c r="E906" i="1"/>
  <c r="J905" i="1"/>
  <c r="I905" i="1"/>
  <c r="H905" i="1"/>
  <c r="G905" i="1"/>
  <c r="F905" i="1"/>
  <c r="E905" i="1"/>
  <c r="J904" i="1"/>
  <c r="I904" i="1"/>
  <c r="H904" i="1"/>
  <c r="G904" i="1"/>
  <c r="F904" i="1"/>
  <c r="E904" i="1"/>
  <c r="J903" i="1"/>
  <c r="I903" i="1"/>
  <c r="H903" i="1"/>
  <c r="G903" i="1"/>
  <c r="F903" i="1"/>
  <c r="E903" i="1"/>
  <c r="J901" i="1"/>
  <c r="I901" i="1"/>
  <c r="H901" i="1"/>
  <c r="G901" i="1"/>
  <c r="F901" i="1"/>
  <c r="E901" i="1"/>
  <c r="J899" i="1"/>
  <c r="I899" i="1"/>
  <c r="H899" i="1"/>
  <c r="G899" i="1"/>
  <c r="F899" i="1"/>
  <c r="E899" i="1"/>
  <c r="J898" i="1"/>
  <c r="I898" i="1"/>
  <c r="H898" i="1"/>
  <c r="G898" i="1"/>
  <c r="F898" i="1"/>
  <c r="E898" i="1"/>
  <c r="J897" i="1"/>
  <c r="I897" i="1"/>
  <c r="H897" i="1"/>
  <c r="G897" i="1"/>
  <c r="F897" i="1"/>
  <c r="E897" i="1"/>
  <c r="J896" i="1"/>
  <c r="I896" i="1"/>
  <c r="H896" i="1"/>
  <c r="G896" i="1"/>
  <c r="F896" i="1"/>
  <c r="E896" i="1"/>
  <c r="J895" i="1"/>
  <c r="I895" i="1"/>
  <c r="H895" i="1"/>
  <c r="G895" i="1"/>
  <c r="F895" i="1"/>
  <c r="E895" i="1"/>
  <c r="J893" i="1"/>
  <c r="I893" i="1"/>
  <c r="H893" i="1"/>
  <c r="G893" i="1"/>
  <c r="F893" i="1"/>
  <c r="E893" i="1"/>
  <c r="J892" i="1"/>
  <c r="I892" i="1"/>
  <c r="H892" i="1"/>
  <c r="G892" i="1"/>
  <c r="F892" i="1"/>
  <c r="E892" i="1"/>
  <c r="J891" i="1"/>
  <c r="I891" i="1"/>
  <c r="H891" i="1"/>
  <c r="G891" i="1"/>
  <c r="F891" i="1"/>
  <c r="E891" i="1"/>
  <c r="J890" i="1"/>
  <c r="I890" i="1"/>
  <c r="H890" i="1"/>
  <c r="G890" i="1"/>
  <c r="F890" i="1"/>
  <c r="E890" i="1"/>
  <c r="J889" i="1"/>
  <c r="I889" i="1"/>
  <c r="H889" i="1"/>
  <c r="G889" i="1"/>
  <c r="F889" i="1"/>
  <c r="E889" i="1"/>
  <c r="J888" i="1"/>
  <c r="I888" i="1"/>
  <c r="H888" i="1"/>
  <c r="G888" i="1"/>
  <c r="F888" i="1"/>
  <c r="E888" i="1"/>
  <c r="J887" i="1"/>
  <c r="I887" i="1"/>
  <c r="H887" i="1"/>
  <c r="G887" i="1"/>
  <c r="F887" i="1"/>
  <c r="E887" i="1"/>
  <c r="J885" i="1"/>
  <c r="I885" i="1"/>
  <c r="H885" i="1"/>
  <c r="G885" i="1"/>
  <c r="F885" i="1"/>
  <c r="E885" i="1"/>
  <c r="J882" i="1"/>
  <c r="I882" i="1"/>
  <c r="H882" i="1"/>
  <c r="G882" i="1"/>
  <c r="F882" i="1"/>
  <c r="J881" i="1"/>
  <c r="I881" i="1"/>
  <c r="H881" i="1"/>
  <c r="G881" i="1"/>
  <c r="F881" i="1"/>
  <c r="J880" i="1"/>
  <c r="I880" i="1"/>
  <c r="H880" i="1"/>
  <c r="G880" i="1"/>
  <c r="F880" i="1"/>
  <c r="J879" i="1"/>
  <c r="I879" i="1"/>
  <c r="H879" i="1"/>
  <c r="G879" i="1"/>
  <c r="F879" i="1"/>
  <c r="E879" i="1"/>
  <c r="J877" i="1"/>
  <c r="I877" i="1"/>
  <c r="H877" i="1"/>
  <c r="G877" i="1"/>
  <c r="F877" i="1"/>
  <c r="E877" i="1"/>
  <c r="J876" i="1"/>
  <c r="I876" i="1"/>
  <c r="H876" i="1"/>
  <c r="G876" i="1"/>
  <c r="F876" i="1"/>
  <c r="E876" i="1"/>
  <c r="J875" i="1"/>
  <c r="I875" i="1"/>
  <c r="H875" i="1"/>
  <c r="G875" i="1"/>
  <c r="F875" i="1"/>
  <c r="E875" i="1"/>
  <c r="J874" i="1"/>
  <c r="I874" i="1"/>
  <c r="H874" i="1"/>
  <c r="G874" i="1"/>
  <c r="F874" i="1"/>
  <c r="E874" i="1"/>
  <c r="J873" i="1"/>
  <c r="I873" i="1"/>
  <c r="H873" i="1"/>
  <c r="G873" i="1"/>
  <c r="F873" i="1"/>
  <c r="E873" i="1"/>
  <c r="J867" i="1"/>
  <c r="I867" i="1"/>
  <c r="H867" i="1"/>
  <c r="G867" i="1"/>
  <c r="F867" i="1"/>
  <c r="E867" i="1"/>
  <c r="J865" i="1"/>
  <c r="I865" i="1"/>
  <c r="H865" i="1"/>
  <c r="G865" i="1"/>
  <c r="F865" i="1"/>
  <c r="E865" i="1"/>
  <c r="J864" i="1"/>
  <c r="I864" i="1"/>
  <c r="H864" i="1"/>
  <c r="G864" i="1"/>
  <c r="F864" i="1"/>
  <c r="E864" i="1"/>
  <c r="J863" i="1"/>
  <c r="I863" i="1"/>
  <c r="H863" i="1"/>
  <c r="G863" i="1"/>
  <c r="F863" i="1"/>
  <c r="E863" i="1"/>
  <c r="J862" i="1"/>
  <c r="I862" i="1"/>
  <c r="H862" i="1"/>
  <c r="G862" i="1"/>
  <c r="F862" i="1"/>
  <c r="E862" i="1"/>
  <c r="J860" i="1"/>
  <c r="I860" i="1"/>
  <c r="H860" i="1"/>
  <c r="G860" i="1"/>
  <c r="F860" i="1"/>
  <c r="E860" i="1"/>
  <c r="J859" i="1"/>
  <c r="I859" i="1"/>
  <c r="H859" i="1"/>
  <c r="G859" i="1"/>
  <c r="F859" i="1"/>
  <c r="E859" i="1"/>
  <c r="J858" i="1"/>
  <c r="I858" i="1"/>
  <c r="H858" i="1"/>
  <c r="G858" i="1"/>
  <c r="F858" i="1"/>
  <c r="E858" i="1"/>
  <c r="J857" i="1"/>
  <c r="I857" i="1"/>
  <c r="H857" i="1"/>
  <c r="G857" i="1"/>
  <c r="F857" i="1"/>
  <c r="E857" i="1"/>
  <c r="J853" i="1"/>
  <c r="I853" i="1"/>
  <c r="H853" i="1"/>
  <c r="G853" i="1"/>
  <c r="F853" i="1"/>
  <c r="E853" i="1"/>
  <c r="J852" i="1"/>
  <c r="I852" i="1"/>
  <c r="H852" i="1"/>
  <c r="G852" i="1"/>
  <c r="F852" i="1"/>
  <c r="E852" i="1"/>
  <c r="J851" i="1"/>
  <c r="I851" i="1"/>
  <c r="H851" i="1"/>
  <c r="G851" i="1"/>
  <c r="F851" i="1"/>
  <c r="E851" i="1"/>
  <c r="J850" i="1"/>
  <c r="I850" i="1"/>
  <c r="H850" i="1"/>
  <c r="G850" i="1"/>
  <c r="F850" i="1"/>
  <c r="E850" i="1"/>
  <c r="J849" i="1"/>
  <c r="I849" i="1"/>
  <c r="H849" i="1"/>
  <c r="G849" i="1"/>
  <c r="F849" i="1"/>
  <c r="E849" i="1"/>
  <c r="J848" i="1"/>
  <c r="I848" i="1"/>
  <c r="H848" i="1"/>
  <c r="G848" i="1"/>
  <c r="F848" i="1"/>
  <c r="E848" i="1"/>
  <c r="J847" i="1"/>
  <c r="I847" i="1"/>
  <c r="H847" i="1"/>
  <c r="G847" i="1"/>
  <c r="F847" i="1"/>
  <c r="E847" i="1"/>
  <c r="J846" i="1"/>
  <c r="I846" i="1"/>
  <c r="H846" i="1"/>
  <c r="G846" i="1"/>
  <c r="F846" i="1"/>
  <c r="E846" i="1"/>
  <c r="J845" i="1"/>
  <c r="I845" i="1"/>
  <c r="H845" i="1"/>
  <c r="G845" i="1"/>
  <c r="F845" i="1"/>
  <c r="E845" i="1"/>
  <c r="J844" i="1"/>
  <c r="I844" i="1"/>
  <c r="H844" i="1"/>
  <c r="G844" i="1"/>
  <c r="F844" i="1"/>
  <c r="E844" i="1"/>
  <c r="J842" i="1"/>
  <c r="I842" i="1"/>
  <c r="H842" i="1"/>
  <c r="G842" i="1"/>
  <c r="F842" i="1"/>
  <c r="E842" i="1"/>
  <c r="J841" i="1"/>
  <c r="I841" i="1"/>
  <c r="H841" i="1"/>
  <c r="G841" i="1"/>
  <c r="F841" i="1"/>
  <c r="E841" i="1"/>
  <c r="J840" i="1"/>
  <c r="I840" i="1"/>
  <c r="H840" i="1"/>
  <c r="G840" i="1"/>
  <c r="F840" i="1"/>
  <c r="E840" i="1"/>
  <c r="J839" i="1"/>
  <c r="I839" i="1"/>
  <c r="H839" i="1"/>
  <c r="G839" i="1"/>
  <c r="F839" i="1"/>
  <c r="E839" i="1"/>
  <c r="J838" i="1"/>
  <c r="I838" i="1"/>
  <c r="H838" i="1"/>
  <c r="G838" i="1"/>
  <c r="F838" i="1"/>
  <c r="E838" i="1"/>
  <c r="J837" i="1"/>
  <c r="I837" i="1"/>
  <c r="H837" i="1"/>
  <c r="G837" i="1"/>
  <c r="F837" i="1"/>
  <c r="E837" i="1"/>
  <c r="J836" i="1"/>
  <c r="I836" i="1"/>
  <c r="H836" i="1"/>
  <c r="G836" i="1"/>
  <c r="F836" i="1"/>
  <c r="E836" i="1"/>
  <c r="J835" i="1"/>
  <c r="I835" i="1"/>
  <c r="H835" i="1"/>
  <c r="G835" i="1"/>
  <c r="F835" i="1"/>
  <c r="E835" i="1"/>
  <c r="J834" i="1"/>
  <c r="I834" i="1"/>
  <c r="H834" i="1"/>
  <c r="G834" i="1"/>
  <c r="F834" i="1"/>
  <c r="E834" i="1"/>
  <c r="J833" i="1"/>
  <c r="I833" i="1"/>
  <c r="H833" i="1"/>
  <c r="G833" i="1"/>
  <c r="F833" i="1"/>
  <c r="E833" i="1"/>
  <c r="J831" i="1"/>
  <c r="I831" i="1"/>
  <c r="H831" i="1"/>
  <c r="G831" i="1"/>
  <c r="F831" i="1"/>
  <c r="E831" i="1"/>
  <c r="J825" i="1"/>
  <c r="I825" i="1"/>
  <c r="H825" i="1"/>
  <c r="G825" i="1"/>
  <c r="F825" i="1"/>
  <c r="E825" i="1"/>
  <c r="J824" i="1"/>
  <c r="I824" i="1"/>
  <c r="H824" i="1"/>
  <c r="G824" i="1"/>
  <c r="F824" i="1"/>
  <c r="E824" i="1"/>
  <c r="J822" i="1"/>
  <c r="I822" i="1"/>
  <c r="H822" i="1"/>
  <c r="G822" i="1"/>
  <c r="F822" i="1"/>
  <c r="E822" i="1"/>
  <c r="J821" i="1"/>
  <c r="I821" i="1"/>
  <c r="H821" i="1"/>
  <c r="G821" i="1"/>
  <c r="F821" i="1"/>
  <c r="E821" i="1"/>
  <c r="J820" i="1"/>
  <c r="I820" i="1"/>
  <c r="H820" i="1"/>
  <c r="G820" i="1"/>
  <c r="F820" i="1"/>
  <c r="E820" i="1"/>
  <c r="J819" i="1"/>
  <c r="I819" i="1"/>
  <c r="H819" i="1"/>
  <c r="G819" i="1"/>
  <c r="F819" i="1"/>
  <c r="E819" i="1"/>
  <c r="J818" i="1"/>
  <c r="I818" i="1"/>
  <c r="H818" i="1"/>
  <c r="G818" i="1"/>
  <c r="F818" i="1"/>
  <c r="E818" i="1"/>
  <c r="J817" i="1"/>
  <c r="I817" i="1"/>
  <c r="H817" i="1"/>
  <c r="G817" i="1"/>
  <c r="F817" i="1"/>
  <c r="E817" i="1"/>
  <c r="J813" i="1"/>
  <c r="I813" i="1"/>
  <c r="H813" i="1"/>
  <c r="G813" i="1"/>
  <c r="F813" i="1"/>
  <c r="E813" i="1"/>
  <c r="J811" i="1"/>
  <c r="I811" i="1"/>
  <c r="H811" i="1"/>
  <c r="G811" i="1"/>
  <c r="F811" i="1"/>
  <c r="E811" i="1"/>
  <c r="J810" i="1"/>
  <c r="I810" i="1"/>
  <c r="H810" i="1"/>
  <c r="G810" i="1"/>
  <c r="F810" i="1"/>
  <c r="E810" i="1"/>
  <c r="J809" i="1"/>
  <c r="I809" i="1"/>
  <c r="H809" i="1"/>
  <c r="G809" i="1"/>
  <c r="F809" i="1"/>
  <c r="E809" i="1"/>
  <c r="J808" i="1"/>
  <c r="I808" i="1"/>
  <c r="H808" i="1"/>
  <c r="G808" i="1"/>
  <c r="F808" i="1"/>
  <c r="E808" i="1"/>
  <c r="J807" i="1"/>
  <c r="I807" i="1"/>
  <c r="H807" i="1"/>
  <c r="G807" i="1"/>
  <c r="F807" i="1"/>
  <c r="E807" i="1"/>
  <c r="J806" i="1"/>
  <c r="I806" i="1"/>
  <c r="H806" i="1"/>
  <c r="G806" i="1"/>
  <c r="F806" i="1"/>
  <c r="E806" i="1"/>
  <c r="J805" i="1"/>
  <c r="I805" i="1"/>
  <c r="H805" i="1"/>
  <c r="G805" i="1"/>
  <c r="F805" i="1"/>
  <c r="E805" i="1"/>
  <c r="J802" i="1"/>
  <c r="I802" i="1"/>
  <c r="H802" i="1"/>
  <c r="G802" i="1"/>
  <c r="F802" i="1"/>
  <c r="E802" i="1"/>
  <c r="J801" i="1"/>
  <c r="I801" i="1"/>
  <c r="H801" i="1"/>
  <c r="G801" i="1"/>
  <c r="F801" i="1"/>
  <c r="E801" i="1"/>
  <c r="J800" i="1"/>
  <c r="I800" i="1"/>
  <c r="H800" i="1"/>
  <c r="G800" i="1"/>
  <c r="F800" i="1"/>
  <c r="E800" i="1"/>
  <c r="J799" i="1"/>
  <c r="I799" i="1"/>
  <c r="H799" i="1"/>
  <c r="G799" i="1"/>
  <c r="F799" i="1"/>
  <c r="E799" i="1"/>
  <c r="J798" i="1"/>
  <c r="I798" i="1"/>
  <c r="H798" i="1"/>
  <c r="G798" i="1"/>
  <c r="F798" i="1"/>
  <c r="E798" i="1"/>
  <c r="J797" i="1"/>
  <c r="I797" i="1"/>
  <c r="H797" i="1"/>
  <c r="G797" i="1"/>
  <c r="F797" i="1"/>
  <c r="E797" i="1"/>
  <c r="J796" i="1"/>
  <c r="I796" i="1"/>
  <c r="H796" i="1"/>
  <c r="G796" i="1"/>
  <c r="F796" i="1"/>
  <c r="E796" i="1"/>
  <c r="J791" i="1"/>
  <c r="I791" i="1"/>
  <c r="H791" i="1"/>
  <c r="G791" i="1"/>
  <c r="F791" i="1"/>
  <c r="E791" i="1"/>
  <c r="J786" i="1"/>
  <c r="I786" i="1"/>
  <c r="H786" i="1"/>
  <c r="G786" i="1"/>
  <c r="F786" i="1"/>
  <c r="J785" i="1"/>
  <c r="I785" i="1"/>
  <c r="H785" i="1"/>
  <c r="G785" i="1"/>
  <c r="F785" i="1"/>
  <c r="J784" i="1"/>
  <c r="I784" i="1"/>
  <c r="H784" i="1"/>
  <c r="G784" i="1"/>
  <c r="F784" i="1"/>
  <c r="E784" i="1"/>
  <c r="J782" i="1"/>
  <c r="I782" i="1"/>
  <c r="H782" i="1"/>
  <c r="G782" i="1"/>
  <c r="F782" i="1"/>
  <c r="E782" i="1"/>
  <c r="J781" i="1"/>
  <c r="I781" i="1"/>
  <c r="H781" i="1"/>
  <c r="G781" i="1"/>
  <c r="F781" i="1"/>
  <c r="E781" i="1"/>
  <c r="J780" i="1"/>
  <c r="I780" i="1"/>
  <c r="H780" i="1"/>
  <c r="G780" i="1"/>
  <c r="F780" i="1"/>
  <c r="E780" i="1"/>
  <c r="J779" i="1"/>
  <c r="I779" i="1"/>
  <c r="H779" i="1"/>
  <c r="G779" i="1"/>
  <c r="F779" i="1"/>
  <c r="E779" i="1"/>
  <c r="J778" i="1"/>
  <c r="I778" i="1"/>
  <c r="H778" i="1"/>
  <c r="G778" i="1"/>
  <c r="F778" i="1"/>
  <c r="E778" i="1"/>
  <c r="J777" i="1"/>
  <c r="I777" i="1"/>
  <c r="H777" i="1"/>
  <c r="G777" i="1"/>
  <c r="F777" i="1"/>
  <c r="E777" i="1"/>
  <c r="J775" i="1"/>
  <c r="I775" i="1"/>
  <c r="H775" i="1"/>
  <c r="G775" i="1"/>
  <c r="F775" i="1"/>
  <c r="E775" i="1"/>
  <c r="J774" i="1"/>
  <c r="I774" i="1"/>
  <c r="H774" i="1"/>
  <c r="G774" i="1"/>
  <c r="F774" i="1"/>
  <c r="E774" i="1"/>
  <c r="J773" i="1"/>
  <c r="I773" i="1"/>
  <c r="H773" i="1"/>
  <c r="G773" i="1"/>
  <c r="F773" i="1"/>
  <c r="E773" i="1"/>
  <c r="J772" i="1"/>
  <c r="I772" i="1"/>
  <c r="H772" i="1"/>
  <c r="G772" i="1"/>
  <c r="F772" i="1"/>
  <c r="E772" i="1"/>
  <c r="J770" i="1"/>
  <c r="I770" i="1"/>
  <c r="H770" i="1"/>
  <c r="G770" i="1"/>
  <c r="F770" i="1"/>
  <c r="E770" i="1"/>
  <c r="J769" i="1"/>
  <c r="I769" i="1"/>
  <c r="H769" i="1"/>
  <c r="G769" i="1"/>
  <c r="F769" i="1"/>
  <c r="E769" i="1"/>
  <c r="J768" i="1"/>
  <c r="I768" i="1"/>
  <c r="H768" i="1"/>
  <c r="G768" i="1"/>
  <c r="F768" i="1"/>
  <c r="E768" i="1"/>
  <c r="J767" i="1"/>
  <c r="I767" i="1"/>
  <c r="H767" i="1"/>
  <c r="G767" i="1"/>
  <c r="F767" i="1"/>
  <c r="E767" i="1"/>
  <c r="J762" i="1"/>
  <c r="I762" i="1"/>
  <c r="H762" i="1"/>
  <c r="G762" i="1"/>
  <c r="F762" i="1"/>
  <c r="E762" i="1"/>
  <c r="J761" i="1"/>
  <c r="I761" i="1"/>
  <c r="H761" i="1"/>
  <c r="G761" i="1"/>
  <c r="F761" i="1"/>
  <c r="E761" i="1"/>
  <c r="J759" i="1"/>
  <c r="I759" i="1"/>
  <c r="H759" i="1"/>
  <c r="G759" i="1"/>
  <c r="F759" i="1"/>
  <c r="E759" i="1"/>
  <c r="J758" i="1"/>
  <c r="I758" i="1"/>
  <c r="H758" i="1"/>
  <c r="G758" i="1"/>
  <c r="F758" i="1"/>
  <c r="E758" i="1"/>
  <c r="J757" i="1"/>
  <c r="I757" i="1"/>
  <c r="H757" i="1"/>
  <c r="G757" i="1"/>
  <c r="F757" i="1"/>
  <c r="E757" i="1"/>
  <c r="J756" i="1"/>
  <c r="I756" i="1"/>
  <c r="H756" i="1"/>
  <c r="G756" i="1"/>
  <c r="F756" i="1"/>
  <c r="E756" i="1"/>
  <c r="J755" i="1"/>
  <c r="I755" i="1"/>
  <c r="H755" i="1"/>
  <c r="G755" i="1"/>
  <c r="F755" i="1"/>
  <c r="E755" i="1"/>
  <c r="J754" i="1"/>
  <c r="I754" i="1"/>
  <c r="H754" i="1"/>
  <c r="G754" i="1"/>
  <c r="F754" i="1"/>
  <c r="E754" i="1"/>
  <c r="J753" i="1"/>
  <c r="I753" i="1"/>
  <c r="H753" i="1"/>
  <c r="G753" i="1"/>
  <c r="F753" i="1"/>
  <c r="E753" i="1"/>
  <c r="J751" i="1"/>
  <c r="I751" i="1"/>
  <c r="H751" i="1"/>
  <c r="G751" i="1"/>
  <c r="F751" i="1"/>
  <c r="E751" i="1"/>
  <c r="J750" i="1"/>
  <c r="I750" i="1"/>
  <c r="H750" i="1"/>
  <c r="G750" i="1"/>
  <c r="F750" i="1"/>
  <c r="E750" i="1"/>
  <c r="J749" i="1"/>
  <c r="I749" i="1"/>
  <c r="H749" i="1"/>
  <c r="G749" i="1"/>
  <c r="F749" i="1"/>
  <c r="E749" i="1"/>
  <c r="J748" i="1"/>
  <c r="I748" i="1"/>
  <c r="H748" i="1"/>
  <c r="G748" i="1"/>
  <c r="F748" i="1"/>
  <c r="E748" i="1"/>
  <c r="J747" i="1"/>
  <c r="I747" i="1"/>
  <c r="H747" i="1"/>
  <c r="G747" i="1"/>
  <c r="F747" i="1"/>
  <c r="E747" i="1"/>
  <c r="J746" i="1"/>
  <c r="I746" i="1"/>
  <c r="H746" i="1"/>
  <c r="G746" i="1"/>
  <c r="F746" i="1"/>
  <c r="E746" i="1"/>
  <c r="J745" i="1"/>
  <c r="I745" i="1"/>
  <c r="H745" i="1"/>
  <c r="G745" i="1"/>
  <c r="F745" i="1"/>
  <c r="E745" i="1"/>
  <c r="J743" i="1"/>
  <c r="I743" i="1"/>
  <c r="H743" i="1"/>
  <c r="G743" i="1"/>
  <c r="F743" i="1"/>
  <c r="E743" i="1"/>
  <c r="J740" i="1"/>
  <c r="I740" i="1"/>
  <c r="H740" i="1"/>
  <c r="G740" i="1"/>
  <c r="F740" i="1"/>
  <c r="E740" i="1"/>
  <c r="J738" i="1"/>
  <c r="I738" i="1"/>
  <c r="H738" i="1"/>
  <c r="G738" i="1"/>
  <c r="F738" i="1"/>
  <c r="E738" i="1"/>
  <c r="J737" i="1"/>
  <c r="I737" i="1"/>
  <c r="H737" i="1"/>
  <c r="G737" i="1"/>
  <c r="F737" i="1"/>
  <c r="E737" i="1"/>
  <c r="J735" i="1"/>
  <c r="I735" i="1"/>
  <c r="H735" i="1"/>
  <c r="G735" i="1"/>
  <c r="F735" i="1"/>
  <c r="E735" i="1"/>
  <c r="J734" i="1"/>
  <c r="I734" i="1"/>
  <c r="H734" i="1"/>
  <c r="G734" i="1"/>
  <c r="F734" i="1"/>
  <c r="E734" i="1"/>
  <c r="J733" i="1"/>
  <c r="I733" i="1"/>
  <c r="H733" i="1"/>
  <c r="G733" i="1"/>
  <c r="F733" i="1"/>
  <c r="E733" i="1"/>
  <c r="J732" i="1"/>
  <c r="I732" i="1"/>
  <c r="H732" i="1"/>
  <c r="G732" i="1"/>
  <c r="F732" i="1"/>
  <c r="E732" i="1"/>
  <c r="J731" i="1"/>
  <c r="I731" i="1"/>
  <c r="H731" i="1"/>
  <c r="G731" i="1"/>
  <c r="F731" i="1"/>
  <c r="E731" i="1"/>
  <c r="J730" i="1"/>
  <c r="I730" i="1"/>
  <c r="H730" i="1"/>
  <c r="G730" i="1"/>
  <c r="F730" i="1"/>
  <c r="E730" i="1"/>
  <c r="J729" i="1"/>
  <c r="I729" i="1"/>
  <c r="H729" i="1"/>
  <c r="G729" i="1"/>
  <c r="F729" i="1"/>
  <c r="E729" i="1"/>
  <c r="J727" i="1"/>
  <c r="I727" i="1"/>
  <c r="H727" i="1"/>
  <c r="G727" i="1"/>
  <c r="F727" i="1"/>
  <c r="E727" i="1"/>
  <c r="J726" i="1"/>
  <c r="I726" i="1"/>
  <c r="H726" i="1"/>
  <c r="G726" i="1"/>
  <c r="F726" i="1"/>
  <c r="E726" i="1"/>
  <c r="J725" i="1"/>
  <c r="I725" i="1"/>
  <c r="H725" i="1"/>
  <c r="G725" i="1"/>
  <c r="F725" i="1"/>
  <c r="E725" i="1"/>
  <c r="J724" i="1"/>
  <c r="I724" i="1"/>
  <c r="H724" i="1"/>
  <c r="G724" i="1"/>
  <c r="F724" i="1"/>
  <c r="E724" i="1"/>
  <c r="J723" i="1"/>
  <c r="I723" i="1"/>
  <c r="H723" i="1"/>
  <c r="G723" i="1"/>
  <c r="F723" i="1"/>
  <c r="E723" i="1"/>
  <c r="J722" i="1"/>
  <c r="I722" i="1"/>
  <c r="H722" i="1"/>
  <c r="G722" i="1"/>
  <c r="F722" i="1"/>
  <c r="E722" i="1"/>
  <c r="J721" i="1"/>
  <c r="I721" i="1"/>
  <c r="H721" i="1"/>
  <c r="G721" i="1"/>
  <c r="F721" i="1"/>
  <c r="E721" i="1"/>
  <c r="J719" i="1"/>
  <c r="I719" i="1"/>
  <c r="H719" i="1"/>
  <c r="G719" i="1"/>
  <c r="F719" i="1"/>
  <c r="E719" i="1"/>
  <c r="J718" i="1"/>
  <c r="I718" i="1"/>
  <c r="H718" i="1"/>
  <c r="G718" i="1"/>
  <c r="F718" i="1"/>
  <c r="E718" i="1"/>
  <c r="J713" i="1"/>
  <c r="I713" i="1"/>
  <c r="H713" i="1"/>
  <c r="G713" i="1"/>
  <c r="F713" i="1"/>
  <c r="E713" i="1"/>
  <c r="J712" i="1"/>
  <c r="I712" i="1"/>
  <c r="H712" i="1"/>
  <c r="G712" i="1"/>
  <c r="F712" i="1"/>
  <c r="E712" i="1"/>
  <c r="J710" i="1"/>
  <c r="I710" i="1"/>
  <c r="H710" i="1"/>
  <c r="G710" i="1"/>
  <c r="F710" i="1"/>
  <c r="E710" i="1"/>
  <c r="J709" i="1"/>
  <c r="I709" i="1"/>
  <c r="H709" i="1"/>
  <c r="G709" i="1"/>
  <c r="F709" i="1"/>
  <c r="E709" i="1"/>
  <c r="J707" i="1"/>
  <c r="I707" i="1"/>
  <c r="H707" i="1"/>
  <c r="G707" i="1"/>
  <c r="F707" i="1"/>
  <c r="E707" i="1"/>
  <c r="J706" i="1"/>
  <c r="I706" i="1"/>
  <c r="H706" i="1"/>
  <c r="G706" i="1"/>
  <c r="F706" i="1"/>
  <c r="E706" i="1"/>
  <c r="J705" i="1"/>
  <c r="I705" i="1"/>
  <c r="H705" i="1"/>
  <c r="G705" i="1"/>
  <c r="F705" i="1"/>
  <c r="E705" i="1"/>
  <c r="J704" i="1"/>
  <c r="I704" i="1"/>
  <c r="H704" i="1"/>
  <c r="G704" i="1"/>
  <c r="F704" i="1"/>
  <c r="E704" i="1"/>
  <c r="J703" i="1"/>
  <c r="I703" i="1"/>
  <c r="H703" i="1"/>
  <c r="G703" i="1"/>
  <c r="F703" i="1"/>
  <c r="E703" i="1"/>
  <c r="J702" i="1"/>
  <c r="I702" i="1"/>
  <c r="H702" i="1"/>
  <c r="G702" i="1"/>
  <c r="F702" i="1"/>
  <c r="E702" i="1"/>
  <c r="J698" i="1"/>
  <c r="I698" i="1"/>
  <c r="H698" i="1"/>
  <c r="G698" i="1"/>
  <c r="F698" i="1"/>
  <c r="E698" i="1"/>
  <c r="J697" i="1"/>
  <c r="I697" i="1"/>
  <c r="H697" i="1"/>
  <c r="G697" i="1"/>
  <c r="F697" i="1"/>
  <c r="E697" i="1"/>
  <c r="J696" i="1"/>
  <c r="I696" i="1"/>
  <c r="H696" i="1"/>
  <c r="G696" i="1"/>
  <c r="F696" i="1"/>
  <c r="E696" i="1"/>
  <c r="J695" i="1"/>
  <c r="I695" i="1"/>
  <c r="H695" i="1"/>
  <c r="G695" i="1"/>
  <c r="F695" i="1"/>
  <c r="E695" i="1"/>
  <c r="J693" i="1"/>
  <c r="I693" i="1"/>
  <c r="H693" i="1"/>
  <c r="G693" i="1"/>
  <c r="F693" i="1"/>
  <c r="E693" i="1"/>
  <c r="J692" i="1"/>
  <c r="I692" i="1"/>
  <c r="H692" i="1"/>
  <c r="G692" i="1"/>
  <c r="F692" i="1"/>
  <c r="E692" i="1"/>
  <c r="J690" i="1"/>
  <c r="I690" i="1"/>
  <c r="H690" i="1"/>
  <c r="G690" i="1"/>
  <c r="F690" i="1"/>
  <c r="E690" i="1"/>
  <c r="J689" i="1"/>
  <c r="I689" i="1"/>
  <c r="H689" i="1"/>
  <c r="G689" i="1"/>
  <c r="F689" i="1"/>
  <c r="E689" i="1"/>
  <c r="J688" i="1"/>
  <c r="I688" i="1"/>
  <c r="H688" i="1"/>
  <c r="G688" i="1"/>
  <c r="F688" i="1"/>
  <c r="E688" i="1"/>
  <c r="J687" i="1"/>
  <c r="I687" i="1"/>
  <c r="H687" i="1"/>
  <c r="G687" i="1"/>
  <c r="F687" i="1"/>
  <c r="E687" i="1"/>
  <c r="J686" i="1"/>
  <c r="I686" i="1"/>
  <c r="H686" i="1"/>
  <c r="G686" i="1"/>
  <c r="F686" i="1"/>
  <c r="E686" i="1"/>
  <c r="J685" i="1"/>
  <c r="I685" i="1"/>
  <c r="H685" i="1"/>
  <c r="G685" i="1"/>
  <c r="F685" i="1"/>
  <c r="E685" i="1"/>
  <c r="J684" i="1"/>
  <c r="I684" i="1"/>
  <c r="H684" i="1"/>
  <c r="G684" i="1"/>
  <c r="F684" i="1"/>
  <c r="E684" i="1"/>
  <c r="J683" i="1"/>
  <c r="I683" i="1"/>
  <c r="H683" i="1"/>
  <c r="G683" i="1"/>
  <c r="F683" i="1"/>
  <c r="E683" i="1"/>
  <c r="J680" i="1"/>
  <c r="I680" i="1"/>
  <c r="H680" i="1"/>
  <c r="G680" i="1"/>
  <c r="F680" i="1"/>
  <c r="E680" i="1"/>
  <c r="J679" i="1"/>
  <c r="I679" i="1"/>
  <c r="H679" i="1"/>
  <c r="G679" i="1"/>
  <c r="F679" i="1"/>
  <c r="E679" i="1"/>
  <c r="J678" i="1"/>
  <c r="I678" i="1"/>
  <c r="H678" i="1"/>
  <c r="G678" i="1"/>
  <c r="F678" i="1"/>
  <c r="E678" i="1"/>
  <c r="J677" i="1"/>
  <c r="I677" i="1"/>
  <c r="H677" i="1"/>
  <c r="G677" i="1"/>
  <c r="F677" i="1"/>
  <c r="E677" i="1"/>
  <c r="J676" i="1"/>
  <c r="I676" i="1"/>
  <c r="H676" i="1"/>
  <c r="G676" i="1"/>
  <c r="F676" i="1"/>
  <c r="E676" i="1"/>
  <c r="J675" i="1"/>
  <c r="I675" i="1"/>
  <c r="H675" i="1"/>
  <c r="G675" i="1"/>
  <c r="F675" i="1"/>
  <c r="E675" i="1"/>
  <c r="J674" i="1"/>
  <c r="I674" i="1"/>
  <c r="H674" i="1"/>
  <c r="G674" i="1"/>
  <c r="F674" i="1"/>
  <c r="E674" i="1"/>
  <c r="J673" i="1"/>
  <c r="I673" i="1"/>
  <c r="H673" i="1"/>
  <c r="G673" i="1"/>
  <c r="F673" i="1"/>
  <c r="E673" i="1"/>
  <c r="J672" i="1"/>
  <c r="I672" i="1"/>
  <c r="H672" i="1"/>
  <c r="G672" i="1"/>
  <c r="F672" i="1"/>
  <c r="E672" i="1"/>
  <c r="J671" i="1"/>
  <c r="I671" i="1"/>
  <c r="H671" i="1"/>
  <c r="G671" i="1"/>
  <c r="F671" i="1"/>
  <c r="E671" i="1"/>
  <c r="J670" i="1"/>
  <c r="I670" i="1"/>
  <c r="H670" i="1"/>
  <c r="G670" i="1"/>
  <c r="F670" i="1"/>
  <c r="E670" i="1"/>
  <c r="J666" i="1"/>
  <c r="I666" i="1"/>
  <c r="H666" i="1"/>
  <c r="G666" i="1"/>
  <c r="F666" i="1"/>
  <c r="E666" i="1"/>
  <c r="J663" i="1"/>
  <c r="I663" i="1"/>
  <c r="H663" i="1"/>
  <c r="G663" i="1"/>
  <c r="F663" i="1"/>
  <c r="E663" i="1"/>
  <c r="J662" i="1"/>
  <c r="I662" i="1"/>
  <c r="H662" i="1"/>
  <c r="G662" i="1"/>
  <c r="F662" i="1"/>
  <c r="E662" i="1"/>
  <c r="J660" i="1"/>
  <c r="I660" i="1"/>
  <c r="H660" i="1"/>
  <c r="G660" i="1"/>
  <c r="F660" i="1"/>
  <c r="E660" i="1"/>
  <c r="J659" i="1"/>
  <c r="I659" i="1"/>
  <c r="H659" i="1"/>
  <c r="G659" i="1"/>
  <c r="F659" i="1"/>
  <c r="E659" i="1"/>
  <c r="J658" i="1"/>
  <c r="I658" i="1"/>
  <c r="H658" i="1"/>
  <c r="G658" i="1"/>
  <c r="F658" i="1"/>
  <c r="E658" i="1"/>
  <c r="J657" i="1"/>
  <c r="I657" i="1"/>
  <c r="H657" i="1"/>
  <c r="G657" i="1"/>
  <c r="F657" i="1"/>
  <c r="E657" i="1"/>
  <c r="J656" i="1"/>
  <c r="I656" i="1"/>
  <c r="H656" i="1"/>
  <c r="G656" i="1"/>
  <c r="F656" i="1"/>
  <c r="E656" i="1"/>
  <c r="J655" i="1"/>
  <c r="I655" i="1"/>
  <c r="H655" i="1"/>
  <c r="G655" i="1"/>
  <c r="F655" i="1"/>
  <c r="E655" i="1"/>
  <c r="J654" i="1"/>
  <c r="I654" i="1"/>
  <c r="H654" i="1"/>
  <c r="G654" i="1"/>
  <c r="F654" i="1"/>
  <c r="E654" i="1"/>
  <c r="J653" i="1"/>
  <c r="I653" i="1"/>
  <c r="H653" i="1"/>
  <c r="G653" i="1"/>
  <c r="F653" i="1"/>
  <c r="E653" i="1"/>
  <c r="J649" i="1"/>
  <c r="I649" i="1"/>
  <c r="H649" i="1"/>
  <c r="G649" i="1"/>
  <c r="F649" i="1"/>
  <c r="E649" i="1"/>
  <c r="J648" i="1"/>
  <c r="I648" i="1"/>
  <c r="H648" i="1"/>
  <c r="G648" i="1"/>
  <c r="F648" i="1"/>
  <c r="E648" i="1"/>
  <c r="J647" i="1"/>
  <c r="I647" i="1"/>
  <c r="H647" i="1"/>
  <c r="G647" i="1"/>
  <c r="F647" i="1"/>
  <c r="E647" i="1"/>
  <c r="J646" i="1"/>
  <c r="I646" i="1"/>
  <c r="H646" i="1"/>
  <c r="G646" i="1"/>
  <c r="F646" i="1"/>
  <c r="E646" i="1"/>
  <c r="J645" i="1"/>
  <c r="I645" i="1"/>
  <c r="H645" i="1"/>
  <c r="G645" i="1"/>
  <c r="F645" i="1"/>
  <c r="E645" i="1"/>
  <c r="J644" i="1"/>
  <c r="I644" i="1"/>
  <c r="H644" i="1"/>
  <c r="G644" i="1"/>
  <c r="F644" i="1"/>
  <c r="E644" i="1"/>
  <c r="J643" i="1"/>
  <c r="I643" i="1"/>
  <c r="H643" i="1"/>
  <c r="G643" i="1"/>
  <c r="F643" i="1"/>
  <c r="E643" i="1"/>
  <c r="J642" i="1"/>
  <c r="I642" i="1"/>
  <c r="H642" i="1"/>
  <c r="G642" i="1"/>
  <c r="F642" i="1"/>
  <c r="E642" i="1"/>
  <c r="J641" i="1"/>
  <c r="I641" i="1"/>
  <c r="H641" i="1"/>
  <c r="G641" i="1"/>
  <c r="F641" i="1"/>
  <c r="E641" i="1"/>
  <c r="J638" i="1"/>
  <c r="I638" i="1"/>
  <c r="H638" i="1"/>
  <c r="G638" i="1"/>
  <c r="F638" i="1"/>
  <c r="E638" i="1"/>
  <c r="J637" i="1"/>
  <c r="I637" i="1"/>
  <c r="H637" i="1"/>
  <c r="G637" i="1"/>
  <c r="F637" i="1"/>
  <c r="E637" i="1"/>
  <c r="J636" i="1"/>
  <c r="I636" i="1"/>
  <c r="H636" i="1"/>
  <c r="G636" i="1"/>
  <c r="F636" i="1"/>
  <c r="E636" i="1"/>
  <c r="J635" i="1"/>
  <c r="I635" i="1"/>
  <c r="H635" i="1"/>
  <c r="G635" i="1"/>
  <c r="F635" i="1"/>
  <c r="E635" i="1"/>
  <c r="J634" i="1"/>
  <c r="I634" i="1"/>
  <c r="H634" i="1"/>
  <c r="G634" i="1"/>
  <c r="F634" i="1"/>
  <c r="E634" i="1"/>
  <c r="J633" i="1"/>
  <c r="I633" i="1"/>
  <c r="H633" i="1"/>
  <c r="G633" i="1"/>
  <c r="F633" i="1"/>
  <c r="E633" i="1"/>
  <c r="J632" i="1"/>
  <c r="I632" i="1"/>
  <c r="H632" i="1"/>
  <c r="G632" i="1"/>
  <c r="F632" i="1"/>
  <c r="E632" i="1"/>
  <c r="J631" i="1"/>
  <c r="I631" i="1"/>
  <c r="H631" i="1"/>
  <c r="G631" i="1"/>
  <c r="F631" i="1"/>
  <c r="E631" i="1"/>
  <c r="J627" i="1"/>
  <c r="I627" i="1"/>
  <c r="H627" i="1"/>
  <c r="G627" i="1"/>
  <c r="F627" i="1"/>
  <c r="E627" i="1"/>
  <c r="J620" i="1"/>
  <c r="I620" i="1"/>
  <c r="H620" i="1"/>
  <c r="G620" i="1"/>
  <c r="F620" i="1"/>
  <c r="J619" i="1"/>
  <c r="I619" i="1"/>
  <c r="H619" i="1"/>
  <c r="G619" i="1"/>
  <c r="F619" i="1"/>
  <c r="J618" i="1"/>
  <c r="I618" i="1"/>
  <c r="H618" i="1"/>
  <c r="G618" i="1"/>
  <c r="F618" i="1"/>
  <c r="J617" i="1"/>
  <c r="I617" i="1"/>
  <c r="H617" i="1"/>
  <c r="G617" i="1"/>
  <c r="F617" i="1"/>
  <c r="E617" i="1"/>
  <c r="J615" i="1"/>
  <c r="I615" i="1"/>
  <c r="H615" i="1"/>
  <c r="G615" i="1"/>
  <c r="F615" i="1"/>
  <c r="E615" i="1"/>
  <c r="J614" i="1"/>
  <c r="I614" i="1"/>
  <c r="H614" i="1"/>
  <c r="G614" i="1"/>
  <c r="F614" i="1"/>
  <c r="E614" i="1"/>
  <c r="J613" i="1"/>
  <c r="I613" i="1"/>
  <c r="H613" i="1"/>
  <c r="G613" i="1"/>
  <c r="F613" i="1"/>
  <c r="E613" i="1"/>
  <c r="J611" i="1"/>
  <c r="I611" i="1"/>
  <c r="H611" i="1"/>
  <c r="G611" i="1"/>
  <c r="F611" i="1"/>
  <c r="E611" i="1"/>
  <c r="J610" i="1"/>
  <c r="I610" i="1"/>
  <c r="H610" i="1"/>
  <c r="G610" i="1"/>
  <c r="F610" i="1"/>
  <c r="E610" i="1"/>
  <c r="J609" i="1"/>
  <c r="I609" i="1"/>
  <c r="H609" i="1"/>
  <c r="G609" i="1"/>
  <c r="F609" i="1"/>
  <c r="E609" i="1"/>
  <c r="J608" i="1"/>
  <c r="I608" i="1"/>
  <c r="H608" i="1"/>
  <c r="G608" i="1"/>
  <c r="F608" i="1"/>
  <c r="E608" i="1"/>
  <c r="J607" i="1"/>
  <c r="I607" i="1"/>
  <c r="H607" i="1"/>
  <c r="G607" i="1"/>
  <c r="F607" i="1"/>
  <c r="E607" i="1"/>
  <c r="J606" i="1"/>
  <c r="I606" i="1"/>
  <c r="H606" i="1"/>
  <c r="G606" i="1"/>
  <c r="F606" i="1"/>
  <c r="E606" i="1"/>
  <c r="J604" i="1"/>
  <c r="I604" i="1"/>
  <c r="H604" i="1"/>
  <c r="G604" i="1"/>
  <c r="F604" i="1"/>
  <c r="E604" i="1"/>
  <c r="J603" i="1"/>
  <c r="I603" i="1"/>
  <c r="H603" i="1"/>
  <c r="G603" i="1"/>
  <c r="F603" i="1"/>
  <c r="E603" i="1"/>
  <c r="J602" i="1"/>
  <c r="I602" i="1"/>
  <c r="H602" i="1"/>
  <c r="G602" i="1"/>
  <c r="F602" i="1"/>
  <c r="E602" i="1"/>
  <c r="J601" i="1"/>
  <c r="I601" i="1"/>
  <c r="H601" i="1"/>
  <c r="G601" i="1"/>
  <c r="F601" i="1"/>
  <c r="E601" i="1"/>
  <c r="J600" i="1"/>
  <c r="I600" i="1"/>
  <c r="H600" i="1"/>
  <c r="G600" i="1"/>
  <c r="F600" i="1"/>
  <c r="E600" i="1"/>
  <c r="J599" i="1"/>
  <c r="I599" i="1"/>
  <c r="H599" i="1"/>
  <c r="G599" i="1"/>
  <c r="F599" i="1"/>
  <c r="E599" i="1"/>
  <c r="J595" i="1"/>
  <c r="I595" i="1"/>
  <c r="H595" i="1"/>
  <c r="G595" i="1"/>
  <c r="F595" i="1"/>
  <c r="E595" i="1"/>
  <c r="J593" i="1"/>
  <c r="I593" i="1"/>
  <c r="H593" i="1"/>
  <c r="G593" i="1"/>
  <c r="F593" i="1"/>
  <c r="E593" i="1"/>
  <c r="J592" i="1"/>
  <c r="I592" i="1"/>
  <c r="H592" i="1"/>
  <c r="G592" i="1"/>
  <c r="F592" i="1"/>
  <c r="E592" i="1"/>
  <c r="J591" i="1"/>
  <c r="I591" i="1"/>
  <c r="H591" i="1"/>
  <c r="G591" i="1"/>
  <c r="F591" i="1"/>
  <c r="E591" i="1"/>
  <c r="J590" i="1"/>
  <c r="I590" i="1"/>
  <c r="H590" i="1"/>
  <c r="G590" i="1"/>
  <c r="F590" i="1"/>
  <c r="E590" i="1"/>
  <c r="J589" i="1"/>
  <c r="I589" i="1"/>
  <c r="H589" i="1"/>
  <c r="G589" i="1"/>
  <c r="F589" i="1"/>
  <c r="E589" i="1"/>
  <c r="J588" i="1"/>
  <c r="I588" i="1"/>
  <c r="H588" i="1"/>
  <c r="G588" i="1"/>
  <c r="F588" i="1"/>
  <c r="E588" i="1"/>
  <c r="J587" i="1"/>
  <c r="I587" i="1"/>
  <c r="H587" i="1"/>
  <c r="G587" i="1"/>
  <c r="F587" i="1"/>
  <c r="E587" i="1"/>
  <c r="J585" i="1"/>
  <c r="I585" i="1"/>
  <c r="H585" i="1"/>
  <c r="G585" i="1"/>
  <c r="F585" i="1"/>
  <c r="E585" i="1"/>
  <c r="J583" i="1"/>
  <c r="I583" i="1"/>
  <c r="H583" i="1"/>
  <c r="G583" i="1"/>
  <c r="F583" i="1"/>
  <c r="E583" i="1"/>
  <c r="J582" i="1"/>
  <c r="I582" i="1"/>
  <c r="H582" i="1"/>
  <c r="G582" i="1"/>
  <c r="F582" i="1"/>
  <c r="E582" i="1"/>
  <c r="J581" i="1"/>
  <c r="I581" i="1"/>
  <c r="H581" i="1"/>
  <c r="G581" i="1"/>
  <c r="F581" i="1"/>
  <c r="E581" i="1"/>
  <c r="J580" i="1"/>
  <c r="I580" i="1"/>
  <c r="H580" i="1"/>
  <c r="G580" i="1"/>
  <c r="F580" i="1"/>
  <c r="E580" i="1"/>
  <c r="J579" i="1"/>
  <c r="I579" i="1"/>
  <c r="H579" i="1"/>
  <c r="G579" i="1"/>
  <c r="F579" i="1"/>
  <c r="E579" i="1"/>
  <c r="J578" i="1"/>
  <c r="I578" i="1"/>
  <c r="H578" i="1"/>
  <c r="G578" i="1"/>
  <c r="F578" i="1"/>
  <c r="E578" i="1"/>
  <c r="J577" i="1"/>
  <c r="I577" i="1"/>
  <c r="H577" i="1"/>
  <c r="G577" i="1"/>
  <c r="F577" i="1"/>
  <c r="E577" i="1"/>
  <c r="J575" i="1"/>
  <c r="I575" i="1"/>
  <c r="H575" i="1"/>
  <c r="G575" i="1"/>
  <c r="F575" i="1"/>
  <c r="E575" i="1"/>
  <c r="J574" i="1"/>
  <c r="I574" i="1"/>
  <c r="H574" i="1"/>
  <c r="G574" i="1"/>
  <c r="F574" i="1"/>
  <c r="E574" i="1"/>
  <c r="J573" i="1"/>
  <c r="I573" i="1"/>
  <c r="H573" i="1"/>
  <c r="G573" i="1"/>
  <c r="F573" i="1"/>
  <c r="E573" i="1"/>
  <c r="J572" i="1"/>
  <c r="I572" i="1"/>
  <c r="H572" i="1"/>
  <c r="G572" i="1"/>
  <c r="F572" i="1"/>
  <c r="E572" i="1"/>
  <c r="J571" i="1"/>
  <c r="I571" i="1"/>
  <c r="H571" i="1"/>
  <c r="G571" i="1"/>
  <c r="F571" i="1"/>
  <c r="E571" i="1"/>
  <c r="J570" i="1"/>
  <c r="I570" i="1"/>
  <c r="H570" i="1"/>
  <c r="G570" i="1"/>
  <c r="F570" i="1"/>
  <c r="E570" i="1"/>
  <c r="J569" i="1"/>
  <c r="I569" i="1"/>
  <c r="H569" i="1"/>
  <c r="G569" i="1"/>
  <c r="F569" i="1"/>
  <c r="E569" i="1"/>
  <c r="J567" i="1"/>
  <c r="I567" i="1"/>
  <c r="H567" i="1"/>
  <c r="G567" i="1"/>
  <c r="F567" i="1"/>
  <c r="E567" i="1"/>
  <c r="J564" i="1"/>
  <c r="I564" i="1"/>
  <c r="H564" i="1"/>
  <c r="G564" i="1"/>
  <c r="F564" i="1"/>
  <c r="E564" i="1"/>
  <c r="J563" i="1"/>
  <c r="I563" i="1"/>
  <c r="H563" i="1"/>
  <c r="G563" i="1"/>
  <c r="F563" i="1"/>
  <c r="J562" i="1"/>
  <c r="I562" i="1"/>
  <c r="H562" i="1"/>
  <c r="G562" i="1"/>
  <c r="F562" i="1"/>
  <c r="J561" i="1"/>
  <c r="I561" i="1"/>
  <c r="H561" i="1"/>
  <c r="G561" i="1"/>
  <c r="F561" i="1"/>
  <c r="E561" i="1"/>
  <c r="J559" i="1"/>
  <c r="I559" i="1"/>
  <c r="H559" i="1"/>
  <c r="G559" i="1"/>
  <c r="F559" i="1"/>
  <c r="E559" i="1"/>
  <c r="J558" i="1"/>
  <c r="I558" i="1"/>
  <c r="H558" i="1"/>
  <c r="G558" i="1"/>
  <c r="F558" i="1"/>
  <c r="E558" i="1"/>
  <c r="J557" i="1"/>
  <c r="I557" i="1"/>
  <c r="H557" i="1"/>
  <c r="G557" i="1"/>
  <c r="F557" i="1"/>
  <c r="E557" i="1"/>
  <c r="J556" i="1"/>
  <c r="I556" i="1"/>
  <c r="H556" i="1"/>
  <c r="G556" i="1"/>
  <c r="F556" i="1"/>
  <c r="E556" i="1"/>
  <c r="J555" i="1"/>
  <c r="I555" i="1"/>
  <c r="H555" i="1"/>
  <c r="G555" i="1"/>
  <c r="F555" i="1"/>
  <c r="E555" i="1"/>
  <c r="J554" i="1"/>
  <c r="I554" i="1"/>
  <c r="H554" i="1"/>
  <c r="G554" i="1"/>
  <c r="F554" i="1"/>
  <c r="E554" i="1"/>
  <c r="J553" i="1"/>
  <c r="I553" i="1"/>
  <c r="H553" i="1"/>
  <c r="G553" i="1"/>
  <c r="F553" i="1"/>
  <c r="E553" i="1"/>
  <c r="J552" i="1"/>
  <c r="I552" i="1"/>
  <c r="H552" i="1"/>
  <c r="G552" i="1"/>
  <c r="F552" i="1"/>
  <c r="E552" i="1"/>
  <c r="K548" i="1"/>
  <c r="J548" i="1"/>
  <c r="I548" i="1"/>
  <c r="H548" i="1"/>
  <c r="G548" i="1"/>
  <c r="F548" i="1"/>
  <c r="E548" i="1"/>
  <c r="K547" i="1"/>
  <c r="J547" i="1"/>
  <c r="I547" i="1"/>
  <c r="H547" i="1"/>
  <c r="G547" i="1"/>
  <c r="F547" i="1"/>
  <c r="E547" i="1"/>
  <c r="K546" i="1"/>
  <c r="J546" i="1"/>
  <c r="I546" i="1"/>
  <c r="H546" i="1"/>
  <c r="G546" i="1"/>
  <c r="F546" i="1"/>
  <c r="E546" i="1"/>
  <c r="J545" i="1"/>
  <c r="I545" i="1"/>
  <c r="H545" i="1"/>
  <c r="G545" i="1"/>
  <c r="F545" i="1"/>
  <c r="J544" i="1"/>
  <c r="I544" i="1"/>
  <c r="H544" i="1"/>
  <c r="G544" i="1"/>
  <c r="F544" i="1"/>
  <c r="J543" i="1"/>
  <c r="I543" i="1"/>
  <c r="H543" i="1"/>
  <c r="G543" i="1"/>
  <c r="F543" i="1"/>
  <c r="E543" i="1"/>
  <c r="J541" i="1"/>
  <c r="I541" i="1"/>
  <c r="H541" i="1"/>
  <c r="G541" i="1"/>
  <c r="F541" i="1"/>
  <c r="E541" i="1"/>
  <c r="J540" i="1"/>
  <c r="I540" i="1"/>
  <c r="H540" i="1"/>
  <c r="G540" i="1"/>
  <c r="F540" i="1"/>
  <c r="E540" i="1"/>
  <c r="J539" i="1"/>
  <c r="I539" i="1"/>
  <c r="H539" i="1"/>
  <c r="G539" i="1"/>
  <c r="F539" i="1"/>
  <c r="E539" i="1"/>
  <c r="J538" i="1"/>
  <c r="I538" i="1"/>
  <c r="H538" i="1"/>
  <c r="G538" i="1"/>
  <c r="F538" i="1"/>
  <c r="E538" i="1"/>
  <c r="J537" i="1"/>
  <c r="I537" i="1"/>
  <c r="H537" i="1"/>
  <c r="G537" i="1"/>
  <c r="F537" i="1"/>
  <c r="E537" i="1"/>
  <c r="J536" i="1"/>
  <c r="I536" i="1"/>
  <c r="H536" i="1"/>
  <c r="G536" i="1"/>
  <c r="F536" i="1"/>
  <c r="E536" i="1"/>
  <c r="J534" i="1"/>
  <c r="I534" i="1"/>
  <c r="H534" i="1"/>
  <c r="G534" i="1"/>
  <c r="F534" i="1"/>
  <c r="J533" i="1"/>
  <c r="I533" i="1"/>
  <c r="H533" i="1"/>
  <c r="G533" i="1"/>
  <c r="F533" i="1"/>
  <c r="E533" i="1"/>
  <c r="J531" i="1"/>
  <c r="I531" i="1"/>
  <c r="H531" i="1"/>
  <c r="G531" i="1"/>
  <c r="F531" i="1"/>
  <c r="E531" i="1"/>
  <c r="J530" i="1"/>
  <c r="I530" i="1"/>
  <c r="H530" i="1"/>
  <c r="G530" i="1"/>
  <c r="F530" i="1"/>
  <c r="E530" i="1"/>
  <c r="J529" i="1"/>
  <c r="I529" i="1"/>
  <c r="H529" i="1"/>
  <c r="G529" i="1"/>
  <c r="F529" i="1"/>
  <c r="E529" i="1"/>
  <c r="J528" i="1"/>
  <c r="I528" i="1"/>
  <c r="H528" i="1"/>
  <c r="G528" i="1"/>
  <c r="F528" i="1"/>
  <c r="E528" i="1"/>
  <c r="J527" i="1"/>
  <c r="I527" i="1"/>
  <c r="H527" i="1"/>
  <c r="G527" i="1"/>
  <c r="F527" i="1"/>
  <c r="E527" i="1"/>
  <c r="J526" i="1"/>
  <c r="I526" i="1"/>
  <c r="H526" i="1"/>
  <c r="G526" i="1"/>
  <c r="F526" i="1"/>
  <c r="E526" i="1"/>
  <c r="J525" i="1"/>
  <c r="I525" i="1"/>
  <c r="H525" i="1"/>
  <c r="G525" i="1"/>
  <c r="F525" i="1"/>
  <c r="E525" i="1"/>
  <c r="J524" i="1"/>
  <c r="I524" i="1"/>
  <c r="H524" i="1"/>
  <c r="G524" i="1"/>
  <c r="F524" i="1"/>
  <c r="E524" i="1"/>
  <c r="J523" i="1"/>
  <c r="I523" i="1"/>
  <c r="H523" i="1"/>
  <c r="G523" i="1"/>
  <c r="F523" i="1"/>
  <c r="E523" i="1"/>
  <c r="J519" i="1"/>
  <c r="I519" i="1"/>
  <c r="H519" i="1"/>
  <c r="G519" i="1"/>
  <c r="F519" i="1"/>
  <c r="E519" i="1"/>
  <c r="J518" i="1"/>
  <c r="I518" i="1"/>
  <c r="H518" i="1"/>
  <c r="G518" i="1"/>
  <c r="F518" i="1"/>
  <c r="E518" i="1"/>
  <c r="J517" i="1"/>
  <c r="I517" i="1"/>
  <c r="H517" i="1"/>
  <c r="G517" i="1"/>
  <c r="F517" i="1"/>
  <c r="E517" i="1"/>
  <c r="J516" i="1"/>
  <c r="I516" i="1"/>
  <c r="H516" i="1"/>
  <c r="G516" i="1"/>
  <c r="F516" i="1"/>
  <c r="E516" i="1"/>
  <c r="J515" i="1"/>
  <c r="I515" i="1"/>
  <c r="H515" i="1"/>
  <c r="G515" i="1"/>
  <c r="F515" i="1"/>
  <c r="E515" i="1"/>
  <c r="J514" i="1"/>
  <c r="I514" i="1"/>
  <c r="H514" i="1"/>
  <c r="G514" i="1"/>
  <c r="F514" i="1"/>
  <c r="E514" i="1"/>
  <c r="J513" i="1"/>
  <c r="I513" i="1"/>
  <c r="H513" i="1"/>
  <c r="G513" i="1"/>
  <c r="F513" i="1"/>
  <c r="E513" i="1"/>
  <c r="J512" i="1"/>
  <c r="I512" i="1"/>
  <c r="H512" i="1"/>
  <c r="G512" i="1"/>
  <c r="F512" i="1"/>
  <c r="E512" i="1"/>
  <c r="J509" i="1"/>
  <c r="I509" i="1"/>
  <c r="H509" i="1"/>
  <c r="G509" i="1"/>
  <c r="F509" i="1"/>
  <c r="E509" i="1"/>
  <c r="J508" i="1"/>
  <c r="I508" i="1"/>
  <c r="H508" i="1"/>
  <c r="G508" i="1"/>
  <c r="F508" i="1"/>
  <c r="E508" i="1"/>
  <c r="J507" i="1"/>
  <c r="I507" i="1"/>
  <c r="H507" i="1"/>
  <c r="G507" i="1"/>
  <c r="F507" i="1"/>
  <c r="E507" i="1"/>
  <c r="J506" i="1"/>
  <c r="I506" i="1"/>
  <c r="H506" i="1"/>
  <c r="G506" i="1"/>
  <c r="F506" i="1"/>
  <c r="E506" i="1"/>
  <c r="J505" i="1"/>
  <c r="I505" i="1"/>
  <c r="H505" i="1"/>
  <c r="G505" i="1"/>
  <c r="F505" i="1"/>
  <c r="E505" i="1"/>
  <c r="J504" i="1"/>
  <c r="I504" i="1"/>
  <c r="H504" i="1"/>
  <c r="G504" i="1"/>
  <c r="F504" i="1"/>
  <c r="E504" i="1"/>
  <c r="J503" i="1"/>
  <c r="I503" i="1"/>
  <c r="H503" i="1"/>
  <c r="G503" i="1"/>
  <c r="F503" i="1"/>
  <c r="E503" i="1"/>
  <c r="J502" i="1"/>
  <c r="I502" i="1"/>
  <c r="H502" i="1"/>
  <c r="G502" i="1"/>
  <c r="F502" i="1"/>
  <c r="E502" i="1"/>
  <c r="J501" i="1"/>
  <c r="I501" i="1"/>
  <c r="H501" i="1"/>
  <c r="G501" i="1"/>
  <c r="F501" i="1"/>
  <c r="E501" i="1"/>
  <c r="J497" i="1"/>
  <c r="I497" i="1"/>
  <c r="H497" i="1"/>
  <c r="G497" i="1"/>
  <c r="F497" i="1"/>
  <c r="E497" i="1"/>
  <c r="J494" i="1"/>
  <c r="I494" i="1"/>
  <c r="H494" i="1"/>
  <c r="G494" i="1"/>
  <c r="F494" i="1"/>
  <c r="E494" i="1"/>
  <c r="J493" i="1"/>
  <c r="I493" i="1"/>
  <c r="H493" i="1"/>
  <c r="G493" i="1"/>
  <c r="F493" i="1"/>
  <c r="E493" i="1"/>
  <c r="J491" i="1"/>
  <c r="I491" i="1"/>
  <c r="H491" i="1"/>
  <c r="G491" i="1"/>
  <c r="F491" i="1"/>
  <c r="E491" i="1"/>
  <c r="J490" i="1"/>
  <c r="I490" i="1"/>
  <c r="H490" i="1"/>
  <c r="G490" i="1"/>
  <c r="F490" i="1"/>
  <c r="E490" i="1"/>
  <c r="J489" i="1"/>
  <c r="I489" i="1"/>
  <c r="H489" i="1"/>
  <c r="G489" i="1"/>
  <c r="F489" i="1"/>
  <c r="E489" i="1"/>
  <c r="J488" i="1"/>
  <c r="I488" i="1"/>
  <c r="H488" i="1"/>
  <c r="G488" i="1"/>
  <c r="F488" i="1"/>
  <c r="E488" i="1"/>
  <c r="J487" i="1"/>
  <c r="I487" i="1"/>
  <c r="H487" i="1"/>
  <c r="G487" i="1"/>
  <c r="F487" i="1"/>
  <c r="E487" i="1"/>
  <c r="J486" i="1"/>
  <c r="I486" i="1"/>
  <c r="H486" i="1"/>
  <c r="G486" i="1"/>
  <c r="F486" i="1"/>
  <c r="E486" i="1"/>
  <c r="J485" i="1"/>
  <c r="I485" i="1"/>
  <c r="H485" i="1"/>
  <c r="G485" i="1"/>
  <c r="F485" i="1"/>
  <c r="E485" i="1"/>
  <c r="J484" i="1"/>
  <c r="I484" i="1"/>
  <c r="H484" i="1"/>
  <c r="G484" i="1"/>
  <c r="F484" i="1"/>
  <c r="E484" i="1"/>
  <c r="J483" i="1"/>
  <c r="I483" i="1"/>
  <c r="H483" i="1"/>
  <c r="G483" i="1"/>
  <c r="F483" i="1"/>
  <c r="E483" i="1"/>
  <c r="J482" i="1"/>
  <c r="I482" i="1"/>
  <c r="H482" i="1"/>
  <c r="G482" i="1"/>
  <c r="F482" i="1"/>
  <c r="E482" i="1"/>
  <c r="J480" i="1"/>
  <c r="I480" i="1"/>
  <c r="H480" i="1"/>
  <c r="G480" i="1"/>
  <c r="F480" i="1"/>
  <c r="E480" i="1"/>
  <c r="J479" i="1"/>
  <c r="I479" i="1"/>
  <c r="H479" i="1"/>
  <c r="G479" i="1"/>
  <c r="F479" i="1"/>
  <c r="E479" i="1"/>
  <c r="J476" i="1"/>
  <c r="I476" i="1"/>
  <c r="H476" i="1"/>
  <c r="G476" i="1"/>
  <c r="F476" i="1"/>
  <c r="E476" i="1"/>
  <c r="J475" i="1"/>
  <c r="I475" i="1"/>
  <c r="H475" i="1"/>
  <c r="G475" i="1"/>
  <c r="F475" i="1"/>
  <c r="E475" i="1"/>
  <c r="J470" i="1"/>
  <c r="I470" i="1"/>
  <c r="H470" i="1"/>
  <c r="G470" i="1"/>
  <c r="F470" i="1"/>
  <c r="E470" i="1"/>
  <c r="J469" i="1"/>
  <c r="I469" i="1"/>
  <c r="H469" i="1"/>
  <c r="G469" i="1"/>
  <c r="F469" i="1"/>
  <c r="E469" i="1"/>
  <c r="J468" i="1"/>
  <c r="I468" i="1"/>
  <c r="H468" i="1"/>
  <c r="G468" i="1"/>
  <c r="F468" i="1"/>
  <c r="E468" i="1"/>
  <c r="J467" i="1"/>
  <c r="I467" i="1"/>
  <c r="H467" i="1"/>
  <c r="G467" i="1"/>
  <c r="F467" i="1"/>
  <c r="E467" i="1"/>
  <c r="J466" i="1"/>
  <c r="I466" i="1"/>
  <c r="H466" i="1"/>
  <c r="G466" i="1"/>
  <c r="F466" i="1"/>
  <c r="E466" i="1"/>
  <c r="J465" i="1"/>
  <c r="I465" i="1"/>
  <c r="H465" i="1"/>
  <c r="G465" i="1"/>
  <c r="F465" i="1"/>
  <c r="E465" i="1"/>
  <c r="J464" i="1"/>
  <c r="I464" i="1"/>
  <c r="H464" i="1"/>
  <c r="G464" i="1"/>
  <c r="F464" i="1"/>
  <c r="E464" i="1"/>
  <c r="J463" i="1"/>
  <c r="I463" i="1"/>
  <c r="H463" i="1"/>
  <c r="G463" i="1"/>
  <c r="F463" i="1"/>
  <c r="E463" i="1"/>
  <c r="J462" i="1"/>
  <c r="I462" i="1"/>
  <c r="H462" i="1"/>
  <c r="G462" i="1"/>
  <c r="F462" i="1"/>
  <c r="E462" i="1"/>
  <c r="J461" i="1"/>
  <c r="I461" i="1"/>
  <c r="H461" i="1"/>
  <c r="G461" i="1"/>
  <c r="F461" i="1"/>
  <c r="E461" i="1"/>
  <c r="J460" i="1"/>
  <c r="I460" i="1"/>
  <c r="H460" i="1"/>
  <c r="G460" i="1"/>
  <c r="F460" i="1"/>
  <c r="E460" i="1"/>
  <c r="J459" i="1"/>
  <c r="I459" i="1"/>
  <c r="H459" i="1"/>
  <c r="G459" i="1"/>
  <c r="F459" i="1"/>
  <c r="E459" i="1"/>
  <c r="J456" i="1"/>
  <c r="I456" i="1"/>
  <c r="H456" i="1"/>
  <c r="G456" i="1"/>
  <c r="F456" i="1"/>
  <c r="E456" i="1"/>
  <c r="J455" i="1"/>
  <c r="I455" i="1"/>
  <c r="H455" i="1"/>
  <c r="G455" i="1"/>
  <c r="F455" i="1"/>
  <c r="E455" i="1"/>
  <c r="J454" i="1"/>
  <c r="I454" i="1"/>
  <c r="H454" i="1"/>
  <c r="G454" i="1"/>
  <c r="F454" i="1"/>
  <c r="E454" i="1"/>
  <c r="J453" i="1"/>
  <c r="I453" i="1"/>
  <c r="H453" i="1"/>
  <c r="G453" i="1"/>
  <c r="F453" i="1"/>
  <c r="E453" i="1"/>
  <c r="J452" i="1"/>
  <c r="I452" i="1"/>
  <c r="H452" i="1"/>
  <c r="G452" i="1"/>
  <c r="F452" i="1"/>
  <c r="E452" i="1"/>
  <c r="J451" i="1"/>
  <c r="I451" i="1"/>
  <c r="H451" i="1"/>
  <c r="G451" i="1"/>
  <c r="F451" i="1"/>
  <c r="E451" i="1"/>
  <c r="J450" i="1"/>
  <c r="I450" i="1"/>
  <c r="H450" i="1"/>
  <c r="G450" i="1"/>
  <c r="F450" i="1"/>
  <c r="E450" i="1"/>
  <c r="J445" i="1"/>
  <c r="I445" i="1"/>
  <c r="H445" i="1"/>
  <c r="G445" i="1"/>
  <c r="F445" i="1"/>
  <c r="E445" i="1"/>
  <c r="J441" i="1"/>
  <c r="I441" i="1"/>
  <c r="H441" i="1"/>
  <c r="G441" i="1"/>
  <c r="F441" i="1"/>
  <c r="J440" i="1"/>
  <c r="I440" i="1"/>
  <c r="H440" i="1"/>
  <c r="G440" i="1"/>
  <c r="F440" i="1"/>
  <c r="J439" i="1"/>
  <c r="I439" i="1"/>
  <c r="H439" i="1"/>
  <c r="G439" i="1"/>
  <c r="F439" i="1"/>
  <c r="E439" i="1"/>
  <c r="J437" i="1"/>
  <c r="I437" i="1"/>
  <c r="H437" i="1"/>
  <c r="G437" i="1"/>
  <c r="F437" i="1"/>
  <c r="E437" i="1"/>
  <c r="J436" i="1"/>
  <c r="I436" i="1"/>
  <c r="H436" i="1"/>
  <c r="G436" i="1"/>
  <c r="F436" i="1"/>
  <c r="E436" i="1"/>
  <c r="J435" i="1"/>
  <c r="I435" i="1"/>
  <c r="H435" i="1"/>
  <c r="G435" i="1"/>
  <c r="F435" i="1"/>
  <c r="E435" i="1"/>
  <c r="J434" i="1"/>
  <c r="I434" i="1"/>
  <c r="H434" i="1"/>
  <c r="G434" i="1"/>
  <c r="F434" i="1"/>
  <c r="E434" i="1"/>
  <c r="J433" i="1"/>
  <c r="I433" i="1"/>
  <c r="H433" i="1"/>
  <c r="G433" i="1"/>
  <c r="F433" i="1"/>
  <c r="E433" i="1"/>
  <c r="J432" i="1"/>
  <c r="I432" i="1"/>
  <c r="H432" i="1"/>
  <c r="G432" i="1"/>
  <c r="F432" i="1"/>
  <c r="E432" i="1"/>
  <c r="J431" i="1"/>
  <c r="I431" i="1"/>
  <c r="H431" i="1"/>
  <c r="G431" i="1"/>
  <c r="F431" i="1"/>
  <c r="E431" i="1"/>
  <c r="J429" i="1"/>
  <c r="I429" i="1"/>
  <c r="H429" i="1"/>
  <c r="G429" i="1"/>
  <c r="F429" i="1"/>
  <c r="E429" i="1"/>
  <c r="J428" i="1"/>
  <c r="I428" i="1"/>
  <c r="H428" i="1"/>
  <c r="G428" i="1"/>
  <c r="F428" i="1"/>
  <c r="E428" i="1"/>
  <c r="J427" i="1"/>
  <c r="I427" i="1"/>
  <c r="H427" i="1"/>
  <c r="G427" i="1"/>
  <c r="F427" i="1"/>
  <c r="E427" i="1"/>
  <c r="J426" i="1"/>
  <c r="I426" i="1"/>
  <c r="H426" i="1"/>
  <c r="G426" i="1"/>
  <c r="F426" i="1"/>
  <c r="E426" i="1"/>
  <c r="Z425" i="1"/>
  <c r="J425" i="1"/>
  <c r="I425" i="1"/>
  <c r="H425" i="1"/>
  <c r="G425" i="1"/>
  <c r="F425" i="1"/>
  <c r="E425" i="1"/>
  <c r="J419" i="1"/>
  <c r="I419" i="1"/>
  <c r="H419" i="1"/>
  <c r="G419" i="1"/>
  <c r="F419" i="1"/>
  <c r="E419" i="1"/>
  <c r="J417" i="1"/>
  <c r="I417" i="1"/>
  <c r="H417" i="1"/>
  <c r="G417" i="1"/>
  <c r="F417" i="1"/>
  <c r="E417" i="1"/>
  <c r="J416" i="1"/>
  <c r="I416" i="1"/>
  <c r="H416" i="1"/>
  <c r="G416" i="1"/>
  <c r="F416" i="1"/>
  <c r="E416" i="1"/>
  <c r="J415" i="1"/>
  <c r="I415" i="1"/>
  <c r="H415" i="1"/>
  <c r="G415" i="1"/>
  <c r="F415" i="1"/>
  <c r="E415" i="1"/>
  <c r="J414" i="1"/>
  <c r="I414" i="1"/>
  <c r="H414" i="1"/>
  <c r="G414" i="1"/>
  <c r="F414" i="1"/>
  <c r="E414" i="1"/>
  <c r="J413" i="1"/>
  <c r="I413" i="1"/>
  <c r="H413" i="1"/>
  <c r="G413" i="1"/>
  <c r="F413" i="1"/>
  <c r="E413" i="1"/>
  <c r="J412" i="1"/>
  <c r="I412" i="1"/>
  <c r="H412" i="1"/>
  <c r="G412" i="1"/>
  <c r="F412" i="1"/>
  <c r="E412" i="1"/>
  <c r="J411" i="1"/>
  <c r="I411" i="1"/>
  <c r="H411" i="1"/>
  <c r="G411" i="1"/>
  <c r="F411" i="1"/>
  <c r="E411" i="1"/>
  <c r="J409" i="1"/>
  <c r="I409" i="1"/>
  <c r="H409" i="1"/>
  <c r="G409" i="1"/>
  <c r="F409" i="1"/>
  <c r="E409" i="1"/>
  <c r="J408" i="1"/>
  <c r="I408" i="1"/>
  <c r="H408" i="1"/>
  <c r="G408" i="1"/>
  <c r="F408" i="1"/>
  <c r="E408" i="1"/>
  <c r="J407" i="1"/>
  <c r="I407" i="1"/>
  <c r="H407" i="1"/>
  <c r="G407" i="1"/>
  <c r="F407" i="1"/>
  <c r="E407" i="1"/>
  <c r="J406" i="1"/>
  <c r="I406" i="1"/>
  <c r="H406" i="1"/>
  <c r="G406" i="1"/>
  <c r="F406" i="1"/>
  <c r="E406" i="1"/>
  <c r="J405" i="1"/>
  <c r="I405" i="1"/>
  <c r="H405" i="1"/>
  <c r="G405" i="1"/>
  <c r="F405" i="1"/>
  <c r="E405" i="1"/>
  <c r="J404" i="1"/>
  <c r="I404" i="1"/>
  <c r="H404" i="1"/>
  <c r="G404" i="1"/>
  <c r="F404" i="1"/>
  <c r="E404" i="1"/>
  <c r="J403" i="1"/>
  <c r="I403" i="1"/>
  <c r="H403" i="1"/>
  <c r="G403" i="1"/>
  <c r="F403" i="1"/>
  <c r="E403" i="1"/>
  <c r="J401" i="1"/>
  <c r="I401" i="1"/>
  <c r="H401" i="1"/>
  <c r="G401" i="1"/>
  <c r="F401" i="1"/>
  <c r="E401" i="1"/>
  <c r="J398" i="1"/>
  <c r="I398" i="1"/>
  <c r="H398" i="1"/>
  <c r="G398" i="1"/>
  <c r="F398" i="1"/>
  <c r="E398" i="1"/>
  <c r="J397" i="1"/>
  <c r="I397" i="1"/>
  <c r="H397" i="1"/>
  <c r="G397" i="1"/>
  <c r="F397" i="1"/>
  <c r="E397" i="1"/>
  <c r="J395" i="1"/>
  <c r="I395" i="1"/>
  <c r="H395" i="1"/>
  <c r="G395" i="1"/>
  <c r="F395" i="1"/>
  <c r="E395" i="1"/>
  <c r="J394" i="1"/>
  <c r="I394" i="1"/>
  <c r="H394" i="1"/>
  <c r="G394" i="1"/>
  <c r="F394" i="1"/>
  <c r="E394" i="1"/>
  <c r="J393" i="1"/>
  <c r="I393" i="1"/>
  <c r="H393" i="1"/>
  <c r="G393" i="1"/>
  <c r="F393" i="1"/>
  <c r="E393" i="1"/>
  <c r="J392" i="1"/>
  <c r="I392" i="1"/>
  <c r="H392" i="1"/>
  <c r="G392" i="1"/>
  <c r="F392" i="1"/>
  <c r="E392" i="1"/>
  <c r="J391" i="1"/>
  <c r="I391" i="1"/>
  <c r="H391" i="1"/>
  <c r="G391" i="1"/>
  <c r="F391" i="1"/>
  <c r="E391" i="1"/>
  <c r="J390" i="1"/>
  <c r="I390" i="1"/>
  <c r="H390" i="1"/>
  <c r="G390" i="1"/>
  <c r="F390" i="1"/>
  <c r="E390" i="1"/>
  <c r="J389" i="1"/>
  <c r="I389" i="1"/>
  <c r="H389" i="1"/>
  <c r="G389" i="1"/>
  <c r="F389" i="1"/>
  <c r="E389" i="1"/>
  <c r="J388" i="1"/>
  <c r="I388" i="1"/>
  <c r="H388" i="1"/>
  <c r="G388" i="1"/>
  <c r="F388" i="1"/>
  <c r="E388" i="1"/>
  <c r="J386" i="1"/>
  <c r="I386" i="1"/>
  <c r="H386" i="1"/>
  <c r="G386" i="1"/>
  <c r="F386" i="1"/>
  <c r="E386" i="1"/>
  <c r="J385" i="1"/>
  <c r="I385" i="1"/>
  <c r="H385" i="1"/>
  <c r="G385" i="1"/>
  <c r="F385" i="1"/>
  <c r="E385" i="1"/>
  <c r="J384" i="1"/>
  <c r="I384" i="1"/>
  <c r="H384" i="1"/>
  <c r="G384" i="1"/>
  <c r="F384" i="1"/>
  <c r="E384" i="1"/>
  <c r="J383" i="1"/>
  <c r="I383" i="1"/>
  <c r="H383" i="1"/>
  <c r="G383" i="1"/>
  <c r="F383" i="1"/>
  <c r="E383" i="1"/>
  <c r="J382" i="1"/>
  <c r="I382" i="1"/>
  <c r="H382" i="1"/>
  <c r="G382" i="1"/>
  <c r="F382" i="1"/>
  <c r="E382" i="1"/>
  <c r="J378" i="1"/>
  <c r="I378" i="1"/>
  <c r="H378" i="1"/>
  <c r="G378" i="1"/>
  <c r="F378" i="1"/>
  <c r="E378" i="1"/>
  <c r="J377" i="1"/>
  <c r="I377" i="1"/>
  <c r="H377" i="1"/>
  <c r="G377" i="1"/>
  <c r="F377" i="1"/>
  <c r="E377" i="1"/>
  <c r="J375" i="1"/>
  <c r="I375" i="1"/>
  <c r="H375" i="1"/>
  <c r="G375" i="1"/>
  <c r="F375" i="1"/>
  <c r="E375" i="1"/>
  <c r="J374" i="1"/>
  <c r="I374" i="1"/>
  <c r="H374" i="1"/>
  <c r="G374" i="1"/>
  <c r="F374" i="1"/>
  <c r="E374" i="1"/>
  <c r="J373" i="1"/>
  <c r="I373" i="1"/>
  <c r="H373" i="1"/>
  <c r="G373" i="1"/>
  <c r="F373" i="1"/>
  <c r="E373" i="1"/>
  <c r="J372" i="1"/>
  <c r="I372" i="1"/>
  <c r="H372" i="1"/>
  <c r="G372" i="1"/>
  <c r="F372" i="1"/>
  <c r="E372" i="1"/>
  <c r="J371" i="1"/>
  <c r="I371" i="1"/>
  <c r="H371" i="1"/>
  <c r="G371" i="1"/>
  <c r="F371" i="1"/>
  <c r="E371" i="1"/>
  <c r="J370" i="1"/>
  <c r="I370" i="1"/>
  <c r="H370" i="1"/>
  <c r="G370" i="1"/>
  <c r="F370" i="1"/>
  <c r="E370" i="1"/>
  <c r="J368" i="1"/>
  <c r="I368" i="1"/>
  <c r="H368" i="1"/>
  <c r="G368" i="1"/>
  <c r="F368" i="1"/>
  <c r="E368" i="1"/>
  <c r="J367" i="1"/>
  <c r="I367" i="1"/>
  <c r="H367" i="1"/>
  <c r="G367" i="1"/>
  <c r="F367" i="1"/>
  <c r="E367" i="1"/>
  <c r="J366" i="1"/>
  <c r="I366" i="1"/>
  <c r="H366" i="1"/>
  <c r="G366" i="1"/>
  <c r="F366" i="1"/>
  <c r="E366" i="1"/>
  <c r="J365" i="1"/>
  <c r="I365" i="1"/>
  <c r="H365" i="1"/>
  <c r="G365" i="1"/>
  <c r="F365" i="1"/>
  <c r="E365" i="1"/>
  <c r="J361" i="1"/>
  <c r="I361" i="1"/>
  <c r="H361" i="1"/>
  <c r="G361" i="1"/>
  <c r="F361" i="1"/>
  <c r="E361" i="1"/>
  <c r="J360" i="1"/>
  <c r="I360" i="1"/>
  <c r="H360" i="1"/>
  <c r="G360" i="1"/>
  <c r="F360" i="1"/>
  <c r="E360" i="1"/>
  <c r="J359" i="1"/>
  <c r="I359" i="1"/>
  <c r="H359" i="1"/>
  <c r="G359" i="1"/>
  <c r="F359" i="1"/>
  <c r="E359" i="1"/>
  <c r="J357" i="1"/>
  <c r="I357" i="1"/>
  <c r="H357" i="1"/>
  <c r="G357" i="1"/>
  <c r="F357" i="1"/>
  <c r="E357" i="1"/>
  <c r="J356" i="1"/>
  <c r="I356" i="1"/>
  <c r="H356" i="1"/>
  <c r="G356" i="1"/>
  <c r="F356" i="1"/>
  <c r="E356" i="1"/>
  <c r="J355" i="1"/>
  <c r="I355" i="1"/>
  <c r="H355" i="1"/>
  <c r="G355" i="1"/>
  <c r="F355" i="1"/>
  <c r="E355" i="1"/>
  <c r="J354" i="1"/>
  <c r="I354" i="1"/>
  <c r="H354" i="1"/>
  <c r="G354" i="1"/>
  <c r="F354" i="1"/>
  <c r="E354" i="1"/>
  <c r="J353" i="1"/>
  <c r="I353" i="1"/>
  <c r="H353" i="1"/>
  <c r="G353" i="1"/>
  <c r="F353" i="1"/>
  <c r="E353" i="1"/>
  <c r="J352" i="1"/>
  <c r="I352" i="1"/>
  <c r="H352" i="1"/>
  <c r="G352" i="1"/>
  <c r="F352" i="1"/>
  <c r="E352" i="1"/>
  <c r="J351" i="1"/>
  <c r="I351" i="1"/>
  <c r="H351" i="1"/>
  <c r="G351" i="1"/>
  <c r="F351" i="1"/>
  <c r="E351" i="1"/>
  <c r="J350" i="1"/>
  <c r="I350" i="1"/>
  <c r="H350" i="1"/>
  <c r="G350" i="1"/>
  <c r="F350" i="1"/>
  <c r="E350" i="1"/>
  <c r="J349" i="1"/>
  <c r="I349" i="1"/>
  <c r="H349" i="1"/>
  <c r="G349" i="1"/>
  <c r="F349" i="1"/>
  <c r="E349" i="1"/>
  <c r="J346" i="1"/>
  <c r="I346" i="1"/>
  <c r="H346" i="1"/>
  <c r="G346" i="1"/>
  <c r="F346" i="1"/>
  <c r="E346" i="1"/>
  <c r="J345" i="1"/>
  <c r="I345" i="1"/>
  <c r="H345" i="1"/>
  <c r="G345" i="1"/>
  <c r="F345" i="1"/>
  <c r="E345" i="1"/>
  <c r="J344" i="1"/>
  <c r="I344" i="1"/>
  <c r="H344" i="1"/>
  <c r="G344" i="1"/>
  <c r="F344" i="1"/>
  <c r="E344" i="1"/>
  <c r="J343" i="1"/>
  <c r="I343" i="1"/>
  <c r="H343" i="1"/>
  <c r="G343" i="1"/>
  <c r="F343" i="1"/>
  <c r="E343" i="1"/>
  <c r="J342" i="1"/>
  <c r="I342" i="1"/>
  <c r="H342" i="1"/>
  <c r="G342" i="1"/>
  <c r="F342" i="1"/>
  <c r="E342" i="1"/>
  <c r="J341" i="1"/>
  <c r="I341" i="1"/>
  <c r="H341" i="1"/>
  <c r="G341" i="1"/>
  <c r="F341" i="1"/>
  <c r="E341" i="1"/>
  <c r="J340" i="1"/>
  <c r="I340" i="1"/>
  <c r="H340" i="1"/>
  <c r="G340" i="1"/>
  <c r="F340" i="1"/>
  <c r="E340" i="1"/>
  <c r="J339" i="1"/>
  <c r="I339" i="1"/>
  <c r="H339" i="1"/>
  <c r="G339" i="1"/>
  <c r="F339" i="1"/>
  <c r="E339" i="1"/>
  <c r="J338" i="1"/>
  <c r="I338" i="1"/>
  <c r="H338" i="1"/>
  <c r="G338" i="1"/>
  <c r="F338" i="1"/>
  <c r="E338" i="1"/>
  <c r="J337" i="1"/>
  <c r="I337" i="1"/>
  <c r="H337" i="1"/>
  <c r="G337" i="1"/>
  <c r="F337" i="1"/>
  <c r="E337" i="1"/>
  <c r="J336" i="1"/>
  <c r="I336" i="1"/>
  <c r="H336" i="1"/>
  <c r="G336" i="1"/>
  <c r="F336" i="1"/>
  <c r="E336" i="1"/>
  <c r="J332" i="1"/>
  <c r="I332" i="1"/>
  <c r="H332" i="1"/>
  <c r="G332" i="1"/>
  <c r="F332" i="1"/>
  <c r="E332" i="1"/>
  <c r="J329" i="1"/>
  <c r="I329" i="1"/>
  <c r="H329" i="1"/>
  <c r="G329" i="1"/>
  <c r="F329" i="1"/>
  <c r="E329" i="1"/>
  <c r="J328" i="1"/>
  <c r="I328" i="1"/>
  <c r="H328" i="1"/>
  <c r="G328" i="1"/>
  <c r="F328" i="1"/>
  <c r="E328" i="1"/>
  <c r="J326" i="1"/>
  <c r="I326" i="1"/>
  <c r="H326" i="1"/>
  <c r="G326" i="1"/>
  <c r="F326" i="1"/>
  <c r="E326" i="1"/>
  <c r="J325" i="1"/>
  <c r="I325" i="1"/>
  <c r="H325" i="1"/>
  <c r="G325" i="1"/>
  <c r="F325" i="1"/>
  <c r="E325" i="1"/>
  <c r="J324" i="1"/>
  <c r="I324" i="1"/>
  <c r="H324" i="1"/>
  <c r="G324" i="1"/>
  <c r="F324" i="1"/>
  <c r="E324" i="1"/>
  <c r="J323" i="1"/>
  <c r="I323" i="1"/>
  <c r="H323" i="1"/>
  <c r="G323" i="1"/>
  <c r="F323" i="1"/>
  <c r="E323" i="1"/>
  <c r="J322" i="1"/>
  <c r="I322" i="1"/>
  <c r="H322" i="1"/>
  <c r="G322" i="1"/>
  <c r="F322" i="1"/>
  <c r="E322" i="1"/>
  <c r="J321" i="1"/>
  <c r="I321" i="1"/>
  <c r="H321" i="1"/>
  <c r="G321" i="1"/>
  <c r="F321" i="1"/>
  <c r="E321" i="1"/>
  <c r="J320" i="1"/>
  <c r="I320" i="1"/>
  <c r="H320" i="1"/>
  <c r="G320" i="1"/>
  <c r="F320" i="1"/>
  <c r="E320" i="1"/>
  <c r="J319" i="1"/>
  <c r="I319" i="1"/>
  <c r="H319" i="1"/>
  <c r="G319" i="1"/>
  <c r="F319" i="1"/>
  <c r="E319" i="1"/>
  <c r="J314" i="1"/>
  <c r="I314" i="1"/>
  <c r="H314" i="1"/>
  <c r="G314" i="1"/>
  <c r="F314" i="1"/>
  <c r="E314" i="1"/>
  <c r="J313" i="1"/>
  <c r="I313" i="1"/>
  <c r="H313" i="1"/>
  <c r="G313" i="1"/>
  <c r="F313" i="1"/>
  <c r="E313" i="1"/>
  <c r="J312" i="1"/>
  <c r="I312" i="1"/>
  <c r="H312" i="1"/>
  <c r="G312" i="1"/>
  <c r="F312" i="1"/>
  <c r="E312" i="1"/>
  <c r="J311" i="1"/>
  <c r="I311" i="1"/>
  <c r="H311" i="1"/>
  <c r="G311" i="1"/>
  <c r="F311" i="1"/>
  <c r="E311" i="1"/>
  <c r="J310" i="1"/>
  <c r="I310" i="1"/>
  <c r="H310" i="1"/>
  <c r="G310" i="1"/>
  <c r="F310" i="1"/>
  <c r="E310" i="1"/>
  <c r="J309" i="1"/>
  <c r="I309" i="1"/>
  <c r="H309" i="1"/>
  <c r="G309" i="1"/>
  <c r="F309" i="1"/>
  <c r="E309" i="1"/>
  <c r="J306" i="1"/>
  <c r="I306" i="1"/>
  <c r="H306" i="1"/>
  <c r="G306" i="1"/>
  <c r="F306" i="1"/>
  <c r="E306" i="1"/>
  <c r="J305" i="1"/>
  <c r="I305" i="1"/>
  <c r="H305" i="1"/>
  <c r="G305" i="1"/>
  <c r="F305" i="1"/>
  <c r="E305" i="1"/>
  <c r="J304" i="1"/>
  <c r="I304" i="1"/>
  <c r="H304" i="1"/>
  <c r="G304" i="1"/>
  <c r="F304" i="1"/>
  <c r="E304" i="1"/>
  <c r="J303" i="1"/>
  <c r="I303" i="1"/>
  <c r="H303" i="1"/>
  <c r="G303" i="1"/>
  <c r="F303" i="1"/>
  <c r="E303" i="1"/>
  <c r="J302" i="1"/>
  <c r="I302" i="1"/>
  <c r="H302" i="1"/>
  <c r="G302" i="1"/>
  <c r="F302" i="1"/>
  <c r="E302" i="1"/>
  <c r="J301" i="1"/>
  <c r="I301" i="1"/>
  <c r="H301" i="1"/>
  <c r="G301" i="1"/>
  <c r="F301" i="1"/>
  <c r="E301" i="1"/>
  <c r="J300" i="1"/>
  <c r="I300" i="1"/>
  <c r="H300" i="1"/>
  <c r="G300" i="1"/>
  <c r="F300" i="1"/>
  <c r="E300" i="1"/>
  <c r="J295" i="1"/>
  <c r="I295" i="1"/>
  <c r="H295" i="1"/>
  <c r="G295" i="1"/>
  <c r="F295" i="1"/>
  <c r="E295" i="1"/>
  <c r="K291" i="1"/>
  <c r="J291" i="1"/>
  <c r="I291" i="1"/>
  <c r="H291" i="1"/>
  <c r="G291" i="1"/>
  <c r="F291" i="1"/>
  <c r="E291" i="1"/>
  <c r="K290" i="1"/>
  <c r="J290" i="1"/>
  <c r="I290" i="1"/>
  <c r="H290" i="1"/>
  <c r="G290" i="1"/>
  <c r="F290" i="1"/>
  <c r="E290" i="1"/>
  <c r="K289" i="1"/>
  <c r="J289" i="1"/>
  <c r="I289" i="1"/>
  <c r="H289" i="1"/>
  <c r="G289" i="1"/>
  <c r="F289" i="1"/>
  <c r="E289" i="1"/>
  <c r="J288" i="1"/>
  <c r="I288" i="1"/>
  <c r="H288" i="1"/>
  <c r="G288" i="1"/>
  <c r="F288" i="1"/>
  <c r="E288" i="1"/>
  <c r="J286" i="1"/>
  <c r="I286" i="1"/>
  <c r="H286" i="1"/>
  <c r="G286" i="1"/>
  <c r="F286" i="1"/>
  <c r="E286" i="1"/>
  <c r="J285" i="1"/>
  <c r="I285" i="1"/>
  <c r="H285" i="1"/>
  <c r="G285" i="1"/>
  <c r="F285" i="1"/>
  <c r="E285" i="1"/>
  <c r="J283" i="1"/>
  <c r="I283" i="1"/>
  <c r="H283" i="1"/>
  <c r="G283" i="1"/>
  <c r="F283" i="1"/>
  <c r="E283" i="1"/>
  <c r="J282" i="1"/>
  <c r="I282" i="1"/>
  <c r="H282" i="1"/>
  <c r="G282" i="1"/>
  <c r="F282" i="1"/>
  <c r="E282" i="1"/>
  <c r="J281" i="1"/>
  <c r="I281" i="1"/>
  <c r="H281" i="1"/>
  <c r="G281" i="1"/>
  <c r="F281" i="1"/>
  <c r="E281" i="1"/>
  <c r="J280" i="1"/>
  <c r="I280" i="1"/>
  <c r="H280" i="1"/>
  <c r="G280" i="1"/>
  <c r="F280" i="1"/>
  <c r="E280" i="1"/>
  <c r="J279" i="1"/>
  <c r="I279" i="1"/>
  <c r="H279" i="1"/>
  <c r="G279" i="1"/>
  <c r="F279" i="1"/>
  <c r="E279" i="1"/>
  <c r="J277" i="1"/>
  <c r="I277" i="1"/>
  <c r="H277" i="1"/>
  <c r="G277" i="1"/>
  <c r="F277" i="1"/>
  <c r="E277" i="1"/>
  <c r="J276" i="1"/>
  <c r="I276" i="1"/>
  <c r="H276" i="1"/>
  <c r="G276" i="1"/>
  <c r="F276" i="1"/>
  <c r="E276" i="1"/>
  <c r="J275" i="1"/>
  <c r="I275" i="1"/>
  <c r="H275" i="1"/>
  <c r="G275" i="1"/>
  <c r="F275" i="1"/>
  <c r="E275" i="1"/>
  <c r="J274" i="1"/>
  <c r="I274" i="1"/>
  <c r="H274" i="1"/>
  <c r="G274" i="1"/>
  <c r="F274" i="1"/>
  <c r="E274" i="1"/>
  <c r="J273" i="1"/>
  <c r="I273" i="1"/>
  <c r="H273" i="1"/>
  <c r="G273" i="1"/>
  <c r="F273" i="1"/>
  <c r="E273" i="1"/>
  <c r="J269" i="1"/>
  <c r="I269" i="1"/>
  <c r="H269" i="1"/>
  <c r="G269" i="1"/>
  <c r="F269" i="1"/>
  <c r="E269" i="1"/>
  <c r="J268" i="1"/>
  <c r="I268" i="1"/>
  <c r="H268" i="1"/>
  <c r="G268" i="1"/>
  <c r="F268" i="1"/>
  <c r="E268" i="1"/>
  <c r="J267" i="1"/>
  <c r="I267" i="1"/>
  <c r="H267" i="1"/>
  <c r="G267" i="1"/>
  <c r="F267" i="1"/>
  <c r="E267" i="1"/>
  <c r="J266" i="1"/>
  <c r="I266" i="1"/>
  <c r="H266" i="1"/>
  <c r="G266" i="1"/>
  <c r="F266" i="1"/>
  <c r="E266" i="1"/>
  <c r="J264" i="1"/>
  <c r="I264" i="1"/>
  <c r="H264" i="1"/>
  <c r="G264" i="1"/>
  <c r="F264" i="1"/>
  <c r="E264" i="1"/>
  <c r="J263" i="1"/>
  <c r="I263" i="1"/>
  <c r="H263" i="1"/>
  <c r="G263" i="1"/>
  <c r="F263" i="1"/>
  <c r="E263" i="1"/>
  <c r="J262" i="1"/>
  <c r="I262" i="1"/>
  <c r="H262" i="1"/>
  <c r="G262" i="1"/>
  <c r="F262" i="1"/>
  <c r="E262" i="1"/>
  <c r="J261" i="1"/>
  <c r="I261" i="1"/>
  <c r="H261" i="1"/>
  <c r="G261" i="1"/>
  <c r="F261" i="1"/>
  <c r="E261" i="1"/>
  <c r="J260" i="1"/>
  <c r="I260" i="1"/>
  <c r="H260" i="1"/>
  <c r="G260" i="1"/>
  <c r="F260" i="1"/>
  <c r="E260" i="1"/>
  <c r="J259" i="1"/>
  <c r="I259" i="1"/>
  <c r="H259" i="1"/>
  <c r="G259" i="1"/>
  <c r="F259" i="1"/>
  <c r="E259" i="1"/>
  <c r="J258" i="1"/>
  <c r="I258" i="1"/>
  <c r="H258" i="1"/>
  <c r="G258" i="1"/>
  <c r="F258" i="1"/>
  <c r="E258" i="1"/>
  <c r="J256" i="1"/>
  <c r="I256" i="1"/>
  <c r="H256" i="1"/>
  <c r="G256" i="1"/>
  <c r="F256" i="1"/>
  <c r="E256" i="1"/>
  <c r="J255" i="1"/>
  <c r="I255" i="1"/>
  <c r="H255" i="1"/>
  <c r="G255" i="1"/>
  <c r="F255" i="1"/>
  <c r="E255" i="1"/>
  <c r="J253" i="1"/>
  <c r="I253" i="1"/>
  <c r="H253" i="1"/>
  <c r="G253" i="1"/>
  <c r="F253" i="1"/>
  <c r="E253" i="1"/>
  <c r="J252" i="1"/>
  <c r="I252" i="1"/>
  <c r="H252" i="1"/>
  <c r="G252" i="1"/>
  <c r="F252" i="1"/>
  <c r="E252" i="1"/>
  <c r="J251" i="1"/>
  <c r="I251" i="1"/>
  <c r="H251" i="1"/>
  <c r="G251" i="1"/>
  <c r="F251" i="1"/>
  <c r="E251" i="1"/>
  <c r="J250" i="1"/>
  <c r="I250" i="1"/>
  <c r="H250" i="1"/>
  <c r="G250" i="1"/>
  <c r="F250" i="1"/>
  <c r="E250" i="1"/>
  <c r="J249" i="1"/>
  <c r="I249" i="1"/>
  <c r="H249" i="1"/>
  <c r="G249" i="1"/>
  <c r="F249" i="1"/>
  <c r="E249" i="1"/>
  <c r="J248" i="1"/>
  <c r="I248" i="1"/>
  <c r="H248" i="1"/>
  <c r="G248" i="1"/>
  <c r="F248" i="1"/>
  <c r="E248" i="1"/>
  <c r="J247" i="1"/>
  <c r="I247" i="1"/>
  <c r="H247" i="1"/>
  <c r="G247" i="1"/>
  <c r="F247" i="1"/>
  <c r="E247" i="1"/>
  <c r="J246" i="1"/>
  <c r="I246" i="1"/>
  <c r="H246" i="1"/>
  <c r="G246" i="1"/>
  <c r="F246" i="1"/>
  <c r="E246" i="1"/>
  <c r="J245" i="1"/>
  <c r="I245" i="1"/>
  <c r="H245" i="1"/>
  <c r="G245" i="1"/>
  <c r="F245" i="1"/>
  <c r="E245" i="1"/>
  <c r="J243" i="1"/>
  <c r="I243" i="1"/>
  <c r="H243" i="1"/>
  <c r="G243" i="1"/>
  <c r="F243" i="1"/>
  <c r="E243" i="1"/>
  <c r="J242" i="1"/>
  <c r="I242" i="1"/>
  <c r="H242" i="1"/>
  <c r="G242" i="1"/>
  <c r="F242" i="1"/>
  <c r="E242" i="1"/>
  <c r="J241" i="1"/>
  <c r="I241" i="1"/>
  <c r="H241" i="1"/>
  <c r="G241" i="1"/>
  <c r="F241" i="1"/>
  <c r="E241" i="1"/>
  <c r="J240" i="1"/>
  <c r="I240" i="1"/>
  <c r="H240" i="1"/>
  <c r="G240" i="1"/>
  <c r="F240" i="1"/>
  <c r="E240" i="1"/>
  <c r="J239" i="1"/>
  <c r="I239" i="1"/>
  <c r="H239" i="1"/>
  <c r="G239" i="1"/>
  <c r="F239" i="1"/>
  <c r="E239" i="1"/>
  <c r="J238" i="1"/>
  <c r="I238" i="1"/>
  <c r="H238" i="1"/>
  <c r="G238" i="1"/>
  <c r="F238" i="1"/>
  <c r="E238" i="1"/>
  <c r="J237" i="1"/>
  <c r="I237" i="1"/>
  <c r="H237" i="1"/>
  <c r="G237" i="1"/>
  <c r="F237" i="1"/>
  <c r="E237" i="1"/>
  <c r="J235" i="1"/>
  <c r="I235" i="1"/>
  <c r="H235" i="1"/>
  <c r="G235" i="1"/>
  <c r="F235" i="1"/>
  <c r="E235" i="1"/>
  <c r="J232" i="1"/>
  <c r="I232" i="1"/>
  <c r="H232" i="1"/>
  <c r="G232" i="1"/>
  <c r="F232" i="1"/>
  <c r="E232" i="1"/>
  <c r="J231" i="1"/>
  <c r="I231" i="1"/>
  <c r="H231" i="1"/>
  <c r="G231" i="1"/>
  <c r="F231" i="1"/>
  <c r="E231" i="1"/>
  <c r="J229" i="1"/>
  <c r="I229" i="1"/>
  <c r="H229" i="1"/>
  <c r="G229" i="1"/>
  <c r="F229" i="1"/>
  <c r="E229" i="1"/>
  <c r="J228" i="1"/>
  <c r="I228" i="1"/>
  <c r="H228" i="1"/>
  <c r="G228" i="1"/>
  <c r="F228" i="1"/>
  <c r="E228" i="1"/>
  <c r="J227" i="1"/>
  <c r="I227" i="1"/>
  <c r="H227" i="1"/>
  <c r="G227" i="1"/>
  <c r="F227" i="1"/>
  <c r="E227" i="1"/>
  <c r="J226" i="1"/>
  <c r="I226" i="1"/>
  <c r="H226" i="1"/>
  <c r="G226" i="1"/>
  <c r="F226" i="1"/>
  <c r="E226" i="1"/>
  <c r="J225" i="1"/>
  <c r="I225" i="1"/>
  <c r="H225" i="1"/>
  <c r="G225" i="1"/>
  <c r="F225" i="1"/>
  <c r="E225" i="1"/>
  <c r="J224" i="1"/>
  <c r="I224" i="1"/>
  <c r="H224" i="1"/>
  <c r="G224" i="1"/>
  <c r="F224" i="1"/>
  <c r="E224" i="1"/>
  <c r="J223" i="1"/>
  <c r="I223" i="1"/>
  <c r="H223" i="1"/>
  <c r="G223" i="1"/>
  <c r="F223" i="1"/>
  <c r="E223" i="1"/>
  <c r="J222" i="1"/>
  <c r="I222" i="1"/>
  <c r="H222" i="1"/>
  <c r="G222" i="1"/>
  <c r="F222" i="1"/>
  <c r="E222" i="1"/>
  <c r="K218" i="1"/>
  <c r="J218" i="1"/>
  <c r="I218" i="1"/>
  <c r="H218" i="1"/>
  <c r="G218" i="1"/>
  <c r="F218" i="1"/>
  <c r="E218" i="1"/>
  <c r="J217" i="1"/>
  <c r="I217" i="1"/>
  <c r="H217" i="1"/>
  <c r="G217" i="1"/>
  <c r="F217" i="1"/>
  <c r="E217" i="1"/>
  <c r="J216" i="1"/>
  <c r="I216" i="1"/>
  <c r="H216" i="1"/>
  <c r="G216" i="1"/>
  <c r="F216" i="1"/>
  <c r="E216" i="1"/>
  <c r="J214" i="1"/>
  <c r="I214" i="1"/>
  <c r="H214" i="1"/>
  <c r="G214" i="1"/>
  <c r="F214" i="1"/>
  <c r="E214" i="1"/>
  <c r="J213" i="1"/>
  <c r="I213" i="1"/>
  <c r="H213" i="1"/>
  <c r="G213" i="1"/>
  <c r="F213" i="1"/>
  <c r="E213" i="1"/>
  <c r="J212" i="1"/>
  <c r="I212" i="1"/>
  <c r="H212" i="1"/>
  <c r="G212" i="1"/>
  <c r="F212" i="1"/>
  <c r="E212" i="1"/>
  <c r="J211" i="1"/>
  <c r="I211" i="1"/>
  <c r="H211" i="1"/>
  <c r="G211" i="1"/>
  <c r="F211" i="1"/>
  <c r="E211" i="1"/>
  <c r="J210" i="1"/>
  <c r="I210" i="1"/>
  <c r="H210" i="1"/>
  <c r="G210" i="1"/>
  <c r="F210" i="1"/>
  <c r="E210" i="1"/>
  <c r="J209" i="1"/>
  <c r="I209" i="1"/>
  <c r="H209" i="1"/>
  <c r="G209" i="1"/>
  <c r="F209" i="1"/>
  <c r="E209" i="1"/>
  <c r="J208" i="1"/>
  <c r="I208" i="1"/>
  <c r="H208" i="1"/>
  <c r="G208" i="1"/>
  <c r="F208" i="1"/>
  <c r="E208" i="1"/>
  <c r="J204" i="1"/>
  <c r="I204" i="1"/>
  <c r="H204" i="1"/>
  <c r="G204" i="1"/>
  <c r="F204" i="1"/>
  <c r="E204" i="1"/>
  <c r="J202" i="1"/>
  <c r="I202" i="1"/>
  <c r="H202" i="1"/>
  <c r="G202" i="1"/>
  <c r="F202" i="1"/>
  <c r="E202" i="1"/>
  <c r="J201" i="1"/>
  <c r="I201" i="1"/>
  <c r="H201" i="1"/>
  <c r="G201" i="1"/>
  <c r="F201" i="1"/>
  <c r="E201" i="1"/>
  <c r="J200" i="1"/>
  <c r="I200" i="1"/>
  <c r="H200" i="1"/>
  <c r="G200" i="1"/>
  <c r="F200" i="1"/>
  <c r="E200" i="1"/>
  <c r="J199" i="1"/>
  <c r="I199" i="1"/>
  <c r="H199" i="1"/>
  <c r="G199" i="1"/>
  <c r="F199" i="1"/>
  <c r="E199" i="1"/>
  <c r="J198" i="1"/>
  <c r="I198" i="1"/>
  <c r="H198" i="1"/>
  <c r="G198" i="1"/>
  <c r="F198" i="1"/>
  <c r="E198" i="1"/>
  <c r="J197" i="1"/>
  <c r="I197" i="1"/>
  <c r="H197" i="1"/>
  <c r="G197" i="1"/>
  <c r="F197" i="1"/>
  <c r="E197" i="1"/>
  <c r="J196" i="1"/>
  <c r="I196" i="1"/>
  <c r="H196" i="1"/>
  <c r="G196" i="1"/>
  <c r="F196" i="1"/>
  <c r="E196" i="1"/>
  <c r="J194" i="1"/>
  <c r="I194" i="1"/>
  <c r="H194" i="1"/>
  <c r="G194" i="1"/>
  <c r="F194" i="1"/>
  <c r="E194" i="1"/>
  <c r="J193" i="1"/>
  <c r="I193" i="1"/>
  <c r="H193" i="1"/>
  <c r="G193" i="1"/>
  <c r="F193" i="1"/>
  <c r="E193" i="1"/>
  <c r="J192" i="1"/>
  <c r="I192" i="1"/>
  <c r="H192" i="1"/>
  <c r="G192" i="1"/>
  <c r="F192" i="1"/>
  <c r="E192" i="1"/>
  <c r="J191" i="1"/>
  <c r="I191" i="1"/>
  <c r="H191" i="1"/>
  <c r="G191" i="1"/>
  <c r="F191" i="1"/>
  <c r="E191" i="1"/>
  <c r="J190" i="1"/>
  <c r="I190" i="1"/>
  <c r="H190" i="1"/>
  <c r="G190" i="1"/>
  <c r="F190" i="1"/>
  <c r="E190" i="1"/>
  <c r="J189" i="1"/>
  <c r="I189" i="1"/>
  <c r="H189" i="1"/>
  <c r="G189" i="1"/>
  <c r="F189" i="1"/>
  <c r="E189" i="1"/>
  <c r="J188" i="1"/>
  <c r="I188" i="1"/>
  <c r="H188" i="1"/>
  <c r="G188" i="1"/>
  <c r="F188" i="1"/>
  <c r="E188" i="1"/>
  <c r="J187" i="1"/>
  <c r="I187" i="1"/>
  <c r="H187" i="1"/>
  <c r="G187" i="1"/>
  <c r="F187" i="1"/>
  <c r="E187" i="1"/>
  <c r="J186" i="1"/>
  <c r="I186" i="1"/>
  <c r="H186" i="1"/>
  <c r="G186" i="1"/>
  <c r="F186" i="1"/>
  <c r="E186" i="1"/>
  <c r="J185" i="1"/>
  <c r="I185" i="1"/>
  <c r="H185" i="1"/>
  <c r="G185" i="1"/>
  <c r="F185" i="1"/>
  <c r="E185" i="1"/>
  <c r="J184" i="1"/>
  <c r="I184" i="1"/>
  <c r="H184" i="1"/>
  <c r="G184" i="1"/>
  <c r="F184" i="1"/>
  <c r="E184" i="1"/>
  <c r="J182" i="1"/>
  <c r="I182" i="1"/>
  <c r="H182" i="1"/>
  <c r="G182" i="1"/>
  <c r="F182" i="1"/>
  <c r="E182" i="1"/>
  <c r="J179" i="1"/>
  <c r="I179" i="1"/>
  <c r="H179" i="1"/>
  <c r="G179" i="1"/>
  <c r="F179" i="1"/>
  <c r="E179" i="1"/>
  <c r="J178" i="1"/>
  <c r="I178" i="1"/>
  <c r="H178" i="1"/>
  <c r="G178" i="1"/>
  <c r="F178" i="1"/>
  <c r="E178" i="1"/>
  <c r="J176" i="1"/>
  <c r="I176" i="1"/>
  <c r="H176" i="1"/>
  <c r="G176" i="1"/>
  <c r="F176" i="1"/>
  <c r="E176" i="1"/>
  <c r="J175" i="1"/>
  <c r="I175" i="1"/>
  <c r="H175" i="1"/>
  <c r="G175" i="1"/>
  <c r="F175" i="1"/>
  <c r="E175" i="1"/>
  <c r="J174" i="1"/>
  <c r="I174" i="1"/>
  <c r="H174" i="1"/>
  <c r="G174" i="1"/>
  <c r="F174" i="1"/>
  <c r="E174" i="1"/>
  <c r="J173" i="1"/>
  <c r="I173" i="1"/>
  <c r="H173" i="1"/>
  <c r="G173" i="1"/>
  <c r="F173" i="1"/>
  <c r="E173" i="1"/>
  <c r="J172" i="1"/>
  <c r="I172" i="1"/>
  <c r="H172" i="1"/>
  <c r="G172" i="1"/>
  <c r="F172" i="1"/>
  <c r="E172" i="1"/>
  <c r="J171" i="1"/>
  <c r="I171" i="1"/>
  <c r="H171" i="1"/>
  <c r="G171" i="1"/>
  <c r="F171" i="1"/>
  <c r="E171" i="1"/>
  <c r="J170" i="1"/>
  <c r="I170" i="1"/>
  <c r="H170" i="1"/>
  <c r="G170" i="1"/>
  <c r="F170" i="1"/>
  <c r="E170" i="1"/>
  <c r="J169" i="1"/>
  <c r="I169" i="1"/>
  <c r="H169" i="1"/>
  <c r="G169" i="1"/>
  <c r="F169" i="1"/>
  <c r="E169" i="1"/>
  <c r="J165" i="1"/>
  <c r="I165" i="1"/>
  <c r="H165" i="1"/>
  <c r="G165" i="1"/>
  <c r="F165" i="1"/>
  <c r="E165" i="1"/>
  <c r="J164" i="1"/>
  <c r="I164" i="1"/>
  <c r="H164" i="1"/>
  <c r="G164" i="1"/>
  <c r="F164" i="1"/>
  <c r="E164" i="1"/>
  <c r="J163" i="1"/>
  <c r="I163" i="1"/>
  <c r="H163" i="1"/>
  <c r="G163" i="1"/>
  <c r="F163" i="1"/>
  <c r="E163" i="1"/>
  <c r="J162" i="1"/>
  <c r="I162" i="1"/>
  <c r="H162" i="1"/>
  <c r="G162" i="1"/>
  <c r="F162" i="1"/>
  <c r="E162" i="1"/>
  <c r="J161" i="1"/>
  <c r="I161" i="1"/>
  <c r="H161" i="1"/>
  <c r="G161" i="1"/>
  <c r="F161" i="1"/>
  <c r="E161" i="1"/>
  <c r="J160" i="1"/>
  <c r="I160" i="1"/>
  <c r="H160" i="1"/>
  <c r="G160" i="1"/>
  <c r="F160" i="1"/>
  <c r="E160" i="1"/>
  <c r="J157" i="1"/>
  <c r="I157" i="1"/>
  <c r="H157" i="1"/>
  <c r="G157" i="1"/>
  <c r="F157" i="1"/>
  <c r="E157" i="1"/>
  <c r="J156" i="1"/>
  <c r="I156" i="1"/>
  <c r="H156" i="1"/>
  <c r="G156" i="1"/>
  <c r="F156" i="1"/>
  <c r="E156" i="1"/>
  <c r="J155" i="1"/>
  <c r="I155" i="1"/>
  <c r="H155" i="1"/>
  <c r="G155" i="1"/>
  <c r="F155" i="1"/>
  <c r="E155" i="1"/>
  <c r="J154" i="1"/>
  <c r="I154" i="1"/>
  <c r="H154" i="1"/>
  <c r="G154" i="1"/>
  <c r="F154" i="1"/>
  <c r="E154" i="1"/>
  <c r="J153" i="1"/>
  <c r="I153" i="1"/>
  <c r="H153" i="1"/>
  <c r="G153" i="1"/>
  <c r="F153" i="1"/>
  <c r="E153" i="1"/>
  <c r="J152" i="1"/>
  <c r="I152" i="1"/>
  <c r="H152" i="1"/>
  <c r="G152" i="1"/>
  <c r="F152" i="1"/>
  <c r="E152" i="1"/>
  <c r="J151" i="1"/>
  <c r="I151" i="1"/>
  <c r="H151" i="1"/>
  <c r="G151" i="1"/>
  <c r="F151" i="1"/>
  <c r="E151" i="1"/>
  <c r="J147" i="1"/>
  <c r="I147" i="1"/>
  <c r="H147" i="1"/>
  <c r="G147" i="1"/>
  <c r="F147" i="1"/>
  <c r="E147" i="1"/>
  <c r="J143" i="1"/>
  <c r="I143" i="1"/>
  <c r="H143" i="1"/>
  <c r="G143" i="1"/>
  <c r="F143" i="1"/>
  <c r="E143" i="1"/>
  <c r="J141" i="1"/>
  <c r="I141" i="1"/>
  <c r="H141" i="1"/>
  <c r="G141" i="1"/>
  <c r="F141" i="1"/>
  <c r="E141" i="1"/>
  <c r="J140" i="1"/>
  <c r="I140" i="1"/>
  <c r="H140" i="1"/>
  <c r="G140" i="1"/>
  <c r="F140" i="1"/>
  <c r="E140" i="1"/>
  <c r="J139" i="1"/>
  <c r="I139" i="1"/>
  <c r="H139" i="1"/>
  <c r="G139" i="1"/>
  <c r="F139" i="1"/>
  <c r="E139" i="1"/>
  <c r="J138" i="1"/>
  <c r="I138" i="1"/>
  <c r="H138" i="1"/>
  <c r="G138" i="1"/>
  <c r="F138" i="1"/>
  <c r="E138" i="1"/>
  <c r="J137" i="1"/>
  <c r="I137" i="1"/>
  <c r="H137" i="1"/>
  <c r="G137" i="1"/>
  <c r="F137" i="1"/>
  <c r="E137" i="1"/>
  <c r="J136" i="1"/>
  <c r="I136" i="1"/>
  <c r="H136" i="1"/>
  <c r="G136" i="1"/>
  <c r="F136" i="1"/>
  <c r="E136" i="1"/>
  <c r="J135" i="1"/>
  <c r="I135" i="1"/>
  <c r="H135" i="1"/>
  <c r="G135" i="1"/>
  <c r="F135" i="1"/>
  <c r="E135" i="1"/>
  <c r="J133" i="1"/>
  <c r="I133" i="1"/>
  <c r="H133" i="1"/>
  <c r="G133" i="1"/>
  <c r="F133" i="1"/>
  <c r="E133" i="1"/>
  <c r="J132" i="1"/>
  <c r="I132" i="1"/>
  <c r="H132" i="1"/>
  <c r="G132" i="1"/>
  <c r="F132" i="1"/>
  <c r="E132" i="1"/>
  <c r="J131" i="1"/>
  <c r="I131" i="1"/>
  <c r="H131" i="1"/>
  <c r="G131" i="1"/>
  <c r="F131" i="1"/>
  <c r="E131" i="1"/>
  <c r="J130" i="1"/>
  <c r="I130" i="1"/>
  <c r="H130" i="1"/>
  <c r="G130" i="1"/>
  <c r="F130" i="1"/>
  <c r="E130" i="1"/>
  <c r="J129" i="1"/>
  <c r="I129" i="1"/>
  <c r="H129" i="1"/>
  <c r="G129" i="1"/>
  <c r="F129" i="1"/>
  <c r="E129" i="1"/>
  <c r="J127" i="1"/>
  <c r="I127" i="1"/>
  <c r="H127" i="1"/>
  <c r="G127" i="1"/>
  <c r="F127" i="1"/>
  <c r="E127" i="1"/>
  <c r="J126" i="1"/>
  <c r="I126" i="1"/>
  <c r="H126" i="1"/>
  <c r="G126" i="1"/>
  <c r="F126" i="1"/>
  <c r="E126" i="1"/>
  <c r="J121" i="1"/>
  <c r="I121" i="1"/>
  <c r="H121" i="1"/>
  <c r="G121" i="1"/>
  <c r="F121" i="1"/>
  <c r="E121" i="1"/>
  <c r="J120" i="1"/>
  <c r="I120" i="1"/>
  <c r="H120" i="1"/>
  <c r="G120" i="1"/>
  <c r="F120" i="1"/>
  <c r="E120" i="1"/>
  <c r="J118" i="1"/>
  <c r="I118" i="1"/>
  <c r="H118" i="1"/>
  <c r="G118" i="1"/>
  <c r="F118" i="1"/>
  <c r="E118" i="1"/>
  <c r="J117" i="1"/>
  <c r="I117" i="1"/>
  <c r="H117" i="1"/>
  <c r="G117" i="1"/>
  <c r="F117" i="1"/>
  <c r="E117" i="1"/>
  <c r="J116" i="1"/>
  <c r="I116" i="1"/>
  <c r="H116" i="1"/>
  <c r="G116" i="1"/>
  <c r="F116" i="1"/>
  <c r="E116" i="1"/>
  <c r="J115" i="1"/>
  <c r="I115" i="1"/>
  <c r="H115" i="1"/>
  <c r="G115" i="1"/>
  <c r="F115" i="1"/>
  <c r="E115" i="1"/>
  <c r="J114" i="1"/>
  <c r="I114" i="1"/>
  <c r="H114" i="1"/>
  <c r="G114" i="1"/>
  <c r="F114" i="1"/>
  <c r="E114" i="1"/>
  <c r="J112" i="1"/>
  <c r="I112" i="1"/>
  <c r="H112" i="1"/>
  <c r="G112" i="1"/>
  <c r="F112" i="1"/>
  <c r="E112" i="1"/>
  <c r="J111" i="1"/>
  <c r="I111" i="1"/>
  <c r="H111" i="1"/>
  <c r="G111" i="1"/>
  <c r="F111" i="1"/>
  <c r="E111" i="1"/>
  <c r="J110" i="1"/>
  <c r="I110" i="1"/>
  <c r="H110" i="1"/>
  <c r="G110" i="1"/>
  <c r="F110" i="1"/>
  <c r="E110" i="1"/>
  <c r="J109" i="1"/>
  <c r="I109" i="1"/>
  <c r="H109" i="1"/>
  <c r="G109" i="1"/>
  <c r="F109" i="1"/>
  <c r="E109" i="1"/>
  <c r="J108" i="1"/>
  <c r="I108" i="1"/>
  <c r="H108" i="1"/>
  <c r="G108" i="1"/>
  <c r="F108" i="1"/>
  <c r="E108" i="1"/>
  <c r="J107" i="1"/>
  <c r="I107" i="1"/>
  <c r="H107" i="1"/>
  <c r="G107" i="1"/>
  <c r="F107" i="1"/>
  <c r="E107" i="1"/>
  <c r="J106" i="1"/>
  <c r="I106" i="1"/>
  <c r="H106" i="1"/>
  <c r="G106" i="1"/>
  <c r="F106" i="1"/>
  <c r="E106" i="1"/>
  <c r="J105" i="1"/>
  <c r="I105" i="1"/>
  <c r="H105" i="1"/>
  <c r="G105" i="1"/>
  <c r="F105" i="1"/>
  <c r="E105" i="1"/>
  <c r="J103" i="1"/>
  <c r="I103" i="1"/>
  <c r="H103" i="1"/>
  <c r="G103" i="1"/>
  <c r="F103" i="1"/>
  <c r="E103" i="1"/>
  <c r="J100" i="1"/>
  <c r="I100" i="1"/>
  <c r="H100" i="1"/>
  <c r="G100" i="1"/>
  <c r="F100" i="1"/>
  <c r="E100" i="1"/>
  <c r="J98" i="1"/>
  <c r="I98" i="1"/>
  <c r="H98" i="1"/>
  <c r="G98" i="1"/>
  <c r="F98" i="1"/>
  <c r="E98" i="1"/>
  <c r="J97" i="1"/>
  <c r="I97" i="1"/>
  <c r="H97" i="1"/>
  <c r="G97" i="1"/>
  <c r="F97" i="1"/>
  <c r="E97" i="1"/>
  <c r="J96" i="1"/>
  <c r="I96" i="1"/>
  <c r="H96" i="1"/>
  <c r="G96" i="1"/>
  <c r="F96" i="1"/>
  <c r="E96" i="1"/>
  <c r="J95" i="1"/>
  <c r="I95" i="1"/>
  <c r="H95" i="1"/>
  <c r="G95" i="1"/>
  <c r="F95" i="1"/>
  <c r="E95" i="1"/>
  <c r="J94" i="1"/>
  <c r="I94" i="1"/>
  <c r="H94" i="1"/>
  <c r="G94" i="1"/>
  <c r="F94" i="1"/>
  <c r="E94" i="1"/>
  <c r="J90" i="1"/>
  <c r="I90" i="1"/>
  <c r="H90" i="1"/>
  <c r="G90" i="1"/>
  <c r="F90" i="1"/>
  <c r="E90" i="1"/>
  <c r="J89" i="1"/>
  <c r="I89" i="1"/>
  <c r="H89" i="1"/>
  <c r="G89" i="1"/>
  <c r="F89" i="1"/>
  <c r="E89" i="1"/>
  <c r="J87" i="1"/>
  <c r="I87" i="1"/>
  <c r="H87" i="1"/>
  <c r="G87" i="1"/>
  <c r="F87" i="1"/>
  <c r="E87" i="1"/>
  <c r="J86" i="1"/>
  <c r="I86" i="1"/>
  <c r="H86" i="1"/>
  <c r="G86" i="1"/>
  <c r="F86" i="1"/>
  <c r="E86" i="1"/>
  <c r="J85" i="1"/>
  <c r="I85" i="1"/>
  <c r="H85" i="1"/>
  <c r="G85" i="1"/>
  <c r="F85" i="1"/>
  <c r="E85" i="1"/>
  <c r="J84" i="1"/>
  <c r="I84" i="1"/>
  <c r="H84" i="1"/>
  <c r="G84" i="1"/>
  <c r="F84" i="1"/>
  <c r="E84" i="1"/>
  <c r="J83" i="1"/>
  <c r="I83" i="1"/>
  <c r="H83" i="1"/>
  <c r="G83" i="1"/>
  <c r="F83" i="1"/>
  <c r="E83" i="1"/>
  <c r="J82" i="1"/>
  <c r="I82" i="1"/>
  <c r="H82" i="1"/>
  <c r="G82" i="1"/>
  <c r="F82" i="1"/>
  <c r="E82" i="1"/>
  <c r="J81" i="1"/>
  <c r="I81" i="1"/>
  <c r="H81" i="1"/>
  <c r="G81" i="1"/>
  <c r="F81" i="1"/>
  <c r="E81" i="1"/>
  <c r="J79" i="1"/>
  <c r="I79" i="1"/>
  <c r="H79" i="1"/>
  <c r="G79" i="1"/>
  <c r="F79" i="1"/>
  <c r="E79" i="1"/>
  <c r="J78" i="1"/>
  <c r="I78" i="1"/>
  <c r="H78" i="1"/>
  <c r="G78" i="1"/>
  <c r="F78" i="1"/>
  <c r="E78" i="1"/>
  <c r="J77" i="1"/>
  <c r="I77" i="1"/>
  <c r="H77" i="1"/>
  <c r="G77" i="1"/>
  <c r="F77" i="1"/>
  <c r="E77" i="1"/>
  <c r="J73" i="1"/>
  <c r="I73" i="1"/>
  <c r="H73" i="1"/>
  <c r="G73" i="1"/>
  <c r="F73" i="1"/>
  <c r="E73" i="1"/>
  <c r="J72" i="1"/>
  <c r="I72" i="1"/>
  <c r="H72" i="1"/>
  <c r="G72" i="1"/>
  <c r="F72" i="1"/>
  <c r="E72" i="1"/>
  <c r="J71" i="1"/>
  <c r="I71" i="1"/>
  <c r="H71" i="1"/>
  <c r="G71" i="1"/>
  <c r="F71" i="1"/>
  <c r="E71" i="1"/>
  <c r="J70" i="1"/>
  <c r="I70" i="1"/>
  <c r="H70" i="1"/>
  <c r="G70" i="1"/>
  <c r="F70" i="1"/>
  <c r="E70" i="1"/>
  <c r="J68" i="1"/>
  <c r="I68" i="1"/>
  <c r="H68" i="1"/>
  <c r="G68" i="1"/>
  <c r="F68" i="1"/>
  <c r="E68" i="1"/>
  <c r="J66" i="1"/>
  <c r="I66" i="1"/>
  <c r="H66" i="1"/>
  <c r="G66" i="1"/>
  <c r="F66" i="1"/>
  <c r="E66" i="1"/>
  <c r="J65" i="1"/>
  <c r="I65" i="1"/>
  <c r="H65" i="1"/>
  <c r="G65" i="1"/>
  <c r="F65" i="1"/>
  <c r="E65" i="1"/>
  <c r="J64" i="1"/>
  <c r="I64" i="1"/>
  <c r="H64" i="1"/>
  <c r="G64" i="1"/>
  <c r="F64" i="1"/>
  <c r="E64" i="1"/>
  <c r="J63" i="1"/>
  <c r="I63" i="1"/>
  <c r="H63" i="1"/>
  <c r="G63" i="1"/>
  <c r="F63" i="1"/>
  <c r="E63" i="1"/>
  <c r="J62" i="1"/>
  <c r="I62" i="1"/>
  <c r="H62" i="1"/>
  <c r="G62" i="1"/>
  <c r="F62" i="1"/>
  <c r="E62" i="1"/>
  <c r="J61" i="1"/>
  <c r="I61" i="1"/>
  <c r="H61" i="1"/>
  <c r="G61" i="1"/>
  <c r="F61" i="1"/>
  <c r="E61" i="1"/>
  <c r="J60" i="1"/>
  <c r="I60" i="1"/>
  <c r="H60" i="1"/>
  <c r="G60" i="1"/>
  <c r="F60" i="1"/>
  <c r="E60" i="1"/>
  <c r="J58" i="1"/>
  <c r="I58" i="1"/>
  <c r="H58" i="1"/>
  <c r="G58" i="1"/>
  <c r="F58" i="1"/>
  <c r="E58" i="1"/>
  <c r="J57" i="1"/>
  <c r="I57" i="1"/>
  <c r="H57" i="1"/>
  <c r="G57" i="1"/>
  <c r="F57" i="1"/>
  <c r="E57" i="1"/>
  <c r="J56" i="1"/>
  <c r="I56" i="1"/>
  <c r="H56" i="1"/>
  <c r="G56" i="1"/>
  <c r="F56" i="1"/>
  <c r="E56" i="1"/>
  <c r="J55" i="1"/>
  <c r="I55" i="1"/>
  <c r="H55" i="1"/>
  <c r="G55" i="1"/>
  <c r="F55" i="1"/>
  <c r="E55" i="1"/>
  <c r="J54" i="1"/>
  <c r="I54" i="1"/>
  <c r="H54" i="1"/>
  <c r="G54" i="1"/>
  <c r="F54" i="1"/>
  <c r="E54" i="1"/>
  <c r="J53" i="1"/>
  <c r="I53" i="1"/>
  <c r="H53" i="1"/>
  <c r="G53" i="1"/>
  <c r="F53" i="1"/>
  <c r="E53" i="1"/>
  <c r="J52" i="1"/>
  <c r="I52" i="1"/>
  <c r="H52" i="1"/>
  <c r="G52" i="1"/>
  <c r="F52" i="1"/>
  <c r="E52" i="1"/>
  <c r="J51" i="1"/>
  <c r="I51" i="1"/>
  <c r="H51" i="1"/>
  <c r="G51" i="1"/>
  <c r="F51" i="1"/>
  <c r="E51" i="1"/>
  <c r="J50" i="1"/>
  <c r="I50" i="1"/>
  <c r="H50" i="1"/>
  <c r="G50" i="1"/>
  <c r="F50" i="1"/>
  <c r="E50" i="1"/>
  <c r="J49" i="1"/>
  <c r="I49" i="1"/>
  <c r="H49" i="1"/>
  <c r="G49" i="1"/>
  <c r="F49" i="1"/>
  <c r="E49" i="1"/>
  <c r="J48" i="1"/>
  <c r="I48" i="1"/>
  <c r="H48" i="1"/>
  <c r="G48" i="1"/>
  <c r="F48" i="1"/>
  <c r="E48" i="1"/>
  <c r="J46" i="1"/>
  <c r="I46" i="1"/>
  <c r="H46" i="1"/>
  <c r="G46" i="1"/>
  <c r="F46" i="1"/>
  <c r="E46" i="1"/>
  <c r="J42" i="1"/>
  <c r="I42" i="1"/>
  <c r="H42" i="1"/>
  <c r="G42" i="1"/>
  <c r="F42" i="1"/>
  <c r="E42" i="1"/>
  <c r="J41" i="1"/>
  <c r="I41" i="1"/>
  <c r="H41" i="1"/>
  <c r="G41" i="1"/>
  <c r="F41" i="1"/>
  <c r="E41" i="1"/>
  <c r="J39" i="1"/>
  <c r="I39" i="1"/>
  <c r="H39" i="1"/>
  <c r="G39" i="1"/>
  <c r="F39" i="1"/>
  <c r="E39" i="1"/>
  <c r="J38" i="1"/>
  <c r="I38" i="1"/>
  <c r="H38" i="1"/>
  <c r="G38" i="1"/>
  <c r="F38" i="1"/>
  <c r="E38" i="1"/>
  <c r="J37" i="1"/>
  <c r="I37" i="1"/>
  <c r="H37" i="1"/>
  <c r="G37" i="1"/>
  <c r="F37" i="1"/>
  <c r="E37" i="1"/>
  <c r="J36" i="1"/>
  <c r="I36" i="1"/>
  <c r="H36" i="1"/>
  <c r="G36" i="1"/>
  <c r="F36" i="1"/>
  <c r="E36" i="1"/>
  <c r="J35" i="1"/>
  <c r="I35" i="1"/>
  <c r="H35" i="1"/>
  <c r="G35" i="1"/>
  <c r="F35" i="1"/>
  <c r="E35" i="1"/>
  <c r="J31" i="1"/>
  <c r="I31" i="1"/>
  <c r="H31" i="1"/>
  <c r="G31" i="1"/>
  <c r="F31" i="1"/>
  <c r="E31" i="1"/>
  <c r="J30" i="1"/>
  <c r="I30" i="1"/>
  <c r="H30" i="1"/>
  <c r="G30" i="1"/>
  <c r="F30" i="1"/>
  <c r="E30" i="1"/>
  <c r="J28" i="1"/>
  <c r="I28" i="1"/>
  <c r="H28" i="1"/>
  <c r="G28" i="1"/>
  <c r="F28" i="1"/>
  <c r="E28" i="1"/>
  <c r="J27" i="1"/>
  <c r="I27" i="1"/>
  <c r="H27" i="1"/>
  <c r="G27" i="1"/>
  <c r="F27" i="1"/>
  <c r="E27" i="1"/>
  <c r="J26" i="1"/>
  <c r="I26" i="1"/>
  <c r="H26" i="1"/>
  <c r="G26" i="1"/>
  <c r="F26" i="1"/>
  <c r="E26" i="1"/>
  <c r="J25" i="1"/>
  <c r="I25" i="1"/>
  <c r="H25" i="1"/>
  <c r="G25" i="1"/>
  <c r="F25" i="1"/>
  <c r="E25" i="1"/>
  <c r="J24" i="1"/>
  <c r="I24" i="1"/>
  <c r="H24" i="1"/>
  <c r="G24" i="1"/>
  <c r="F24" i="1"/>
  <c r="E24" i="1"/>
  <c r="J23" i="1"/>
  <c r="I23" i="1"/>
  <c r="H23" i="1"/>
  <c r="G23" i="1"/>
  <c r="F23" i="1"/>
  <c r="E23" i="1"/>
  <c r="J20" i="1"/>
  <c r="I20" i="1"/>
  <c r="H20" i="1"/>
  <c r="G20" i="1"/>
  <c r="F20" i="1"/>
  <c r="E20" i="1"/>
  <c r="J19" i="1"/>
  <c r="I19" i="1"/>
  <c r="H19" i="1"/>
  <c r="G19" i="1"/>
  <c r="F19" i="1"/>
  <c r="E19" i="1"/>
  <c r="J18" i="1"/>
  <c r="I18" i="1"/>
  <c r="H18" i="1"/>
  <c r="G18" i="1"/>
  <c r="F18" i="1"/>
  <c r="E18" i="1"/>
  <c r="J17" i="1"/>
  <c r="I17" i="1"/>
  <c r="H17" i="1"/>
  <c r="G17" i="1"/>
  <c r="F17" i="1"/>
  <c r="E17" i="1"/>
  <c r="J16" i="1"/>
  <c r="I16" i="1"/>
  <c r="H16" i="1"/>
  <c r="G16" i="1"/>
  <c r="F16" i="1"/>
  <c r="E16" i="1"/>
  <c r="J15" i="1"/>
  <c r="I15" i="1"/>
  <c r="H15" i="1"/>
  <c r="G15" i="1"/>
  <c r="F15" i="1"/>
  <c r="E15" i="1"/>
  <c r="J14" i="1"/>
  <c r="I14" i="1"/>
  <c r="H14" i="1"/>
  <c r="G14" i="1"/>
  <c r="F14" i="1"/>
  <c r="E14" i="1"/>
  <c r="J13" i="1"/>
  <c r="I13" i="1"/>
  <c r="H13" i="1"/>
  <c r="G13" i="1"/>
  <c r="F13" i="1"/>
  <c r="E13" i="1"/>
  <c r="J12" i="1"/>
  <c r="I12" i="1"/>
  <c r="H12" i="1"/>
  <c r="G12" i="1"/>
  <c r="F12" i="1"/>
  <c r="E12" i="1"/>
  <c r="J7" i="1"/>
  <c r="I7" i="1"/>
  <c r="H7" i="1"/>
  <c r="G7" i="1"/>
  <c r="F7" i="1"/>
  <c r="E7" i="1"/>
  <c r="A2307" i="11"/>
  <c r="A2295" i="11"/>
  <c r="A2283" i="11"/>
  <c r="A2271" i="11"/>
  <c r="A2259" i="11"/>
  <c r="A2247" i="11"/>
  <c r="A2235" i="11"/>
  <c r="A2223" i="11"/>
  <c r="A2211" i="11"/>
  <c r="A2199" i="11"/>
  <c r="A2187" i="11"/>
  <c r="A2175" i="11"/>
  <c r="A2163" i="11"/>
  <c r="A2151" i="11"/>
  <c r="A2139" i="11"/>
  <c r="A2127" i="11"/>
  <c r="A2115" i="11"/>
  <c r="A2103" i="11"/>
  <c r="A2091" i="11"/>
  <c r="A2079" i="11"/>
  <c r="A2067" i="11"/>
  <c r="A2055" i="11"/>
  <c r="A2043" i="11"/>
  <c r="A2031" i="11"/>
  <c r="A2019" i="11"/>
  <c r="A2007" i="11"/>
  <c r="A1995" i="11"/>
  <c r="A1983" i="11"/>
  <c r="A1971" i="11"/>
  <c r="A1959" i="11"/>
  <c r="A1947" i="11"/>
  <c r="A1935" i="11"/>
  <c r="A1923" i="11"/>
  <c r="A1911" i="11"/>
  <c r="A1899" i="11"/>
  <c r="A1887" i="11"/>
  <c r="A1875" i="11"/>
  <c r="A1863" i="11"/>
  <c r="A1851" i="11"/>
  <c r="A1839" i="11"/>
  <c r="A1827" i="11"/>
  <c r="A1815" i="11"/>
  <c r="A1803" i="11"/>
  <c r="A1791" i="11"/>
  <c r="A1779" i="11"/>
  <c r="A1767" i="11"/>
  <c r="A1755" i="11"/>
  <c r="A1743" i="11"/>
  <c r="A1731" i="11"/>
  <c r="A1719" i="11"/>
  <c r="A1707" i="11"/>
  <c r="A1695" i="11"/>
  <c r="A1683" i="11"/>
  <c r="A1671" i="11"/>
  <c r="A1659" i="11"/>
  <c r="A1647" i="11"/>
  <c r="A1635" i="11"/>
  <c r="A1623" i="11"/>
  <c r="A1611" i="11"/>
  <c r="A1599" i="11"/>
  <c r="A1587" i="11"/>
  <c r="A1575" i="11"/>
  <c r="A1563" i="11"/>
  <c r="A1551" i="11"/>
  <c r="A1539" i="11"/>
  <c r="A1527" i="11"/>
  <c r="A1515" i="11"/>
  <c r="A1503" i="11"/>
  <c r="A1491" i="11"/>
  <c r="A1479" i="11"/>
  <c r="A1467" i="11"/>
  <c r="A1455" i="11"/>
  <c r="A1443" i="11"/>
  <c r="A1431" i="11"/>
  <c r="A1419" i="11"/>
  <c r="A1407" i="11"/>
  <c r="A1395" i="11"/>
  <c r="A1383" i="11"/>
  <c r="A1371" i="11"/>
  <c r="A1359" i="11"/>
  <c r="A1347" i="11"/>
  <c r="A1335" i="11"/>
  <c r="A1323" i="11"/>
  <c r="A1311" i="11"/>
  <c r="A1299" i="11"/>
  <c r="A1287" i="11"/>
  <c r="A1275" i="11"/>
  <c r="A1263" i="11"/>
  <c r="A1251" i="11"/>
  <c r="A1239" i="11"/>
  <c r="A1227" i="11"/>
  <c r="A1215" i="11"/>
  <c r="A1203" i="11"/>
  <c r="A1191" i="11"/>
  <c r="A1179" i="11"/>
  <c r="A1167" i="11"/>
  <c r="A1155" i="11"/>
  <c r="A1143" i="11"/>
  <c r="A1131" i="11"/>
  <c r="A1119" i="11"/>
  <c r="A1107" i="11"/>
  <c r="A1095" i="11"/>
  <c r="A1083" i="11"/>
  <c r="A1071" i="11"/>
  <c r="A1059" i="11"/>
  <c r="A1047" i="11"/>
  <c r="A1035" i="11"/>
  <c r="A1023" i="11"/>
  <c r="A1011" i="11"/>
  <c r="A999" i="11"/>
  <c r="A987" i="11"/>
  <c r="A975" i="11"/>
  <c r="A963" i="11"/>
  <c r="A951" i="11"/>
  <c r="A939" i="11"/>
  <c r="A927" i="11"/>
  <c r="A915" i="11"/>
  <c r="A903" i="11"/>
  <c r="A891" i="11"/>
  <c r="A879" i="11"/>
  <c r="A867" i="11"/>
  <c r="A855" i="11"/>
  <c r="A843" i="11"/>
  <c r="A831" i="11"/>
  <c r="A819" i="11"/>
  <c r="A807" i="11"/>
  <c r="A795" i="11"/>
  <c r="A2306" i="11"/>
  <c r="A2294" i="11"/>
  <c r="A2282" i="11"/>
  <c r="A2270" i="11"/>
  <c r="A2258" i="11"/>
  <c r="A2246" i="11"/>
  <c r="A2234" i="11"/>
  <c r="A2222" i="11"/>
  <c r="A2210" i="11"/>
  <c r="A2198" i="11"/>
  <c r="A2186" i="11"/>
  <c r="A2174" i="11"/>
  <c r="A2162" i="11"/>
  <c r="A2150" i="11"/>
  <c r="A2305" i="11"/>
  <c r="A2304" i="11"/>
  <c r="A2292" i="11"/>
  <c r="A2280" i="11"/>
  <c r="A2268" i="11"/>
  <c r="A2256" i="11"/>
  <c r="A2244" i="11"/>
  <c r="A2232" i="11"/>
  <c r="A2220" i="11"/>
  <c r="A2208" i="11"/>
  <c r="A2196" i="11"/>
  <c r="A2184" i="11"/>
  <c r="A2172" i="11"/>
  <c r="A2160" i="11"/>
  <c r="A2148" i="11"/>
  <c r="A2136" i="11"/>
  <c r="A2124" i="11"/>
  <c r="A2112" i="11"/>
  <c r="A2100" i="11"/>
  <c r="A2088" i="11"/>
  <c r="A2076" i="11"/>
  <c r="A2064" i="11"/>
  <c r="A2052" i="11"/>
  <c r="A2040" i="11"/>
  <c r="A2028" i="11"/>
  <c r="A2016" i="11"/>
  <c r="A2004" i="11"/>
  <c r="A1992" i="11"/>
  <c r="A1980" i="11"/>
  <c r="A1968" i="11"/>
  <c r="A1956" i="11"/>
  <c r="A1944" i="11"/>
  <c r="A1932" i="11"/>
  <c r="A1920" i="11"/>
  <c r="A1908" i="11"/>
  <c r="A1896" i="11"/>
  <c r="A1884" i="11"/>
  <c r="A1872" i="11"/>
  <c r="A1860" i="11"/>
  <c r="A1848" i="11"/>
  <c r="A1836" i="11"/>
  <c r="A1824" i="11"/>
  <c r="A1812" i="11"/>
  <c r="A1800" i="11"/>
  <c r="A1788" i="11"/>
  <c r="A1776" i="11"/>
  <c r="A1764" i="11"/>
  <c r="A1752" i="11"/>
  <c r="A1740" i="11"/>
  <c r="A1728" i="11"/>
  <c r="A1716" i="11"/>
  <c r="A1704" i="11"/>
  <c r="A1692" i="11"/>
  <c r="A1680" i="11"/>
  <c r="A1668" i="11"/>
  <c r="A1656" i="11"/>
  <c r="A1644" i="11"/>
  <c r="A1632" i="11"/>
  <c r="A1620" i="11"/>
  <c r="A1608" i="11"/>
  <c r="A1596" i="11"/>
  <c r="A1584" i="11"/>
  <c r="A1572" i="11"/>
  <c r="A1560" i="11"/>
  <c r="A1548" i="11"/>
  <c r="A1536" i="11"/>
  <c r="A1524" i="11"/>
  <c r="A1512" i="11"/>
  <c r="A1500" i="11"/>
  <c r="A1488" i="11"/>
  <c r="A1476" i="11"/>
  <c r="A1464" i="11"/>
  <c r="A1452" i="11"/>
  <c r="A1440" i="11"/>
  <c r="A1428" i="11"/>
  <c r="A1416" i="11"/>
  <c r="A1404" i="11"/>
  <c r="A1392" i="11"/>
  <c r="A1380" i="11"/>
  <c r="A1368" i="11"/>
  <c r="A1356" i="11"/>
  <c r="A1344" i="11"/>
  <c r="A1332" i="11"/>
  <c r="A1320" i="11"/>
  <c r="A1308" i="11"/>
  <c r="A1296" i="11"/>
  <c r="A1284" i="11"/>
  <c r="A1272" i="11"/>
  <c r="A1260" i="11"/>
  <c r="A1248" i="11"/>
  <c r="A1236" i="11"/>
  <c r="A1224" i="11"/>
  <c r="A1212" i="11"/>
  <c r="A1200" i="11"/>
  <c r="A1188" i="11"/>
  <c r="A1176" i="11"/>
  <c r="A1164" i="11"/>
  <c r="A1152" i="11"/>
  <c r="A1140" i="11"/>
  <c r="A1128" i="11"/>
  <c r="A1116" i="11"/>
  <c r="A1104" i="11"/>
  <c r="A1092" i="11"/>
  <c r="A1080" i="11"/>
  <c r="A1068" i="11"/>
  <c r="A1056" i="11"/>
  <c r="A1044" i="11"/>
  <c r="A1032" i="11"/>
  <c r="A1020" i="11"/>
  <c r="A1008" i="11"/>
  <c r="A996" i="11"/>
  <c r="A984" i="11"/>
  <c r="A972" i="11"/>
  <c r="A960" i="11"/>
  <c r="A948" i="11"/>
  <c r="A936" i="11"/>
  <c r="A924" i="11"/>
  <c r="A912" i="11"/>
  <c r="A900" i="11"/>
  <c r="A888" i="11"/>
  <c r="A2303" i="11"/>
  <c r="A2291" i="11"/>
  <c r="A2279" i="11"/>
  <c r="A2267" i="11"/>
  <c r="A2255" i="11"/>
  <c r="A2243" i="11"/>
  <c r="A2231" i="11"/>
  <c r="A2219" i="11"/>
  <c r="A2207" i="11"/>
  <c r="A2195" i="11"/>
  <c r="A2183" i="11"/>
  <c r="A2171" i="11"/>
  <c r="A2159" i="11"/>
  <c r="A2147" i="11"/>
  <c r="A2135" i="11"/>
  <c r="A2123" i="11"/>
  <c r="A2111" i="11"/>
  <c r="A2099" i="11"/>
  <c r="A2087" i="11"/>
  <c r="A2075" i="11"/>
  <c r="A2063" i="11"/>
  <c r="A2051" i="11"/>
  <c r="A2039" i="11"/>
  <c r="A2027" i="11"/>
  <c r="A2015" i="11"/>
  <c r="A2003" i="11"/>
  <c r="A1991" i="11"/>
  <c r="A1979" i="11"/>
  <c r="A1967" i="11"/>
  <c r="A1955" i="11"/>
  <c r="A1943" i="11"/>
  <c r="A1931" i="11"/>
  <c r="A1919" i="11"/>
  <c r="A1907" i="11"/>
  <c r="A1895" i="11"/>
  <c r="A1883" i="11"/>
  <c r="A1871" i="11"/>
  <c r="A1859" i="11"/>
  <c r="A1847" i="11"/>
  <c r="A1835" i="11"/>
  <c r="A1823" i="11"/>
  <c r="A1811" i="11"/>
  <c r="A1799" i="11"/>
  <c r="A1787" i="11"/>
  <c r="A1775" i="11"/>
  <c r="A1763" i="11"/>
  <c r="A1751" i="11"/>
  <c r="A1739" i="11"/>
  <c r="A1727" i="11"/>
  <c r="A1715" i="11"/>
  <c r="A1703" i="11"/>
  <c r="A1691" i="11"/>
  <c r="A1679" i="11"/>
  <c r="A1667" i="11"/>
  <c r="A1655" i="11"/>
  <c r="A1643" i="11"/>
  <c r="A1631" i="11"/>
  <c r="A1619" i="11"/>
  <c r="A1607" i="11"/>
  <c r="A1595" i="11"/>
  <c r="A1583" i="11"/>
  <c r="A1571" i="11"/>
  <c r="A1559" i="11"/>
  <c r="A1547" i="11"/>
  <c r="A1535" i="11"/>
  <c r="A1523" i="11"/>
  <c r="A1511" i="11"/>
  <c r="A1499" i="11"/>
  <c r="A1487" i="11"/>
  <c r="A1475" i="11"/>
  <c r="A1463" i="11"/>
  <c r="A1451" i="11"/>
  <c r="A1439" i="11"/>
  <c r="A1427" i="11"/>
  <c r="A1415" i="11"/>
  <c r="A1403" i="11"/>
  <c r="A1391" i="11"/>
  <c r="A1379" i="11"/>
  <c r="A1367" i="11"/>
  <c r="A1355" i="11"/>
  <c r="A1343" i="11"/>
  <c r="A1331" i="11"/>
  <c r="A1319" i="11"/>
  <c r="A1307" i="11"/>
  <c r="A1295" i="11"/>
  <c r="A1283" i="11"/>
  <c r="A1271" i="11"/>
  <c r="A1259" i="11"/>
  <c r="A1247" i="11"/>
  <c r="A1235" i="11"/>
  <c r="A1223" i="11"/>
  <c r="A1211" i="11"/>
  <c r="A1199" i="11"/>
  <c r="A1187" i="11"/>
  <c r="A1175" i="11"/>
  <c r="A1163" i="11"/>
  <c r="A1151" i="11"/>
  <c r="A1139" i="11"/>
  <c r="A1127" i="11"/>
  <c r="A1115" i="11"/>
  <c r="A1103" i="11"/>
  <c r="A1091" i="11"/>
  <c r="A1079" i="11"/>
  <c r="A1067" i="11"/>
  <c r="A1055" i="11"/>
  <c r="A1043" i="11"/>
  <c r="A1031" i="11"/>
  <c r="A1019" i="11"/>
  <c r="A1007" i="11"/>
  <c r="A995" i="11"/>
  <c r="A983" i="11"/>
  <c r="A971" i="11"/>
  <c r="A959" i="11"/>
  <c r="A947" i="11"/>
  <c r="A935" i="11"/>
  <c r="A923" i="11"/>
  <c r="A911" i="11"/>
  <c r="A899" i="11"/>
  <c r="A887" i="11"/>
  <c r="A875" i="11"/>
  <c r="A863" i="11"/>
  <c r="A851" i="11"/>
  <c r="A839" i="11"/>
  <c r="A827" i="11"/>
  <c r="A815" i="11"/>
  <c r="A803" i="11"/>
  <c r="A791" i="11"/>
  <c r="A2302" i="11"/>
  <c r="A2290" i="11"/>
  <c r="A2278" i="11"/>
  <c r="A2266" i="11"/>
  <c r="A2254" i="11"/>
  <c r="A2242" i="11"/>
  <c r="A2230" i="11"/>
  <c r="A2218" i="11"/>
  <c r="A2206" i="11"/>
  <c r="A2194" i="11"/>
  <c r="A2182" i="11"/>
  <c r="A2170" i="11"/>
  <c r="A2158" i="11"/>
  <c r="A2146" i="11"/>
  <c r="A2134" i="11"/>
  <c r="A2122" i="11"/>
  <c r="A2110" i="11"/>
  <c r="A2098" i="11"/>
  <c r="A2086" i="11"/>
  <c r="A2074" i="11"/>
  <c r="A2062" i="11"/>
  <c r="A2050" i="11"/>
  <c r="A2038" i="11"/>
  <c r="A2026" i="11"/>
  <c r="A2014" i="11"/>
  <c r="A2002" i="11"/>
  <c r="A1990" i="11"/>
  <c r="A1978" i="11"/>
  <c r="A1966" i="11"/>
  <c r="A1954" i="11"/>
  <c r="A1942" i="11"/>
  <c r="A1930" i="11"/>
  <c r="A1918" i="11"/>
  <c r="A1906" i="11"/>
  <c r="A1894" i="11"/>
  <c r="A1882" i="11"/>
  <c r="A1870" i="11"/>
  <c r="A1858" i="11"/>
  <c r="A1846" i="11"/>
  <c r="A1834" i="11"/>
  <c r="A1822" i="11"/>
  <c r="A1810" i="11"/>
  <c r="A1798" i="11"/>
  <c r="A1786" i="11"/>
  <c r="A1774" i="11"/>
  <c r="A1762" i="11"/>
  <c r="A1750" i="11"/>
  <c r="A1738" i="11"/>
  <c r="A1726" i="11"/>
  <c r="A1714" i="11"/>
  <c r="A1702" i="11"/>
  <c r="A1690" i="11"/>
  <c r="A1678" i="11"/>
  <c r="A1666" i="11"/>
  <c r="A1654" i="11"/>
  <c r="A1642" i="11"/>
  <c r="A1630" i="11"/>
  <c r="A1618" i="11"/>
  <c r="A1606" i="11"/>
  <c r="A1594" i="11"/>
  <c r="A1582" i="11"/>
  <c r="A1570" i="11"/>
  <c r="A1558" i="11"/>
  <c r="A1546" i="11"/>
  <c r="A1534" i="11"/>
  <c r="A1522" i="11"/>
  <c r="A1510" i="11"/>
  <c r="A1498" i="11"/>
  <c r="A1486" i="11"/>
  <c r="A1474" i="11"/>
  <c r="A1462" i="11"/>
  <c r="A1450" i="11"/>
  <c r="A1438" i="11"/>
  <c r="A1426" i="11"/>
  <c r="A1414" i="11"/>
  <c r="A1402" i="11"/>
  <c r="A1390" i="11"/>
  <c r="A1378" i="11"/>
  <c r="A1366" i="11"/>
  <c r="A1354" i="11"/>
  <c r="A1342" i="11"/>
  <c r="A1330" i="11"/>
  <c r="A1318" i="11"/>
  <c r="A1306" i="11"/>
  <c r="A1294" i="11"/>
  <c r="A1282" i="11"/>
  <c r="A1270" i="11"/>
  <c r="A1258" i="11"/>
  <c r="A1246" i="11"/>
  <c r="A1234" i="11"/>
  <c r="A1222" i="11"/>
  <c r="A1210" i="11"/>
  <c r="A1198" i="11"/>
  <c r="A1186" i="11"/>
  <c r="A1174" i="11"/>
  <c r="A1162" i="11"/>
  <c r="A1150" i="11"/>
  <c r="A1138" i="11"/>
  <c r="A1126" i="11"/>
  <c r="A1114" i="11"/>
  <c r="A1102" i="11"/>
  <c r="A1090" i="11"/>
  <c r="A1078" i="11"/>
  <c r="A1066" i="11"/>
  <c r="A1054" i="11"/>
  <c r="A1042" i="11"/>
  <c r="A1030" i="11"/>
  <c r="A1018" i="11"/>
  <c r="A1006" i="11"/>
  <c r="A994" i="11"/>
  <c r="A982" i="11"/>
  <c r="A970" i="11"/>
  <c r="A958" i="11"/>
  <c r="A946" i="11"/>
  <c r="A934" i="11"/>
  <c r="A2301" i="11"/>
  <c r="A2289" i="11"/>
  <c r="A2277" i="11"/>
  <c r="A2265" i="11"/>
  <c r="A2253" i="11"/>
  <c r="A2241" i="11"/>
  <c r="A2229" i="11"/>
  <c r="A2217" i="11"/>
  <c r="A2205" i="11"/>
  <c r="A2193" i="11"/>
  <c r="A2181" i="11"/>
  <c r="A2169" i="11"/>
  <c r="A2157" i="11"/>
  <c r="A2145" i="11"/>
  <c r="A2133" i="11"/>
  <c r="A2121" i="11"/>
  <c r="A2109" i="11"/>
  <c r="A2097" i="11"/>
  <c r="A2085" i="11"/>
  <c r="A2073" i="11"/>
  <c r="A2061" i="11"/>
  <c r="A2049" i="11"/>
  <c r="A2037" i="11"/>
  <c r="A2025" i="11"/>
  <c r="A2013" i="11"/>
  <c r="A2001" i="11"/>
  <c r="A1989" i="11"/>
  <c r="A1977" i="11"/>
  <c r="A1965" i="11"/>
  <c r="A1953" i="11"/>
  <c r="A1941" i="11"/>
  <c r="A1929" i="11"/>
  <c r="A1917" i="11"/>
  <c r="A1905" i="11"/>
  <c r="A1893" i="11"/>
  <c r="A1881" i="11"/>
  <c r="A1869" i="11"/>
  <c r="A1857" i="11"/>
  <c r="A1845" i="11"/>
  <c r="A1833" i="11"/>
  <c r="A1821" i="11"/>
  <c r="A1809" i="11"/>
  <c r="A1797" i="11"/>
  <c r="A1785" i="11"/>
  <c r="A1773" i="11"/>
  <c r="A1761" i="11"/>
  <c r="A1749" i="11"/>
  <c r="A1737" i="11"/>
  <c r="A1725" i="11"/>
  <c r="A1713" i="11"/>
  <c r="A1701" i="11"/>
  <c r="A1689" i="11"/>
  <c r="A1677" i="11"/>
  <c r="A1665" i="11"/>
  <c r="A1653" i="11"/>
  <c r="A1641" i="11"/>
  <c r="A1629" i="11"/>
  <c r="A1617" i="11"/>
  <c r="A1605" i="11"/>
  <c r="A1593" i="11"/>
  <c r="A1581" i="11"/>
  <c r="A1569" i="11"/>
  <c r="A1557" i="11"/>
  <c r="A1545" i="11"/>
  <c r="A1533" i="11"/>
  <c r="A1521" i="11"/>
  <c r="A1509" i="11"/>
  <c r="A1497" i="11"/>
  <c r="A1485" i="11"/>
  <c r="A1473" i="11"/>
  <c r="A1461" i="11"/>
  <c r="A1449" i="11"/>
  <c r="A1437" i="11"/>
  <c r="A1425" i="11"/>
  <c r="A1413" i="11"/>
  <c r="A1401" i="11"/>
  <c r="A1389" i="11"/>
  <c r="A1377" i="11"/>
  <c r="A1365" i="11"/>
  <c r="A1353" i="11"/>
  <c r="A1341" i="11"/>
  <c r="A1329" i="11"/>
  <c r="A1317" i="11"/>
  <c r="A1305" i="11"/>
  <c r="A1293" i="11"/>
  <c r="A1281" i="11"/>
  <c r="A1269" i="11"/>
  <c r="A1257" i="11"/>
  <c r="A1245" i="11"/>
  <c r="A1233" i="11"/>
  <c r="A1221" i="11"/>
  <c r="A1209" i="11"/>
  <c r="A1197" i="11"/>
  <c r="A1185" i="11"/>
  <c r="A1173" i="11"/>
  <c r="A1161" i="11"/>
  <c r="A1149" i="11"/>
  <c r="A1137" i="11"/>
  <c r="A1125" i="11"/>
  <c r="A1113" i="11"/>
  <c r="A1101" i="11"/>
  <c r="A1089" i="11"/>
  <c r="A1077" i="11"/>
  <c r="A1065" i="11"/>
  <c r="A1053" i="11"/>
  <c r="A1041" i="11"/>
  <c r="A1029" i="11"/>
  <c r="A1017" i="11"/>
  <c r="A2300" i="11"/>
  <c r="A2288" i="11"/>
  <c r="A2276" i="11"/>
  <c r="A2264" i="11"/>
  <c r="A2252" i="11"/>
  <c r="A2240" i="11"/>
  <c r="A2228" i="11"/>
  <c r="A2216" i="11"/>
  <c r="A2204" i="11"/>
  <c r="A2192" i="11"/>
  <c r="A2180" i="11"/>
  <c r="A2168" i="11"/>
  <c r="A2156" i="11"/>
  <c r="A2144" i="11"/>
  <c r="A2132" i="11"/>
  <c r="A2120" i="11"/>
  <c r="A2108" i="11"/>
  <c r="A2096" i="11"/>
  <c r="A2084" i="11"/>
  <c r="A2072" i="11"/>
  <c r="A2060" i="11"/>
  <c r="A2048" i="11"/>
  <c r="A2036" i="11"/>
  <c r="A2024" i="11"/>
  <c r="A2012" i="11"/>
  <c r="A2000" i="11"/>
  <c r="A1988" i="11"/>
  <c r="A1976" i="11"/>
  <c r="A1964" i="11"/>
  <c r="A1952" i="11"/>
  <c r="A1940" i="11"/>
  <c r="A1928" i="11"/>
  <c r="A1916" i="11"/>
  <c r="A1904" i="11"/>
  <c r="A1892" i="11"/>
  <c r="A1880" i="11"/>
  <c r="A1868" i="11"/>
  <c r="A1856" i="11"/>
  <c r="A1844" i="11"/>
  <c r="A1832" i="11"/>
  <c r="A1820" i="11"/>
  <c r="A1808" i="11"/>
  <c r="A1796" i="11"/>
  <c r="A1784" i="11"/>
  <c r="A1772" i="11"/>
  <c r="A1760" i="11"/>
  <c r="A1748" i="11"/>
  <c r="A1736" i="11"/>
  <c r="A1724" i="11"/>
  <c r="A1712" i="11"/>
  <c r="A1700" i="11"/>
  <c r="A1688" i="11"/>
  <c r="A1676" i="11"/>
  <c r="A1664" i="11"/>
  <c r="A1652" i="11"/>
  <c r="A1640" i="11"/>
  <c r="A1628" i="11"/>
  <c r="A1616" i="11"/>
  <c r="A1604" i="11"/>
  <c r="A1592" i="11"/>
  <c r="A1580" i="11"/>
  <c r="A1568" i="11"/>
  <c r="A1556" i="11"/>
  <c r="A1544" i="11"/>
  <c r="A1532" i="11"/>
  <c r="A1520" i="11"/>
  <c r="A1508" i="11"/>
  <c r="A1496" i="11"/>
  <c r="A1484" i="11"/>
  <c r="A1472" i="11"/>
  <c r="A1460" i="11"/>
  <c r="A1448" i="11"/>
  <c r="A1436" i="11"/>
  <c r="A1424" i="11"/>
  <c r="A1412" i="11"/>
  <c r="A1400" i="11"/>
  <c r="A1388" i="11"/>
  <c r="A1376" i="11"/>
  <c r="A1364" i="11"/>
  <c r="A1352" i="11"/>
  <c r="A1340" i="11"/>
  <c r="A1328" i="11"/>
  <c r="A1316" i="11"/>
  <c r="A1304" i="11"/>
  <c r="A1292" i="11"/>
  <c r="A1280" i="11"/>
  <c r="A1268" i="11"/>
  <c r="A1256" i="11"/>
  <c r="A1244" i="11"/>
  <c r="A1232" i="11"/>
  <c r="A1220" i="11"/>
  <c r="A1208" i="11"/>
  <c r="A1196" i="11"/>
  <c r="A1184" i="11"/>
  <c r="A1172" i="11"/>
  <c r="A1160" i="11"/>
  <c r="A1148" i="11"/>
  <c r="A1136" i="11"/>
  <c r="A1124" i="11"/>
  <c r="A1112" i="11"/>
  <c r="A1100" i="11"/>
  <c r="A1088" i="11"/>
  <c r="A1076" i="11"/>
  <c r="A1064" i="11"/>
  <c r="A1052" i="11"/>
  <c r="A1040" i="11"/>
  <c r="A1028" i="11"/>
  <c r="A2299" i="11"/>
  <c r="A2287" i="11"/>
  <c r="A2275" i="11"/>
  <c r="A2263" i="11"/>
  <c r="A2251" i="11"/>
  <c r="A2239" i="11"/>
  <c r="A2227" i="11"/>
  <c r="A2215" i="11"/>
  <c r="A2203" i="11"/>
  <c r="A2191" i="11"/>
  <c r="A2179" i="11"/>
  <c r="A2167" i="11"/>
  <c r="A2155" i="11"/>
  <c r="A2143" i="11"/>
  <c r="A2131" i="11"/>
  <c r="A2119" i="11"/>
  <c r="A2107" i="11"/>
  <c r="A2095" i="11"/>
  <c r="A2083" i="11"/>
  <c r="A2071" i="11"/>
  <c r="A2059" i="11"/>
  <c r="A2047" i="11"/>
  <c r="A2035" i="11"/>
  <c r="A2023" i="11"/>
  <c r="A2011" i="11"/>
  <c r="A1999" i="11"/>
  <c r="A1987" i="11"/>
  <c r="A1975" i="11"/>
  <c r="A1963" i="11"/>
  <c r="A1951" i="11"/>
  <c r="A1939" i="11"/>
  <c r="A1927" i="11"/>
  <c r="A1915" i="11"/>
  <c r="A1903" i="11"/>
  <c r="A1891" i="11"/>
  <c r="A1879" i="11"/>
  <c r="A1867" i="11"/>
  <c r="A1855" i="11"/>
  <c r="A1843" i="11"/>
  <c r="A1831" i="11"/>
  <c r="A1819" i="11"/>
  <c r="A1807" i="11"/>
  <c r="A2298" i="11"/>
  <c r="A2286" i="11"/>
  <c r="A2274" i="11"/>
  <c r="A2262" i="11"/>
  <c r="A2250" i="11"/>
  <c r="A2238" i="11"/>
  <c r="A2226" i="11"/>
  <c r="A2214" i="11"/>
  <c r="A2202" i="11"/>
  <c r="A2190" i="11"/>
  <c r="A2178" i="11"/>
  <c r="A2166" i="11"/>
  <c r="A2154" i="11"/>
  <c r="A2142" i="11"/>
  <c r="A2130" i="11"/>
  <c r="A2118" i="11"/>
  <c r="A2106" i="11"/>
  <c r="A2094" i="11"/>
  <c r="A2082" i="11"/>
  <c r="A2070" i="11"/>
  <c r="A2058" i="11"/>
  <c r="A2046" i="11"/>
  <c r="A2034" i="11"/>
  <c r="A2022" i="11"/>
  <c r="A2010" i="11"/>
  <c r="A1998" i="11"/>
  <c r="A1986" i="11"/>
  <c r="A1974" i="11"/>
  <c r="A1962" i="11"/>
  <c r="A1950" i="11"/>
  <c r="A1938" i="11"/>
  <c r="A1926" i="11"/>
  <c r="A1914" i="11"/>
  <c r="A1902" i="11"/>
  <c r="A1890" i="11"/>
  <c r="A1878" i="11"/>
  <c r="A1866" i="11"/>
  <c r="A1854" i="11"/>
  <c r="A1842" i="11"/>
  <c r="A1830" i="11"/>
  <c r="A1818" i="11"/>
  <c r="A1806" i="11"/>
  <c r="A1794" i="11"/>
  <c r="A1782" i="11"/>
  <c r="A1770" i="11"/>
  <c r="A1758" i="11"/>
  <c r="A1746" i="11"/>
  <c r="A1734" i="11"/>
  <c r="A1722" i="11"/>
  <c r="A1710" i="11"/>
  <c r="A1698" i="11"/>
  <c r="A1686" i="11"/>
  <c r="A1674" i="11"/>
  <c r="A1662" i="11"/>
  <c r="A1650" i="11"/>
  <c r="A1638" i="11"/>
  <c r="A1626" i="11"/>
  <c r="A1614" i="11"/>
  <c r="A1602" i="11"/>
  <c r="A1590" i="11"/>
  <c r="A1578" i="11"/>
  <c r="A1566" i="11"/>
  <c r="A1554" i="11"/>
  <c r="A1542" i="11"/>
  <c r="A1530" i="11"/>
  <c r="A1518" i="11"/>
  <c r="A1506" i="11"/>
  <c r="A1494" i="11"/>
  <c r="A1482" i="11"/>
  <c r="A1470" i="11"/>
  <c r="A1458" i="11"/>
  <c r="A1446" i="11"/>
  <c r="A1434" i="11"/>
  <c r="A1422" i="11"/>
  <c r="A1410" i="11"/>
  <c r="A1398" i="11"/>
  <c r="A1386" i="11"/>
  <c r="A1374" i="11"/>
  <c r="A1362" i="11"/>
  <c r="A1350" i="11"/>
  <c r="A1338" i="11"/>
  <c r="A1326" i="11"/>
  <c r="A1314" i="11"/>
  <c r="A1302" i="11"/>
  <c r="A1290" i="11"/>
  <c r="A1278" i="11"/>
  <c r="A1266" i="11"/>
  <c r="A1254" i="11"/>
  <c r="A1242" i="11"/>
  <c r="A1230" i="11"/>
  <c r="A1218" i="11"/>
  <c r="A1206" i="11"/>
  <c r="A1194" i="11"/>
  <c r="A1182" i="11"/>
  <c r="A1170" i="11"/>
  <c r="A1158" i="11"/>
  <c r="A1146" i="11"/>
  <c r="A1134" i="11"/>
  <c r="A1122" i="11"/>
  <c r="A1110" i="11"/>
  <c r="A1098" i="11"/>
  <c r="A1086" i="11"/>
  <c r="A1074" i="11"/>
  <c r="A1062" i="11"/>
  <c r="A1050" i="11"/>
  <c r="A1038" i="11"/>
  <c r="A1026" i="11"/>
  <c r="A1014" i="11"/>
  <c r="A1002" i="11"/>
  <c r="A990" i="11"/>
  <c r="A978" i="11"/>
  <c r="A966" i="11"/>
  <c r="A954" i="11"/>
  <c r="A942" i="11"/>
  <c r="A930" i="11"/>
  <c r="A918" i="11"/>
  <c r="A906" i="11"/>
  <c r="A894" i="11"/>
  <c r="A882" i="11"/>
  <c r="A2297" i="11"/>
  <c r="A2285" i="11"/>
  <c r="A2273" i="11"/>
  <c r="A2261" i="11"/>
  <c r="A2249" i="11"/>
  <c r="A2237" i="11"/>
  <c r="A2225" i="11"/>
  <c r="A2213" i="11"/>
  <c r="A2201" i="11"/>
  <c r="A2189" i="11"/>
  <c r="A2296" i="11"/>
  <c r="A2224" i="11"/>
  <c r="A2164" i="11"/>
  <c r="A2125" i="11"/>
  <c r="A2089" i="11"/>
  <c r="A2053" i="11"/>
  <c r="A2017" i="11"/>
  <c r="A1981" i="11"/>
  <c r="A1945" i="11"/>
  <c r="A1909" i="11"/>
  <c r="A1873" i="11"/>
  <c r="A1837" i="11"/>
  <c r="A1801" i="11"/>
  <c r="A1769" i="11"/>
  <c r="A1742" i="11"/>
  <c r="A1711" i="11"/>
  <c r="A1684" i="11"/>
  <c r="A1657" i="11"/>
  <c r="A1625" i="11"/>
  <c r="A1598" i="11"/>
  <c r="A1567" i="11"/>
  <c r="A1540" i="11"/>
  <c r="A1513" i="11"/>
  <c r="A1481" i="11"/>
  <c r="A1454" i="11"/>
  <c r="A1423" i="11"/>
  <c r="A1396" i="11"/>
  <c r="A1369" i="11"/>
  <c r="A1337" i="11"/>
  <c r="A1310" i="11"/>
  <c r="A1279" i="11"/>
  <c r="A1252" i="11"/>
  <c r="A1225" i="11"/>
  <c r="A1193" i="11"/>
  <c r="A1166" i="11"/>
  <c r="A1135" i="11"/>
  <c r="A1108" i="11"/>
  <c r="A1081" i="11"/>
  <c r="A1049" i="11"/>
  <c r="A1022" i="11"/>
  <c r="A1000" i="11"/>
  <c r="A979" i="11"/>
  <c r="A957" i="11"/>
  <c r="A938" i="11"/>
  <c r="A919" i="11"/>
  <c r="A901" i="11"/>
  <c r="A883" i="11"/>
  <c r="A868" i="11"/>
  <c r="A853" i="11"/>
  <c r="A838" i="11"/>
  <c r="A824" i="11"/>
  <c r="A810" i="11"/>
  <c r="A796" i="11"/>
  <c r="A782" i="11"/>
  <c r="A770" i="11"/>
  <c r="A758" i="11"/>
  <c r="A746" i="11"/>
  <c r="A734" i="11"/>
  <c r="A722" i="11"/>
  <c r="A710" i="11"/>
  <c r="A698" i="11"/>
  <c r="A686" i="11"/>
  <c r="A674" i="11"/>
  <c r="A662" i="11"/>
  <c r="A650" i="11"/>
  <c r="A638" i="11"/>
  <c r="A626" i="11"/>
  <c r="A614" i="11"/>
  <c r="A602" i="11"/>
  <c r="A590" i="11"/>
  <c r="A578" i="11"/>
  <c r="A566" i="11"/>
  <c r="A554" i="11"/>
  <c r="A542" i="11"/>
  <c r="A530" i="11"/>
  <c r="A518" i="11"/>
  <c r="A506" i="11"/>
  <c r="A494" i="11"/>
  <c r="A482" i="11"/>
  <c r="A470" i="11"/>
  <c r="A458" i="11"/>
  <c r="A446" i="11"/>
  <c r="A434" i="11"/>
  <c r="A422" i="11"/>
  <c r="A410" i="11"/>
  <c r="A398" i="11"/>
  <c r="A386" i="11"/>
  <c r="A374" i="11"/>
  <c r="A362" i="11"/>
  <c r="A350" i="11"/>
  <c r="A338" i="11"/>
  <c r="A326" i="11"/>
  <c r="A314" i="11"/>
  <c r="A302" i="11"/>
  <c r="A290" i="11"/>
  <c r="A278" i="11"/>
  <c r="A266" i="11"/>
  <c r="A254" i="11"/>
  <c r="A242" i="11"/>
  <c r="A230" i="11"/>
  <c r="A218" i="11"/>
  <c r="A206" i="11"/>
  <c r="A194" i="11"/>
  <c r="A182" i="11"/>
  <c r="A170" i="11"/>
  <c r="A158" i="11"/>
  <c r="A146" i="11"/>
  <c r="A134" i="11"/>
  <c r="A122" i="11"/>
  <c r="A110" i="11"/>
  <c r="A98" i="11"/>
  <c r="A86" i="11"/>
  <c r="A74" i="11"/>
  <c r="A62" i="11"/>
  <c r="A50" i="11"/>
  <c r="A38" i="11"/>
  <c r="A26" i="11"/>
  <c r="A14" i="11"/>
  <c r="A2293" i="11"/>
  <c r="A2221" i="11"/>
  <c r="A2161" i="11"/>
  <c r="A2117" i="11"/>
  <c r="A2081" i="11"/>
  <c r="A2045" i="11"/>
  <c r="A2009" i="11"/>
  <c r="A1973" i="11"/>
  <c r="A1937" i="11"/>
  <c r="A1901" i="11"/>
  <c r="A1865" i="11"/>
  <c r="A1829" i="11"/>
  <c r="A1795" i="11"/>
  <c r="A1768" i="11"/>
  <c r="A1741" i="11"/>
  <c r="A1709" i="11"/>
  <c r="A1682" i="11"/>
  <c r="A1651" i="11"/>
  <c r="A1624" i="11"/>
  <c r="A1597" i="11"/>
  <c r="A1565" i="11"/>
  <c r="A1538" i="11"/>
  <c r="A1507" i="11"/>
  <c r="A1480" i="11"/>
  <c r="A1453" i="11"/>
  <c r="A1421" i="11"/>
  <c r="A1394" i="11"/>
  <c r="A1363" i="11"/>
  <c r="A1336" i="11"/>
  <c r="A1309" i="11"/>
  <c r="A1277" i="11"/>
  <c r="A1250" i="11"/>
  <c r="A1219" i="11"/>
  <c r="A1192" i="11"/>
  <c r="A1165" i="11"/>
  <c r="A1133" i="11"/>
  <c r="A1106" i="11"/>
  <c r="A1075" i="11"/>
  <c r="A1048" i="11"/>
  <c r="A1021" i="11"/>
  <c r="A998" i="11"/>
  <c r="A977" i="11"/>
  <c r="A956" i="11"/>
  <c r="A937" i="11"/>
  <c r="A917" i="11"/>
  <c r="A898" i="11"/>
  <c r="A881" i="11"/>
  <c r="A866" i="11"/>
  <c r="A852" i="11"/>
  <c r="A837" i="11"/>
  <c r="A823" i="11"/>
  <c r="A809" i="11"/>
  <c r="A794" i="11"/>
  <c r="A781" i="11"/>
  <c r="A769" i="11"/>
  <c r="A757" i="11"/>
  <c r="A745" i="11"/>
  <c r="A733" i="11"/>
  <c r="A721" i="11"/>
  <c r="A709" i="11"/>
  <c r="A697" i="11"/>
  <c r="A685" i="11"/>
  <c r="A673" i="11"/>
  <c r="A661" i="11"/>
  <c r="A649" i="11"/>
  <c r="A637" i="11"/>
  <c r="A625" i="11"/>
  <c r="A613" i="11"/>
  <c r="A601" i="11"/>
  <c r="A589" i="11"/>
  <c r="A577" i="11"/>
  <c r="A565" i="11"/>
  <c r="A553" i="11"/>
  <c r="A541" i="11"/>
  <c r="A529" i="11"/>
  <c r="A517" i="11"/>
  <c r="A505" i="11"/>
  <c r="A493" i="11"/>
  <c r="A481" i="11"/>
  <c r="A469" i="11"/>
  <c r="A457" i="11"/>
  <c r="A445" i="11"/>
  <c r="A433" i="11"/>
  <c r="A421" i="11"/>
  <c r="A409" i="11"/>
  <c r="A397" i="11"/>
  <c r="A385" i="11"/>
  <c r="A373" i="11"/>
  <c r="A361" i="11"/>
  <c r="A349" i="11"/>
  <c r="A337" i="11"/>
  <c r="A325" i="11"/>
  <c r="A313" i="11"/>
  <c r="A301" i="11"/>
  <c r="A289" i="11"/>
  <c r="A277" i="11"/>
  <c r="A265" i="11"/>
  <c r="A253" i="11"/>
  <c r="A241" i="11"/>
  <c r="A2284" i="11"/>
  <c r="A2212" i="11"/>
  <c r="A2153" i="11"/>
  <c r="A2116" i="11"/>
  <c r="A2080" i="11"/>
  <c r="A2044" i="11"/>
  <c r="A2008" i="11"/>
  <c r="A1972" i="11"/>
  <c r="A1936" i="11"/>
  <c r="A1900" i="11"/>
  <c r="A1864" i="11"/>
  <c r="A1828" i="11"/>
  <c r="A1793" i="11"/>
  <c r="A1766" i="11"/>
  <c r="A1735" i="11"/>
  <c r="A1708" i="11"/>
  <c r="A1681" i="11"/>
  <c r="A1649" i="11"/>
  <c r="A1622" i="11"/>
  <c r="A1591" i="11"/>
  <c r="A1564" i="11"/>
  <c r="A1537" i="11"/>
  <c r="A1505" i="11"/>
  <c r="A1478" i="11"/>
  <c r="A1447" i="11"/>
  <c r="A1420" i="11"/>
  <c r="A1393" i="11"/>
  <c r="A1361" i="11"/>
  <c r="A1334" i="11"/>
  <c r="A1303" i="11"/>
  <c r="A1276" i="11"/>
  <c r="A1249" i="11"/>
  <c r="A1217" i="11"/>
  <c r="A1190" i="11"/>
  <c r="A1159" i="11"/>
  <c r="A1132" i="11"/>
  <c r="A1105" i="11"/>
  <c r="A1073" i="11"/>
  <c r="A1046" i="11"/>
  <c r="A1016" i="11"/>
  <c r="A997" i="11"/>
  <c r="A976" i="11"/>
  <c r="A955" i="11"/>
  <c r="A933" i="11"/>
  <c r="A916" i="11"/>
  <c r="A897" i="11"/>
  <c r="A880" i="11"/>
  <c r="A865" i="11"/>
  <c r="A850" i="11"/>
  <c r="A836" i="11"/>
  <c r="A822" i="11"/>
  <c r="A808" i="11"/>
  <c r="A793" i="11"/>
  <c r="A780" i="11"/>
  <c r="A768" i="11"/>
  <c r="A756" i="11"/>
  <c r="A744" i="11"/>
  <c r="A732" i="11"/>
  <c r="A720" i="11"/>
  <c r="A708" i="11"/>
  <c r="A696" i="11"/>
  <c r="A684" i="11"/>
  <c r="A672" i="11"/>
  <c r="A660" i="11"/>
  <c r="A648" i="11"/>
  <c r="A636" i="11"/>
  <c r="A624" i="11"/>
  <c r="A612" i="11"/>
  <c r="A600" i="11"/>
  <c r="A588" i="11"/>
  <c r="A576" i="11"/>
  <c r="A564" i="11"/>
  <c r="A2281" i="11"/>
  <c r="A2209" i="11"/>
  <c r="A2152" i="11"/>
  <c r="A2114" i="11"/>
  <c r="A2078" i="11"/>
  <c r="A2042" i="11"/>
  <c r="A2006" i="11"/>
  <c r="A1970" i="11"/>
  <c r="A1934" i="11"/>
  <c r="A1898" i="11"/>
  <c r="A1862" i="11"/>
  <c r="A1826" i="11"/>
  <c r="A1792" i="11"/>
  <c r="A1765" i="11"/>
  <c r="A1733" i="11"/>
  <c r="A1706" i="11"/>
  <c r="A1675" i="11"/>
  <c r="A1648" i="11"/>
  <c r="A1621" i="11"/>
  <c r="A1589" i="11"/>
  <c r="A1562" i="11"/>
  <c r="A1531" i="11"/>
  <c r="A1504" i="11"/>
  <c r="A1477" i="11"/>
  <c r="A1445" i="11"/>
  <c r="A1418" i="11"/>
  <c r="A1387" i="11"/>
  <c r="A1360" i="11"/>
  <c r="A1333" i="11"/>
  <c r="A1301" i="11"/>
  <c r="A1274" i="11"/>
  <c r="A1243" i="11"/>
  <c r="A1216" i="11"/>
  <c r="A1189" i="11"/>
  <c r="A1157" i="11"/>
  <c r="A1130" i="11"/>
  <c r="A1099" i="11"/>
  <c r="A1072" i="11"/>
  <c r="A1045" i="11"/>
  <c r="A1015" i="11"/>
  <c r="A993" i="11"/>
  <c r="A974" i="11"/>
  <c r="A953" i="11"/>
  <c r="A932" i="11"/>
  <c r="A914" i="11"/>
  <c r="A896" i="11"/>
  <c r="A878" i="11"/>
  <c r="A864" i="11"/>
  <c r="A849" i="11"/>
  <c r="A835" i="11"/>
  <c r="A821" i="11"/>
  <c r="A806" i="11"/>
  <c r="A792" i="11"/>
  <c r="A779" i="11"/>
  <c r="A767" i="11"/>
  <c r="A755" i="11"/>
  <c r="A743" i="11"/>
  <c r="A731" i="11"/>
  <c r="A719" i="11"/>
  <c r="A707" i="11"/>
  <c r="A695" i="11"/>
  <c r="A683" i="11"/>
  <c r="A671" i="11"/>
  <c r="A659" i="11"/>
  <c r="A647" i="11"/>
  <c r="A635" i="11"/>
  <c r="A623" i="11"/>
  <c r="A611" i="11"/>
  <c r="A599" i="11"/>
  <c r="A587" i="11"/>
  <c r="A575" i="11"/>
  <c r="A563" i="11"/>
  <c r="A551" i="11"/>
  <c r="A539" i="11"/>
  <c r="A527" i="11"/>
  <c r="A515" i="11"/>
  <c r="A503" i="11"/>
  <c r="A491" i="11"/>
  <c r="A479" i="11"/>
  <c r="A467" i="11"/>
  <c r="A455" i="11"/>
  <c r="A443" i="11"/>
  <c r="A431" i="11"/>
  <c r="A419" i="11"/>
  <c r="A407" i="11"/>
  <c r="A395" i="11"/>
  <c r="A383" i="11"/>
  <c r="A371" i="11"/>
  <c r="A359" i="11"/>
  <c r="A347" i="11"/>
  <c r="A335" i="11"/>
  <c r="A323" i="11"/>
  <c r="A311" i="11"/>
  <c r="A299" i="11"/>
  <c r="A2272" i="11"/>
  <c r="A2200" i="11"/>
  <c r="A2149" i="11"/>
  <c r="A2113" i="11"/>
  <c r="A2077" i="11"/>
  <c r="A2041" i="11"/>
  <c r="A2005" i="11"/>
  <c r="A1969" i="11"/>
  <c r="A1933" i="11"/>
  <c r="A1897" i="11"/>
  <c r="A1861" i="11"/>
  <c r="A1825" i="11"/>
  <c r="A1790" i="11"/>
  <c r="A1759" i="11"/>
  <c r="A1732" i="11"/>
  <c r="A1705" i="11"/>
  <c r="A1673" i="11"/>
  <c r="A1646" i="11"/>
  <c r="A1615" i="11"/>
  <c r="A1588" i="11"/>
  <c r="A1561" i="11"/>
  <c r="A1529" i="11"/>
  <c r="A1502" i="11"/>
  <c r="A1471" i="11"/>
  <c r="A1444" i="11"/>
  <c r="A1417" i="11"/>
  <c r="A1385" i="11"/>
  <c r="A1358" i="11"/>
  <c r="A1327" i="11"/>
  <c r="A1300" i="11"/>
  <c r="A1273" i="11"/>
  <c r="A1241" i="11"/>
  <c r="A1214" i="11"/>
  <c r="A1183" i="11"/>
  <c r="A1156" i="11"/>
  <c r="A1129" i="11"/>
  <c r="A1097" i="11"/>
  <c r="A2269" i="11"/>
  <c r="A2197" i="11"/>
  <c r="A2141" i="11"/>
  <c r="A2105" i="11"/>
  <c r="A2069" i="11"/>
  <c r="A2033" i="11"/>
  <c r="A1997" i="11"/>
  <c r="A1961" i="11"/>
  <c r="A1925" i="11"/>
  <c r="A1889" i="11"/>
  <c r="A1853" i="11"/>
  <c r="A1817" i="11"/>
  <c r="A1789" i="11"/>
  <c r="A1757" i="11"/>
  <c r="A1730" i="11"/>
  <c r="A1699" i="11"/>
  <c r="A1672" i="11"/>
  <c r="A1645" i="11"/>
  <c r="A1613" i="11"/>
  <c r="A1586" i="11"/>
  <c r="A1555" i="11"/>
  <c r="A1528" i="11"/>
  <c r="A1501" i="11"/>
  <c r="A1469" i="11"/>
  <c r="A1442" i="11"/>
  <c r="A1411" i="11"/>
  <c r="A1384" i="11"/>
  <c r="A1357" i="11"/>
  <c r="A1325" i="11"/>
  <c r="A1298" i="11"/>
  <c r="A1267" i="11"/>
  <c r="A1240" i="11"/>
  <c r="A1213" i="11"/>
  <c r="A1181" i="11"/>
  <c r="A1154" i="11"/>
  <c r="A1123" i="11"/>
  <c r="A1096" i="11"/>
  <c r="A1069" i="11"/>
  <c r="A1037" i="11"/>
  <c r="A1012" i="11"/>
  <c r="A991" i="11"/>
  <c r="A969" i="11"/>
  <c r="A950" i="11"/>
  <c r="A929" i="11"/>
  <c r="A910" i="11"/>
  <c r="A893" i="11"/>
  <c r="A876" i="11"/>
  <c r="A861" i="11"/>
  <c r="A847" i="11"/>
  <c r="A833" i="11"/>
  <c r="A818" i="11"/>
  <c r="A804" i="11"/>
  <c r="A789" i="11"/>
  <c r="A777" i="11"/>
  <c r="A765" i="11"/>
  <c r="A753" i="11"/>
  <c r="A741" i="11"/>
  <c r="A729" i="11"/>
  <c r="A717" i="11"/>
  <c r="A705" i="11"/>
  <c r="A693" i="11"/>
  <c r="A681" i="11"/>
  <c r="A669" i="11"/>
  <c r="A657" i="11"/>
  <c r="A645" i="11"/>
  <c r="A633" i="11"/>
  <c r="A621" i="11"/>
  <c r="A609" i="11"/>
  <c r="A597" i="11"/>
  <c r="A585" i="11"/>
  <c r="A573" i="11"/>
  <c r="A561" i="11"/>
  <c r="A549" i="11"/>
  <c r="A537" i="11"/>
  <c r="A525" i="11"/>
  <c r="A513" i="11"/>
  <c r="A501" i="11"/>
  <c r="A489" i="11"/>
  <c r="A477" i="11"/>
  <c r="A465" i="11"/>
  <c r="A453" i="11"/>
  <c r="A441" i="11"/>
  <c r="A429" i="11"/>
  <c r="A417" i="11"/>
  <c r="A405" i="11"/>
  <c r="A393" i="11"/>
  <c r="A381" i="11"/>
  <c r="A369" i="11"/>
  <c r="A357" i="11"/>
  <c r="A345" i="11"/>
  <c r="A333" i="11"/>
  <c r="A321" i="11"/>
  <c r="A309" i="11"/>
  <c r="A297" i="11"/>
  <c r="A285" i="11"/>
  <c r="A273" i="11"/>
  <c r="A261" i="11"/>
  <c r="A249" i="11"/>
  <c r="A237" i="11"/>
  <c r="A225" i="11"/>
  <c r="A213" i="11"/>
  <c r="A2260" i="11"/>
  <c r="A2188" i="11"/>
  <c r="A2140" i="11"/>
  <c r="A2104" i="11"/>
  <c r="A2068" i="11"/>
  <c r="A2032" i="11"/>
  <c r="A1996" i="11"/>
  <c r="A1960" i="11"/>
  <c r="A1924" i="11"/>
  <c r="A1888" i="11"/>
  <c r="A1852" i="11"/>
  <c r="A1816" i="11"/>
  <c r="A1783" i="11"/>
  <c r="A1756" i="11"/>
  <c r="A1729" i="11"/>
  <c r="A1697" i="11"/>
  <c r="A1670" i="11"/>
  <c r="A1639" i="11"/>
  <c r="A1612" i="11"/>
  <c r="A1585" i="11"/>
  <c r="A1553" i="11"/>
  <c r="A1526" i="11"/>
  <c r="A1495" i="11"/>
  <c r="A1468" i="11"/>
  <c r="A1441" i="11"/>
  <c r="A1409" i="11"/>
  <c r="A1382" i="11"/>
  <c r="A1351" i="11"/>
  <c r="A1324" i="11"/>
  <c r="A1297" i="11"/>
  <c r="A1265" i="11"/>
  <c r="A1238" i="11"/>
  <c r="A1207" i="11"/>
  <c r="A1180" i="11"/>
  <c r="A1153" i="11"/>
  <c r="A1121" i="11"/>
  <c r="A1094" i="11"/>
  <c r="A1063" i="11"/>
  <c r="A1036" i="11"/>
  <c r="A1010" i="11"/>
  <c r="A989" i="11"/>
  <c r="A968" i="11"/>
  <c r="A949" i="11"/>
  <c r="A928" i="11"/>
  <c r="A909" i="11"/>
  <c r="A2257" i="11"/>
  <c r="A2185" i="11"/>
  <c r="A2138" i="11"/>
  <c r="A2102" i="11"/>
  <c r="A2066" i="11"/>
  <c r="A2030" i="11"/>
  <c r="A1994" i="11"/>
  <c r="A1958" i="11"/>
  <c r="A1922" i="11"/>
  <c r="A1886" i="11"/>
  <c r="A1850" i="11"/>
  <c r="A1814" i="11"/>
  <c r="A1781" i="11"/>
  <c r="A1754" i="11"/>
  <c r="A1723" i="11"/>
  <c r="A1696" i="11"/>
  <c r="A1669" i="11"/>
  <c r="A1637" i="11"/>
  <c r="A1610" i="11"/>
  <c r="A1579" i="11"/>
  <c r="A1552" i="11"/>
  <c r="A1525" i="11"/>
  <c r="A1493" i="11"/>
  <c r="A1466" i="11"/>
  <c r="A1435" i="11"/>
  <c r="A1408" i="11"/>
  <c r="A1381" i="11"/>
  <c r="A1349" i="11"/>
  <c r="A1322" i="11"/>
  <c r="A1291" i="11"/>
  <c r="A1264" i="11"/>
  <c r="A1237" i="11"/>
  <c r="A1205" i="11"/>
  <c r="A1178" i="11"/>
  <c r="A1147" i="11"/>
  <c r="A1120" i="11"/>
  <c r="A1093" i="11"/>
  <c r="A1061" i="11"/>
  <c r="A1034" i="11"/>
  <c r="A1009" i="11"/>
  <c r="A988" i="11"/>
  <c r="A967" i="11"/>
  <c r="A945" i="11"/>
  <c r="A926" i="11"/>
  <c r="A908" i="11"/>
  <c r="A890" i="11"/>
  <c r="A873" i="11"/>
  <c r="A859" i="11"/>
  <c r="A845" i="11"/>
  <c r="A830" i="11"/>
  <c r="A816" i="11"/>
  <c r="A801" i="11"/>
  <c r="A787" i="11"/>
  <c r="A775" i="11"/>
  <c r="A763" i="11"/>
  <c r="A751" i="11"/>
  <c r="A739" i="11"/>
  <c r="A727" i="11"/>
  <c r="A715" i="11"/>
  <c r="A703" i="11"/>
  <c r="A691" i="11"/>
  <c r="A679" i="11"/>
  <c r="A667" i="11"/>
  <c r="A655" i="11"/>
  <c r="A643" i="11"/>
  <c r="A631" i="11"/>
  <c r="A619" i="11"/>
  <c r="A607" i="11"/>
  <c r="A595" i="11"/>
  <c r="A583" i="11"/>
  <c r="A571" i="11"/>
  <c r="A559" i="11"/>
  <c r="A547" i="11"/>
  <c r="A535" i="11"/>
  <c r="A523" i="11"/>
  <c r="A511" i="11"/>
  <c r="A499" i="11"/>
  <c r="A487" i="11"/>
  <c r="A475" i="11"/>
  <c r="A463" i="11"/>
  <c r="A451" i="11"/>
  <c r="A439" i="11"/>
  <c r="A427" i="11"/>
  <c r="A415" i="11"/>
  <c r="A403" i="11"/>
  <c r="A391" i="11"/>
  <c r="A379" i="11"/>
  <c r="A367" i="11"/>
  <c r="A355" i="11"/>
  <c r="A343" i="11"/>
  <c r="A331" i="11"/>
  <c r="A319" i="11"/>
  <c r="A307" i="11"/>
  <c r="A295" i="11"/>
  <c r="A283" i="11"/>
  <c r="A271" i="11"/>
  <c r="A259" i="11"/>
  <c r="A247" i="11"/>
  <c r="A235" i="11"/>
  <c r="A223" i="11"/>
  <c r="A211" i="11"/>
  <c r="A199" i="11"/>
  <c r="A187" i="11"/>
  <c r="A175" i="11"/>
  <c r="A163" i="11"/>
  <c r="A151" i="11"/>
  <c r="A139" i="11"/>
  <c r="A127" i="11"/>
  <c r="A115" i="11"/>
  <c r="A103" i="11"/>
  <c r="A91" i="11"/>
  <c r="A79" i="11"/>
  <c r="A67" i="11"/>
  <c r="A55" i="11"/>
  <c r="A43" i="11"/>
  <c r="A31" i="11"/>
  <c r="A19" i="11"/>
  <c r="A7" i="11"/>
  <c r="A2248" i="11"/>
  <c r="A2177" i="11"/>
  <c r="A2137" i="11"/>
  <c r="A2101" i="11"/>
  <c r="A2065" i="11"/>
  <c r="A2029" i="11"/>
  <c r="A1993" i="11"/>
  <c r="A1957" i="11"/>
  <c r="A1921" i="11"/>
  <c r="A1885" i="11"/>
  <c r="A1849" i="11"/>
  <c r="A1813" i="11"/>
  <c r="A1780" i="11"/>
  <c r="A1753" i="11"/>
  <c r="A1721" i="11"/>
  <c r="A1694" i="11"/>
  <c r="A1663" i="11"/>
  <c r="A1636" i="11"/>
  <c r="A1609" i="11"/>
  <c r="A1577" i="11"/>
  <c r="A1550" i="11"/>
  <c r="A1519" i="11"/>
  <c r="A1492" i="11"/>
  <c r="A1465" i="11"/>
  <c r="A1433" i="11"/>
  <c r="A1406" i="11"/>
  <c r="A1375" i="11"/>
  <c r="A1348" i="11"/>
  <c r="A1321" i="11"/>
  <c r="A1289" i="11"/>
  <c r="A1262" i="11"/>
  <c r="A1231" i="11"/>
  <c r="A1204" i="11"/>
  <c r="A1177" i="11"/>
  <c r="A1145" i="11"/>
  <c r="A1118" i="11"/>
  <c r="A1087" i="11"/>
  <c r="A1060" i="11"/>
  <c r="A1033" i="11"/>
  <c r="A1005" i="11"/>
  <c r="A986" i="11"/>
  <c r="A965" i="11"/>
  <c r="A944" i="11"/>
  <c r="A925" i="11"/>
  <c r="A907" i="11"/>
  <c r="A889" i="11"/>
  <c r="A872" i="11"/>
  <c r="A858" i="11"/>
  <c r="A844" i="11"/>
  <c r="A829" i="11"/>
  <c r="A814" i="11"/>
  <c r="A800" i="11"/>
  <c r="A786" i="11"/>
  <c r="A774" i="11"/>
  <c r="A762" i="11"/>
  <c r="A750" i="11"/>
  <c r="A738" i="11"/>
  <c r="A726" i="11"/>
  <c r="A714" i="11"/>
  <c r="A702" i="11"/>
  <c r="A690" i="11"/>
  <c r="A678" i="11"/>
  <c r="A666" i="11"/>
  <c r="A654" i="11"/>
  <c r="A642" i="11"/>
  <c r="A630" i="11"/>
  <c r="A618" i="11"/>
  <c r="A606" i="11"/>
  <c r="A594" i="11"/>
  <c r="A582" i="11"/>
  <c r="A570" i="11"/>
  <c r="A558" i="11"/>
  <c r="A546" i="11"/>
  <c r="A534" i="11"/>
  <c r="A522" i="11"/>
  <c r="A510" i="11"/>
  <c r="A498" i="11"/>
  <c r="A486" i="11"/>
  <c r="A474" i="11"/>
  <c r="A462" i="11"/>
  <c r="A450" i="11"/>
  <c r="A438" i="11"/>
  <c r="A426" i="11"/>
  <c r="A414" i="11"/>
  <c r="A402" i="11"/>
  <c r="A390" i="11"/>
  <c r="A378" i="11"/>
  <c r="A366" i="11"/>
  <c r="A354" i="11"/>
  <c r="A342" i="11"/>
  <c r="A330" i="11"/>
  <c r="A318" i="11"/>
  <c r="A306" i="11"/>
  <c r="A294" i="11"/>
  <c r="A282" i="11"/>
  <c r="A270" i="11"/>
  <c r="A2245" i="11"/>
  <c r="A2176" i="11"/>
  <c r="A2129" i="11"/>
  <c r="A2093" i="11"/>
  <c r="A2057" i="11"/>
  <c r="A2021" i="11"/>
  <c r="A1985" i="11"/>
  <c r="A1949" i="11"/>
  <c r="A1913" i="11"/>
  <c r="A1877" i="11"/>
  <c r="A1841" i="11"/>
  <c r="A1805" i="11"/>
  <c r="A1778" i="11"/>
  <c r="A1747" i="11"/>
  <c r="A1720" i="11"/>
  <c r="A1693" i="11"/>
  <c r="A1661" i="11"/>
  <c r="A1634" i="11"/>
  <c r="A1603" i="11"/>
  <c r="A1576" i="11"/>
  <c r="A1549" i="11"/>
  <c r="A1517" i="11"/>
  <c r="A1490" i="11"/>
  <c r="A1459" i="11"/>
  <c r="A1432" i="11"/>
  <c r="A1405" i="11"/>
  <c r="A1373" i="11"/>
  <c r="A1346" i="11"/>
  <c r="A1315" i="11"/>
  <c r="A1288" i="11"/>
  <c r="A1261" i="11"/>
  <c r="A1229" i="11"/>
  <c r="A1202" i="11"/>
  <c r="A1171" i="11"/>
  <c r="A1144" i="11"/>
  <c r="A1117" i="11"/>
  <c r="A1085" i="11"/>
  <c r="A1058" i="11"/>
  <c r="A1027" i="11"/>
  <c r="A1004" i="11"/>
  <c r="A985" i="11"/>
  <c r="A964" i="11"/>
  <c r="A943" i="11"/>
  <c r="A922" i="11"/>
  <c r="A905" i="11"/>
  <c r="A886" i="11"/>
  <c r="A871" i="11"/>
  <c r="A857" i="11"/>
  <c r="A842" i="11"/>
  <c r="A828" i="11"/>
  <c r="A813" i="11"/>
  <c r="A799" i="11"/>
  <c r="A785" i="11"/>
  <c r="A773" i="11"/>
  <c r="A761" i="11"/>
  <c r="A749" i="11"/>
  <c r="A737" i="11"/>
  <c r="A725" i="11"/>
  <c r="A713" i="11"/>
  <c r="A701" i="11"/>
  <c r="A689" i="11"/>
  <c r="A677" i="11"/>
  <c r="A665" i="11"/>
  <c r="A653" i="11"/>
  <c r="A641" i="11"/>
  <c r="A629" i="11"/>
  <c r="A617" i="11"/>
  <c r="A605" i="11"/>
  <c r="A593" i="11"/>
  <c r="A581" i="11"/>
  <c r="A569" i="11"/>
  <c r="A557" i="11"/>
  <c r="A545" i="11"/>
  <c r="A533" i="11"/>
  <c r="A521" i="11"/>
  <c r="A509" i="11"/>
  <c r="A497" i="11"/>
  <c r="A485" i="11"/>
  <c r="A473" i="11"/>
  <c r="A461" i="11"/>
  <c r="A449" i="11"/>
  <c r="A437" i="11"/>
  <c r="A425" i="11"/>
  <c r="A413" i="11"/>
  <c r="A401" i="11"/>
  <c r="A389" i="11"/>
  <c r="A377" i="11"/>
  <c r="A365" i="11"/>
  <c r="A353" i="11"/>
  <c r="A341" i="11"/>
  <c r="A329" i="11"/>
  <c r="A317" i="11"/>
  <c r="A305" i="11"/>
  <c r="A293" i="11"/>
  <c r="A281" i="11"/>
  <c r="A269" i="11"/>
  <c r="A257" i="11"/>
  <c r="A2236" i="11"/>
  <c r="A1984" i="11"/>
  <c r="A1777" i="11"/>
  <c r="A1601" i="11"/>
  <c r="A1430" i="11"/>
  <c r="A1255" i="11"/>
  <c r="A1084" i="11"/>
  <c r="A981" i="11"/>
  <c r="A904" i="11"/>
  <c r="A856" i="11"/>
  <c r="A812" i="11"/>
  <c r="A772" i="11"/>
  <c r="A736" i="11"/>
  <c r="A700" i="11"/>
  <c r="A664" i="11"/>
  <c r="A628" i="11"/>
  <c r="A592" i="11"/>
  <c r="A556" i="11"/>
  <c r="A528" i="11"/>
  <c r="A500" i="11"/>
  <c r="A471" i="11"/>
  <c r="A442" i="11"/>
  <c r="A412" i="11"/>
  <c r="A384" i="11"/>
  <c r="A356" i="11"/>
  <c r="A327" i="11"/>
  <c r="A298" i="11"/>
  <c r="A274" i="11"/>
  <c r="A251" i="11"/>
  <c r="A233" i="11"/>
  <c r="A217" i="11"/>
  <c r="A202" i="11"/>
  <c r="A188" i="11"/>
  <c r="A173" i="11"/>
  <c r="A159" i="11"/>
  <c r="A144" i="11"/>
  <c r="A130" i="11"/>
  <c r="A116" i="11"/>
  <c r="A101" i="11"/>
  <c r="A87" i="11"/>
  <c r="A72" i="11"/>
  <c r="A58" i="11"/>
  <c r="A44" i="11"/>
  <c r="A29" i="11"/>
  <c r="A15" i="11"/>
  <c r="A2233" i="11"/>
  <c r="A1982" i="11"/>
  <c r="A1771" i="11"/>
  <c r="A1600" i="11"/>
  <c r="A1429" i="11"/>
  <c r="A1253" i="11"/>
  <c r="A1082" i="11"/>
  <c r="A980" i="11"/>
  <c r="A902" i="11"/>
  <c r="A854" i="11"/>
  <c r="A811" i="11"/>
  <c r="A771" i="11"/>
  <c r="A735" i="11"/>
  <c r="A699" i="11"/>
  <c r="A663" i="11"/>
  <c r="A627" i="11"/>
  <c r="A591" i="11"/>
  <c r="A555" i="11"/>
  <c r="A526" i="11"/>
  <c r="A496" i="11"/>
  <c r="A468" i="11"/>
  <c r="A440" i="11"/>
  <c r="A411" i="11"/>
  <c r="A382" i="11"/>
  <c r="A352" i="11"/>
  <c r="A324" i="11"/>
  <c r="A296" i="11"/>
  <c r="A272" i="11"/>
  <c r="A250" i="11"/>
  <c r="A232" i="11"/>
  <c r="A216" i="11"/>
  <c r="A201" i="11"/>
  <c r="A186" i="11"/>
  <c r="A172" i="11"/>
  <c r="A157" i="11"/>
  <c r="A143" i="11"/>
  <c r="A129" i="11"/>
  <c r="A114" i="11"/>
  <c r="A100" i="11"/>
  <c r="A85" i="11"/>
  <c r="A71" i="11"/>
  <c r="A57" i="11"/>
  <c r="A42" i="11"/>
  <c r="A28" i="11"/>
  <c r="A13" i="11"/>
  <c r="A2173" i="11"/>
  <c r="A1948" i="11"/>
  <c r="A1745" i="11"/>
  <c r="A1574" i="11"/>
  <c r="A1399" i="11"/>
  <c r="A1228" i="11"/>
  <c r="A1070" i="11"/>
  <c r="A973" i="11"/>
  <c r="A895" i="11"/>
  <c r="A848" i="11"/>
  <c r="A805" i="11"/>
  <c r="A766" i="11"/>
  <c r="A730" i="11"/>
  <c r="A694" i="11"/>
  <c r="A658" i="11"/>
  <c r="A622" i="11"/>
  <c r="A586" i="11"/>
  <c r="A552" i="11"/>
  <c r="A524" i="11"/>
  <c r="A495" i="11"/>
  <c r="A466" i="11"/>
  <c r="A436" i="11"/>
  <c r="A408" i="11"/>
  <c r="A380" i="11"/>
  <c r="A351" i="11"/>
  <c r="A322" i="11"/>
  <c r="A292" i="11"/>
  <c r="A268" i="11"/>
  <c r="A248" i="11"/>
  <c r="A231" i="11"/>
  <c r="A215" i="11"/>
  <c r="A200" i="11"/>
  <c r="A185" i="11"/>
  <c r="A171" i="11"/>
  <c r="A156" i="11"/>
  <c r="A142" i="11"/>
  <c r="A128" i="11"/>
  <c r="A113" i="11"/>
  <c r="A99" i="11"/>
  <c r="A84" i="11"/>
  <c r="A70" i="11"/>
  <c r="A56" i="11"/>
  <c r="A41" i="11"/>
  <c r="A27" i="11"/>
  <c r="A12" i="11"/>
  <c r="A2165" i="11"/>
  <c r="A1946" i="11"/>
  <c r="A1744" i="11"/>
  <c r="A2128" i="11"/>
  <c r="A1912" i="11"/>
  <c r="A1718" i="11"/>
  <c r="A1543" i="11"/>
  <c r="A1372" i="11"/>
  <c r="A1201" i="11"/>
  <c r="A1051" i="11"/>
  <c r="A961" i="11"/>
  <c r="A885" i="11"/>
  <c r="A841" i="11"/>
  <c r="A798" i="11"/>
  <c r="A760" i="11"/>
  <c r="A724" i="11"/>
  <c r="A688" i="11"/>
  <c r="A652" i="11"/>
  <c r="A616" i="11"/>
  <c r="A580" i="11"/>
  <c r="A548" i="11"/>
  <c r="A519" i="11"/>
  <c r="A490" i="11"/>
  <c r="A460" i="11"/>
  <c r="A432" i="11"/>
  <c r="A404" i="11"/>
  <c r="A375" i="11"/>
  <c r="A346" i="11"/>
  <c r="A316" i="11"/>
  <c r="A288" i="11"/>
  <c r="A264" i="11"/>
  <c r="A245" i="11"/>
  <c r="A228" i="11"/>
  <c r="A212" i="11"/>
  <c r="A197" i="11"/>
  <c r="A183" i="11"/>
  <c r="A168" i="11"/>
  <c r="A154" i="11"/>
  <c r="A140" i="11"/>
  <c r="A125" i="11"/>
  <c r="A111" i="11"/>
  <c r="A96" i="11"/>
  <c r="A82" i="11"/>
  <c r="A68" i="11"/>
  <c r="A53" i="11"/>
  <c r="A39" i="11"/>
  <c r="A24" i="11"/>
  <c r="A10" i="11"/>
  <c r="A2126" i="11"/>
  <c r="A1910" i="11"/>
  <c r="A1717" i="11"/>
  <c r="A1541" i="11"/>
  <c r="A1370" i="11"/>
  <c r="A1195" i="11"/>
  <c r="A1039" i="11"/>
  <c r="A952" i="11"/>
  <c r="A884" i="11"/>
  <c r="A840" i="11"/>
  <c r="A797" i="11"/>
  <c r="A759" i="11"/>
  <c r="A723" i="11"/>
  <c r="A687" i="11"/>
  <c r="A651" i="11"/>
  <c r="A615" i="11"/>
  <c r="A579" i="11"/>
  <c r="A544" i="11"/>
  <c r="A516" i="11"/>
  <c r="A488" i="11"/>
  <c r="A459" i="11"/>
  <c r="A430" i="11"/>
  <c r="A400" i="11"/>
  <c r="A372" i="11"/>
  <c r="A344" i="11"/>
  <c r="A315" i="11"/>
  <c r="A287" i="11"/>
  <c r="A263" i="11"/>
  <c r="A244" i="11"/>
  <c r="A227" i="11"/>
  <c r="A210" i="11"/>
  <c r="A196" i="11"/>
  <c r="A181" i="11"/>
  <c r="A167" i="11"/>
  <c r="A153" i="11"/>
  <c r="A138" i="11"/>
  <c r="A2092" i="11"/>
  <c r="A1876" i="11"/>
  <c r="A1687" i="11"/>
  <c r="A1516" i="11"/>
  <c r="A1345" i="11"/>
  <c r="A1169" i="11"/>
  <c r="A1025" i="11"/>
  <c r="A941" i="11"/>
  <c r="A877" i="11"/>
  <c r="A834" i="11"/>
  <c r="A790" i="11"/>
  <c r="A754" i="11"/>
  <c r="A718" i="11"/>
  <c r="A682" i="11"/>
  <c r="A646" i="11"/>
  <c r="A610" i="11"/>
  <c r="A574" i="11"/>
  <c r="A543" i="11"/>
  <c r="A514" i="11"/>
  <c r="A484" i="11"/>
  <c r="A456" i="11"/>
  <c r="A428" i="11"/>
  <c r="A399" i="11"/>
  <c r="A370" i="11"/>
  <c r="A340" i="11"/>
  <c r="A312" i="11"/>
  <c r="A286" i="11"/>
  <c r="A262" i="11"/>
  <c r="A243" i="11"/>
  <c r="A226" i="11"/>
  <c r="A209" i="11"/>
  <c r="A195" i="11"/>
  <c r="A180" i="11"/>
  <c r="A166" i="11"/>
  <c r="A152" i="11"/>
  <c r="A137" i="11"/>
  <c r="A123" i="11"/>
  <c r="A108" i="11"/>
  <c r="A94" i="11"/>
  <c r="A80" i="11"/>
  <c r="A65" i="11"/>
  <c r="A51" i="11"/>
  <c r="A36" i="11"/>
  <c r="A22" i="11"/>
  <c r="A8" i="11"/>
  <c r="A2090" i="11"/>
  <c r="A1874" i="11"/>
  <c r="A1685" i="11"/>
  <c r="A1514" i="11"/>
  <c r="A1339" i="11"/>
  <c r="A1168" i="11"/>
  <c r="A1024" i="11"/>
  <c r="A940" i="11"/>
  <c r="A874" i="11"/>
  <c r="A832" i="11"/>
  <c r="A788" i="11"/>
  <c r="A752" i="11"/>
  <c r="A716" i="11"/>
  <c r="A680" i="11"/>
  <c r="A644" i="11"/>
  <c r="A608" i="11"/>
  <c r="A572" i="11"/>
  <c r="A540" i="11"/>
  <c r="A512" i="11"/>
  <c r="A483" i="11"/>
  <c r="A454" i="11"/>
  <c r="A424" i="11"/>
  <c r="A396" i="11"/>
  <c r="A368" i="11"/>
  <c r="A339" i="11"/>
  <c r="A310" i="11"/>
  <c r="A284" i="11"/>
  <c r="A260" i="11"/>
  <c r="A240" i="11"/>
  <c r="A224" i="11"/>
  <c r="A208" i="11"/>
  <c r="A193" i="11"/>
  <c r="A179" i="11"/>
  <c r="A165" i="11"/>
  <c r="A150" i="11"/>
  <c r="A136" i="11"/>
  <c r="A121" i="11"/>
  <c r="A107" i="11"/>
  <c r="A93" i="11"/>
  <c r="A78" i="11"/>
  <c r="A64" i="11"/>
  <c r="A49" i="11"/>
  <c r="A35" i="11"/>
  <c r="A21" i="11"/>
  <c r="A6" i="11"/>
  <c r="A2056" i="11"/>
  <c r="A1840" i="11"/>
  <c r="A1660" i="11"/>
  <c r="A1489" i="11"/>
  <c r="A1313" i="11"/>
  <c r="A1142" i="11"/>
  <c r="A1013" i="11"/>
  <c r="A931" i="11"/>
  <c r="A870" i="11"/>
  <c r="A826" i="11"/>
  <c r="A784" i="11"/>
  <c r="A748" i="11"/>
  <c r="A712" i="11"/>
  <c r="A676" i="11"/>
  <c r="A640" i="11"/>
  <c r="A604" i="11"/>
  <c r="A568" i="11"/>
  <c r="A538" i="11"/>
  <c r="A508" i="11"/>
  <c r="A480" i="11"/>
  <c r="A452" i="11"/>
  <c r="A423" i="11"/>
  <c r="A394" i="11"/>
  <c r="A364" i="11"/>
  <c r="A336" i="11"/>
  <c r="A308" i="11"/>
  <c r="A280" i="11"/>
  <c r="A258" i="11"/>
  <c r="A239" i="11"/>
  <c r="A222" i="11"/>
  <c r="A207" i="11"/>
  <c r="A192" i="11"/>
  <c r="A178" i="11"/>
  <c r="A164" i="11"/>
  <c r="A149" i="11"/>
  <c r="A135" i="11"/>
  <c r="A120" i="11"/>
  <c r="A106" i="11"/>
  <c r="A92" i="11"/>
  <c r="A77" i="11"/>
  <c r="A63" i="11"/>
  <c r="A48" i="11"/>
  <c r="A34" i="11"/>
  <c r="A20" i="11"/>
  <c r="A5" i="11"/>
  <c r="A2054" i="11"/>
  <c r="A1838" i="11"/>
  <c r="A1658" i="11"/>
  <c r="A1483" i="11"/>
  <c r="A1312" i="11"/>
  <c r="A1141" i="11"/>
  <c r="A1003" i="11"/>
  <c r="A921" i="11"/>
  <c r="A869" i="11"/>
  <c r="A825" i="11"/>
  <c r="A783" i="11"/>
  <c r="A747" i="11"/>
  <c r="A711" i="11"/>
  <c r="A675" i="11"/>
  <c r="A639" i="11"/>
  <c r="A603" i="11"/>
  <c r="A567" i="11"/>
  <c r="A536" i="11"/>
  <c r="A507" i="11"/>
  <c r="A478" i="11"/>
  <c r="A448" i="11"/>
  <c r="A420" i="11"/>
  <c r="A392" i="11"/>
  <c r="A363" i="11"/>
  <c r="A334" i="11"/>
  <c r="A304" i="11"/>
  <c r="A279" i="11"/>
  <c r="A256" i="11"/>
  <c r="A238" i="11"/>
  <c r="A221" i="11"/>
  <c r="A205" i="11"/>
  <c r="A191" i="11"/>
  <c r="A177" i="11"/>
  <c r="A162" i="11"/>
  <c r="A148" i="11"/>
  <c r="A133" i="11"/>
  <c r="A119" i="11"/>
  <c r="A105" i="11"/>
  <c r="A90" i="11"/>
  <c r="A76" i="11"/>
  <c r="A61" i="11"/>
  <c r="A47" i="11"/>
  <c r="A33" i="11"/>
  <c r="A18" i="11"/>
  <c r="A2020" i="11"/>
  <c r="A1226" i="11"/>
  <c r="A846" i="11"/>
  <c r="A692" i="11"/>
  <c r="A550" i="11"/>
  <c r="A435" i="11"/>
  <c r="A320" i="11"/>
  <c r="A229" i="11"/>
  <c r="A169" i="11"/>
  <c r="A117" i="11"/>
  <c r="A73" i="11"/>
  <c r="A30" i="11"/>
  <c r="A2018" i="11"/>
  <c r="A1111" i="11"/>
  <c r="A820" i="11"/>
  <c r="A670" i="11"/>
  <c r="A532" i="11"/>
  <c r="A418" i="11"/>
  <c r="A303" i="11"/>
  <c r="A220" i="11"/>
  <c r="A161" i="11"/>
  <c r="A112" i="11"/>
  <c r="A69" i="11"/>
  <c r="A25" i="11"/>
  <c r="A1804" i="11"/>
  <c r="A1109" i="11"/>
  <c r="A817" i="11"/>
  <c r="A668" i="11"/>
  <c r="A531" i="11"/>
  <c r="A416" i="11"/>
  <c r="A300" i="11"/>
  <c r="A219" i="11"/>
  <c r="A160" i="11"/>
  <c r="A109" i="11"/>
  <c r="A66" i="11"/>
  <c r="A23" i="11"/>
  <c r="A1802" i="11"/>
  <c r="A1057" i="11"/>
  <c r="A802" i="11"/>
  <c r="A656" i="11"/>
  <c r="A520" i="11"/>
  <c r="A406" i="11"/>
  <c r="A291" i="11"/>
  <c r="A214" i="11"/>
  <c r="A155" i="11"/>
  <c r="A104" i="11"/>
  <c r="A60" i="11"/>
  <c r="A17" i="11"/>
  <c r="A1633" i="11"/>
  <c r="A1001" i="11"/>
  <c r="A778" i="11"/>
  <c r="A634" i="11"/>
  <c r="A504" i="11"/>
  <c r="A388" i="11"/>
  <c r="A276" i="11"/>
  <c r="A204" i="11"/>
  <c r="A147" i="11"/>
  <c r="A102" i="11"/>
  <c r="A59" i="11"/>
  <c r="A16" i="11"/>
  <c r="A1627" i="11"/>
  <c r="A992" i="11"/>
  <c r="A776" i="11"/>
  <c r="A632" i="11"/>
  <c r="A502" i="11"/>
  <c r="A387" i="11"/>
  <c r="A275" i="11"/>
  <c r="A203" i="11"/>
  <c r="A145" i="11"/>
  <c r="A97" i="11"/>
  <c r="A54" i="11"/>
  <c r="A11" i="11"/>
  <c r="A1573" i="11"/>
  <c r="A962" i="11"/>
  <c r="A764" i="11"/>
  <c r="A620" i="11"/>
  <c r="A492" i="11"/>
  <c r="A376" i="11"/>
  <c r="A267" i="11"/>
  <c r="A198" i="11"/>
  <c r="A141" i="11"/>
  <c r="A95" i="11"/>
  <c r="A52" i="11"/>
  <c r="A9" i="11"/>
  <c r="A1457" i="11"/>
  <c r="A920" i="11"/>
  <c r="A742" i="11"/>
  <c r="A598" i="11"/>
  <c r="A476" i="11"/>
  <c r="A360" i="11"/>
  <c r="A255" i="11"/>
  <c r="A190" i="11"/>
  <c r="A132" i="11"/>
  <c r="A89" i="11"/>
  <c r="A46" i="11"/>
  <c r="A1397" i="11"/>
  <c r="A892" i="11"/>
  <c r="A728" i="11"/>
  <c r="A584" i="11"/>
  <c r="A464" i="11"/>
  <c r="A348" i="11"/>
  <c r="A246" i="11"/>
  <c r="A184" i="11"/>
  <c r="A126" i="11"/>
  <c r="A83" i="11"/>
  <c r="A40" i="11"/>
  <c r="A1456" i="11"/>
  <c r="A472" i="11"/>
  <c r="A131" i="11"/>
  <c r="A1286" i="11"/>
  <c r="A447" i="11"/>
  <c r="A124" i="11"/>
  <c r="A1285" i="11"/>
  <c r="A444" i="11"/>
  <c r="A118" i="11"/>
  <c r="A913" i="11"/>
  <c r="A358" i="11"/>
  <c r="A88" i="11"/>
  <c r="A862" i="11"/>
  <c r="A332" i="11"/>
  <c r="A81" i="11"/>
  <c r="A860" i="11"/>
  <c r="A328" i="11"/>
  <c r="A75" i="11"/>
  <c r="A740" i="11"/>
  <c r="A252" i="11"/>
  <c r="A45" i="11"/>
  <c r="A706" i="11"/>
  <c r="A236" i="11"/>
  <c r="A37" i="11"/>
  <c r="A704" i="11"/>
  <c r="A234" i="11"/>
  <c r="A32" i="11"/>
  <c r="A596" i="11"/>
  <c r="A189" i="11"/>
  <c r="A560" i="11"/>
  <c r="A174" i="11"/>
  <c r="A562" i="11"/>
  <c r="A176" i="11"/>
  <c r="C73" i="7" l="1"/>
  <c r="F138" i="4"/>
  <c r="C71" i="7"/>
  <c r="F20" i="4"/>
  <c r="C110" i="7"/>
  <c r="F1871" i="3"/>
  <c r="F1300" i="3"/>
  <c r="F1076" i="3"/>
  <c r="F150" i="3"/>
  <c r="C22" i="4"/>
  <c r="V1946" i="3" s="1"/>
  <c r="B93" i="6"/>
  <c r="C224" i="7"/>
  <c r="A46" i="9"/>
  <c r="I11" i="9"/>
  <c r="I12" i="9"/>
  <c r="E5" i="9"/>
  <c r="F4" i="9"/>
  <c r="F3" i="9"/>
  <c r="F8" i="9"/>
  <c r="G6" i="9"/>
  <c r="E66" i="4"/>
  <c r="V1805" i="3"/>
  <c r="V2068" i="3"/>
  <c r="V1794" i="3"/>
  <c r="V1941" i="3"/>
  <c r="E44" i="4"/>
  <c r="V2011" i="3"/>
  <c r="V1797" i="3"/>
  <c r="E81" i="4"/>
  <c r="V1646" i="3"/>
  <c r="V1811" i="3"/>
  <c r="V1791" i="3"/>
  <c r="V1688" i="3"/>
  <c r="V1800" i="3"/>
  <c r="V1814" i="3"/>
  <c r="V1691" i="3"/>
  <c r="V1262" i="3"/>
  <c r="V870" i="3"/>
  <c r="V589" i="3"/>
  <c r="V584" i="3"/>
  <c r="V876" i="3"/>
  <c r="V869" i="3"/>
  <c r="V564" i="3"/>
  <c r="V587" i="3"/>
  <c r="V880" i="3"/>
  <c r="V557" i="3"/>
  <c r="V575" i="3"/>
  <c r="V580" i="3"/>
  <c r="V554" i="3"/>
  <c r="X1167" i="1"/>
  <c r="O1167" i="1"/>
  <c r="B1167" i="1"/>
  <c r="O1007" i="1"/>
  <c r="B1007" i="1"/>
  <c r="X423" i="1"/>
  <c r="X317" i="1"/>
  <c r="O423" i="1"/>
  <c r="O317" i="1"/>
  <c r="B423" i="1"/>
  <c r="B317" i="1"/>
  <c r="C27" i="4"/>
  <c r="B95" i="6"/>
  <c r="D34" i="5"/>
  <c r="C226" i="7"/>
  <c r="O1994" i="3" s="1"/>
  <c r="J9" i="5"/>
  <c r="F1" i="3"/>
  <c r="C49" i="4"/>
  <c r="V686" i="3" s="1"/>
  <c r="C261" i="7"/>
  <c r="H32" i="6"/>
  <c r="P320" i="2"/>
  <c r="P177" i="2"/>
  <c r="P179" i="2"/>
  <c r="P131" i="2"/>
  <c r="P152" i="2"/>
  <c r="P178" i="2"/>
  <c r="P130" i="2"/>
  <c r="P323" i="2"/>
  <c r="B9" i="1"/>
  <c r="O11" i="1"/>
  <c r="C387" i="7"/>
  <c r="B136" i="6"/>
  <c r="H11" i="5"/>
  <c r="P390" i="2"/>
  <c r="P372" i="2"/>
  <c r="P355" i="2"/>
  <c r="P311" i="2"/>
  <c r="P391" i="2"/>
  <c r="B34" i="1"/>
  <c r="O38" i="1"/>
  <c r="B138" i="6"/>
  <c r="C389" i="7"/>
  <c r="N16" i="5"/>
  <c r="P425" i="2"/>
  <c r="P424" i="2"/>
  <c r="P426" i="2"/>
  <c r="P148" i="2"/>
  <c r="P32" i="2"/>
  <c r="P80" i="2"/>
  <c r="P75" i="2"/>
  <c r="P70" i="2"/>
  <c r="P33" i="2"/>
  <c r="O207" i="1"/>
  <c r="B207" i="1"/>
  <c r="C443" i="7"/>
  <c r="B15" i="5"/>
  <c r="B190" i="6"/>
  <c r="B1544" i="3"/>
  <c r="P264" i="2"/>
  <c r="P251" i="2"/>
  <c r="P63" i="2"/>
  <c r="P265" i="2"/>
  <c r="P257" i="2"/>
  <c r="O838" i="1"/>
  <c r="B832" i="1"/>
  <c r="C139" i="2"/>
  <c r="P407" i="2"/>
  <c r="B861" i="1"/>
  <c r="O860" i="1"/>
  <c r="C140" i="2"/>
  <c r="B1857" i="3"/>
  <c r="P373" i="2"/>
  <c r="P30" i="2"/>
  <c r="P61" i="2"/>
  <c r="P68" i="2"/>
  <c r="P137" i="2"/>
  <c r="B1034" i="1"/>
  <c r="P62" i="2"/>
  <c r="O1038" i="1"/>
  <c r="C310" i="2"/>
  <c r="A85" i="9"/>
  <c r="I6" i="9"/>
  <c r="D3" i="9"/>
  <c r="V1837" i="3"/>
  <c r="V1468" i="3"/>
  <c r="V1415" i="3"/>
  <c r="V1399" i="3"/>
  <c r="V1412" i="3"/>
  <c r="V1407" i="3"/>
  <c r="V1485" i="3"/>
  <c r="V1423" i="3"/>
  <c r="V1392" i="3"/>
  <c r="V1405" i="3"/>
  <c r="V1427" i="3"/>
  <c r="V636" i="3"/>
  <c r="V630" i="3"/>
  <c r="V622" i="3"/>
  <c r="V649" i="3"/>
  <c r="V633" i="3"/>
  <c r="O1054" i="1"/>
  <c r="V607" i="3"/>
  <c r="B1054" i="1"/>
  <c r="X871" i="1"/>
  <c r="O871" i="1"/>
  <c r="B871" i="1"/>
  <c r="B815" i="1"/>
  <c r="O815" i="1"/>
  <c r="O363" i="1"/>
  <c r="B363" i="1"/>
  <c r="C39" i="4"/>
  <c r="B311" i="3"/>
  <c r="N30" i="5"/>
  <c r="B120" i="4"/>
  <c r="B1744" i="3"/>
  <c r="T976" i="1"/>
  <c r="O976" i="1"/>
  <c r="C97" i="7"/>
  <c r="F1050" i="3" s="1"/>
  <c r="C248" i="7"/>
  <c r="J444" i="2" s="1"/>
  <c r="K737" i="1" s="1"/>
  <c r="H20" i="6"/>
  <c r="B169" i="6"/>
  <c r="N63" i="5"/>
  <c r="B65" i="5"/>
  <c r="C421" i="7"/>
  <c r="D1091" i="3" s="1"/>
  <c r="H63" i="5"/>
  <c r="D42" i="5"/>
  <c r="C251" i="2"/>
  <c r="V1504" i="3"/>
  <c r="V1498" i="3"/>
  <c r="D1" i="3"/>
  <c r="V847" i="3"/>
  <c r="Z835" i="1"/>
  <c r="C53" i="4"/>
  <c r="V679" i="3" s="1"/>
  <c r="D58" i="5"/>
  <c r="B36" i="4"/>
  <c r="B475" i="3"/>
  <c r="T235" i="1"/>
  <c r="O235" i="1"/>
  <c r="A130" i="4"/>
  <c r="A1868" i="3"/>
  <c r="A1080" i="1"/>
  <c r="C112" i="7"/>
  <c r="F336" i="3" s="1"/>
  <c r="C264" i="7"/>
  <c r="F1395" i="3" s="1"/>
  <c r="H34" i="6"/>
  <c r="B197" i="6"/>
  <c r="B14" i="5"/>
  <c r="C451" i="7"/>
  <c r="D286" i="3" s="1"/>
  <c r="D13" i="5"/>
  <c r="C311" i="2"/>
  <c r="C70" i="4"/>
  <c r="B704" i="3"/>
  <c r="O347" i="1"/>
  <c r="B335" i="1"/>
  <c r="P129" i="2"/>
  <c r="O1189" i="1"/>
  <c r="P128" i="2"/>
  <c r="B1186" i="1"/>
  <c r="C135" i="7"/>
  <c r="V1249" i="3" s="1"/>
  <c r="B3" i="6"/>
  <c r="B6" i="6"/>
  <c r="C286" i="7"/>
  <c r="H57" i="6"/>
  <c r="N12" i="5"/>
  <c r="C495" i="7"/>
  <c r="F61" i="3" s="1"/>
  <c r="H164" i="6"/>
  <c r="D16" i="5"/>
  <c r="C432" i="2"/>
  <c r="C546" i="1" s="1"/>
  <c r="B939" i="1"/>
  <c r="B446" i="1"/>
  <c r="B792" i="1"/>
  <c r="B628" i="1"/>
  <c r="B296" i="1"/>
  <c r="B1083" i="1"/>
  <c r="B8" i="1"/>
  <c r="B148" i="1"/>
  <c r="C83" i="4"/>
  <c r="P292" i="2"/>
  <c r="P342" i="2"/>
  <c r="P467" i="2"/>
  <c r="P337" i="2"/>
  <c r="P232" i="2"/>
  <c r="P335" i="2"/>
  <c r="P231" i="2"/>
  <c r="B430" i="1"/>
  <c r="O424" i="1"/>
  <c r="O430" i="1"/>
  <c r="B424" i="1"/>
  <c r="C8" i="7"/>
  <c r="F482" i="3" s="1"/>
  <c r="C148" i="7"/>
  <c r="B18" i="6"/>
  <c r="C299" i="7"/>
  <c r="D1668" i="3" s="1"/>
  <c r="H69" i="6"/>
  <c r="P5" i="5"/>
  <c r="C528" i="7"/>
  <c r="B77" i="5"/>
  <c r="P54" i="5"/>
  <c r="H20" i="5"/>
  <c r="B49" i="5"/>
  <c r="L19" i="5"/>
  <c r="N26" i="5"/>
  <c r="C507" i="2"/>
  <c r="B999" i="1"/>
  <c r="B900" i="1"/>
  <c r="B960" i="1"/>
  <c r="B812" i="1"/>
  <c r="B418" i="1"/>
  <c r="B119" i="1"/>
  <c r="B67" i="1"/>
  <c r="B760" i="1"/>
  <c r="B584" i="1"/>
  <c r="B203" i="1"/>
  <c r="C84" i="4"/>
  <c r="A58" i="4"/>
  <c r="A906" i="3"/>
  <c r="A443" i="1"/>
  <c r="C10" i="7"/>
  <c r="F699" i="3" s="1"/>
  <c r="C150" i="7"/>
  <c r="B20" i="6"/>
  <c r="H72" i="6"/>
  <c r="C538" i="7"/>
  <c r="F1418" i="3" s="1"/>
  <c r="C67" i="8"/>
  <c r="C82" i="8"/>
  <c r="N278" i="2" s="1"/>
  <c r="C23" i="8"/>
  <c r="C41" i="8"/>
  <c r="B1148" i="1"/>
  <c r="B1094" i="1"/>
  <c r="B478" i="1"/>
  <c r="B739" i="1"/>
  <c r="B532" i="1"/>
  <c r="B474" i="1"/>
  <c r="B717" i="1"/>
  <c r="B284" i="1"/>
  <c r="B708" i="1"/>
  <c r="B125" i="1"/>
  <c r="C104" i="4"/>
  <c r="V1533" i="3" s="1"/>
  <c r="P308" i="2"/>
  <c r="P162" i="2"/>
  <c r="P85" i="2"/>
  <c r="P369" i="2"/>
  <c r="P161" i="2"/>
  <c r="B568" i="1"/>
  <c r="O570" i="1"/>
  <c r="C27" i="7"/>
  <c r="C173" i="7"/>
  <c r="B43" i="6"/>
  <c r="C326" i="7"/>
  <c r="H96" i="6"/>
  <c r="N35" i="5"/>
  <c r="F51" i="7"/>
  <c r="D665" i="3" s="1"/>
  <c r="B899" i="3"/>
  <c r="F2056" i="3"/>
  <c r="F2026" i="3"/>
  <c r="F1958" i="3"/>
  <c r="F1938" i="3"/>
  <c r="F1923" i="3"/>
  <c r="F1876" i="3"/>
  <c r="F1865" i="3"/>
  <c r="F1975" i="3"/>
  <c r="F1946" i="3"/>
  <c r="F1910" i="3"/>
  <c r="F2086" i="3"/>
  <c r="F2079" i="3"/>
  <c r="F1966" i="3"/>
  <c r="F1934" i="3"/>
  <c r="F1901" i="3"/>
  <c r="F1897" i="3"/>
  <c r="F2029" i="3"/>
  <c r="F2017" i="3"/>
  <c r="F2000" i="3"/>
  <c r="F1854" i="3"/>
  <c r="F1838" i="3"/>
  <c r="F2091" i="3"/>
  <c r="F2054" i="3"/>
  <c r="F2024" i="3"/>
  <c r="F1991" i="3"/>
  <c r="F1986" i="3"/>
  <c r="F1794" i="3"/>
  <c r="F2003" i="3"/>
  <c r="F1858" i="3"/>
  <c r="F1977" i="3"/>
  <c r="F1956" i="3"/>
  <c r="F1948" i="3"/>
  <c r="F1917" i="3"/>
  <c r="F2095" i="3"/>
  <c r="F1973" i="3"/>
  <c r="F1954" i="3"/>
  <c r="F1814" i="3"/>
  <c r="F1808" i="3"/>
  <c r="F1784" i="3"/>
  <c r="F1691" i="3"/>
  <c r="F1671" i="3"/>
  <c r="F1610" i="3"/>
  <c r="F1497" i="3"/>
  <c r="F1461" i="3"/>
  <c r="F1830" i="3"/>
  <c r="F1788" i="3"/>
  <c r="F1703" i="3"/>
  <c r="F1680" i="3"/>
  <c r="F1639" i="3"/>
  <c r="F1599" i="3"/>
  <c r="F1377" i="3"/>
  <c r="F1951" i="3"/>
  <c r="F1861" i="3"/>
  <c r="F1759" i="3"/>
  <c r="F1694" i="3"/>
  <c r="F1658" i="3"/>
  <c r="F1651" i="3"/>
  <c r="F1613" i="3"/>
  <c r="F1590" i="3"/>
  <c r="F1535" i="3"/>
  <c r="F1504" i="3"/>
  <c r="F1452" i="3"/>
  <c r="F1440" i="3"/>
  <c r="F1324" i="3"/>
  <c r="F1803" i="3"/>
  <c r="F1740" i="3"/>
  <c r="F1713" i="3"/>
  <c r="F1548" i="3"/>
  <c r="F1962" i="3"/>
  <c r="F1873" i="3"/>
  <c r="F1825" i="3"/>
  <c r="F1706" i="3"/>
  <c r="F1797" i="3"/>
  <c r="F1786" i="3"/>
  <c r="F1734" i="3"/>
  <c r="F1682" i="3"/>
  <c r="F1646" i="3"/>
  <c r="F1935" i="3"/>
  <c r="F1716" i="3"/>
  <c r="F1697" i="3"/>
  <c r="F1685" i="3"/>
  <c r="F1669" i="3"/>
  <c r="F1653" i="3"/>
  <c r="F1607" i="3"/>
  <c r="F1881" i="3"/>
  <c r="F1811" i="3"/>
  <c r="F1625" i="3"/>
  <c r="F2006" i="3"/>
  <c r="F1805" i="3"/>
  <c r="F1748" i="3"/>
  <c r="F1677" i="3"/>
  <c r="F1672" i="3"/>
  <c r="F2082" i="3"/>
  <c r="F1755" i="3"/>
  <c r="F1688" i="3"/>
  <c r="F1664" i="3"/>
  <c r="F1569" i="3"/>
  <c r="F2019" i="3"/>
  <c r="F1719" i="3"/>
  <c r="F1684" i="3"/>
  <c r="F1655" i="3"/>
  <c r="F1629" i="3"/>
  <c r="F1587" i="3"/>
  <c r="F1433" i="3"/>
  <c r="F1310" i="3"/>
  <c r="F1305" i="3"/>
  <c r="F1498" i="3"/>
  <c r="F1486" i="3"/>
  <c r="F1362" i="3"/>
  <c r="F1182" i="3"/>
  <c r="F1984" i="3"/>
  <c r="F1545" i="3"/>
  <c r="F1458" i="3"/>
  <c r="F1165" i="3"/>
  <c r="F1968" i="3"/>
  <c r="F1503" i="3"/>
  <c r="F1351" i="3"/>
  <c r="F1249" i="3"/>
  <c r="F1221" i="3"/>
  <c r="F1194" i="3"/>
  <c r="F1446" i="3"/>
  <c r="F1412" i="3"/>
  <c r="F1407" i="3"/>
  <c r="F1389" i="3"/>
  <c r="F1318" i="3"/>
  <c r="F1265" i="3"/>
  <c r="F1176" i="3"/>
  <c r="F1943" i="3"/>
  <c r="F1468" i="3"/>
  <c r="F1355" i="3"/>
  <c r="F1234" i="3"/>
  <c r="F1189" i="3"/>
  <c r="F1172" i="3"/>
  <c r="F1160" i="3"/>
  <c r="F1423" i="3"/>
  <c r="F1380" i="3"/>
  <c r="F1307" i="3"/>
  <c r="F1299" i="3"/>
  <c r="F1558" i="3"/>
  <c r="F1312" i="3"/>
  <c r="F1903" i="3"/>
  <c r="F1566" i="3"/>
  <c r="F1501" i="3"/>
  <c r="F1402" i="3"/>
  <c r="F1255" i="3"/>
  <c r="F2076" i="3"/>
  <c r="F1737" i="3"/>
  <c r="F1500" i="3"/>
  <c r="F1466" i="3"/>
  <c r="F1397" i="3"/>
  <c r="F1374" i="3"/>
  <c r="F1358" i="3"/>
  <c r="F1354" i="3"/>
  <c r="F1336" i="3"/>
  <c r="F1332" i="3"/>
  <c r="F1321" i="3"/>
  <c r="F1294" i="3"/>
  <c r="F1268" i="3"/>
  <c r="F1224" i="3"/>
  <c r="F1174" i="3"/>
  <c r="F1100" i="3"/>
  <c r="F1055" i="3"/>
  <c r="F991" i="3"/>
  <c r="F975" i="3"/>
  <c r="F933" i="3"/>
  <c r="F895" i="3"/>
  <c r="F876" i="3"/>
  <c r="F862" i="3"/>
  <c r="F815" i="3"/>
  <c r="F790" i="3"/>
  <c r="F749" i="3"/>
  <c r="F734" i="3"/>
  <c r="F999" i="3"/>
  <c r="F795" i="3"/>
  <c r="F779" i="3"/>
  <c r="F768" i="3"/>
  <c r="F743" i="3"/>
  <c r="F1135" i="3"/>
  <c r="F1006" i="3"/>
  <c r="F958" i="3"/>
  <c r="F919" i="3"/>
  <c r="F880" i="3"/>
  <c r="F849" i="3"/>
  <c r="F830" i="3"/>
  <c r="F1068" i="3"/>
  <c r="F1023" i="3"/>
  <c r="F986" i="3"/>
  <c r="F899" i="3"/>
  <c r="F799" i="3"/>
  <c r="F1606" i="3"/>
  <c r="F1538" i="3"/>
  <c r="F1262" i="3"/>
  <c r="F1155" i="3"/>
  <c r="F1146" i="3"/>
  <c r="F1108" i="3"/>
  <c r="F1103" i="3"/>
  <c r="F1090" i="3"/>
  <c r="F1058" i="3"/>
  <c r="F1046" i="3"/>
  <c r="F1037" i="3"/>
  <c r="F1002" i="3"/>
  <c r="F977" i="3"/>
  <c r="F935" i="3"/>
  <c r="F870" i="3"/>
  <c r="F866" i="3"/>
  <c r="F852" i="3"/>
  <c r="F1533" i="3"/>
  <c r="F1071" i="3"/>
  <c r="F1030" i="3"/>
  <c r="F1578" i="3"/>
  <c r="F1066" i="3"/>
  <c r="F1025" i="3"/>
  <c r="F980" i="3"/>
  <c r="F1243" i="3"/>
  <c r="F1232" i="3"/>
  <c r="F1206" i="3"/>
  <c r="F1170" i="3"/>
  <c r="F1149" i="3"/>
  <c r="F1144" i="3"/>
  <c r="F1518" i="3"/>
  <c r="F1162" i="3"/>
  <c r="F1157" i="3"/>
  <c r="F1153" i="3"/>
  <c r="F1138" i="3"/>
  <c r="F1073" i="3"/>
  <c r="F1052" i="3"/>
  <c r="F1004" i="3"/>
  <c r="F953" i="3"/>
  <c r="F847" i="3"/>
  <c r="F662" i="3"/>
  <c r="F616" i="3"/>
  <c r="F597" i="3"/>
  <c r="F557" i="3"/>
  <c r="F498" i="3"/>
  <c r="F461" i="3"/>
  <c r="F444" i="3"/>
  <c r="F361" i="3"/>
  <c r="F189" i="3"/>
  <c r="F941" i="3"/>
  <c r="F717" i="3"/>
  <c r="F702" i="3"/>
  <c r="F686" i="3"/>
  <c r="F627" i="3"/>
  <c r="F574" i="3"/>
  <c r="F452" i="3"/>
  <c r="F439" i="3"/>
  <c r="F379" i="3"/>
  <c r="F343" i="3"/>
  <c r="F314" i="3"/>
  <c r="F1443" i="3"/>
  <c r="F802" i="3"/>
  <c r="F755" i="3"/>
  <c r="F577" i="3"/>
  <c r="F236" i="3"/>
  <c r="F869" i="3"/>
  <c r="F785" i="3"/>
  <c r="F746" i="3"/>
  <c r="F619" i="3"/>
  <c r="F589" i="3"/>
  <c r="F560" i="3"/>
  <c r="F464" i="3"/>
  <c r="F430" i="3"/>
  <c r="F370" i="3"/>
  <c r="F1315" i="3"/>
  <c r="F837" i="3"/>
  <c r="F810" i="3"/>
  <c r="F731" i="3"/>
  <c r="F711" i="3"/>
  <c r="F636" i="3"/>
  <c r="F630" i="3"/>
  <c r="F564" i="3"/>
  <c r="F542" i="3"/>
  <c r="F501" i="3"/>
  <c r="F489" i="3"/>
  <c r="F469" i="3"/>
  <c r="F382" i="3"/>
  <c r="F317" i="3"/>
  <c r="F287" i="3"/>
  <c r="F253" i="3"/>
  <c r="F196" i="3"/>
  <c r="F1410" i="3"/>
  <c r="F1017" i="3"/>
  <c r="F902" i="3"/>
  <c r="F914" i="3"/>
  <c r="F857" i="3"/>
  <c r="F705" i="3"/>
  <c r="F622" i="3"/>
  <c r="F504" i="3"/>
  <c r="F479" i="3"/>
  <c r="F446" i="3"/>
  <c r="F385" i="3"/>
  <c r="F217" i="3"/>
  <c r="F1121" i="3"/>
  <c r="F684" i="3"/>
  <c r="F676" i="3"/>
  <c r="F641" i="3"/>
  <c r="F607" i="3"/>
  <c r="F595" i="3"/>
  <c r="F545" i="3"/>
  <c r="F533" i="3"/>
  <c r="F492" i="3"/>
  <c r="F1271" i="3"/>
  <c r="F1083" i="3"/>
  <c r="F996" i="3"/>
  <c r="F766" i="3"/>
  <c r="F750" i="3"/>
  <c r="F735" i="3"/>
  <c r="F508" i="3"/>
  <c r="F418" i="3"/>
  <c r="F331" i="3"/>
  <c r="F713" i="3"/>
  <c r="F633" i="3"/>
  <c r="F471" i="3"/>
  <c r="F458" i="3"/>
  <c r="F388" i="3"/>
  <c r="F256" i="3"/>
  <c r="F242" i="3"/>
  <c r="F108" i="3"/>
  <c r="F16" i="3"/>
  <c r="F771" i="3"/>
  <c r="F525" i="3"/>
  <c r="F376" i="3"/>
  <c r="F278" i="3"/>
  <c r="F199" i="3"/>
  <c r="F137" i="3"/>
  <c r="F73" i="3"/>
  <c r="F28" i="3"/>
  <c r="F604" i="3"/>
  <c r="F455" i="3"/>
  <c r="F233" i="3"/>
  <c r="F213" i="3"/>
  <c r="F179" i="3"/>
  <c r="F660" i="3"/>
  <c r="F592" i="3"/>
  <c r="F551" i="3"/>
  <c r="F373" i="3"/>
  <c r="F246" i="3"/>
  <c r="F239" i="3"/>
  <c r="F172" i="3"/>
  <c r="F39" i="3"/>
  <c r="F31" i="3"/>
  <c r="F1197" i="3"/>
  <c r="F671" i="3"/>
  <c r="F536" i="3"/>
  <c r="F351" i="3"/>
  <c r="F328" i="3"/>
  <c r="F316" i="3"/>
  <c r="F267" i="3"/>
  <c r="F110" i="3"/>
  <c r="F10" i="3"/>
  <c r="F1028" i="3"/>
  <c r="F668" i="3"/>
  <c r="F395" i="3"/>
  <c r="F289" i="3"/>
  <c r="F230" i="3"/>
  <c r="F211" i="3"/>
  <c r="F118" i="3"/>
  <c r="F47" i="3"/>
  <c r="F925" i="3"/>
  <c r="F854" i="3"/>
  <c r="F822" i="3"/>
  <c r="F727" i="3"/>
  <c r="F573" i="3"/>
  <c r="F297" i="3"/>
  <c r="F203" i="3"/>
  <c r="F34" i="3"/>
  <c r="F722" i="3"/>
  <c r="F653" i="3"/>
  <c r="F449" i="3"/>
  <c r="F422" i="3"/>
  <c r="F358" i="3"/>
  <c r="F147" i="3"/>
  <c r="F106" i="3"/>
  <c r="F56" i="3"/>
  <c r="F1348" i="3"/>
  <c r="F955" i="3"/>
  <c r="F679" i="3"/>
  <c r="F624" i="3"/>
  <c r="F243" i="3"/>
  <c r="F112" i="3"/>
  <c r="F13" i="3"/>
  <c r="F100" i="3"/>
  <c r="F334" i="3"/>
  <c r="F187" i="3"/>
  <c r="F264" i="3"/>
  <c r="F175" i="3"/>
  <c r="F124" i="3"/>
  <c r="F873" i="3"/>
  <c r="F142" i="3"/>
  <c r="F368" i="3"/>
  <c r="F842" i="3"/>
  <c r="F133" i="3"/>
  <c r="F25" i="3"/>
  <c r="F1009" i="3"/>
  <c r="F8" i="3"/>
  <c r="F355" i="3"/>
  <c r="C117" i="4"/>
  <c r="V1658" i="3" s="1"/>
  <c r="P280" i="2"/>
  <c r="P282" i="2"/>
  <c r="P317" i="2"/>
  <c r="P88" i="2"/>
  <c r="P12" i="2"/>
  <c r="P278" i="2"/>
  <c r="P287" i="2"/>
  <c r="P47" i="2"/>
  <c r="B629" i="1"/>
  <c r="O630" i="1"/>
  <c r="C39" i="7"/>
  <c r="C186" i="7"/>
  <c r="B55" i="6"/>
  <c r="H112" i="6"/>
  <c r="C342" i="7"/>
  <c r="F50" i="4"/>
  <c r="I23" i="7"/>
  <c r="B961" i="3"/>
  <c r="F1941" i="3"/>
  <c r="F1745" i="3"/>
  <c r="F972" i="3"/>
  <c r="F892" i="3"/>
  <c r="F252" i="3"/>
  <c r="F566" i="3"/>
  <c r="C1" i="4"/>
  <c r="C121" i="4"/>
  <c r="P318" i="2"/>
  <c r="P191" i="2"/>
  <c r="P167" i="2"/>
  <c r="P258" i="2"/>
  <c r="P140" i="2"/>
  <c r="P79" i="2"/>
  <c r="B640" i="1"/>
  <c r="O638" i="1"/>
  <c r="C40" i="7"/>
  <c r="C188" i="7"/>
  <c r="B57" i="6"/>
  <c r="C345" i="7"/>
  <c r="H115" i="6"/>
  <c r="N62" i="5"/>
  <c r="D61" i="5"/>
  <c r="P62" i="5"/>
  <c r="I25" i="7"/>
  <c r="F1079" i="3" s="1"/>
  <c r="B1688" i="3"/>
  <c r="F1764" i="3"/>
  <c r="F1203" i="3"/>
  <c r="F1125" i="3"/>
  <c r="F404" i="3"/>
  <c r="F130" i="3"/>
  <c r="C16" i="4"/>
  <c r="C145" i="4"/>
  <c r="L3" i="5"/>
  <c r="B94" i="4"/>
  <c r="B1386" i="3"/>
  <c r="X791" i="1"/>
  <c r="T791" i="1"/>
  <c r="O791" i="1"/>
  <c r="C60" i="7"/>
  <c r="F64" i="4"/>
  <c r="C211" i="7"/>
  <c r="D832" i="3" s="1"/>
  <c r="B81" i="6"/>
  <c r="B62" i="5"/>
  <c r="C372" i="7"/>
  <c r="B122" i="6"/>
  <c r="B38" i="5"/>
  <c r="C80" i="2"/>
  <c r="C213" i="1" s="1"/>
  <c r="B382" i="3"/>
  <c r="B720" i="1"/>
  <c r="F1884" i="3"/>
  <c r="F1515" i="3"/>
  <c r="F398" i="3"/>
  <c r="E145" i="4"/>
  <c r="V1934" i="3"/>
  <c r="E72" i="4"/>
  <c r="V1986" i="3"/>
  <c r="V1901" i="3"/>
  <c r="V1834" i="3"/>
  <c r="V2063" i="3"/>
  <c r="V1977" i="3"/>
  <c r="V2095" i="3"/>
  <c r="V1873" i="3"/>
  <c r="V1622" i="3"/>
  <c r="V1884" i="3"/>
  <c r="V1685" i="3"/>
  <c r="V1881" i="3"/>
  <c r="V1641" i="3"/>
  <c r="V1338" i="3"/>
  <c r="V1333" i="3"/>
  <c r="V1397" i="3"/>
  <c r="V1336" i="3"/>
  <c r="V1227" i="3"/>
  <c r="V1224" i="3"/>
  <c r="V1100" i="3"/>
  <c r="V1020" i="3"/>
  <c r="V370" i="3"/>
  <c r="V1042" i="3"/>
  <c r="V570" i="3"/>
  <c r="V1093" i="3"/>
  <c r="V761" i="3"/>
  <c r="V738" i="3"/>
  <c r="V673" i="3"/>
  <c r="V193" i="3"/>
  <c r="H1" i="3"/>
  <c r="V47" i="3"/>
  <c r="V641" i="3"/>
  <c r="V208" i="3"/>
  <c r="Z1193" i="1"/>
  <c r="Z151" i="1"/>
  <c r="Z333" i="1"/>
  <c r="C4" i="4"/>
  <c r="C29" i="4"/>
  <c r="V328" i="3" s="1"/>
  <c r="C54" i="4"/>
  <c r="V595" i="3" s="1"/>
  <c r="C88" i="4"/>
  <c r="C122" i="4"/>
  <c r="P356" i="2"/>
  <c r="P324" i="2"/>
  <c r="P182" i="2"/>
  <c r="P213" i="2"/>
  <c r="P174" i="2"/>
  <c r="P181" i="2"/>
  <c r="P164" i="2"/>
  <c r="P238" i="2"/>
  <c r="P180" i="2"/>
  <c r="P163" i="2"/>
  <c r="O52" i="1"/>
  <c r="B47" i="1"/>
  <c r="P364" i="2"/>
  <c r="P485" i="2"/>
  <c r="P310" i="2"/>
  <c r="P365" i="2"/>
  <c r="P203" i="2"/>
  <c r="P202" i="2"/>
  <c r="P9" i="2"/>
  <c r="P309" i="2"/>
  <c r="B257" i="1"/>
  <c r="O248" i="1"/>
  <c r="P368" i="2"/>
  <c r="P343" i="2"/>
  <c r="P206" i="2"/>
  <c r="P93" i="2"/>
  <c r="O460" i="1"/>
  <c r="B458" i="1"/>
  <c r="J30" i="5"/>
  <c r="B82" i="4"/>
  <c r="B1209" i="3"/>
  <c r="T666" i="1"/>
  <c r="O666" i="1"/>
  <c r="P135" i="2"/>
  <c r="P166" i="2"/>
  <c r="O872" i="1"/>
  <c r="B872" i="1"/>
  <c r="P449" i="2"/>
  <c r="B1916" i="3"/>
  <c r="P122" i="2"/>
  <c r="P225" i="2"/>
  <c r="P136" i="2"/>
  <c r="B1084" i="1"/>
  <c r="P217" i="2"/>
  <c r="P121" i="2"/>
  <c r="P212" i="2"/>
  <c r="P123" i="2"/>
  <c r="O1086" i="1"/>
  <c r="X1082" i="1"/>
  <c r="C13" i="7"/>
  <c r="F54" i="4"/>
  <c r="F72" i="4"/>
  <c r="F110" i="4"/>
  <c r="F90" i="4"/>
  <c r="C45" i="7"/>
  <c r="C78" i="7"/>
  <c r="P22" i="1" s="1"/>
  <c r="F115" i="4"/>
  <c r="C117" i="7"/>
  <c r="C155" i="7"/>
  <c r="B25" i="6"/>
  <c r="C193" i="7"/>
  <c r="F5" i="5"/>
  <c r="J6" i="5"/>
  <c r="B62" i="6"/>
  <c r="C231" i="7"/>
  <c r="B100" i="6"/>
  <c r="N7" i="5"/>
  <c r="J7" i="5"/>
  <c r="H40" i="6"/>
  <c r="C306" i="7"/>
  <c r="H77" i="6"/>
  <c r="F45" i="4"/>
  <c r="H120" i="6"/>
  <c r="C350" i="7"/>
  <c r="D37" i="5"/>
  <c r="N38" i="5"/>
  <c r="C397" i="7"/>
  <c r="D268" i="3" s="1"/>
  <c r="B12" i="5"/>
  <c r="D11" i="5"/>
  <c r="B145" i="6"/>
  <c r="C452" i="7"/>
  <c r="B198" i="6"/>
  <c r="F56" i="5"/>
  <c r="L55" i="5"/>
  <c r="B80" i="5"/>
  <c r="H76" i="5"/>
  <c r="F78" i="5"/>
  <c r="C540" i="7"/>
  <c r="F548" i="3" s="1"/>
  <c r="J49" i="5"/>
  <c r="P56" i="5"/>
  <c r="D51" i="5"/>
  <c r="N28" i="5"/>
  <c r="H21" i="5"/>
  <c r="L77" i="5"/>
  <c r="L23" i="5"/>
  <c r="I55" i="7"/>
  <c r="F1494" i="3" s="1"/>
  <c r="C166" i="2"/>
  <c r="C337" i="2"/>
  <c r="C59" i="8"/>
  <c r="N267" i="2" s="1"/>
  <c r="B641" i="3"/>
  <c r="Y333" i="1"/>
  <c r="B1153" i="3"/>
  <c r="P1224" i="1"/>
  <c r="P1186" i="1"/>
  <c r="P967" i="1"/>
  <c r="P912" i="1"/>
  <c r="P670" i="1"/>
  <c r="P752" i="1"/>
  <c r="P848" i="1"/>
  <c r="P639" i="1"/>
  <c r="P777" i="1"/>
  <c r="P94" i="1"/>
  <c r="P669" i="1"/>
  <c r="P122" i="1"/>
  <c r="P186" i="1"/>
  <c r="V1380" i="3"/>
  <c r="C8" i="4"/>
  <c r="V10" i="3" s="1"/>
  <c r="C31" i="4"/>
  <c r="C56" i="4"/>
  <c r="C89" i="4"/>
  <c r="C127" i="4"/>
  <c r="V1351" i="3" s="1"/>
  <c r="B76" i="1"/>
  <c r="O76" i="1"/>
  <c r="P461" i="2"/>
  <c r="P458" i="2"/>
  <c r="P375" i="2"/>
  <c r="P463" i="2"/>
  <c r="P460" i="2"/>
  <c r="P74" i="2"/>
  <c r="P462" i="2"/>
  <c r="P345" i="2"/>
  <c r="P374" i="2"/>
  <c r="P459" i="2"/>
  <c r="B272" i="1"/>
  <c r="B278" i="1"/>
  <c r="O277" i="1"/>
  <c r="O272" i="1"/>
  <c r="X272" i="1"/>
  <c r="P398" i="2"/>
  <c r="P37" i="2"/>
  <c r="P399" i="2"/>
  <c r="P36" i="2"/>
  <c r="P35" i="2"/>
  <c r="B481" i="1"/>
  <c r="O478" i="1"/>
  <c r="P504" i="2"/>
  <c r="P503" i="2"/>
  <c r="P98" i="2"/>
  <c r="P99" i="2"/>
  <c r="P96" i="2"/>
  <c r="B682" i="1"/>
  <c r="P28" i="2"/>
  <c r="O682" i="1"/>
  <c r="B1628" i="3"/>
  <c r="P381" i="2"/>
  <c r="B894" i="1"/>
  <c r="P139" i="2"/>
  <c r="O893" i="1"/>
  <c r="B1097" i="1"/>
  <c r="P247" i="2"/>
  <c r="O1095" i="1"/>
  <c r="C14" i="7"/>
  <c r="F82" i="3" s="1"/>
  <c r="H16" i="5"/>
  <c r="P14" i="5"/>
  <c r="L16" i="5"/>
  <c r="J20" i="5"/>
  <c r="D20" i="5"/>
  <c r="F14" i="5"/>
  <c r="B20" i="5"/>
  <c r="N23" i="5"/>
  <c r="C47" i="7"/>
  <c r="C79" i="7"/>
  <c r="F121" i="4"/>
  <c r="C118" i="7"/>
  <c r="C156" i="7"/>
  <c r="B6" i="5"/>
  <c r="B26" i="6"/>
  <c r="B63" i="6"/>
  <c r="C194" i="7"/>
  <c r="C232" i="7"/>
  <c r="B101" i="6"/>
  <c r="C269" i="7"/>
  <c r="H41" i="6"/>
  <c r="C307" i="7"/>
  <c r="O1599" i="3" s="1"/>
  <c r="H78" i="6"/>
  <c r="D60" i="5"/>
  <c r="C351" i="7"/>
  <c r="H121" i="6"/>
  <c r="L9" i="5"/>
  <c r="H36" i="5"/>
  <c r="F36" i="5"/>
  <c r="P39" i="5"/>
  <c r="N37" i="5"/>
  <c r="C398" i="7"/>
  <c r="B146" i="6"/>
  <c r="C462" i="7"/>
  <c r="H133" i="6"/>
  <c r="F67" i="4"/>
  <c r="F7" i="7"/>
  <c r="I56" i="7"/>
  <c r="C167" i="2"/>
  <c r="C343" i="2"/>
  <c r="C30" i="8"/>
  <c r="N129" i="2" s="1"/>
  <c r="B1865" i="3"/>
  <c r="Y1040" i="1"/>
  <c r="B1443" i="3"/>
  <c r="B2" i="1"/>
  <c r="M11" i="9"/>
  <c r="G9" i="9"/>
  <c r="D7" i="9"/>
  <c r="A20" i="9"/>
  <c r="L12" i="9"/>
  <c r="L10" i="9"/>
  <c r="D6" i="9"/>
  <c r="B8" i="9"/>
  <c r="K3" i="9"/>
  <c r="I5" i="9"/>
  <c r="B4" i="9"/>
  <c r="E11" i="4"/>
  <c r="V1535" i="3"/>
  <c r="V1246" i="3"/>
  <c r="V702" i="3"/>
  <c r="V518" i="3"/>
  <c r="V476" i="3"/>
  <c r="V698" i="3"/>
  <c r="V668" i="3"/>
  <c r="V479" i="3"/>
  <c r="V495" i="3"/>
  <c r="V482" i="3"/>
  <c r="V511" i="3"/>
  <c r="V486" i="3"/>
  <c r="V88" i="3"/>
  <c r="V39" i="3"/>
  <c r="V31" i="3"/>
  <c r="V520" i="3"/>
  <c r="V71" i="3"/>
  <c r="V85" i="3"/>
  <c r="V79" i="3"/>
  <c r="V25" i="3"/>
  <c r="V514" i="3"/>
  <c r="V68" i="3"/>
  <c r="B855" i="1"/>
  <c r="O855" i="1"/>
  <c r="X271" i="1"/>
  <c r="B271" i="1"/>
  <c r="X380" i="1"/>
  <c r="O380" i="1"/>
  <c r="B380" i="1"/>
  <c r="O33" i="1"/>
  <c r="B33" i="1"/>
  <c r="O271" i="1"/>
  <c r="C10" i="4"/>
  <c r="V28" i="3" s="1"/>
  <c r="C32" i="4"/>
  <c r="C61" i="4"/>
  <c r="C96" i="4"/>
  <c r="V1402" i="3" s="1"/>
  <c r="C132" i="4"/>
  <c r="V1876" i="3" s="1"/>
  <c r="P370" i="2"/>
  <c r="P322" i="2"/>
  <c r="P457" i="2"/>
  <c r="P15" i="2"/>
  <c r="P132" i="2"/>
  <c r="B93" i="1"/>
  <c r="O93" i="1"/>
  <c r="O304" i="1"/>
  <c r="B298" i="1"/>
  <c r="B983" i="3"/>
  <c r="B1280" i="3"/>
  <c r="O696" i="1"/>
  <c r="B694" i="1"/>
  <c r="O916" i="1"/>
  <c r="P211" i="2"/>
  <c r="B916" i="1"/>
  <c r="B137" i="4"/>
  <c r="P30" i="5"/>
  <c r="B1930" i="3"/>
  <c r="P418" i="2"/>
  <c r="P413" i="2"/>
  <c r="P417" i="2"/>
  <c r="P412" i="2"/>
  <c r="P419" i="2"/>
  <c r="P414" i="2"/>
  <c r="B1152" i="1"/>
  <c r="X1120" i="1"/>
  <c r="T1120" i="1"/>
  <c r="P416" i="2"/>
  <c r="X1168" i="1"/>
  <c r="O1120" i="1"/>
  <c r="P415" i="2"/>
  <c r="X1152" i="1"/>
  <c r="N66" i="5"/>
  <c r="D47" i="5"/>
  <c r="N46" i="5"/>
  <c r="C19" i="7"/>
  <c r="H47" i="5"/>
  <c r="B74" i="5"/>
  <c r="H17" i="5"/>
  <c r="D70" i="5"/>
  <c r="D21" i="5"/>
  <c r="B46" i="5"/>
  <c r="B21" i="5"/>
  <c r="C49" i="7"/>
  <c r="F14" i="4"/>
  <c r="F8" i="4"/>
  <c r="C84" i="7"/>
  <c r="F912" i="3" s="1"/>
  <c r="C123" i="7"/>
  <c r="C161" i="7"/>
  <c r="D1737" i="3" s="1"/>
  <c r="B30" i="6"/>
  <c r="J4" i="5"/>
  <c r="C199" i="7"/>
  <c r="B67" i="6"/>
  <c r="C235" i="7"/>
  <c r="H8" i="6"/>
  <c r="C273" i="7"/>
  <c r="D644" i="3" s="1"/>
  <c r="H45" i="6"/>
  <c r="H82" i="6"/>
  <c r="C311" i="7"/>
  <c r="C357" i="7"/>
  <c r="B108" i="6"/>
  <c r="C401" i="7"/>
  <c r="D920" i="3" s="1"/>
  <c r="B151" i="6"/>
  <c r="H142" i="6"/>
  <c r="C472" i="7"/>
  <c r="F48" i="4"/>
  <c r="F18" i="7"/>
  <c r="D1706" i="3" s="1"/>
  <c r="C22" i="2"/>
  <c r="C389" i="1" s="1"/>
  <c r="C193" i="2"/>
  <c r="C368" i="2"/>
  <c r="C39" i="8"/>
  <c r="D146" i="4"/>
  <c r="B2076" i="3"/>
  <c r="B1191" i="3"/>
  <c r="B766" i="3"/>
  <c r="A33" i="9"/>
  <c r="K11" i="9"/>
  <c r="D4" i="9"/>
  <c r="D8" i="9"/>
  <c r="I10" i="9"/>
  <c r="B6" i="9"/>
  <c r="N3" i="9"/>
  <c r="G12" i="9"/>
  <c r="L5" i="9"/>
  <c r="H7" i="9"/>
  <c r="E45" i="4"/>
  <c r="V1753" i="3"/>
  <c r="V1767" i="3"/>
  <c r="E26" i="4"/>
  <c r="V1750" i="3"/>
  <c r="V314" i="3"/>
  <c r="V287" i="3"/>
  <c r="V296" i="3"/>
  <c r="V284" i="3"/>
  <c r="V246" i="3"/>
  <c r="V239" i="3"/>
  <c r="V267" i="3"/>
  <c r="V452" i="3"/>
  <c r="V243" i="3"/>
  <c r="V264" i="3"/>
  <c r="V236" i="3"/>
  <c r="V242" i="3"/>
  <c r="V256" i="3"/>
  <c r="O1019" i="1"/>
  <c r="B1019" i="1"/>
  <c r="X1216" i="1"/>
  <c r="O1216" i="1"/>
  <c r="X550" i="1"/>
  <c r="O550" i="1"/>
  <c r="B1216" i="1"/>
  <c r="B550" i="1"/>
  <c r="O167" i="1"/>
  <c r="B167" i="1"/>
  <c r="Z148" i="1"/>
  <c r="C13" i="4"/>
  <c r="C35" i="4"/>
  <c r="C64" i="4"/>
  <c r="C98" i="4"/>
  <c r="C134" i="4"/>
  <c r="V1651" i="3" s="1"/>
  <c r="B58" i="5"/>
  <c r="B18" i="4"/>
  <c r="P480" i="2"/>
  <c r="P479" i="2"/>
  <c r="B157" i="3"/>
  <c r="B124" i="1"/>
  <c r="O118" i="1"/>
  <c r="T103" i="1"/>
  <c r="O318" i="1"/>
  <c r="B299" i="1"/>
  <c r="O505" i="1"/>
  <c r="B500" i="1"/>
  <c r="J58" i="5"/>
  <c r="B87" i="4"/>
  <c r="B1290" i="3"/>
  <c r="X743" i="1"/>
  <c r="T743" i="1"/>
  <c r="X766" i="1"/>
  <c r="O743" i="1"/>
  <c r="A113" i="4"/>
  <c r="A1633" i="3"/>
  <c r="A936" i="1"/>
  <c r="B1980" i="3"/>
  <c r="C21" i="7"/>
  <c r="F75" i="5"/>
  <c r="N24" i="5"/>
  <c r="P72" i="5"/>
  <c r="F16" i="5"/>
  <c r="F51" i="5"/>
  <c r="H70" i="5"/>
  <c r="L49" i="5"/>
  <c r="N47" i="5"/>
  <c r="C52" i="7"/>
  <c r="F103" i="4"/>
  <c r="F26" i="4"/>
  <c r="C86" i="7"/>
  <c r="C125" i="7"/>
  <c r="D886" i="3" s="1"/>
  <c r="C163" i="7"/>
  <c r="P447" i="1" s="1"/>
  <c r="B32" i="6"/>
  <c r="C201" i="7"/>
  <c r="D355" i="3" s="1"/>
  <c r="B69" i="6"/>
  <c r="H10" i="6"/>
  <c r="C238" i="7"/>
  <c r="D1230" i="3" s="1"/>
  <c r="C276" i="7"/>
  <c r="H47" i="6"/>
  <c r="C313" i="7"/>
  <c r="D889" i="3" s="1"/>
  <c r="H84" i="6"/>
  <c r="D59" i="5"/>
  <c r="C359" i="7"/>
  <c r="O1619" i="3" s="1"/>
  <c r="B110" i="6"/>
  <c r="F66" i="5"/>
  <c r="C404" i="7"/>
  <c r="B154" i="6"/>
  <c r="C473" i="7"/>
  <c r="H143" i="6"/>
  <c r="F19" i="7"/>
  <c r="D354" i="3" s="1"/>
  <c r="C23" i="2"/>
  <c r="C199" i="2"/>
  <c r="C370" i="2"/>
  <c r="C95" i="1" s="1"/>
  <c r="C104" i="8"/>
  <c r="N83" i="2" s="1"/>
  <c r="B1446" i="3"/>
  <c r="B1402" i="3"/>
  <c r="B1606" i="3"/>
  <c r="B1576" i="3"/>
  <c r="C14" i="4"/>
  <c r="C37" i="4"/>
  <c r="Z154" i="1" s="1"/>
  <c r="C65" i="4"/>
  <c r="V1160" i="3" s="1"/>
  <c r="C99" i="4"/>
  <c r="V1389" i="3" s="1"/>
  <c r="C139" i="4"/>
  <c r="V1948" i="3" s="1"/>
  <c r="P481" i="2"/>
  <c r="P39" i="2"/>
  <c r="P41" i="2"/>
  <c r="P17" i="2"/>
  <c r="P40" i="2"/>
  <c r="B128" i="1"/>
  <c r="B134" i="1"/>
  <c r="O131" i="1"/>
  <c r="O125" i="1"/>
  <c r="F30" i="5"/>
  <c r="B46" i="4"/>
  <c r="B612" i="3"/>
  <c r="X381" i="1"/>
  <c r="X332" i="1"/>
  <c r="T332" i="1"/>
  <c r="O332" i="1"/>
  <c r="B1078" i="3"/>
  <c r="P332" i="2"/>
  <c r="P363" i="2"/>
  <c r="P201" i="2"/>
  <c r="P333" i="2"/>
  <c r="B511" i="1"/>
  <c r="O509" i="1"/>
  <c r="P346" i="2"/>
  <c r="P277" i="2"/>
  <c r="P275" i="2"/>
  <c r="P190" i="2"/>
  <c r="O751" i="1"/>
  <c r="B744" i="1"/>
  <c r="B1707" i="3"/>
  <c r="B2053" i="3"/>
  <c r="P510" i="2"/>
  <c r="B1133" i="1"/>
  <c r="P507" i="2"/>
  <c r="P51" i="2"/>
  <c r="P24" i="2"/>
  <c r="P506" i="2"/>
  <c r="O1131" i="1"/>
  <c r="B75" i="5"/>
  <c r="N48" i="5"/>
  <c r="H71" i="5"/>
  <c r="C23" i="7"/>
  <c r="L51" i="5"/>
  <c r="B47" i="5"/>
  <c r="B22" i="5"/>
  <c r="N25" i="5"/>
  <c r="C53" i="7"/>
  <c r="F31" i="4"/>
  <c r="C91" i="7"/>
  <c r="C130" i="7"/>
  <c r="C168" i="7"/>
  <c r="B37" i="6"/>
  <c r="N4" i="5"/>
  <c r="H4" i="5"/>
  <c r="C205" i="7"/>
  <c r="B76" i="6"/>
  <c r="F17" i="4"/>
  <c r="C243" i="7"/>
  <c r="N60" i="5"/>
  <c r="H15" i="6"/>
  <c r="C281" i="7"/>
  <c r="H52" i="6"/>
  <c r="C321" i="7"/>
  <c r="D449" i="3" s="1"/>
  <c r="H91" i="6"/>
  <c r="D8" i="5"/>
  <c r="B116" i="6"/>
  <c r="C365" i="7"/>
  <c r="J65" i="5"/>
  <c r="H62" i="5"/>
  <c r="B161" i="6"/>
  <c r="C412" i="7"/>
  <c r="F19" i="4"/>
  <c r="H154" i="6"/>
  <c r="C485" i="7"/>
  <c r="H64" i="5"/>
  <c r="F33" i="7"/>
  <c r="D1486" i="3" s="1"/>
  <c r="C49" i="2"/>
  <c r="C707" i="1" s="1"/>
  <c r="C224" i="2"/>
  <c r="C397" i="2"/>
  <c r="C135" i="8"/>
  <c r="B306" i="3"/>
  <c r="B802" i="3"/>
  <c r="J2" i="3"/>
  <c r="E2" i="2"/>
  <c r="F2" i="1"/>
  <c r="F1997" i="3"/>
  <c r="F2073" i="3"/>
  <c r="F1900" i="3"/>
  <c r="F1781" i="3"/>
  <c r="F1487" i="3"/>
  <c r="F1848" i="3"/>
  <c r="F1645" i="3"/>
  <c r="F1217" i="3"/>
  <c r="F1338" i="3"/>
  <c r="F1593" i="3"/>
  <c r="F1387" i="3"/>
  <c r="F950" i="3"/>
  <c r="F1095" i="3"/>
  <c r="F916" i="3"/>
  <c r="F819" i="3"/>
  <c r="F228" i="3"/>
  <c r="F647" i="3"/>
  <c r="F600" i="3"/>
  <c r="F182" i="3"/>
  <c r="F1200" i="3"/>
  <c r="F409" i="3"/>
  <c r="F511" i="3"/>
  <c r="F127" i="3"/>
  <c r="F53" i="3"/>
  <c r="D12" i="9"/>
  <c r="M7" i="9"/>
  <c r="B10" i="9"/>
  <c r="A72" i="9"/>
  <c r="E78" i="4"/>
  <c r="E16" i="4"/>
  <c r="V1176" i="3"/>
  <c r="V1167" i="3"/>
  <c r="V1128" i="3"/>
  <c r="V1118" i="3"/>
  <c r="V1155" i="3"/>
  <c r="V1146" i="3"/>
  <c r="V1165" i="3"/>
  <c r="V1186" i="3"/>
  <c r="V1149" i="3"/>
  <c r="V1144" i="3"/>
  <c r="V1125" i="3"/>
  <c r="V1115" i="3"/>
  <c r="V1182" i="3"/>
  <c r="V446" i="3"/>
  <c r="V1138" i="3"/>
  <c r="X597" i="1"/>
  <c r="O597" i="1"/>
  <c r="O651" i="1"/>
  <c r="B597" i="1"/>
  <c r="O220" i="1"/>
  <c r="O75" i="1"/>
  <c r="B651" i="1"/>
  <c r="B75" i="1"/>
  <c r="B220" i="1"/>
  <c r="C15" i="4"/>
  <c r="V103" i="3" s="1"/>
  <c r="C38" i="4"/>
  <c r="V508" i="3" s="1"/>
  <c r="C66" i="4"/>
  <c r="V1046" i="3" s="1"/>
  <c r="C101" i="4"/>
  <c r="C140" i="4"/>
  <c r="V1973" i="3" s="1"/>
  <c r="D3" i="5"/>
  <c r="B25" i="4"/>
  <c r="V1466" i="3"/>
  <c r="B224" i="3"/>
  <c r="X147" i="1"/>
  <c r="T147" i="1"/>
  <c r="O147" i="1"/>
  <c r="B716" i="3"/>
  <c r="P296" i="2"/>
  <c r="P291" i="2"/>
  <c r="P298" i="2"/>
  <c r="P290" i="2"/>
  <c r="P194" i="2"/>
  <c r="P42" i="2"/>
  <c r="P299" i="2"/>
  <c r="P297" i="2"/>
  <c r="P226" i="2"/>
  <c r="P43" i="2"/>
  <c r="O342" i="1"/>
  <c r="B334" i="1"/>
  <c r="H58" i="5"/>
  <c r="B69" i="4"/>
  <c r="B1082" i="3"/>
  <c r="T567" i="1"/>
  <c r="O567" i="1"/>
  <c r="O766" i="1"/>
  <c r="B766" i="1"/>
  <c r="P95" i="2"/>
  <c r="P54" i="2"/>
  <c r="P150" i="2"/>
  <c r="P56" i="2"/>
  <c r="P195" i="2"/>
  <c r="P55" i="2"/>
  <c r="O943" i="1"/>
  <c r="B940" i="1"/>
  <c r="P144" i="2"/>
  <c r="P441" i="2"/>
  <c r="B1174" i="1"/>
  <c r="O1172" i="1"/>
  <c r="P302" i="2"/>
  <c r="C26" i="7"/>
  <c r="C58" i="7"/>
  <c r="C92" i="7"/>
  <c r="C131" i="7"/>
  <c r="F883" i="3" s="1"/>
  <c r="C169" i="7"/>
  <c r="J401" i="2" s="1"/>
  <c r="K663" i="1" s="1"/>
  <c r="B38" i="6"/>
  <c r="C206" i="7"/>
  <c r="V127" i="3" s="1"/>
  <c r="B77" i="6"/>
  <c r="C244" i="7"/>
  <c r="H16" i="6"/>
  <c r="N34" i="5"/>
  <c r="H53" i="6"/>
  <c r="J62" i="5"/>
  <c r="C282" i="7"/>
  <c r="D810" i="3" s="1"/>
  <c r="H92" i="6"/>
  <c r="C322" i="7"/>
  <c r="C367" i="7"/>
  <c r="B117" i="6"/>
  <c r="F124" i="4"/>
  <c r="B162" i="6"/>
  <c r="C413" i="7"/>
  <c r="P435" i="1" s="1"/>
  <c r="F126" i="4"/>
  <c r="C494" i="7"/>
  <c r="D394" i="3" s="1"/>
  <c r="H163" i="6"/>
  <c r="P46" i="5"/>
  <c r="F45" i="7"/>
  <c r="D1684" i="3" s="1"/>
  <c r="C55" i="2"/>
  <c r="C943" i="1" s="1"/>
  <c r="C226" i="2"/>
  <c r="C399" i="2"/>
  <c r="C494" i="1" s="1"/>
  <c r="C63" i="8"/>
  <c r="N162" i="2" s="1"/>
  <c r="B557" i="3"/>
  <c r="B19" i="3"/>
  <c r="C145" i="8"/>
  <c r="B1814" i="3"/>
  <c r="B1791" i="3"/>
  <c r="B1800" i="3"/>
  <c r="B1759" i="3"/>
  <c r="B1797" i="3"/>
  <c r="B1811" i="3"/>
  <c r="B1805" i="3"/>
  <c r="B1774" i="3"/>
  <c r="I180" i="8"/>
  <c r="B498" i="1"/>
  <c r="B333" i="1"/>
  <c r="B667" i="1"/>
  <c r="F2060" i="3"/>
  <c r="F1913" i="3"/>
  <c r="F1622" i="3"/>
  <c r="F1819" i="3"/>
  <c r="F1405" i="3"/>
  <c r="F1237" i="3"/>
  <c r="F476" i="3"/>
  <c r="F938" i="3"/>
  <c r="F93" i="3"/>
  <c r="D10" i="9"/>
  <c r="H3" i="9"/>
  <c r="B12" i="9"/>
  <c r="A98" i="9"/>
  <c r="J7" i="9"/>
  <c r="E116" i="4"/>
  <c r="V1740" i="3"/>
  <c r="V1661" i="3"/>
  <c r="V1706" i="3"/>
  <c r="V1669" i="3"/>
  <c r="V1672" i="3"/>
  <c r="V1664" i="3"/>
  <c r="V1655" i="3"/>
  <c r="V1284" i="3"/>
  <c r="V1694" i="3"/>
  <c r="V1449" i="3"/>
  <c r="V1276" i="3"/>
  <c r="V1281" i="3"/>
  <c r="V1286" i="3"/>
  <c r="V1213" i="3"/>
  <c r="V391" i="3"/>
  <c r="V395" i="3"/>
  <c r="V351" i="3"/>
  <c r="V187" i="3"/>
  <c r="V388" i="3"/>
  <c r="V354" i="3"/>
  <c r="V428" i="3"/>
  <c r="V398" i="3"/>
  <c r="V211" i="3"/>
  <c r="V168" i="3"/>
  <c r="O963" i="1"/>
  <c r="X700" i="1"/>
  <c r="B700" i="1"/>
  <c r="B963" i="1"/>
  <c r="X123" i="1"/>
  <c r="O700" i="1"/>
  <c r="O123" i="1"/>
  <c r="O206" i="1"/>
  <c r="B123" i="1"/>
  <c r="B206" i="1"/>
  <c r="C19" i="4"/>
  <c r="C44" i="4"/>
  <c r="V542" i="3" s="1"/>
  <c r="C71" i="4"/>
  <c r="V306" i="3" s="1"/>
  <c r="C105" i="4"/>
  <c r="V1551" i="3" s="1"/>
  <c r="P2" i="2"/>
  <c r="O155" i="1"/>
  <c r="B150" i="1"/>
  <c r="P104" i="2"/>
  <c r="P72" i="2"/>
  <c r="O381" i="1"/>
  <c r="B381" i="1"/>
  <c r="P489" i="2"/>
  <c r="P184" i="2"/>
  <c r="P185" i="2"/>
  <c r="B586" i="1"/>
  <c r="O585" i="1"/>
  <c r="B1445" i="3"/>
  <c r="P268" i="2"/>
  <c r="P272" i="2"/>
  <c r="P351" i="2"/>
  <c r="P259" i="2"/>
  <c r="P261" i="2"/>
  <c r="P260" i="2"/>
  <c r="P142" i="2"/>
  <c r="T799" i="1"/>
  <c r="B793" i="1"/>
  <c r="O795" i="1"/>
  <c r="P344" i="2"/>
  <c r="P208" i="2"/>
  <c r="P59" i="2"/>
  <c r="P58" i="2"/>
  <c r="P209" i="2"/>
  <c r="P60" i="2"/>
  <c r="P11" i="2"/>
  <c r="O983" i="1"/>
  <c r="P57" i="2"/>
  <c r="B977" i="1"/>
  <c r="P464" i="2"/>
  <c r="P359" i="2"/>
  <c r="P306" i="2"/>
  <c r="P367" i="2"/>
  <c r="B1225" i="1"/>
  <c r="P71" i="2"/>
  <c r="P78" i="2"/>
  <c r="P27" i="2"/>
  <c r="X1217" i="1"/>
  <c r="O1217" i="1"/>
  <c r="P362" i="2"/>
  <c r="B1217" i="1"/>
  <c r="O1223" i="1"/>
  <c r="C32" i="7"/>
  <c r="F1563" i="3" s="1"/>
  <c r="C62" i="7"/>
  <c r="F134" i="4"/>
  <c r="F78" i="4"/>
  <c r="C99" i="7"/>
  <c r="B8" i="6"/>
  <c r="C137" i="7"/>
  <c r="Y1093" i="1" s="1"/>
  <c r="C175" i="7"/>
  <c r="D1761" i="3" s="1"/>
  <c r="B45" i="6"/>
  <c r="C213" i="7"/>
  <c r="B83" i="6"/>
  <c r="H60" i="5"/>
  <c r="C251" i="7"/>
  <c r="H22" i="6"/>
  <c r="N59" i="5"/>
  <c r="L31" i="5"/>
  <c r="C289" i="7"/>
  <c r="D1984" i="3" s="1"/>
  <c r="H59" i="6"/>
  <c r="P37" i="5"/>
  <c r="C330" i="7"/>
  <c r="D980" i="3" s="1"/>
  <c r="H99" i="6"/>
  <c r="C374" i="7"/>
  <c r="J455" i="2" s="1"/>
  <c r="K712" i="1" s="1"/>
  <c r="B124" i="6"/>
  <c r="C424" i="7"/>
  <c r="O395" i="3" s="1"/>
  <c r="B172" i="6"/>
  <c r="L13" i="5"/>
  <c r="C507" i="7"/>
  <c r="H175" i="6"/>
  <c r="F64" i="7"/>
  <c r="D2029" i="3" s="1"/>
  <c r="C82" i="2"/>
  <c r="C253" i="2"/>
  <c r="C433" i="2"/>
  <c r="C547" i="1" s="1"/>
  <c r="C118" i="8"/>
  <c r="N369" i="2" s="1"/>
  <c r="D140" i="4"/>
  <c r="B1975" i="3"/>
  <c r="I155" i="8"/>
  <c r="S862" i="3" s="1"/>
  <c r="O2" i="3"/>
  <c r="B1" i="5"/>
  <c r="F1333" i="3"/>
  <c r="F1771" i="3"/>
  <c r="F1666" i="3"/>
  <c r="F1931" i="3"/>
  <c r="F1142" i="3"/>
  <c r="F1491" i="3"/>
  <c r="F1020" i="3"/>
  <c r="F1086" i="3"/>
  <c r="F412" i="3"/>
  <c r="F570" i="3"/>
  <c r="F782" i="3"/>
  <c r="F225" i="3"/>
  <c r="F695" i="3"/>
  <c r="F76" i="3"/>
  <c r="F158" i="3"/>
  <c r="B9" i="9"/>
  <c r="B11" i="9"/>
  <c r="A111" i="9"/>
  <c r="E142" i="4"/>
  <c r="E134" i="4"/>
  <c r="V1887" i="3"/>
  <c r="V1879" i="3"/>
  <c r="V1917" i="3"/>
  <c r="V1908" i="3"/>
  <c r="V1935" i="3"/>
  <c r="V1920" i="3"/>
  <c r="V1889" i="3"/>
  <c r="V1355" i="3"/>
  <c r="V1341" i="3"/>
  <c r="V1938" i="3"/>
  <c r="V1910" i="3"/>
  <c r="V1358" i="3"/>
  <c r="V1068" i="3"/>
  <c r="V136" i="3"/>
  <c r="B1105" i="1"/>
  <c r="U1087" i="1"/>
  <c r="O1105" i="1"/>
  <c r="O765" i="1"/>
  <c r="O521" i="1"/>
  <c r="B765" i="1"/>
  <c r="B521" i="1"/>
  <c r="O92" i="1"/>
  <c r="B92" i="1"/>
  <c r="X765" i="1"/>
  <c r="C20" i="4"/>
  <c r="V189" i="3" s="1"/>
  <c r="C47" i="4"/>
  <c r="C79" i="4"/>
  <c r="C110" i="4"/>
  <c r="V1569" i="3" s="1"/>
  <c r="A6" i="4"/>
  <c r="A3" i="3"/>
  <c r="A5" i="1"/>
  <c r="B342" i="3"/>
  <c r="P326" i="2"/>
  <c r="P114" i="2"/>
  <c r="P113" i="2"/>
  <c r="P168" i="2"/>
  <c r="P115" i="2"/>
  <c r="O158" i="1"/>
  <c r="B159" i="1"/>
  <c r="F58" i="5"/>
  <c r="B52" i="4"/>
  <c r="B726" i="3"/>
  <c r="X424" i="1"/>
  <c r="X401" i="1"/>
  <c r="T401" i="1"/>
  <c r="O401" i="1"/>
  <c r="P473" i="2"/>
  <c r="P472" i="2"/>
  <c r="P474" i="2"/>
  <c r="P471" i="2"/>
  <c r="P200" i="2"/>
  <c r="P173" i="2"/>
  <c r="O609" i="1"/>
  <c r="B605" i="1"/>
  <c r="P402" i="2"/>
  <c r="P227" i="2"/>
  <c r="P248" i="2"/>
  <c r="P403" i="2"/>
  <c r="B816" i="1"/>
  <c r="O820" i="1"/>
  <c r="B1001" i="1"/>
  <c r="O994" i="1"/>
  <c r="C1" i="7"/>
  <c r="C34" i="7"/>
  <c r="F1551" i="3" s="1"/>
  <c r="C65" i="7"/>
  <c r="F1415" i="3" s="1"/>
  <c r="F95" i="4"/>
  <c r="C104" i="7"/>
  <c r="C142" i="7"/>
  <c r="B13" i="6"/>
  <c r="C180" i="7"/>
  <c r="B50" i="6"/>
  <c r="P36" i="5"/>
  <c r="C218" i="7"/>
  <c r="B88" i="6"/>
  <c r="C256" i="7"/>
  <c r="O458" i="3" s="1"/>
  <c r="H27" i="6"/>
  <c r="N10" i="5"/>
  <c r="C294" i="7"/>
  <c r="B34" i="5"/>
  <c r="H64" i="6"/>
  <c r="H34" i="5"/>
  <c r="H106" i="6"/>
  <c r="B130" i="6"/>
  <c r="C381" i="7"/>
  <c r="C432" i="7"/>
  <c r="B179" i="6"/>
  <c r="F41" i="5"/>
  <c r="H41" i="5"/>
  <c r="H182" i="6"/>
  <c r="C515" i="7"/>
  <c r="F79" i="4"/>
  <c r="F76" i="7"/>
  <c r="D1165" i="3" s="1"/>
  <c r="C107" i="2"/>
  <c r="C283" i="2"/>
  <c r="C464" i="2"/>
  <c r="B2079" i="3"/>
  <c r="B1956" i="3"/>
  <c r="D35" i="4"/>
  <c r="B376" i="3"/>
  <c r="I55" i="8"/>
  <c r="S1688" i="3" s="1"/>
  <c r="B1114" i="1"/>
  <c r="B1071" i="1"/>
  <c r="B1143" i="1"/>
  <c r="B1162" i="1"/>
  <c r="B1156" i="1"/>
  <c r="B1181" i="1"/>
  <c r="B878" i="1"/>
  <c r="B1233" i="1"/>
  <c r="B1159" i="1"/>
  <c r="B932" i="1"/>
  <c r="B1210" i="1"/>
  <c r="B866" i="1"/>
  <c r="B1153" i="1"/>
  <c r="B1028" i="1"/>
  <c r="B823" i="1"/>
  <c r="B691" i="1"/>
  <c r="B542" i="1"/>
  <c r="B358" i="1"/>
  <c r="B376" i="1"/>
  <c r="B327" i="1"/>
  <c r="B971" i="1"/>
  <c r="B492" i="1"/>
  <c r="B910" i="1"/>
  <c r="B594" i="1"/>
  <c r="B265" i="1"/>
  <c r="B736" i="1"/>
  <c r="B230" i="1"/>
  <c r="B783" i="1"/>
  <c r="B1015" i="1"/>
  <c r="B711" i="1"/>
  <c r="B616" i="1"/>
  <c r="B142" i="1"/>
  <c r="B438" i="1"/>
  <c r="B99" i="1"/>
  <c r="B661" i="1"/>
  <c r="B287" i="1"/>
  <c r="B612" i="1"/>
  <c r="B254" i="1"/>
  <c r="B560" i="1"/>
  <c r="B396" i="1"/>
  <c r="B215" i="1"/>
  <c r="B177" i="1"/>
  <c r="B88" i="1"/>
  <c r="B29" i="1"/>
  <c r="F1527" i="3"/>
  <c r="F1063" i="3"/>
  <c r="F514" i="3"/>
  <c r="F657" i="3"/>
  <c r="F270" i="3"/>
  <c r="F50" i="3"/>
  <c r="E91" i="4"/>
  <c r="E38" i="4"/>
  <c r="V1237" i="3"/>
  <c r="V1217" i="3"/>
  <c r="V895" i="3"/>
  <c r="V705" i="3"/>
  <c r="Q1" i="3"/>
  <c r="C21" i="4"/>
  <c r="V203" i="3" s="1"/>
  <c r="C48" i="4"/>
  <c r="V624" i="3" s="1"/>
  <c r="C81" i="4"/>
  <c r="C115" i="4"/>
  <c r="B64" i="3"/>
  <c r="B468" i="3"/>
  <c r="P347" i="2"/>
  <c r="P230" i="2"/>
  <c r="P90" i="2"/>
  <c r="P10" i="2"/>
  <c r="P116" i="2"/>
  <c r="P29" i="2"/>
  <c r="P214" i="2"/>
  <c r="B183" i="1"/>
  <c r="X182" i="1"/>
  <c r="O187" i="1"/>
  <c r="B887" i="3"/>
  <c r="B622" i="1"/>
  <c r="B1490" i="3"/>
  <c r="N58" i="5"/>
  <c r="B125" i="4"/>
  <c r="B1818" i="3"/>
  <c r="X1033" i="1"/>
  <c r="T1033" i="1"/>
  <c r="O1033" i="1"/>
  <c r="C6" i="7"/>
  <c r="L69" i="5"/>
  <c r="F71" i="5"/>
  <c r="J69" i="5"/>
  <c r="B71" i="5"/>
  <c r="F48" i="5"/>
  <c r="L47" i="5"/>
  <c r="H45" i="5"/>
  <c r="D45" i="5"/>
  <c r="N22" i="5"/>
  <c r="H67" i="5"/>
  <c r="D67" i="5"/>
  <c r="N44" i="5"/>
  <c r="J42" i="5"/>
  <c r="J19" i="5"/>
  <c r="L15" i="5"/>
  <c r="P13" i="5"/>
  <c r="D19" i="5"/>
  <c r="H15" i="5"/>
  <c r="B44" i="5"/>
  <c r="B19" i="5"/>
  <c r="F13" i="5"/>
  <c r="P68" i="5"/>
  <c r="N65" i="5"/>
  <c r="P49" i="5"/>
  <c r="C36" i="7"/>
  <c r="C66" i="7"/>
  <c r="F101" i="4"/>
  <c r="C105" i="7"/>
  <c r="D847" i="3" s="1"/>
  <c r="C143" i="7"/>
  <c r="D1100" i="3" s="1"/>
  <c r="B14" i="6"/>
  <c r="F140" i="4"/>
  <c r="B51" i="6"/>
  <c r="F60" i="5"/>
  <c r="C181" i="7"/>
  <c r="C219" i="7"/>
  <c r="J408" i="2" s="1"/>
  <c r="K1029" i="1" s="1"/>
  <c r="B89" i="6"/>
  <c r="C257" i="7"/>
  <c r="D1753" i="3" s="1"/>
  <c r="H28" i="6"/>
  <c r="F33" i="5"/>
  <c r="C295" i="7"/>
  <c r="H65" i="6"/>
  <c r="B8" i="5"/>
  <c r="H33" i="5"/>
  <c r="C336" i="7"/>
  <c r="H107" i="6"/>
  <c r="C383" i="7"/>
  <c r="B132" i="6"/>
  <c r="N40" i="5"/>
  <c r="H38" i="5"/>
  <c r="P41" i="5"/>
  <c r="C434" i="7"/>
  <c r="D1509" i="3" s="1"/>
  <c r="B181" i="6"/>
  <c r="H40" i="5"/>
  <c r="P43" i="5"/>
  <c r="H183" i="6"/>
  <c r="C516" i="7"/>
  <c r="F78" i="7"/>
  <c r="O902" i="3" s="1"/>
  <c r="C109" i="2"/>
  <c r="C392" i="1" s="1"/>
  <c r="C284" i="2"/>
  <c r="C670" i="1" s="1"/>
  <c r="C467" i="2"/>
  <c r="C439" i="1" s="1"/>
  <c r="D71" i="4"/>
  <c r="B1090" i="3"/>
  <c r="D123" i="4"/>
  <c r="B1808" i="3"/>
  <c r="I68" i="8"/>
  <c r="C55" i="4"/>
  <c r="C72" i="4"/>
  <c r="C90" i="4"/>
  <c r="V1354" i="3" s="1"/>
  <c r="C106" i="4"/>
  <c r="V1486" i="3" s="1"/>
  <c r="C123" i="4"/>
  <c r="C141" i="4"/>
  <c r="V2009" i="3" s="1"/>
  <c r="O15" i="1"/>
  <c r="B10" i="1"/>
  <c r="B216" i="3"/>
  <c r="P393" i="2"/>
  <c r="P305" i="2"/>
  <c r="P307" i="2"/>
  <c r="P8" i="2"/>
  <c r="P392" i="2"/>
  <c r="P186" i="2"/>
  <c r="P102" i="2"/>
  <c r="P188" i="2"/>
  <c r="P103" i="2"/>
  <c r="P23" i="2"/>
  <c r="O168" i="1"/>
  <c r="B168" i="1"/>
  <c r="A41" i="4"/>
  <c r="A528" i="3"/>
  <c r="A293" i="1"/>
  <c r="B712" i="3"/>
  <c r="P501" i="2"/>
  <c r="P500" i="2"/>
  <c r="P83" i="2"/>
  <c r="P502" i="2"/>
  <c r="P16" i="2"/>
  <c r="O352" i="1"/>
  <c r="B348" i="1"/>
  <c r="H3" i="5"/>
  <c r="B59" i="4"/>
  <c r="B908" i="3"/>
  <c r="P396" i="2"/>
  <c r="P397" i="2"/>
  <c r="B473" i="1"/>
  <c r="T445" i="1"/>
  <c r="O445" i="1"/>
  <c r="P427" i="2"/>
  <c r="B522" i="1"/>
  <c r="O519" i="1"/>
  <c r="A76" i="4"/>
  <c r="A1132" i="3"/>
  <c r="A625" i="1"/>
  <c r="P454" i="2"/>
  <c r="P456" i="2"/>
  <c r="P453" i="2"/>
  <c r="P455" i="2"/>
  <c r="P49" i="2"/>
  <c r="P34" i="2"/>
  <c r="P350" i="2"/>
  <c r="O702" i="1"/>
  <c r="B701" i="1"/>
  <c r="B1451" i="3"/>
  <c r="O799" i="1"/>
  <c r="B794" i="1"/>
  <c r="L58" i="5"/>
  <c r="B107" i="4"/>
  <c r="B1562" i="3"/>
  <c r="O885" i="1"/>
  <c r="T885" i="1"/>
  <c r="O947" i="1"/>
  <c r="B941" i="1"/>
  <c r="B1864" i="3"/>
  <c r="P218" i="2"/>
  <c r="P219" i="2"/>
  <c r="P149" i="2"/>
  <c r="B1042" i="1"/>
  <c r="O1043" i="1"/>
  <c r="X1039" i="1"/>
  <c r="B2037" i="3"/>
  <c r="C3" i="7"/>
  <c r="F321" i="3" s="1"/>
  <c r="N42" i="5"/>
  <c r="N21" i="5"/>
  <c r="D18" i="5"/>
  <c r="L45" i="5"/>
  <c r="B18" i="5"/>
  <c r="N64" i="5"/>
  <c r="L14" i="5"/>
  <c r="P12" i="5"/>
  <c r="H43" i="5"/>
  <c r="J18" i="5"/>
  <c r="H14" i="5"/>
  <c r="D43" i="5"/>
  <c r="F12" i="5"/>
  <c r="J40" i="5"/>
  <c r="F46" i="5"/>
  <c r="B42" i="5"/>
  <c r="P47" i="5"/>
  <c r="C16" i="7"/>
  <c r="F1111" i="3" s="1"/>
  <c r="L71" i="5"/>
  <c r="F73" i="5"/>
  <c r="J71" i="5"/>
  <c r="N45" i="5"/>
  <c r="L48" i="5"/>
  <c r="B73" i="5"/>
  <c r="H69" i="5"/>
  <c r="J43" i="5"/>
  <c r="F49" i="5"/>
  <c r="B45" i="5"/>
  <c r="P70" i="5"/>
  <c r="P50" i="5"/>
  <c r="H46" i="5"/>
  <c r="D69" i="5"/>
  <c r="D46" i="5"/>
  <c r="C29" i="7"/>
  <c r="C42" i="7"/>
  <c r="F692" i="3" s="1"/>
  <c r="C55" i="7"/>
  <c r="C68" i="7"/>
  <c r="C81" i="7"/>
  <c r="C94" i="7"/>
  <c r="F1851" i="3" s="1"/>
  <c r="C107" i="7"/>
  <c r="J255" i="2" s="1"/>
  <c r="K554" i="1" s="1"/>
  <c r="C120" i="7"/>
  <c r="F103" i="3" s="1"/>
  <c r="C133" i="7"/>
  <c r="P907" i="1" s="1"/>
  <c r="C144" i="7"/>
  <c r="B60" i="5"/>
  <c r="B15" i="6"/>
  <c r="C157" i="7"/>
  <c r="O1463" i="3" s="1"/>
  <c r="B27" i="6"/>
  <c r="J31" i="5"/>
  <c r="B40" i="6"/>
  <c r="C182" i="7"/>
  <c r="J449" i="2" s="1"/>
  <c r="K879" i="1" s="1"/>
  <c r="B52" i="6"/>
  <c r="B64" i="6"/>
  <c r="C195" i="7"/>
  <c r="C207" i="7"/>
  <c r="B78" i="6"/>
  <c r="H61" i="5"/>
  <c r="C220" i="7"/>
  <c r="B90" i="6"/>
  <c r="J34" i="5"/>
  <c r="H5" i="6"/>
  <c r="C245" i="7"/>
  <c r="H17" i="6"/>
  <c r="C258" i="7"/>
  <c r="J410" i="2" s="1"/>
  <c r="K1016" i="1" s="1"/>
  <c r="H29" i="6"/>
  <c r="C270" i="7"/>
  <c r="H42" i="6"/>
  <c r="F142" i="4"/>
  <c r="C283" i="7"/>
  <c r="H54" i="6"/>
  <c r="F63" i="5"/>
  <c r="H66" i="6"/>
  <c r="C296" i="7"/>
  <c r="F928" i="3" s="1"/>
  <c r="C308" i="7"/>
  <c r="J460" i="2" s="1"/>
  <c r="K288" i="1" s="1"/>
  <c r="H79" i="6"/>
  <c r="C323" i="7"/>
  <c r="H93" i="6"/>
  <c r="N36" i="5"/>
  <c r="L34" i="5"/>
  <c r="H108" i="6"/>
  <c r="C337" i="7"/>
  <c r="F35" i="4"/>
  <c r="H123" i="6"/>
  <c r="C354" i="7"/>
  <c r="F8" i="5"/>
  <c r="B11" i="5"/>
  <c r="D9" i="5"/>
  <c r="N13" i="5"/>
  <c r="P8" i="5"/>
  <c r="L8" i="5"/>
  <c r="J11" i="5"/>
  <c r="H8" i="5"/>
  <c r="C368" i="7"/>
  <c r="B118" i="6"/>
  <c r="C384" i="7"/>
  <c r="O415" i="3" s="1"/>
  <c r="B133" i="6"/>
  <c r="B37" i="5"/>
  <c r="B147" i="6"/>
  <c r="C399" i="7"/>
  <c r="C414" i="7"/>
  <c r="J66" i="5"/>
  <c r="B163" i="6"/>
  <c r="L65" i="5"/>
  <c r="C435" i="7"/>
  <c r="B182" i="6"/>
  <c r="C453" i="7"/>
  <c r="B199" i="6"/>
  <c r="C475" i="7"/>
  <c r="H145" i="6"/>
  <c r="C498" i="7"/>
  <c r="H166" i="6"/>
  <c r="J17" i="5"/>
  <c r="H187" i="6"/>
  <c r="C520" i="7"/>
  <c r="C541" i="7"/>
  <c r="F21" i="7"/>
  <c r="D391" i="3" s="1"/>
  <c r="F52" i="7"/>
  <c r="D146" i="3" s="1"/>
  <c r="F79" i="7"/>
  <c r="D734" i="3" s="1"/>
  <c r="I31" i="7"/>
  <c r="F2046" i="3" s="1"/>
  <c r="I58" i="7"/>
  <c r="F520" i="3" s="1"/>
  <c r="C25" i="2"/>
  <c r="C56" i="2"/>
  <c r="C944" i="1" s="1"/>
  <c r="C83" i="2"/>
  <c r="C115" i="2"/>
  <c r="C142" i="2"/>
  <c r="C801" i="1" s="1"/>
  <c r="C169" i="2"/>
  <c r="C25" i="1" s="1"/>
  <c r="C200" i="2"/>
  <c r="C610" i="1" s="1"/>
  <c r="C227" i="2"/>
  <c r="C819" i="1" s="1"/>
  <c r="C259" i="2"/>
  <c r="C796" i="1" s="1"/>
  <c r="C286" i="2"/>
  <c r="C672" i="1" s="1"/>
  <c r="C313" i="2"/>
  <c r="C344" i="2"/>
  <c r="C371" i="2"/>
  <c r="C405" i="2"/>
  <c r="C973" i="1" s="1"/>
  <c r="C435" i="2"/>
  <c r="C397" i="1" s="1"/>
  <c r="C471" i="2"/>
  <c r="C49" i="8"/>
  <c r="C31" i="8"/>
  <c r="C74" i="8"/>
  <c r="C88" i="8"/>
  <c r="N280" i="2" s="1"/>
  <c r="C85" i="8"/>
  <c r="N238" i="2" s="1"/>
  <c r="C98" i="8"/>
  <c r="N108" i="2" s="1"/>
  <c r="C92" i="8"/>
  <c r="C15" i="8"/>
  <c r="C76" i="8"/>
  <c r="N61" i="2" s="1"/>
  <c r="C65" i="8"/>
  <c r="C91" i="8"/>
  <c r="N275" i="2" s="1"/>
  <c r="C35" i="8"/>
  <c r="N128" i="2" s="1"/>
  <c r="B2038" i="3"/>
  <c r="B1535" i="3"/>
  <c r="B1538" i="3"/>
  <c r="B256" i="3"/>
  <c r="D50" i="4"/>
  <c r="B665" i="3"/>
  <c r="B312" i="3"/>
  <c r="Y148" i="1"/>
  <c r="B1458" i="3"/>
  <c r="B1548" i="3"/>
  <c r="B331" i="3"/>
  <c r="B1377" i="3"/>
  <c r="B1964" i="3"/>
  <c r="B1879" i="3"/>
  <c r="B1374" i="3"/>
  <c r="B1121" i="3"/>
  <c r="D54" i="4"/>
  <c r="B852" i="3"/>
  <c r="B595" i="3"/>
  <c r="I27" i="8"/>
  <c r="I148" i="8"/>
  <c r="S1692" i="3" s="1"/>
  <c r="C74" i="4"/>
  <c r="C91" i="4"/>
  <c r="C108" i="4"/>
  <c r="C124" i="4"/>
  <c r="C142" i="4"/>
  <c r="P497" i="2"/>
  <c r="P496" i="2"/>
  <c r="P172" i="2"/>
  <c r="P198" i="2"/>
  <c r="P169" i="2"/>
  <c r="P183" i="2"/>
  <c r="P171" i="2"/>
  <c r="P7" i="2"/>
  <c r="B22" i="1"/>
  <c r="O20" i="1"/>
  <c r="P319" i="2"/>
  <c r="P349" i="2"/>
  <c r="P176" i="2"/>
  <c r="P175" i="2"/>
  <c r="P252" i="2"/>
  <c r="B104" i="1"/>
  <c r="O103" i="1"/>
  <c r="D30" i="5"/>
  <c r="B30" i="4"/>
  <c r="B347" i="3"/>
  <c r="T182" i="1"/>
  <c r="O182" i="1"/>
  <c r="F3" i="5"/>
  <c r="B42" i="4"/>
  <c r="V852" i="3"/>
  <c r="B530" i="3"/>
  <c r="X318" i="1"/>
  <c r="T295" i="1"/>
  <c r="O295" i="1"/>
  <c r="O364" i="1"/>
  <c r="B364" i="1"/>
  <c r="P270" i="2"/>
  <c r="P153" i="2"/>
  <c r="P155" i="2"/>
  <c r="P138" i="2"/>
  <c r="P92" i="2"/>
  <c r="P154" i="2"/>
  <c r="P156" i="2"/>
  <c r="B447" i="1"/>
  <c r="O448" i="1"/>
  <c r="P316" i="2"/>
  <c r="P315" i="2"/>
  <c r="P432" i="2"/>
  <c r="P242" i="2"/>
  <c r="P434" i="2"/>
  <c r="P433" i="2"/>
  <c r="P229" i="2"/>
  <c r="P429" i="2"/>
  <c r="P67" i="2"/>
  <c r="P84" i="2"/>
  <c r="B535" i="1"/>
  <c r="O524" i="1"/>
  <c r="J3" i="5"/>
  <c r="B77" i="4"/>
  <c r="B1134" i="3"/>
  <c r="X627" i="1"/>
  <c r="T627" i="1"/>
  <c r="O627" i="1"/>
  <c r="P279" i="2"/>
  <c r="P274" i="2"/>
  <c r="P281" i="2"/>
  <c r="P283" i="2"/>
  <c r="P276" i="2"/>
  <c r="O716" i="1"/>
  <c r="B716" i="1"/>
  <c r="P385" i="2"/>
  <c r="P263" i="2"/>
  <c r="P262" i="2"/>
  <c r="O804" i="1"/>
  <c r="B804" i="1"/>
  <c r="B1602" i="3"/>
  <c r="V1581" i="3"/>
  <c r="P331" i="2"/>
  <c r="P66" i="2"/>
  <c r="P193" i="2"/>
  <c r="B950" i="1"/>
  <c r="P382" i="2"/>
  <c r="O952" i="1"/>
  <c r="B1055" i="1"/>
  <c r="O1055" i="1"/>
  <c r="B1121" i="1"/>
  <c r="P124" i="2"/>
  <c r="P126" i="2"/>
  <c r="P125" i="2"/>
  <c r="O1125" i="1"/>
  <c r="P127" i="2"/>
  <c r="C4" i="7"/>
  <c r="F47" i="5"/>
  <c r="D65" i="5"/>
  <c r="D44" i="5"/>
  <c r="F69" i="5"/>
  <c r="N43" i="5"/>
  <c r="B69" i="5"/>
  <c r="J67" i="5"/>
  <c r="H65" i="5"/>
  <c r="J41" i="5"/>
  <c r="L67" i="5"/>
  <c r="B43" i="5"/>
  <c r="P48" i="5"/>
  <c r="L46" i="5"/>
  <c r="P66" i="5"/>
  <c r="H44" i="5"/>
  <c r="F27" i="4"/>
  <c r="C17" i="7"/>
  <c r="F127" i="4"/>
  <c r="C30" i="7"/>
  <c r="C43" i="7"/>
  <c r="F275" i="3" s="1"/>
  <c r="F43" i="4"/>
  <c r="C56" i="7"/>
  <c r="F80" i="4"/>
  <c r="C69" i="7"/>
  <c r="F123" i="4"/>
  <c r="C82" i="7"/>
  <c r="C95" i="7"/>
  <c r="F776" i="3" s="1"/>
  <c r="C108" i="7"/>
  <c r="J254" i="2" s="1"/>
  <c r="K553" i="1" s="1"/>
  <c r="C121" i="7"/>
  <c r="O239" i="3" s="1"/>
  <c r="C134" i="7"/>
  <c r="P902" i="1" s="1"/>
  <c r="C146" i="7"/>
  <c r="B16" i="6"/>
  <c r="J33" i="5"/>
  <c r="C159" i="7"/>
  <c r="P33" i="5"/>
  <c r="B28" i="6"/>
  <c r="C170" i="7"/>
  <c r="B41" i="6"/>
  <c r="C183" i="7"/>
  <c r="B53" i="6"/>
  <c r="C196" i="7"/>
  <c r="U632" i="1" s="1"/>
  <c r="B65" i="6"/>
  <c r="D4" i="5"/>
  <c r="C208" i="7"/>
  <c r="J467" i="2" s="1"/>
  <c r="K439" i="1" s="1"/>
  <c r="B79" i="6"/>
  <c r="C221" i="7"/>
  <c r="B91" i="6"/>
  <c r="C233" i="7"/>
  <c r="H6" i="6"/>
  <c r="C246" i="7"/>
  <c r="H18" i="6"/>
  <c r="L32" i="5"/>
  <c r="C259" i="7"/>
  <c r="H30" i="6"/>
  <c r="C271" i="7"/>
  <c r="H43" i="6"/>
  <c r="F85" i="4"/>
  <c r="C284" i="7"/>
  <c r="H55" i="6"/>
  <c r="C297" i="7"/>
  <c r="H67" i="6"/>
  <c r="F6" i="5"/>
  <c r="N11" i="5"/>
  <c r="B7" i="5"/>
  <c r="P6" i="5"/>
  <c r="C309" i="7"/>
  <c r="D1530" i="3" s="1"/>
  <c r="H80" i="6"/>
  <c r="C324" i="7"/>
  <c r="H94" i="6"/>
  <c r="C338" i="7"/>
  <c r="D883" i="3" s="1"/>
  <c r="H109" i="6"/>
  <c r="H124" i="6"/>
  <c r="C355" i="7"/>
  <c r="B120" i="6"/>
  <c r="C370" i="7"/>
  <c r="B134" i="6"/>
  <c r="C385" i="7"/>
  <c r="N39" i="5"/>
  <c r="F38" i="5"/>
  <c r="J13" i="5"/>
  <c r="L38" i="5"/>
  <c r="C400" i="7"/>
  <c r="B148" i="6"/>
  <c r="C417" i="7"/>
  <c r="B66" i="5"/>
  <c r="B166" i="6"/>
  <c r="F67" i="5"/>
  <c r="C437" i="7"/>
  <c r="B184" i="6"/>
  <c r="L41" i="5"/>
  <c r="C455" i="7"/>
  <c r="H127" i="6"/>
  <c r="F74" i="4"/>
  <c r="H146" i="6"/>
  <c r="C476" i="7"/>
  <c r="D1542" i="3" s="1"/>
  <c r="C499" i="7"/>
  <c r="N19" i="5"/>
  <c r="H167" i="6"/>
  <c r="H188" i="6"/>
  <c r="C521" i="7"/>
  <c r="F539" i="3" s="1"/>
  <c r="C542" i="7"/>
  <c r="F1392" i="3" s="1"/>
  <c r="F27" i="7"/>
  <c r="D187" i="3" s="1"/>
  <c r="F54" i="7"/>
  <c r="D1748" i="3" s="1"/>
  <c r="F81" i="7"/>
  <c r="I32" i="7"/>
  <c r="F850" i="3" s="1"/>
  <c r="I59" i="7"/>
  <c r="F1920" i="3" s="1"/>
  <c r="C31" i="2"/>
  <c r="C890" i="1" s="1"/>
  <c r="C58" i="2"/>
  <c r="C979" i="1" s="1"/>
  <c r="C85" i="2"/>
  <c r="C116" i="2"/>
  <c r="C143" i="2"/>
  <c r="C175" i="2"/>
  <c r="C106" i="1" s="1"/>
  <c r="C202" i="2"/>
  <c r="C229" i="2"/>
  <c r="C260" i="2"/>
  <c r="C797" i="1" s="1"/>
  <c r="C287" i="2"/>
  <c r="C319" i="2"/>
  <c r="C346" i="2"/>
  <c r="C373" i="2"/>
  <c r="C406" i="2"/>
  <c r="C1115" i="1" s="1"/>
  <c r="C436" i="2"/>
  <c r="C398" i="1" s="1"/>
  <c r="C480" i="2"/>
  <c r="C127" i="1" s="1"/>
  <c r="C54" i="8"/>
  <c r="N98" i="2" s="1"/>
  <c r="C60" i="8"/>
  <c r="N118" i="2" s="1"/>
  <c r="C13" i="8"/>
  <c r="N9" i="2" s="1"/>
  <c r="C93" i="8"/>
  <c r="N383" i="2" s="1"/>
  <c r="C111" i="8"/>
  <c r="B1286" i="3"/>
  <c r="B1284" i="3"/>
  <c r="B662" i="3"/>
  <c r="B892" i="3"/>
  <c r="B681" i="3"/>
  <c r="Y705" i="1"/>
  <c r="B435" i="3"/>
  <c r="B684" i="3"/>
  <c r="B145" i="3"/>
  <c r="B165" i="3"/>
  <c r="B1948" i="3"/>
  <c r="B1587" i="3"/>
  <c r="B1858" i="3"/>
  <c r="B604" i="3"/>
  <c r="B317" i="3"/>
  <c r="B1144" i="3"/>
  <c r="B554" i="3"/>
  <c r="I4" i="8"/>
  <c r="I24" i="8"/>
  <c r="S1584" i="3" s="1"/>
  <c r="I117" i="8"/>
  <c r="F2015" i="3"/>
  <c r="F1603" i="3"/>
  <c r="F1725" i="3"/>
  <c r="F1240" i="3"/>
  <c r="F1482" i="3"/>
  <c r="F931" i="3"/>
  <c r="C9" i="4"/>
  <c r="V56" i="3" s="1"/>
  <c r="C26" i="4"/>
  <c r="C43" i="4"/>
  <c r="C60" i="4"/>
  <c r="V935" i="3" s="1"/>
  <c r="C78" i="4"/>
  <c r="V1170" i="3" s="1"/>
  <c r="C95" i="4"/>
  <c r="V1438" i="3" s="1"/>
  <c r="C109" i="4"/>
  <c r="V278" i="3" s="1"/>
  <c r="C126" i="4"/>
  <c r="Z1040" i="1" s="1"/>
  <c r="C144" i="4"/>
  <c r="V2091" i="3" s="1"/>
  <c r="B84" i="3"/>
  <c r="O34" i="1"/>
  <c r="B11" i="1"/>
  <c r="P380" i="2"/>
  <c r="B113" i="1"/>
  <c r="O108" i="1"/>
  <c r="B403" i="3"/>
  <c r="P294" i="2"/>
  <c r="P293" i="2"/>
  <c r="P295" i="2"/>
  <c r="P119" i="2"/>
  <c r="P269" i="2"/>
  <c r="P271" i="2"/>
  <c r="P151" i="2"/>
  <c r="O300" i="1"/>
  <c r="B297" i="1"/>
  <c r="P422" i="2"/>
  <c r="P303" i="2"/>
  <c r="P18" i="2"/>
  <c r="P423" i="2"/>
  <c r="P44" i="2"/>
  <c r="P20" i="2"/>
  <c r="P19" i="2"/>
  <c r="P45" i="2"/>
  <c r="B369" i="1"/>
  <c r="O368" i="1"/>
  <c r="O454" i="1"/>
  <c r="B448" i="1"/>
  <c r="P437" i="2"/>
  <c r="P336" i="2"/>
  <c r="P254" i="2"/>
  <c r="P440" i="2"/>
  <c r="P253" i="2"/>
  <c r="P255" i="2"/>
  <c r="P106" i="2"/>
  <c r="P77" i="2"/>
  <c r="P26" i="2"/>
  <c r="X551" i="1"/>
  <c r="O551" i="1"/>
  <c r="B551" i="1"/>
  <c r="B1181" i="3"/>
  <c r="P446" i="2"/>
  <c r="P445" i="2"/>
  <c r="P444" i="2"/>
  <c r="O719" i="1"/>
  <c r="B728" i="1"/>
  <c r="O816" i="1"/>
  <c r="B795" i="1"/>
  <c r="P267" i="2"/>
  <c r="P165" i="2"/>
  <c r="P266" i="2"/>
  <c r="P210" i="2"/>
  <c r="P31" i="2"/>
  <c r="O889" i="1"/>
  <c r="B886" i="1"/>
  <c r="P405" i="2"/>
  <c r="P244" i="2"/>
  <c r="P404" i="2"/>
  <c r="P243" i="2"/>
  <c r="P147" i="2"/>
  <c r="P245" i="2"/>
  <c r="B964" i="1"/>
  <c r="O964" i="1"/>
  <c r="P478" i="2"/>
  <c r="O1070" i="1"/>
  <c r="O1059" i="1"/>
  <c r="P94" i="2"/>
  <c r="B1060" i="1"/>
  <c r="P192" i="2"/>
  <c r="B1065" i="1"/>
  <c r="O1129" i="1"/>
  <c r="B70" i="5"/>
  <c r="P67" i="5"/>
  <c r="H66" i="5"/>
  <c r="L68" i="5"/>
  <c r="J68" i="5"/>
  <c r="F141" i="4"/>
  <c r="C5" i="7"/>
  <c r="F1118" i="3" s="1"/>
  <c r="F70" i="5"/>
  <c r="D66" i="5"/>
  <c r="C18" i="7"/>
  <c r="F50" i="5"/>
  <c r="P51" i="5"/>
  <c r="L72" i="5"/>
  <c r="L17" i="5"/>
  <c r="F74" i="5"/>
  <c r="J44" i="5"/>
  <c r="J21" i="5"/>
  <c r="F15" i="5"/>
  <c r="J72" i="5"/>
  <c r="C31" i="7"/>
  <c r="C44" i="7"/>
  <c r="F248" i="3" s="1"/>
  <c r="C57" i="7"/>
  <c r="F47" i="4"/>
  <c r="C70" i="7"/>
  <c r="F62" i="4"/>
  <c r="C83" i="7"/>
  <c r="C96" i="7"/>
  <c r="F1368" i="3" s="1"/>
  <c r="C109" i="7"/>
  <c r="J481" i="2" s="1"/>
  <c r="K143" i="1" s="1"/>
  <c r="C122" i="7"/>
  <c r="O1153" i="3" s="1"/>
  <c r="B5" i="6"/>
  <c r="C147" i="7"/>
  <c r="L60" i="5"/>
  <c r="B17" i="6"/>
  <c r="C160" i="7"/>
  <c r="F65" i="3" s="1"/>
  <c r="B29" i="6"/>
  <c r="C172" i="7"/>
  <c r="B42" i="6"/>
  <c r="F81" i="4"/>
  <c r="C185" i="7"/>
  <c r="F59" i="5"/>
  <c r="N33" i="5"/>
  <c r="B54" i="6"/>
  <c r="C198" i="7"/>
  <c r="U940" i="1" s="1"/>
  <c r="H6" i="5"/>
  <c r="B66" i="6"/>
  <c r="J5" i="5"/>
  <c r="C209" i="7"/>
  <c r="D812" i="3" s="1"/>
  <c r="B80" i="6"/>
  <c r="C222" i="7"/>
  <c r="B92" i="6"/>
  <c r="B32" i="5"/>
  <c r="C234" i="7"/>
  <c r="H7" i="6"/>
  <c r="F99" i="4"/>
  <c r="C247" i="7"/>
  <c r="H19" i="6"/>
  <c r="C260" i="7"/>
  <c r="D641" i="3" s="1"/>
  <c r="F32" i="5"/>
  <c r="H31" i="6"/>
  <c r="L7" i="5"/>
  <c r="C272" i="7"/>
  <c r="H44" i="6"/>
  <c r="C285" i="7"/>
  <c r="P711" i="1" s="1"/>
  <c r="H56" i="6"/>
  <c r="P38" i="5"/>
  <c r="B35" i="5"/>
  <c r="J61" i="5"/>
  <c r="C298" i="7"/>
  <c r="H68" i="6"/>
  <c r="C310" i="7"/>
  <c r="H81" i="6"/>
  <c r="H95" i="6"/>
  <c r="C325" i="7"/>
  <c r="L33" i="5"/>
  <c r="D7" i="5"/>
  <c r="C341" i="7"/>
  <c r="H111" i="6"/>
  <c r="P40" i="5"/>
  <c r="B106" i="6"/>
  <c r="C371" i="7"/>
  <c r="P748" i="1" s="1"/>
  <c r="D62" i="5"/>
  <c r="P64" i="5"/>
  <c r="B121" i="6"/>
  <c r="C386" i="7"/>
  <c r="B135" i="6"/>
  <c r="F9" i="5"/>
  <c r="B150" i="6"/>
  <c r="C419" i="7"/>
  <c r="D415" i="3" s="1"/>
  <c r="B167" i="6"/>
  <c r="H42" i="5"/>
  <c r="C438" i="7"/>
  <c r="B185" i="6"/>
  <c r="B39" i="5"/>
  <c r="C456" i="7"/>
  <c r="H128" i="6"/>
  <c r="F15" i="4"/>
  <c r="F28" i="4"/>
  <c r="F89" i="4"/>
  <c r="F55" i="4"/>
  <c r="C477" i="7"/>
  <c r="H147" i="6"/>
  <c r="C501" i="7"/>
  <c r="H169" i="6"/>
  <c r="B16" i="5"/>
  <c r="C524" i="7"/>
  <c r="H190" i="6"/>
  <c r="F3" i="7"/>
  <c r="F28" i="7"/>
  <c r="F55" i="7"/>
  <c r="D862" i="3" s="1"/>
  <c r="I7" i="7"/>
  <c r="F2048" i="3" s="1"/>
  <c r="I34" i="7"/>
  <c r="F1964" i="3" s="1"/>
  <c r="I61" i="7"/>
  <c r="F1767" i="3" s="1"/>
  <c r="C32" i="2"/>
  <c r="C208" i="1" s="1"/>
  <c r="C59" i="2"/>
  <c r="C980" i="1" s="1"/>
  <c r="C91" i="2"/>
  <c r="C756" i="1" s="1"/>
  <c r="C118" i="2"/>
  <c r="C239" i="1" s="1"/>
  <c r="C145" i="2"/>
  <c r="C409" i="1" s="1"/>
  <c r="C176" i="2"/>
  <c r="C107" i="1" s="1"/>
  <c r="C203" i="2"/>
  <c r="C235" i="2"/>
  <c r="C320" i="1" s="1"/>
  <c r="C262" i="2"/>
  <c r="C289" i="2"/>
  <c r="C320" i="2"/>
  <c r="C15" i="1" s="1"/>
  <c r="C347" i="2"/>
  <c r="C380" i="2"/>
  <c r="C120" i="1" s="1"/>
  <c r="C408" i="2"/>
  <c r="C1029" i="1" s="1"/>
  <c r="C440" i="2"/>
  <c r="C564" i="1" s="1"/>
  <c r="C481" i="2"/>
  <c r="C143" i="1" s="1"/>
  <c r="C79" i="8"/>
  <c r="N347" i="2" s="1"/>
  <c r="C133" i="8"/>
  <c r="N310" i="2" s="1"/>
  <c r="C171" i="8"/>
  <c r="N48" i="2" s="1"/>
  <c r="C20" i="8"/>
  <c r="N192" i="2" s="1"/>
  <c r="C21" i="8"/>
  <c r="N380" i="2" s="1"/>
  <c r="D29" i="4"/>
  <c r="B328" i="3"/>
  <c r="B902" i="3"/>
  <c r="Y408" i="1"/>
  <c r="B1176" i="3"/>
  <c r="B140" i="3"/>
  <c r="D72" i="4"/>
  <c r="B1108" i="3"/>
  <c r="B1412" i="3"/>
  <c r="B1079" i="3"/>
  <c r="B1684" i="3"/>
  <c r="B1677" i="3"/>
  <c r="B1276" i="3"/>
  <c r="B1612" i="3"/>
  <c r="B1986" i="3"/>
  <c r="B1970" i="3"/>
  <c r="B1931" i="3"/>
  <c r="B1494" i="3"/>
  <c r="B1764" i="3"/>
  <c r="B1338" i="3"/>
  <c r="B1599" i="3"/>
  <c r="B1750" i="3"/>
  <c r="B1512" i="3"/>
  <c r="B1771" i="3"/>
  <c r="B1666" i="3"/>
  <c r="B1745" i="3"/>
  <c r="B1753" i="3"/>
  <c r="B1685" i="3"/>
  <c r="B1619" i="3"/>
  <c r="B1297" i="3"/>
  <c r="B1217" i="3"/>
  <c r="B1491" i="3"/>
  <c r="B1456" i="3"/>
  <c r="B1291" i="3"/>
  <c r="B1636" i="3"/>
  <c r="B1541" i="3"/>
  <c r="B1624" i="3"/>
  <c r="B1034" i="3"/>
  <c r="B1142" i="3"/>
  <c r="B1100" i="3"/>
  <c r="B1020" i="3"/>
  <c r="B1076" i="3"/>
  <c r="B950" i="3"/>
  <c r="B1095" i="3"/>
  <c r="B1086" i="3"/>
  <c r="B1042" i="3"/>
  <c r="B758" i="3"/>
  <c r="B1332" i="3"/>
  <c r="B1063" i="3"/>
  <c r="B1487" i="3"/>
  <c r="B1040" i="3"/>
  <c r="B1017" i="3"/>
  <c r="B993" i="3"/>
  <c r="B404" i="3"/>
  <c r="B779" i="3"/>
  <c r="B671" i="3"/>
  <c r="B566" i="3"/>
  <c r="B1210" i="3"/>
  <c r="B964" i="3"/>
  <c r="B228" i="3"/>
  <c r="B657" i="3"/>
  <c r="B647" i="3"/>
  <c r="B425" i="3"/>
  <c r="B348" i="3"/>
  <c r="B205" i="3"/>
  <c r="B984" i="3"/>
  <c r="B972" i="3"/>
  <c r="B650" i="3"/>
  <c r="B782" i="3"/>
  <c r="B692" i="3"/>
  <c r="B208" i="3"/>
  <c r="B162" i="3"/>
  <c r="B1232" i="3"/>
  <c r="B44" i="3"/>
  <c r="B731" i="3"/>
  <c r="B58" i="3"/>
  <c r="B600" i="3"/>
  <c r="B351" i="3"/>
  <c r="B53" i="3"/>
  <c r="B6" i="3"/>
  <c r="B437" i="3"/>
  <c r="B370" i="3"/>
  <c r="B358" i="3"/>
  <c r="B147" i="3"/>
  <c r="B531" i="3"/>
  <c r="B121" i="3"/>
  <c r="B368" i="3"/>
  <c r="B41" i="3"/>
  <c r="I119" i="8"/>
  <c r="S1153" i="3" s="1"/>
  <c r="I78" i="8"/>
  <c r="I36" i="8"/>
  <c r="C439" i="7"/>
  <c r="B186" i="6"/>
  <c r="C459" i="7"/>
  <c r="H130" i="6"/>
  <c r="F106" i="4"/>
  <c r="C481" i="7"/>
  <c r="H151" i="6"/>
  <c r="L44" i="5"/>
  <c r="C502" i="7"/>
  <c r="H170" i="6"/>
  <c r="B17" i="5"/>
  <c r="C525" i="7"/>
  <c r="H191" i="6"/>
  <c r="F4" i="7"/>
  <c r="F30" i="7"/>
  <c r="F57" i="7"/>
  <c r="D735" i="3" s="1"/>
  <c r="I8" i="7"/>
  <c r="F1889" i="3" s="1"/>
  <c r="I35" i="7"/>
  <c r="F1399" i="3" s="1"/>
  <c r="C7" i="2"/>
  <c r="C34" i="2"/>
  <c r="C61" i="2"/>
  <c r="C1036" i="1" s="1"/>
  <c r="C92" i="2"/>
  <c r="C119" i="2"/>
  <c r="C304" i="1" s="1"/>
  <c r="C151" i="2"/>
  <c r="C178" i="2"/>
  <c r="C13" i="1" s="1"/>
  <c r="C205" i="2"/>
  <c r="C236" i="2"/>
  <c r="C321" i="1" s="1"/>
  <c r="C263" i="2"/>
  <c r="C295" i="2"/>
  <c r="C302" i="1" s="1"/>
  <c r="C322" i="2"/>
  <c r="C96" i="1" s="1"/>
  <c r="C349" i="2"/>
  <c r="C381" i="2"/>
  <c r="C901" i="1" s="1"/>
  <c r="C409" i="2"/>
  <c r="C1030" i="1" s="1"/>
  <c r="C446" i="2"/>
  <c r="C740" i="1" s="1"/>
  <c r="C485" i="2"/>
  <c r="C266" i="1" s="1"/>
  <c r="C43" i="8"/>
  <c r="C109" i="8"/>
  <c r="C125" i="8"/>
  <c r="C7" i="8"/>
  <c r="C120" i="8"/>
  <c r="B444" i="3"/>
  <c r="B1486" i="3"/>
  <c r="B1639" i="3"/>
  <c r="B1825" i="3"/>
  <c r="B1755" i="3"/>
  <c r="B919" i="3"/>
  <c r="B1138" i="3"/>
  <c r="B1410" i="3"/>
  <c r="B1452" i="3"/>
  <c r="D106" i="4"/>
  <c r="B1501" i="3"/>
  <c r="B1500" i="3"/>
  <c r="B1784" i="3"/>
  <c r="B110" i="3"/>
  <c r="B2068" i="3"/>
  <c r="B1572" i="3"/>
  <c r="B168" i="3"/>
  <c r="B153" i="3"/>
  <c r="I168" i="8"/>
  <c r="I177" i="8"/>
  <c r="S1316" i="3" s="1"/>
  <c r="I111" i="8"/>
  <c r="S1545" i="3" s="1"/>
  <c r="C11" i="4"/>
  <c r="C28" i="4"/>
  <c r="V1303" i="3" s="1"/>
  <c r="C45" i="4"/>
  <c r="V574" i="3" s="1"/>
  <c r="C62" i="4"/>
  <c r="V464" i="3" s="1"/>
  <c r="C80" i="4"/>
  <c r="C97" i="4"/>
  <c r="V1410" i="3" s="1"/>
  <c r="C111" i="4"/>
  <c r="V1625" i="3" s="1"/>
  <c r="C128" i="4"/>
  <c r="V1854" i="3" s="1"/>
  <c r="C146" i="4"/>
  <c r="V1671" i="3" s="1"/>
  <c r="B30" i="5"/>
  <c r="B12" i="4"/>
  <c r="B92" i="3"/>
  <c r="T46" i="1"/>
  <c r="O46" i="1"/>
  <c r="A24" i="4"/>
  <c r="A222" i="3"/>
  <c r="A145" i="1"/>
  <c r="P340" i="2"/>
  <c r="P386" i="2"/>
  <c r="P249" i="2"/>
  <c r="P239" i="2"/>
  <c r="P207" i="2"/>
  <c r="P216" i="2"/>
  <c r="P338" i="2"/>
  <c r="O193" i="1"/>
  <c r="B195" i="1"/>
  <c r="B603" i="3"/>
  <c r="P360" i="2"/>
  <c r="P25" i="2"/>
  <c r="P246" i="2"/>
  <c r="P46" i="2"/>
  <c r="P82" i="2"/>
  <c r="P52" i="2"/>
  <c r="O308" i="1"/>
  <c r="B308" i="1"/>
  <c r="P436" i="2"/>
  <c r="P435" i="2"/>
  <c r="P81" i="2"/>
  <c r="P100" i="2"/>
  <c r="P109" i="2"/>
  <c r="P22" i="2"/>
  <c r="P21" i="2"/>
  <c r="B387" i="1"/>
  <c r="X385" i="1"/>
  <c r="O387" i="1"/>
  <c r="B449" i="1"/>
  <c r="B477" i="1"/>
  <c r="O473" i="1"/>
  <c r="B1124" i="3"/>
  <c r="B1114" i="3"/>
  <c r="O634" i="1"/>
  <c r="B630" i="1"/>
  <c r="B1344" i="3"/>
  <c r="L30" i="5"/>
  <c r="B100" i="4"/>
  <c r="V1548" i="3"/>
  <c r="B1455" i="3"/>
  <c r="X872" i="1"/>
  <c r="X831" i="1"/>
  <c r="T831" i="1"/>
  <c r="O831" i="1"/>
  <c r="P339" i="2"/>
  <c r="P107" i="2"/>
  <c r="P490" i="2"/>
  <c r="B902" i="1"/>
  <c r="P108" i="2"/>
  <c r="O908" i="1"/>
  <c r="B1777" i="3"/>
  <c r="P3" i="5"/>
  <c r="B131" i="4"/>
  <c r="B1870" i="3"/>
  <c r="T1082" i="1"/>
  <c r="O1082" i="1"/>
  <c r="P146" i="2"/>
  <c r="O1168" i="1"/>
  <c r="B1168" i="1"/>
  <c r="H68" i="5"/>
  <c r="P69" i="5"/>
  <c r="D68" i="5"/>
  <c r="L70" i="5"/>
  <c r="C7" i="7"/>
  <c r="F1908" i="3" s="1"/>
  <c r="F72" i="5"/>
  <c r="B72" i="5"/>
  <c r="J70" i="5"/>
  <c r="F61" i="4"/>
  <c r="C20" i="7"/>
  <c r="D71" i="5"/>
  <c r="J45" i="5"/>
  <c r="P71" i="5"/>
  <c r="J22" i="5"/>
  <c r="P15" i="5"/>
  <c r="D22" i="5"/>
  <c r="D48" i="5"/>
  <c r="J73" i="5"/>
  <c r="P52" i="5"/>
  <c r="C33" i="7"/>
  <c r="C46" i="7"/>
  <c r="C59" i="7"/>
  <c r="F60" i="4"/>
  <c r="F9" i="4"/>
  <c r="F132" i="4"/>
  <c r="C72" i="7"/>
  <c r="F49" i="4"/>
  <c r="C85" i="7"/>
  <c r="Z1186" i="1" s="1"/>
  <c r="C98" i="7"/>
  <c r="C111" i="7"/>
  <c r="C124" i="7"/>
  <c r="C136" i="7"/>
  <c r="B7" i="6"/>
  <c r="F111" i="4"/>
  <c r="C149" i="7"/>
  <c r="B19" i="6"/>
  <c r="L59" i="5"/>
  <c r="P34" i="5"/>
  <c r="C162" i="7"/>
  <c r="B5" i="5"/>
  <c r="B31" i="6"/>
  <c r="D33" i="5"/>
  <c r="C174" i="7"/>
  <c r="B44" i="6"/>
  <c r="C187" i="7"/>
  <c r="B56" i="6"/>
  <c r="F31" i="5"/>
  <c r="C200" i="7"/>
  <c r="D1667" i="3" s="1"/>
  <c r="B68" i="6"/>
  <c r="F4" i="5"/>
  <c r="C212" i="7"/>
  <c r="D830" i="3" s="1"/>
  <c r="B82" i="6"/>
  <c r="D36" i="5"/>
  <c r="C225" i="7"/>
  <c r="B94" i="6"/>
  <c r="C237" i="7"/>
  <c r="D1010" i="3" s="1"/>
  <c r="H9" i="6"/>
  <c r="F22" i="4"/>
  <c r="C250" i="7"/>
  <c r="H21" i="6"/>
  <c r="J59" i="5"/>
  <c r="B33" i="5"/>
  <c r="F34" i="5"/>
  <c r="C263" i="7"/>
  <c r="D1745" i="3" s="1"/>
  <c r="H33" i="6"/>
  <c r="H31" i="5"/>
  <c r="C274" i="7"/>
  <c r="J63" i="5"/>
  <c r="H46" i="6"/>
  <c r="C287" i="7"/>
  <c r="H58" i="6"/>
  <c r="C300" i="7"/>
  <c r="H70" i="6"/>
  <c r="C312" i="7"/>
  <c r="O1128" i="3" s="1"/>
  <c r="H83" i="6"/>
  <c r="P61" i="5"/>
  <c r="H98" i="6"/>
  <c r="C329" i="7"/>
  <c r="O1920" i="3" s="1"/>
  <c r="C343" i="7"/>
  <c r="F65" i="5"/>
  <c r="L63" i="5"/>
  <c r="H113" i="6"/>
  <c r="J64" i="5"/>
  <c r="B109" i="6"/>
  <c r="C358" i="7"/>
  <c r="C373" i="7"/>
  <c r="D878" i="3" s="1"/>
  <c r="B123" i="6"/>
  <c r="F33" i="4"/>
  <c r="C388" i="7"/>
  <c r="B137" i="6"/>
  <c r="C403" i="7"/>
  <c r="B153" i="6"/>
  <c r="B170" i="6"/>
  <c r="C422" i="7"/>
  <c r="P65" i="5"/>
  <c r="D63" i="5"/>
  <c r="C440" i="7"/>
  <c r="B187" i="6"/>
  <c r="D14" i="5"/>
  <c r="C460" i="7"/>
  <c r="D536" i="3" s="1"/>
  <c r="H131" i="6"/>
  <c r="F21" i="4"/>
  <c r="C482" i="7"/>
  <c r="H152" i="6"/>
  <c r="D64" i="5"/>
  <c r="H171" i="6"/>
  <c r="C503" i="7"/>
  <c r="F122" i="4"/>
  <c r="C527" i="7"/>
  <c r="H193" i="6"/>
  <c r="F6" i="7"/>
  <c r="F31" i="7"/>
  <c r="F63" i="7"/>
  <c r="D1234" i="3" s="1"/>
  <c r="I10" i="7"/>
  <c r="F1303" i="3" s="1"/>
  <c r="I37" i="7"/>
  <c r="V1430" i="3" s="1"/>
  <c r="C8" i="2"/>
  <c r="C35" i="2"/>
  <c r="C485" i="1" s="1"/>
  <c r="C67" i="2"/>
  <c r="C94" i="2"/>
  <c r="C121" i="2"/>
  <c r="C152" i="2"/>
  <c r="C179" i="2"/>
  <c r="C14" i="1" s="1"/>
  <c r="C211" i="2"/>
  <c r="C917" i="1" s="1"/>
  <c r="C238" i="2"/>
  <c r="C56" i="1" s="1"/>
  <c r="C265" i="2"/>
  <c r="C296" i="2"/>
  <c r="C336" i="1" s="1"/>
  <c r="C323" i="2"/>
  <c r="C17" i="1" s="1"/>
  <c r="C355" i="2"/>
  <c r="C38" i="1" s="1"/>
  <c r="C383" i="2"/>
  <c r="C761" i="1" s="1"/>
  <c r="C411" i="2"/>
  <c r="C1017" i="1" s="1"/>
  <c r="C447" i="2"/>
  <c r="C231" i="1" s="1"/>
  <c r="C489" i="2"/>
  <c r="C595" i="1" s="1"/>
  <c r="C77" i="8"/>
  <c r="N67" i="2" s="1"/>
  <c r="C80" i="8"/>
  <c r="N233" i="2" s="1"/>
  <c r="C24" i="8"/>
  <c r="C48" i="8"/>
  <c r="C55" i="8"/>
  <c r="N139" i="2" s="1"/>
  <c r="B880" i="3"/>
  <c r="B189" i="3"/>
  <c r="D65" i="4"/>
  <c r="B1030" i="3"/>
  <c r="B395" i="3"/>
  <c r="B398" i="3"/>
  <c r="B1653" i="3"/>
  <c r="B175" i="3"/>
  <c r="B1071" i="3"/>
  <c r="B1146" i="3"/>
  <c r="B1607" i="3"/>
  <c r="I134" i="8"/>
  <c r="I25" i="8"/>
  <c r="I162" i="8"/>
  <c r="I11" i="7"/>
  <c r="F967" i="3" s="1"/>
  <c r="I43" i="7"/>
  <c r="F296" i="3" s="1"/>
  <c r="C10" i="2"/>
  <c r="C37" i="2"/>
  <c r="C487" i="1" s="1"/>
  <c r="C68" i="2"/>
  <c r="C95" i="2"/>
  <c r="C945" i="1" s="1"/>
  <c r="C127" i="2"/>
  <c r="C154" i="2"/>
  <c r="C181" i="2"/>
  <c r="C212" i="2"/>
  <c r="C239" i="2"/>
  <c r="C271" i="2"/>
  <c r="C305" i="1" s="1"/>
  <c r="C298" i="2"/>
  <c r="C325" i="2"/>
  <c r="C356" i="2"/>
  <c r="C384" i="2"/>
  <c r="C1000" i="1" s="1"/>
  <c r="C417" i="2"/>
  <c r="C1161" i="1" s="1"/>
  <c r="C449" i="2"/>
  <c r="C879" i="1" s="1"/>
  <c r="C492" i="2"/>
  <c r="C1211" i="1" s="1"/>
  <c r="C105" i="8"/>
  <c r="N319" i="2" s="1"/>
  <c r="C18" i="8"/>
  <c r="N252" i="2" s="1"/>
  <c r="C32" i="8"/>
  <c r="C149" i="8"/>
  <c r="N52" i="2" s="1"/>
  <c r="B373" i="3"/>
  <c r="B564" i="3"/>
  <c r="D39" i="4"/>
  <c r="B518" i="3"/>
  <c r="B1661" i="3"/>
  <c r="B1700" i="3"/>
  <c r="B849" i="3"/>
  <c r="B2046" i="3"/>
  <c r="B179" i="3"/>
  <c r="Y1159" i="1"/>
  <c r="B1307" i="3"/>
  <c r="D70" i="4"/>
  <c r="D60" i="4"/>
  <c r="D64" i="4"/>
  <c r="B1037" i="3"/>
  <c r="B1103" i="3"/>
  <c r="B935" i="3"/>
  <c r="B213" i="3"/>
  <c r="D117" i="4"/>
  <c r="B1658" i="3"/>
  <c r="B1697" i="3"/>
  <c r="B1558" i="3"/>
  <c r="B686" i="3"/>
  <c r="B705" i="3"/>
  <c r="I154" i="8"/>
  <c r="S1704" i="3" s="1"/>
  <c r="I122" i="8"/>
  <c r="I179" i="8"/>
  <c r="C116" i="4"/>
  <c r="C133" i="4"/>
  <c r="V1890" i="3" s="1"/>
  <c r="B1929" i="3"/>
  <c r="B2058" i="3"/>
  <c r="B1634" i="3"/>
  <c r="B1817" i="3"/>
  <c r="B1869" i="3"/>
  <c r="B1743" i="3"/>
  <c r="B1385" i="3"/>
  <c r="B1561" i="3"/>
  <c r="B1208" i="3"/>
  <c r="B1454" i="3"/>
  <c r="B1289" i="3"/>
  <c r="B1081" i="3"/>
  <c r="B907" i="3"/>
  <c r="B1133" i="3"/>
  <c r="B725" i="3"/>
  <c r="B948" i="3"/>
  <c r="B529" i="3"/>
  <c r="B156" i="3"/>
  <c r="B223" i="3"/>
  <c r="B611" i="3"/>
  <c r="B4" i="3"/>
  <c r="A1119" i="1"/>
  <c r="B474" i="3"/>
  <c r="B91" i="3"/>
  <c r="A1032" i="1"/>
  <c r="A937" i="1"/>
  <c r="A1184" i="1"/>
  <c r="A1081" i="1"/>
  <c r="A975" i="1"/>
  <c r="B346" i="3"/>
  <c r="A234" i="1"/>
  <c r="A665" i="1"/>
  <c r="A830" i="1"/>
  <c r="A566" i="1"/>
  <c r="A400" i="1"/>
  <c r="A331" i="1"/>
  <c r="A790" i="1"/>
  <c r="A626" i="1"/>
  <c r="A294" i="1"/>
  <c r="A884" i="1"/>
  <c r="A6" i="1"/>
  <c r="A496" i="1"/>
  <c r="A181" i="1"/>
  <c r="A146" i="1"/>
  <c r="A102" i="1"/>
  <c r="A742" i="1"/>
  <c r="A45" i="1"/>
  <c r="A444" i="1"/>
  <c r="P378" i="2"/>
  <c r="P5" i="2"/>
  <c r="P50" i="2"/>
  <c r="O57" i="1"/>
  <c r="B59" i="1"/>
  <c r="B274" i="3"/>
  <c r="P334" i="2"/>
  <c r="P447" i="2"/>
  <c r="P189" i="2"/>
  <c r="P64" i="2"/>
  <c r="P448" i="2"/>
  <c r="P205" i="2"/>
  <c r="P314" i="2"/>
  <c r="P65" i="2"/>
  <c r="P89" i="2"/>
  <c r="O221" i="1"/>
  <c r="B221" i="1"/>
  <c r="P394" i="2"/>
  <c r="P304" i="2"/>
  <c r="P395" i="2"/>
  <c r="P289" i="2"/>
  <c r="P234" i="2"/>
  <c r="P236" i="2"/>
  <c r="P235" i="2"/>
  <c r="O323" i="1"/>
  <c r="B318" i="1"/>
  <c r="B781" i="3"/>
  <c r="H30" i="5"/>
  <c r="B63" i="4"/>
  <c r="B949" i="3"/>
  <c r="T497" i="1"/>
  <c r="O497" i="1"/>
  <c r="P379" i="2"/>
  <c r="P38" i="2"/>
  <c r="O576" i="1"/>
  <c r="B576" i="1"/>
  <c r="P401" i="2"/>
  <c r="P400" i="2"/>
  <c r="P14" i="2"/>
  <c r="O652" i="1"/>
  <c r="B652" i="1"/>
  <c r="P383" i="2"/>
  <c r="P91" i="2"/>
  <c r="B752" i="1"/>
  <c r="O755" i="1"/>
  <c r="B1526" i="3"/>
  <c r="V1545" i="3"/>
  <c r="P352" i="2"/>
  <c r="P354" i="2"/>
  <c r="P353" i="2"/>
  <c r="P105" i="2"/>
  <c r="P76" i="2"/>
  <c r="P73" i="2"/>
  <c r="P470" i="2"/>
  <c r="P101" i="2"/>
  <c r="B923" i="1"/>
  <c r="O924" i="1"/>
  <c r="P384" i="2"/>
  <c r="B988" i="1"/>
  <c r="O987" i="1"/>
  <c r="B135" i="4"/>
  <c r="B73" i="4"/>
  <c r="B1922" i="3"/>
  <c r="P505" i="2"/>
  <c r="B1085" i="1"/>
  <c r="O1091" i="1"/>
  <c r="X1092" i="1"/>
  <c r="P58" i="5"/>
  <c r="B143" i="4"/>
  <c r="B2059" i="3"/>
  <c r="O1185" i="1"/>
  <c r="X1185" i="1"/>
  <c r="T1185" i="1"/>
  <c r="C9" i="7"/>
  <c r="C22" i="7"/>
  <c r="N67" i="5"/>
  <c r="J23" i="5"/>
  <c r="L18" i="5"/>
  <c r="H18" i="5"/>
  <c r="P53" i="5"/>
  <c r="L50" i="5"/>
  <c r="H48" i="5"/>
  <c r="P73" i="5"/>
  <c r="L73" i="5"/>
  <c r="P16" i="5"/>
  <c r="C35" i="7"/>
  <c r="F2038" i="3" s="1"/>
  <c r="C48" i="7"/>
  <c r="C61" i="7"/>
  <c r="C74" i="7"/>
  <c r="C87" i="7"/>
  <c r="C100" i="7"/>
  <c r="C113" i="7"/>
  <c r="C126" i="7"/>
  <c r="B9" i="6"/>
  <c r="C138" i="7"/>
  <c r="V993" i="3" s="1"/>
  <c r="B21" i="6"/>
  <c r="C151" i="7"/>
  <c r="C164" i="7"/>
  <c r="D32" i="5"/>
  <c r="B33" i="6"/>
  <c r="N6" i="5"/>
  <c r="P32" i="5"/>
  <c r="B4" i="5"/>
  <c r="H5" i="5"/>
  <c r="C176" i="7"/>
  <c r="O1017" i="3" s="1"/>
  <c r="F62" i="5"/>
  <c r="B46" i="6"/>
  <c r="C189" i="7"/>
  <c r="B58" i="6"/>
  <c r="B72" i="6"/>
  <c r="C214" i="7"/>
  <c r="D831" i="3" s="1"/>
  <c r="B84" i="6"/>
  <c r="H59" i="5"/>
  <c r="B96" i="6"/>
  <c r="C227" i="7"/>
  <c r="F1641" i="3" s="1"/>
  <c r="B31" i="5"/>
  <c r="C239" i="7"/>
  <c r="O842" i="3" s="1"/>
  <c r="H11" i="6"/>
  <c r="N61" i="5"/>
  <c r="H23" i="6"/>
  <c r="C252" i="7"/>
  <c r="C265" i="7"/>
  <c r="H35" i="6"/>
  <c r="P4" i="5"/>
  <c r="C277" i="7"/>
  <c r="H48" i="6"/>
  <c r="C290" i="7"/>
  <c r="H60" i="6"/>
  <c r="C302" i="7"/>
  <c r="H73" i="6"/>
  <c r="C316" i="7"/>
  <c r="H86" i="6"/>
  <c r="C331" i="7"/>
  <c r="H100" i="6"/>
  <c r="H116" i="6"/>
  <c r="C346" i="7"/>
  <c r="H9" i="5"/>
  <c r="C360" i="7"/>
  <c r="B111" i="6"/>
  <c r="F144" i="4"/>
  <c r="C375" i="7"/>
  <c r="B125" i="6"/>
  <c r="J14" i="5"/>
  <c r="C391" i="7"/>
  <c r="D54" i="3" s="1"/>
  <c r="B140" i="6"/>
  <c r="D12" i="5"/>
  <c r="B13" i="5"/>
  <c r="C406" i="7"/>
  <c r="D613" i="3" s="1"/>
  <c r="B155" i="6"/>
  <c r="B67" i="5"/>
  <c r="B173" i="6"/>
  <c r="C425" i="7"/>
  <c r="D891" i="3" s="1"/>
  <c r="D15" i="5"/>
  <c r="C445" i="7"/>
  <c r="B191" i="6"/>
  <c r="J16" i="5"/>
  <c r="C463" i="7"/>
  <c r="H134" i="6"/>
  <c r="F34" i="4"/>
  <c r="L66" i="5"/>
  <c r="C486" i="7"/>
  <c r="Z1163" i="1" s="1"/>
  <c r="H155" i="6"/>
  <c r="C508" i="7"/>
  <c r="H176" i="6"/>
  <c r="C529" i="7"/>
  <c r="J74" i="5"/>
  <c r="L20" i="5"/>
  <c r="D72" i="5"/>
  <c r="B50" i="5"/>
  <c r="J24" i="5"/>
  <c r="P18" i="5"/>
  <c r="F9" i="7"/>
  <c r="D1213" i="3" s="1"/>
  <c r="F39" i="7"/>
  <c r="D933" i="3" s="1"/>
  <c r="F66" i="7"/>
  <c r="D294" i="3" s="1"/>
  <c r="I13" i="7"/>
  <c r="V988" i="3" s="1"/>
  <c r="I44" i="7"/>
  <c r="F1887" i="3" s="1"/>
  <c r="C11" i="2"/>
  <c r="C43" i="2"/>
  <c r="C341" i="1" s="1"/>
  <c r="C70" i="2"/>
  <c r="C214" i="1" s="1"/>
  <c r="C97" i="2"/>
  <c r="C128" i="2"/>
  <c r="C1188" i="1" s="1"/>
  <c r="C155" i="2"/>
  <c r="C187" i="2"/>
  <c r="C214" i="2"/>
  <c r="C241" i="2"/>
  <c r="C272" i="2"/>
  <c r="C299" i="2"/>
  <c r="C331" i="2"/>
  <c r="C358" i="2"/>
  <c r="C83" i="1" s="1"/>
  <c r="C386" i="2"/>
  <c r="C204" i="1" s="1"/>
  <c r="C418" i="2"/>
  <c r="C1163" i="1" s="1"/>
  <c r="C453" i="2"/>
  <c r="C709" i="1" s="1"/>
  <c r="C501" i="2"/>
  <c r="C360" i="1" s="1"/>
  <c r="C121" i="8"/>
  <c r="N385" i="2" s="1"/>
  <c r="C130" i="8"/>
  <c r="C14" i="8"/>
  <c r="C78" i="8"/>
  <c r="N371" i="2" s="1"/>
  <c r="D81" i="4"/>
  <c r="B1305" i="3"/>
  <c r="B1174" i="3"/>
  <c r="B461" i="3"/>
  <c r="B469" i="3"/>
  <c r="B2003" i="3"/>
  <c r="B1861" i="3"/>
  <c r="B278" i="3"/>
  <c r="B847" i="3"/>
  <c r="B430" i="3"/>
  <c r="B862" i="3"/>
  <c r="B1917" i="3"/>
  <c r="D111" i="4"/>
  <c r="B1578" i="3"/>
  <c r="B1351" i="3"/>
  <c r="B1115" i="3"/>
  <c r="B1128" i="3"/>
  <c r="B1118" i="3"/>
  <c r="B1111" i="3"/>
  <c r="B1125" i="3"/>
  <c r="I53" i="8"/>
  <c r="I87" i="8"/>
  <c r="I107" i="8"/>
  <c r="C75" i="7"/>
  <c r="C88" i="7"/>
  <c r="C101" i="7"/>
  <c r="C114" i="7"/>
  <c r="D1178" i="3" s="1"/>
  <c r="C127" i="7"/>
  <c r="F1541" i="3" s="1"/>
  <c r="C139" i="7"/>
  <c r="J470" i="2" s="1"/>
  <c r="K933" i="1" s="1"/>
  <c r="B10" i="6"/>
  <c r="C152" i="7"/>
  <c r="B22" i="6"/>
  <c r="C165" i="7"/>
  <c r="B34" i="6"/>
  <c r="P31" i="5"/>
  <c r="D31" i="5"/>
  <c r="C177" i="7"/>
  <c r="B47" i="6"/>
  <c r="C190" i="7"/>
  <c r="B59" i="6"/>
  <c r="N32" i="5"/>
  <c r="C202" i="7"/>
  <c r="B73" i="6"/>
  <c r="C215" i="7"/>
  <c r="B85" i="6"/>
  <c r="C228" i="7"/>
  <c r="B97" i="6"/>
  <c r="C240" i="7"/>
  <c r="H12" i="6"/>
  <c r="C253" i="7"/>
  <c r="H24" i="6"/>
  <c r="C266" i="7"/>
  <c r="H36" i="6"/>
  <c r="N9" i="5"/>
  <c r="L6" i="5"/>
  <c r="J10" i="5"/>
  <c r="C278" i="7"/>
  <c r="H49" i="6"/>
  <c r="B63" i="5"/>
  <c r="C291" i="7"/>
  <c r="U50" i="1" s="1"/>
  <c r="H61" i="6"/>
  <c r="C303" i="7"/>
  <c r="H74" i="6"/>
  <c r="F11" i="4"/>
  <c r="C317" i="7"/>
  <c r="H87" i="6"/>
  <c r="C333" i="7"/>
  <c r="H102" i="6"/>
  <c r="D5" i="5"/>
  <c r="C347" i="7"/>
  <c r="D38" i="5"/>
  <c r="H117" i="6"/>
  <c r="L37" i="5"/>
  <c r="H37" i="5"/>
  <c r="J36" i="5"/>
  <c r="C361" i="7"/>
  <c r="B112" i="6"/>
  <c r="F37" i="4"/>
  <c r="C376" i="7"/>
  <c r="B126" i="6"/>
  <c r="C393" i="7"/>
  <c r="B141" i="6"/>
  <c r="B157" i="6"/>
  <c r="C408" i="7"/>
  <c r="C426" i="7"/>
  <c r="Z1153" i="1" s="1"/>
  <c r="B174" i="6"/>
  <c r="F66" i="4"/>
  <c r="B193" i="6"/>
  <c r="C447" i="7"/>
  <c r="C464" i="7"/>
  <c r="H135" i="6"/>
  <c r="H157" i="6"/>
  <c r="C488" i="7"/>
  <c r="B41" i="5"/>
  <c r="C511" i="7"/>
  <c r="H178" i="6"/>
  <c r="C533" i="7"/>
  <c r="F758" i="3" s="1"/>
  <c r="F77" i="5"/>
  <c r="D50" i="5"/>
  <c r="L74" i="5"/>
  <c r="F54" i="5"/>
  <c r="N50" i="5"/>
  <c r="J48" i="5"/>
  <c r="L53" i="5"/>
  <c r="H50" i="5"/>
  <c r="B78" i="5"/>
  <c r="F10" i="7"/>
  <c r="D587" i="3" s="1"/>
  <c r="F40" i="7"/>
  <c r="D363" i="3" s="1"/>
  <c r="F67" i="7"/>
  <c r="D1227" i="3" s="1"/>
  <c r="I19" i="7"/>
  <c r="I46" i="7"/>
  <c r="F1061" i="3" s="1"/>
  <c r="C13" i="2"/>
  <c r="C44" i="2"/>
  <c r="C370" i="1" s="1"/>
  <c r="C71" i="2"/>
  <c r="C103" i="2"/>
  <c r="C130" i="2"/>
  <c r="C157" i="2"/>
  <c r="C188" i="2"/>
  <c r="C215" i="2"/>
  <c r="C1112" i="1" s="1"/>
  <c r="C247" i="2"/>
  <c r="C274" i="2"/>
  <c r="C301" i="2"/>
  <c r="C332" i="2"/>
  <c r="C512" i="1" s="1"/>
  <c r="C359" i="2"/>
  <c r="C393" i="2"/>
  <c r="C179" i="1" s="1"/>
  <c r="C420" i="2"/>
  <c r="C89" i="1" s="1"/>
  <c r="C455" i="2"/>
  <c r="C712" i="1" s="1"/>
  <c r="C502" i="2"/>
  <c r="C361" i="1" s="1"/>
  <c r="C57" i="8"/>
  <c r="C19" i="8"/>
  <c r="N251" i="2" s="1"/>
  <c r="C138" i="8"/>
  <c r="N229" i="2" s="1"/>
  <c r="C119" i="8"/>
  <c r="N24" i="2" s="1"/>
  <c r="D102" i="4"/>
  <c r="D116" i="4"/>
  <c r="B1926" i="3"/>
  <c r="B1522" i="3"/>
  <c r="B1710" i="3"/>
  <c r="B1525" i="3"/>
  <c r="B1474" i="3"/>
  <c r="D86" i="4"/>
  <c r="B1252" i="3"/>
  <c r="B1255" i="3"/>
  <c r="B1367" i="3"/>
  <c r="Y744" i="1"/>
  <c r="B1249" i="3"/>
  <c r="B1395" i="3"/>
  <c r="D104" i="4"/>
  <c r="B1530" i="3"/>
  <c r="D44" i="4"/>
  <c r="B542" i="3"/>
  <c r="B1822" i="3"/>
  <c r="B525" i="3"/>
  <c r="B1854" i="3"/>
  <c r="D118" i="4"/>
  <c r="B1680" i="3"/>
  <c r="B975" i="3"/>
  <c r="I49" i="8"/>
  <c r="I173" i="8"/>
  <c r="I114" i="8"/>
  <c r="C33" i="4"/>
  <c r="V418" i="3" s="1"/>
  <c r="C50" i="4"/>
  <c r="V713" i="3" s="1"/>
  <c r="C67" i="4"/>
  <c r="V1058" i="3" s="1"/>
  <c r="C85" i="4"/>
  <c r="V1274" i="3" s="1"/>
  <c r="C102" i="4"/>
  <c r="V1710" i="3" s="1"/>
  <c r="C118" i="4"/>
  <c r="V1206" i="3" s="1"/>
  <c r="C136" i="4"/>
  <c r="B3" i="5"/>
  <c r="B7" i="4"/>
  <c r="B5" i="3"/>
  <c r="O7" i="1"/>
  <c r="T7" i="1"/>
  <c r="P420" i="2"/>
  <c r="P366" i="2"/>
  <c r="P358" i="2"/>
  <c r="P421" i="2"/>
  <c r="P361" i="2"/>
  <c r="P196" i="2"/>
  <c r="P13" i="2"/>
  <c r="P204" i="2"/>
  <c r="P199" i="2"/>
  <c r="B80" i="1"/>
  <c r="O80" i="1"/>
  <c r="B320" i="3"/>
  <c r="B517" i="3"/>
  <c r="P237" i="2"/>
  <c r="P117" i="2"/>
  <c r="P133" i="2"/>
  <c r="P224" i="2"/>
  <c r="P118" i="2"/>
  <c r="P240" i="2"/>
  <c r="O237" i="1"/>
  <c r="B236" i="1"/>
  <c r="B656" i="3"/>
  <c r="B898" i="3"/>
  <c r="P145" i="2"/>
  <c r="P301" i="2"/>
  <c r="P300" i="2"/>
  <c r="X407" i="1"/>
  <c r="O408" i="1"/>
  <c r="B402" i="1"/>
  <c r="B1033" i="3"/>
  <c r="O598" i="1"/>
  <c r="B1277" i="3"/>
  <c r="P371" i="2"/>
  <c r="P284" i="2"/>
  <c r="P286" i="2"/>
  <c r="P86" i="2"/>
  <c r="P285" i="2"/>
  <c r="P273" i="2"/>
  <c r="P325" i="2"/>
  <c r="P288" i="2"/>
  <c r="O671" i="1"/>
  <c r="B668" i="1"/>
  <c r="P328" i="2"/>
  <c r="P330" i="2"/>
  <c r="P482" i="2"/>
  <c r="P329" i="2"/>
  <c r="O776" i="1"/>
  <c r="B776" i="1"/>
  <c r="B771" i="1"/>
  <c r="O770" i="1"/>
  <c r="B1557" i="3"/>
  <c r="B843" i="1"/>
  <c r="O842" i="1"/>
  <c r="N3" i="5"/>
  <c r="B114" i="4"/>
  <c r="B1635" i="3"/>
  <c r="T938" i="1"/>
  <c r="O938" i="1"/>
  <c r="P410" i="2"/>
  <c r="P341" i="2"/>
  <c r="P348" i="2"/>
  <c r="P411" i="2"/>
  <c r="P222" i="2"/>
  <c r="O1008" i="1"/>
  <c r="B1008" i="1"/>
  <c r="P223" i="2"/>
  <c r="O1106" i="1"/>
  <c r="B1086" i="1"/>
  <c r="B2094" i="3"/>
  <c r="O1194" i="1"/>
  <c r="B1194" i="1"/>
  <c r="X1192" i="1"/>
  <c r="C11" i="7"/>
  <c r="F145" i="4"/>
  <c r="C24" i="7"/>
  <c r="F52" i="5"/>
  <c r="B76" i="5"/>
  <c r="D23" i="5"/>
  <c r="P17" i="5"/>
  <c r="J46" i="5"/>
  <c r="H19" i="5"/>
  <c r="B48" i="5"/>
  <c r="N68" i="5"/>
  <c r="C37" i="7"/>
  <c r="C50" i="7"/>
  <c r="F13" i="4"/>
  <c r="C63" i="7"/>
  <c r="F83" i="4"/>
  <c r="C76" i="7"/>
  <c r="F44" i="4"/>
  <c r="C89" i="7"/>
  <c r="C102" i="7"/>
  <c r="C115" i="7"/>
  <c r="F435" i="3" s="1"/>
  <c r="C128" i="7"/>
  <c r="B11" i="6"/>
  <c r="C140" i="7"/>
  <c r="Z767" i="1" s="1"/>
  <c r="L61" i="5"/>
  <c r="C153" i="7"/>
  <c r="D828" i="3" s="1"/>
  <c r="B59" i="5"/>
  <c r="B23" i="6"/>
  <c r="J32" i="5"/>
  <c r="B35" i="6"/>
  <c r="C166" i="7"/>
  <c r="N5" i="5"/>
  <c r="C178" i="7"/>
  <c r="O1348" i="3" s="1"/>
  <c r="B48" i="6"/>
  <c r="F61" i="5"/>
  <c r="C191" i="7"/>
  <c r="D1616" i="3" s="1"/>
  <c r="B60" i="6"/>
  <c r="F10" i="4"/>
  <c r="C203" i="7"/>
  <c r="B74" i="6"/>
  <c r="F119" i="4"/>
  <c r="B86" i="6"/>
  <c r="C216" i="7"/>
  <c r="J35" i="5"/>
  <c r="B61" i="5"/>
  <c r="C229" i="7"/>
  <c r="L4" i="5"/>
  <c r="H7" i="5"/>
  <c r="B98" i="6"/>
  <c r="N8" i="5"/>
  <c r="J8" i="5"/>
  <c r="C241" i="7"/>
  <c r="D1398" i="3" s="1"/>
  <c r="H13" i="6"/>
  <c r="C254" i="7"/>
  <c r="H25" i="6"/>
  <c r="H32" i="5"/>
  <c r="C267" i="7"/>
  <c r="H37" i="6"/>
  <c r="L5" i="5"/>
  <c r="C279" i="7"/>
  <c r="H50" i="6"/>
  <c r="F64" i="5"/>
  <c r="C292" i="7"/>
  <c r="U502" i="1" s="1"/>
  <c r="H62" i="6"/>
  <c r="P7" i="5"/>
  <c r="H35" i="5"/>
  <c r="C304" i="7"/>
  <c r="H75" i="6"/>
  <c r="C318" i="7"/>
  <c r="F35" i="5"/>
  <c r="H88" i="6"/>
  <c r="P59" i="5"/>
  <c r="C334" i="7"/>
  <c r="H103" i="6"/>
  <c r="B9" i="5"/>
  <c r="C348" i="7"/>
  <c r="L36" i="5"/>
  <c r="H118" i="6"/>
  <c r="F37" i="5"/>
  <c r="B36" i="5"/>
  <c r="C362" i="7"/>
  <c r="B113" i="6"/>
  <c r="F53" i="4"/>
  <c r="C378" i="7"/>
  <c r="B128" i="6"/>
  <c r="B142" i="6"/>
  <c r="C394" i="7"/>
  <c r="F805" i="3" s="1"/>
  <c r="B158" i="6"/>
  <c r="C409" i="7"/>
  <c r="D1897" i="3" s="1"/>
  <c r="F68" i="4"/>
  <c r="C427" i="7"/>
  <c r="O1977" i="3" s="1"/>
  <c r="D41" i="5"/>
  <c r="B175" i="6"/>
  <c r="J39" i="5"/>
  <c r="C448" i="7"/>
  <c r="B194" i="6"/>
  <c r="C468" i="7"/>
  <c r="V1071" i="3" s="1"/>
  <c r="H139" i="6"/>
  <c r="F96" i="4"/>
  <c r="C489" i="7"/>
  <c r="F44" i="5"/>
  <c r="H158" i="6"/>
  <c r="C512" i="7"/>
  <c r="H179" i="6"/>
  <c r="C534" i="7"/>
  <c r="H73" i="5"/>
  <c r="P76" i="5"/>
  <c r="L75" i="5"/>
  <c r="F15" i="7"/>
  <c r="F42" i="7"/>
  <c r="D1407" i="3" s="1"/>
  <c r="F69" i="7"/>
  <c r="U800" i="1" s="1"/>
  <c r="I20" i="7"/>
  <c r="I47" i="7"/>
  <c r="F1015" i="3" s="1"/>
  <c r="C19" i="2"/>
  <c r="C374" i="1" s="1"/>
  <c r="C46" i="2"/>
  <c r="C73" i="2"/>
  <c r="C930" i="1" s="1"/>
  <c r="C104" i="2"/>
  <c r="C131" i="2"/>
  <c r="C16" i="1" s="1"/>
  <c r="C163" i="2"/>
  <c r="C190" i="2"/>
  <c r="C750" i="1" s="1"/>
  <c r="C217" i="2"/>
  <c r="C1091" i="1" s="1"/>
  <c r="C248" i="2"/>
  <c r="C818" i="1" s="1"/>
  <c r="C275" i="2"/>
  <c r="C307" i="2"/>
  <c r="C334" i="2"/>
  <c r="C227" i="1" s="1"/>
  <c r="C361" i="2"/>
  <c r="C394" i="2"/>
  <c r="C328" i="1" s="1"/>
  <c r="C421" i="2"/>
  <c r="C90" i="1" s="1"/>
  <c r="C461" i="2"/>
  <c r="C289" i="1" s="1"/>
  <c r="C504" i="2"/>
  <c r="C693" i="1" s="1"/>
  <c r="C143" i="8"/>
  <c r="N51" i="2" s="1"/>
  <c r="C140" i="8"/>
  <c r="N141" i="2" s="1"/>
  <c r="C10" i="8"/>
  <c r="N210" i="2" s="1"/>
  <c r="C123" i="8"/>
  <c r="N365" i="2" s="1"/>
  <c r="B1160" i="3"/>
  <c r="B1023" i="3"/>
  <c r="B385" i="3"/>
  <c r="B1527" i="3"/>
  <c r="B699" i="3"/>
  <c r="B695" i="3"/>
  <c r="B776" i="3"/>
  <c r="B65" i="3"/>
  <c r="B142" i="3"/>
  <c r="B50" i="3"/>
  <c r="B82" i="3"/>
  <c r="B76" i="3"/>
  <c r="B1012" i="3"/>
  <c r="B1061" i="3"/>
  <c r="B2095" i="3"/>
  <c r="D61" i="4"/>
  <c r="B925" i="3"/>
  <c r="D62" i="4"/>
  <c r="B941" i="3"/>
  <c r="B464" i="3"/>
  <c r="B267" i="3"/>
  <c r="B1943" i="3"/>
  <c r="B1509" i="3"/>
  <c r="B115" i="3"/>
  <c r="I142" i="8"/>
  <c r="S609" i="3" s="1"/>
  <c r="I99" i="8"/>
  <c r="I39" i="8"/>
  <c r="F1636" i="3"/>
  <c r="F1584" i="3"/>
  <c r="F1291" i="3"/>
  <c r="F1230" i="3"/>
  <c r="F1128" i="3"/>
  <c r="F761" i="3"/>
  <c r="F437" i="3"/>
  <c r="F208" i="3"/>
  <c r="B5" i="9"/>
  <c r="B3" i="9"/>
  <c r="D9" i="9"/>
  <c r="B7" i="9"/>
  <c r="A59" i="9"/>
  <c r="J4" i="9"/>
  <c r="I8" i="9"/>
  <c r="F10" i="9"/>
  <c r="D11" i="9"/>
  <c r="M6" i="9"/>
  <c r="E60" i="4"/>
  <c r="V2017" i="3"/>
  <c r="V2048" i="3"/>
  <c r="V2003" i="3"/>
  <c r="V2024" i="3"/>
  <c r="V2019" i="3"/>
  <c r="V2046" i="3"/>
  <c r="V2006" i="3"/>
  <c r="V2022" i="3"/>
  <c r="V2015" i="3"/>
  <c r="V1576" i="3"/>
  <c r="V1897" i="3"/>
  <c r="V1606" i="3"/>
  <c r="V1572" i="3"/>
  <c r="V1703" i="3"/>
  <c r="V1624" i="3"/>
  <c r="V1252" i="3"/>
  <c r="V1255" i="3"/>
  <c r="V1259" i="3"/>
  <c r="V1578" i="3"/>
  <c r="V1310" i="3"/>
  <c r="V912" i="3"/>
  <c r="V922" i="3"/>
  <c r="V1009" i="3"/>
  <c r="V938" i="3"/>
  <c r="V933" i="3"/>
  <c r="V916" i="3"/>
  <c r="V551" i="3"/>
  <c r="V422" i="3"/>
  <c r="V919" i="3"/>
  <c r="V925" i="3"/>
  <c r="V343" i="3"/>
  <c r="V179" i="3"/>
  <c r="X1151" i="1"/>
  <c r="B1151" i="1"/>
  <c r="O915" i="1"/>
  <c r="B915" i="1"/>
  <c r="W671" i="1"/>
  <c r="O472" i="1"/>
  <c r="O715" i="1"/>
  <c r="B715" i="1"/>
  <c r="B472" i="1"/>
  <c r="V1527" i="3"/>
  <c r="V883" i="3"/>
  <c r="V644" i="3"/>
  <c r="J2" i="2"/>
  <c r="K2" i="1"/>
  <c r="C17" i="4"/>
  <c r="V999" i="3" s="1"/>
  <c r="C34" i="4"/>
  <c r="V461" i="3" s="1"/>
  <c r="C51" i="4"/>
  <c r="C68" i="4"/>
  <c r="V980" i="3" s="1"/>
  <c r="C86" i="4"/>
  <c r="C103" i="4"/>
  <c r="V1554" i="3" s="1"/>
  <c r="C119" i="4"/>
  <c r="V504" i="3" s="1"/>
  <c r="C138" i="4"/>
  <c r="B52" i="3"/>
  <c r="B152" i="3"/>
  <c r="P321" i="2"/>
  <c r="O65" i="1"/>
  <c r="B69" i="1"/>
  <c r="T52" i="1"/>
  <c r="P313" i="2"/>
  <c r="P110" i="2"/>
  <c r="P141" i="2"/>
  <c r="P6" i="2"/>
  <c r="P220" i="2"/>
  <c r="P112" i="2"/>
  <c r="P111" i="2"/>
  <c r="B149" i="1"/>
  <c r="O152" i="1"/>
  <c r="B524" i="3"/>
  <c r="P499" i="2"/>
  <c r="P498" i="2"/>
  <c r="P256" i="2"/>
  <c r="P241" i="2"/>
  <c r="P97" i="2"/>
  <c r="P87" i="2"/>
  <c r="P250" i="2"/>
  <c r="P233" i="2"/>
  <c r="P221" i="2"/>
  <c r="O241" i="1"/>
  <c r="B244" i="1"/>
  <c r="B694" i="3"/>
  <c r="P387" i="2"/>
  <c r="P143" i="2"/>
  <c r="B410" i="1"/>
  <c r="O413" i="1"/>
  <c r="P158" i="2"/>
  <c r="P312" i="2"/>
  <c r="P160" i="2"/>
  <c r="P157" i="2"/>
  <c r="P159" i="2"/>
  <c r="P357" i="2"/>
  <c r="P228" i="2"/>
  <c r="O501" i="1"/>
  <c r="B499" i="1"/>
  <c r="P170" i="2"/>
  <c r="P197" i="2"/>
  <c r="P187" i="2"/>
  <c r="B598" i="1"/>
  <c r="O600" i="1"/>
  <c r="O676" i="1"/>
  <c r="B669" i="1"/>
  <c r="A93" i="4"/>
  <c r="A1384" i="3"/>
  <c r="A789" i="1"/>
  <c r="O856" i="1"/>
  <c r="B856" i="1"/>
  <c r="B1676" i="3"/>
  <c r="P408" i="2"/>
  <c r="P327" i="2"/>
  <c r="P409" i="2"/>
  <c r="B1020" i="1"/>
  <c r="O1020" i="1"/>
  <c r="P406" i="2"/>
  <c r="P134" i="2"/>
  <c r="P215" i="2"/>
  <c r="O1111" i="1"/>
  <c r="B1106" i="1"/>
  <c r="P120" i="2"/>
  <c r="O1202" i="1"/>
  <c r="B1202" i="1"/>
  <c r="P492" i="2"/>
  <c r="C12" i="7"/>
  <c r="F96" i="3" s="1"/>
  <c r="F128" i="4"/>
  <c r="F139" i="4"/>
  <c r="F133" i="4"/>
  <c r="F104" i="4"/>
  <c r="C25" i="7"/>
  <c r="C38" i="7"/>
  <c r="F348" i="3" s="1"/>
  <c r="C51" i="7"/>
  <c r="C64" i="7"/>
  <c r="C77" i="7"/>
  <c r="F109" i="4"/>
  <c r="C90" i="7"/>
  <c r="C103" i="7"/>
  <c r="C116" i="7"/>
  <c r="C129" i="7"/>
  <c r="F363" i="3" s="1"/>
  <c r="C141" i="7"/>
  <c r="B12" i="6"/>
  <c r="C154" i="7"/>
  <c r="B24" i="6"/>
  <c r="C167" i="7"/>
  <c r="B36" i="6"/>
  <c r="C179" i="7"/>
  <c r="B49" i="6"/>
  <c r="L62" i="5"/>
  <c r="C192" i="7"/>
  <c r="D412" i="3" s="1"/>
  <c r="B61" i="6"/>
  <c r="P35" i="5"/>
  <c r="N31" i="5"/>
  <c r="C204" i="7"/>
  <c r="B75" i="6"/>
  <c r="C217" i="7"/>
  <c r="D2023" i="3" s="1"/>
  <c r="D35" i="5"/>
  <c r="B87" i="6"/>
  <c r="B99" i="6"/>
  <c r="C230" i="7"/>
  <c r="C242" i="7"/>
  <c r="H14" i="6"/>
  <c r="J60" i="5"/>
  <c r="C255" i="7"/>
  <c r="H26" i="6"/>
  <c r="C268" i="7"/>
  <c r="H38" i="6"/>
  <c r="H51" i="6"/>
  <c r="C280" i="7"/>
  <c r="H63" i="6"/>
  <c r="C293" i="7"/>
  <c r="C305" i="7"/>
  <c r="H76" i="6"/>
  <c r="C320" i="7"/>
  <c r="J435" i="2" s="1"/>
  <c r="K397" i="1" s="1"/>
  <c r="H90" i="6"/>
  <c r="C335" i="7"/>
  <c r="H104" i="6"/>
  <c r="C349" i="7"/>
  <c r="F1732" i="3" s="1"/>
  <c r="H119" i="6"/>
  <c r="C363" i="7"/>
  <c r="O758" i="3" s="1"/>
  <c r="B114" i="6"/>
  <c r="L64" i="5"/>
  <c r="C380" i="7"/>
  <c r="D813" i="3" s="1"/>
  <c r="B129" i="6"/>
  <c r="H39" i="5"/>
  <c r="J37" i="5"/>
  <c r="B144" i="6"/>
  <c r="J12" i="5"/>
  <c r="N15" i="5"/>
  <c r="L10" i="5"/>
  <c r="C396" i="7"/>
  <c r="C411" i="7"/>
  <c r="B160" i="6"/>
  <c r="F88" i="4"/>
  <c r="B178" i="6"/>
  <c r="C430" i="7"/>
  <c r="P11" i="5"/>
  <c r="B196" i="6"/>
  <c r="C450" i="7"/>
  <c r="L12" i="5"/>
  <c r="N17" i="5"/>
  <c r="J15" i="5"/>
  <c r="F10" i="5"/>
  <c r="C469" i="7"/>
  <c r="H140" i="6"/>
  <c r="F39" i="4"/>
  <c r="C490" i="7"/>
  <c r="H159" i="6"/>
  <c r="F45" i="5"/>
  <c r="C514" i="7"/>
  <c r="Y832" i="1" s="1"/>
  <c r="H181" i="6"/>
  <c r="C537" i="7"/>
  <c r="P19" i="5"/>
  <c r="H51" i="5"/>
  <c r="D74" i="5"/>
  <c r="J77" i="5"/>
  <c r="N51" i="5"/>
  <c r="L22" i="5"/>
  <c r="F55" i="5"/>
  <c r="B51" i="5"/>
  <c r="H75" i="5"/>
  <c r="L54" i="5"/>
  <c r="J26" i="5"/>
  <c r="P77" i="5"/>
  <c r="F16" i="7"/>
  <c r="F43" i="7"/>
  <c r="D1677" i="3" s="1"/>
  <c r="F75" i="7"/>
  <c r="D2068" i="3" s="1"/>
  <c r="I22" i="7"/>
  <c r="I49" i="7"/>
  <c r="V281" i="3" s="1"/>
  <c r="C20" i="2"/>
  <c r="C375" i="1" s="1"/>
  <c r="C47" i="2"/>
  <c r="C636" i="1" s="1"/>
  <c r="C79" i="2"/>
  <c r="C106" i="2"/>
  <c r="C555" i="1" s="1"/>
  <c r="C133" i="2"/>
  <c r="C164" i="2"/>
  <c r="C191" i="2"/>
  <c r="C223" i="2"/>
  <c r="C1010" i="1" s="1"/>
  <c r="C250" i="2"/>
  <c r="C277" i="2"/>
  <c r="C308" i="2"/>
  <c r="C335" i="2"/>
  <c r="C433" i="1" s="1"/>
  <c r="C367" i="2"/>
  <c r="C396" i="2"/>
  <c r="C423" i="2"/>
  <c r="C378" i="1" s="1"/>
  <c r="C462" i="2"/>
  <c r="C290" i="1" s="1"/>
  <c r="C505" i="2"/>
  <c r="C1095" i="1" s="1"/>
  <c r="C107" i="8"/>
  <c r="N185" i="2" s="1"/>
  <c r="C157" i="8"/>
  <c r="N384" i="2" s="1"/>
  <c r="C71" i="8"/>
  <c r="C117" i="8"/>
  <c r="B182" i="3"/>
  <c r="B1897" i="3"/>
  <c r="B264" i="3"/>
  <c r="Y151" i="1"/>
  <c r="B393" i="3"/>
  <c r="B1935" i="3"/>
  <c r="B708" i="3"/>
  <c r="B1485" i="3"/>
  <c r="B533" i="3"/>
  <c r="D68" i="4"/>
  <c r="B980" i="3"/>
  <c r="B296" i="3"/>
  <c r="B1786" i="3"/>
  <c r="B1706" i="3"/>
  <c r="I85" i="8"/>
  <c r="S1419" i="3" s="1"/>
  <c r="I176" i="8"/>
  <c r="I132" i="8"/>
  <c r="S1012" i="3" s="1"/>
  <c r="I123" i="8"/>
  <c r="I158" i="8"/>
  <c r="I160" i="8"/>
  <c r="I47" i="8"/>
  <c r="I18" i="8"/>
  <c r="S181" i="3" s="1"/>
  <c r="I50" i="8"/>
  <c r="I169" i="8"/>
  <c r="S1167" i="3" s="1"/>
  <c r="I108" i="8"/>
  <c r="S744" i="3" s="1"/>
  <c r="A47" i="9"/>
  <c r="A34" i="9"/>
  <c r="A21" i="9"/>
  <c r="A60" i="9"/>
  <c r="A73" i="9"/>
  <c r="A2" i="9"/>
  <c r="A99" i="9"/>
  <c r="A86" i="9"/>
  <c r="A16" i="9"/>
  <c r="A112" i="9"/>
  <c r="B159" i="6"/>
  <c r="C410" i="7"/>
  <c r="F108" i="4"/>
  <c r="C423" i="7"/>
  <c r="B171" i="6"/>
  <c r="B183" i="6"/>
  <c r="C436" i="7"/>
  <c r="O168" i="3" s="1"/>
  <c r="H13" i="5"/>
  <c r="F40" i="5"/>
  <c r="D40" i="5"/>
  <c r="N41" i="5"/>
  <c r="C449" i="7"/>
  <c r="B195" i="6"/>
  <c r="P10" i="5"/>
  <c r="H12" i="5"/>
  <c r="C461" i="7"/>
  <c r="D535" i="3" s="1"/>
  <c r="H132" i="6"/>
  <c r="F146" i="4"/>
  <c r="C474" i="7"/>
  <c r="H144" i="6"/>
  <c r="C487" i="7"/>
  <c r="B68" i="5"/>
  <c r="H156" i="6"/>
  <c r="C500" i="7"/>
  <c r="H168" i="6"/>
  <c r="N20" i="5"/>
  <c r="C513" i="7"/>
  <c r="H180" i="6"/>
  <c r="H192" i="6"/>
  <c r="C526" i="7"/>
  <c r="C539" i="7"/>
  <c r="F1427" i="3" s="1"/>
  <c r="F8" i="7"/>
  <c r="F20" i="7"/>
  <c r="D428" i="3" s="1"/>
  <c r="F32" i="7"/>
  <c r="F44" i="7"/>
  <c r="D1694" i="3" s="1"/>
  <c r="F56" i="7"/>
  <c r="D866" i="3" s="1"/>
  <c r="F68" i="7"/>
  <c r="J496" i="2" s="1"/>
  <c r="K30" i="1" s="1"/>
  <c r="F80" i="7"/>
  <c r="J498" i="2" s="1"/>
  <c r="K255" i="1" s="1"/>
  <c r="I12" i="7"/>
  <c r="F969" i="3" s="1"/>
  <c r="I24" i="7"/>
  <c r="V681" i="3" s="1"/>
  <c r="I36" i="7"/>
  <c r="I48" i="7"/>
  <c r="I60" i="7"/>
  <c r="F22" i="3" s="1"/>
  <c r="C12" i="2"/>
  <c r="C634" i="1" s="1"/>
  <c r="C24" i="2"/>
  <c r="C36" i="2"/>
  <c r="C486" i="1" s="1"/>
  <c r="C48" i="2"/>
  <c r="C60" i="2"/>
  <c r="C72" i="2"/>
  <c r="C84" i="2"/>
  <c r="C541" i="1" s="1"/>
  <c r="C96" i="2"/>
  <c r="C108" i="2"/>
  <c r="C120" i="2"/>
  <c r="C1110" i="1" s="1"/>
  <c r="C132" i="2"/>
  <c r="C97" i="1" s="1"/>
  <c r="C144" i="2"/>
  <c r="C156" i="2"/>
  <c r="C168" i="2"/>
  <c r="C180" i="2"/>
  <c r="C192" i="2"/>
  <c r="C1066" i="1" s="1"/>
  <c r="C204" i="2"/>
  <c r="C216" i="2"/>
  <c r="C228" i="2"/>
  <c r="C240" i="2"/>
  <c r="C240" i="1" s="1"/>
  <c r="C252" i="2"/>
  <c r="C108" i="1" s="1"/>
  <c r="C264" i="2"/>
  <c r="C835" i="1" s="1"/>
  <c r="C276" i="2"/>
  <c r="C288" i="2"/>
  <c r="C300" i="2"/>
  <c r="C312" i="2"/>
  <c r="C324" i="2"/>
  <c r="C54" i="1" s="1"/>
  <c r="C336" i="2"/>
  <c r="C556" i="1" s="1"/>
  <c r="C348" i="2"/>
  <c r="C1013" i="1" s="1"/>
  <c r="C360" i="2"/>
  <c r="C372" i="2"/>
  <c r="C385" i="2"/>
  <c r="C813" i="1" s="1"/>
  <c r="C398" i="2"/>
  <c r="C493" i="1" s="1"/>
  <c r="C410" i="2"/>
  <c r="C1016" i="1" s="1"/>
  <c r="C422" i="2"/>
  <c r="C377" i="1" s="1"/>
  <c r="C437" i="2"/>
  <c r="C561" i="1" s="1"/>
  <c r="C454" i="2"/>
  <c r="C710" i="1" s="1"/>
  <c r="C470" i="2"/>
  <c r="C933" i="1" s="1"/>
  <c r="C490" i="2"/>
  <c r="C911" i="1" s="1"/>
  <c r="C506" i="2"/>
  <c r="C1149" i="1" s="1"/>
  <c r="C113" i="8"/>
  <c r="N20" i="2" s="1"/>
  <c r="C137" i="8"/>
  <c r="C73" i="8"/>
  <c r="N62" i="2" s="1"/>
  <c r="C90" i="8"/>
  <c r="C101" i="8"/>
  <c r="C127" i="8"/>
  <c r="C162" i="8"/>
  <c r="N16" i="2" s="1"/>
  <c r="C131" i="8"/>
  <c r="N75" i="2" s="1"/>
  <c r="C37" i="8"/>
  <c r="N85" i="2" s="1"/>
  <c r="C27" i="8"/>
  <c r="C46" i="8"/>
  <c r="C5" i="8"/>
  <c r="C84" i="8"/>
  <c r="C70" i="8"/>
  <c r="C58" i="8"/>
  <c r="D1" i="4"/>
  <c r="D96" i="4"/>
  <c r="B1392" i="3"/>
  <c r="B1466" i="3"/>
  <c r="B334" i="3"/>
  <c r="B2054" i="3"/>
  <c r="B698" i="3"/>
  <c r="B236" i="3"/>
  <c r="B1649" i="3"/>
  <c r="B127" i="3"/>
  <c r="B1830" i="3"/>
  <c r="B2060" i="3"/>
  <c r="B1761" i="3"/>
  <c r="B1641" i="3"/>
  <c r="B1603" i="3"/>
  <c r="B1435" i="3"/>
  <c r="B1329" i="3"/>
  <c r="B644" i="3"/>
  <c r="B514" i="3"/>
  <c r="B366" i="3"/>
  <c r="B761" i="3"/>
  <c r="B300" i="3"/>
  <c r="B1162" i="3"/>
  <c r="B570" i="3"/>
  <c r="B239" i="3"/>
  <c r="B1881" i="3"/>
  <c r="B1873" i="3"/>
  <c r="D122" i="4"/>
  <c r="B1748" i="3"/>
  <c r="B1310" i="3"/>
  <c r="D119" i="4"/>
  <c r="B1737" i="3"/>
  <c r="D55" i="4"/>
  <c r="B870" i="3"/>
  <c r="B869" i="3"/>
  <c r="Y425" i="1"/>
  <c r="B1613" i="3"/>
  <c r="B850" i="3"/>
  <c r="B418" i="3"/>
  <c r="B1389" i="3"/>
  <c r="D99" i="4"/>
  <c r="B292" i="3"/>
  <c r="B1841" i="3"/>
  <c r="B1068" i="3"/>
  <c r="B1768" i="3"/>
  <c r="B1767" i="3"/>
  <c r="B991" i="3"/>
  <c r="B912" i="3"/>
  <c r="D124" i="4"/>
  <c r="B449" i="3"/>
  <c r="B1303" i="3"/>
  <c r="B2015" i="3"/>
  <c r="B1997" i="3"/>
  <c r="B2017" i="3"/>
  <c r="B2019" i="3"/>
  <c r="B354" i="3"/>
  <c r="D31" i="4"/>
  <c r="D26" i="4"/>
  <c r="D37" i="4"/>
  <c r="B439" i="3"/>
  <c r="B230" i="3"/>
  <c r="B489" i="3"/>
  <c r="D21" i="4"/>
  <c r="B203" i="3"/>
  <c r="B2024" i="3"/>
  <c r="B551" i="3"/>
  <c r="B2071" i="3"/>
  <c r="I26" i="8"/>
  <c r="S1358" i="3" s="1"/>
  <c r="I62" i="8"/>
  <c r="S1009" i="3" s="1"/>
  <c r="I11" i="8"/>
  <c r="I149" i="8"/>
  <c r="S622" i="3" s="1"/>
  <c r="I120" i="8"/>
  <c r="S1458" i="3" s="1"/>
  <c r="I178" i="8"/>
  <c r="I157" i="8"/>
  <c r="I10" i="8"/>
  <c r="S919" i="3" s="1"/>
  <c r="I34" i="8"/>
  <c r="I8" i="8"/>
  <c r="S920" i="3" s="1"/>
  <c r="I145" i="8"/>
  <c r="I30" i="8"/>
  <c r="I92" i="8"/>
  <c r="A113" i="9"/>
  <c r="A61" i="9"/>
  <c r="A74" i="9"/>
  <c r="A3" i="9"/>
  <c r="A87" i="9"/>
  <c r="A22" i="9"/>
  <c r="A100" i="9"/>
  <c r="K157" i="6"/>
  <c r="K150" i="6"/>
  <c r="K164" i="6"/>
  <c r="K133" i="6"/>
  <c r="A48" i="9"/>
  <c r="E164" i="6"/>
  <c r="E189" i="6"/>
  <c r="K143" i="6"/>
  <c r="A35" i="9"/>
  <c r="D79" i="4"/>
  <c r="B1155" i="3"/>
  <c r="D27" i="4"/>
  <c r="B243" i="3"/>
  <c r="B649" i="3"/>
  <c r="B702" i="3"/>
  <c r="B1299" i="3"/>
  <c r="B501" i="3"/>
  <c r="B1463" i="3"/>
  <c r="B1518" i="3"/>
  <c r="B1358" i="3"/>
  <c r="B1348" i="3"/>
  <c r="B1581" i="3"/>
  <c r="B1563" i="3"/>
  <c r="B1740" i="3"/>
  <c r="B1722" i="3"/>
  <c r="B1713" i="3"/>
  <c r="B1716" i="3"/>
  <c r="B1725" i="3"/>
  <c r="B1368" i="3"/>
  <c r="B1240" i="3"/>
  <c r="B1584" i="3"/>
  <c r="B1345" i="3"/>
  <c r="B1221" i="3"/>
  <c r="B1371" i="3"/>
  <c r="B1566" i="3"/>
  <c r="B1243" i="3"/>
  <c r="B339" i="3"/>
  <c r="B873" i="3"/>
  <c r="B321" i="3"/>
  <c r="B1259" i="3"/>
  <c r="B308" i="3"/>
  <c r="B225" i="3"/>
  <c r="B275" i="3"/>
  <c r="B336" i="3"/>
  <c r="B158" i="3"/>
  <c r="B1149" i="3"/>
  <c r="D14" i="4"/>
  <c r="B108" i="3"/>
  <c r="D91" i="4"/>
  <c r="B1380" i="3"/>
  <c r="B1851" i="3"/>
  <c r="B1708" i="3"/>
  <c r="B1480" i="3"/>
  <c r="B1978" i="3"/>
  <c r="B2011" i="3"/>
  <c r="B1655" i="3"/>
  <c r="B1593" i="3"/>
  <c r="B1672" i="3"/>
  <c r="B1227" i="3"/>
  <c r="B1615" i="3"/>
  <c r="B1230" i="3"/>
  <c r="B810" i="3"/>
  <c r="B857" i="3"/>
  <c r="B815" i="3"/>
  <c r="B790" i="3"/>
  <c r="B795" i="3"/>
  <c r="B830" i="3"/>
  <c r="B1224" i="3"/>
  <c r="B805" i="3"/>
  <c r="B771" i="3"/>
  <c r="B727" i="3"/>
  <c r="B584" i="3"/>
  <c r="B539" i="3"/>
  <c r="B391" i="3"/>
  <c r="B883" i="3"/>
  <c r="B837" i="3"/>
  <c r="B738" i="3"/>
  <c r="B842" i="3"/>
  <c r="B580" i="3"/>
  <c r="B428" i="3"/>
  <c r="B587" i="3"/>
  <c r="B16" i="3"/>
  <c r="B284" i="3"/>
  <c r="B888" i="3"/>
  <c r="B750" i="3"/>
  <c r="Y1173" i="1"/>
  <c r="B103" i="3"/>
  <c r="B1172" i="3"/>
  <c r="D22" i="4"/>
  <c r="B199" i="3"/>
  <c r="B735" i="3"/>
  <c r="B914" i="3"/>
  <c r="D105" i="4"/>
  <c r="B1551" i="3"/>
  <c r="B1471" i="3"/>
  <c r="B187" i="3"/>
  <c r="B2022" i="3"/>
  <c r="B1994" i="3"/>
  <c r="B133" i="3"/>
  <c r="B314" i="3"/>
  <c r="B734" i="3"/>
  <c r="B1905" i="3"/>
  <c r="B2073" i="3"/>
  <c r="B918" i="3"/>
  <c r="D103" i="4"/>
  <c r="B1477" i="3"/>
  <c r="I147" i="8"/>
  <c r="I164" i="8"/>
  <c r="S923" i="3" s="1"/>
  <c r="I57" i="8"/>
  <c r="I167" i="8"/>
  <c r="I161" i="8"/>
  <c r="I9" i="8"/>
  <c r="I129" i="8"/>
  <c r="I33" i="8"/>
  <c r="S570" i="3" s="1"/>
  <c r="I175" i="8"/>
  <c r="I72" i="8"/>
  <c r="I165" i="8"/>
  <c r="S1788" i="3" s="1"/>
  <c r="I174" i="8"/>
  <c r="I182" i="8"/>
  <c r="S1274" i="3" s="1"/>
  <c r="A75" i="9"/>
  <c r="A88" i="9"/>
  <c r="A101" i="9"/>
  <c r="A114" i="9"/>
  <c r="A4" i="9"/>
  <c r="A62" i="9"/>
  <c r="E134" i="6"/>
  <c r="E142" i="6"/>
  <c r="A49" i="9"/>
  <c r="A36" i="9"/>
  <c r="K165" i="6"/>
  <c r="E170" i="6"/>
  <c r="K158" i="6"/>
  <c r="E153" i="6"/>
  <c r="E108" i="6"/>
  <c r="A23" i="9"/>
  <c r="E194" i="6"/>
  <c r="E184" i="6"/>
  <c r="K151" i="6"/>
  <c r="E140" i="6"/>
  <c r="K134" i="6"/>
  <c r="E161" i="6"/>
  <c r="E121" i="6"/>
  <c r="K144" i="6"/>
  <c r="F22" i="7"/>
  <c r="F34" i="7"/>
  <c r="D31" i="3" s="1"/>
  <c r="F46" i="7"/>
  <c r="D1917" i="3" s="1"/>
  <c r="F58" i="7"/>
  <c r="D239" i="3" s="1"/>
  <c r="F70" i="7"/>
  <c r="I1" i="7"/>
  <c r="I14" i="7"/>
  <c r="F698" i="3" s="1"/>
  <c r="I26" i="7"/>
  <c r="F2050" i="3" s="1"/>
  <c r="I38" i="7"/>
  <c r="F1837" i="3" s="1"/>
  <c r="I50" i="7"/>
  <c r="F312" i="3" s="1"/>
  <c r="I62" i="7"/>
  <c r="F1768" i="3" s="1"/>
  <c r="C14" i="2"/>
  <c r="C656" i="1" s="1"/>
  <c r="C26" i="2"/>
  <c r="C557" i="1" s="1"/>
  <c r="C38" i="2"/>
  <c r="C50" i="2"/>
  <c r="C62" i="2"/>
  <c r="C1037" i="1" s="1"/>
  <c r="C74" i="2"/>
  <c r="C86" i="2"/>
  <c r="C98" i="2"/>
  <c r="C110" i="2"/>
  <c r="C151" i="1" s="1"/>
  <c r="C122" i="2"/>
  <c r="C134" i="2"/>
  <c r="C1113" i="1" s="1"/>
  <c r="C146" i="2"/>
  <c r="C1169" i="1" s="1"/>
  <c r="C158" i="2"/>
  <c r="C170" i="2"/>
  <c r="C182" i="2"/>
  <c r="C194" i="2"/>
  <c r="C206" i="2"/>
  <c r="C218" i="2"/>
  <c r="C230" i="2"/>
  <c r="C242" i="2"/>
  <c r="C254" i="2"/>
  <c r="C553" i="1" s="1"/>
  <c r="C266" i="2"/>
  <c r="C278" i="2"/>
  <c r="C290" i="2"/>
  <c r="C302" i="2"/>
  <c r="C1175" i="1" s="1"/>
  <c r="C314" i="2"/>
  <c r="C326" i="2"/>
  <c r="C338" i="2"/>
  <c r="C197" i="1" s="1"/>
  <c r="C350" i="2"/>
  <c r="C362" i="2"/>
  <c r="C1222" i="1" s="1"/>
  <c r="C374" i="2"/>
  <c r="C387" i="2"/>
  <c r="C419" i="1" s="1"/>
  <c r="C400" i="2"/>
  <c r="C412" i="2"/>
  <c r="C1154" i="1" s="1"/>
  <c r="C424" i="2"/>
  <c r="C216" i="1" s="1"/>
  <c r="C441" i="2"/>
  <c r="C1182" i="1" s="1"/>
  <c r="C456" i="2"/>
  <c r="C713" i="1" s="1"/>
  <c r="C472" i="2"/>
  <c r="C496" i="2"/>
  <c r="C30" i="1" s="1"/>
  <c r="C510" i="2"/>
  <c r="C1147" i="1" s="1"/>
  <c r="C154" i="8"/>
  <c r="N189" i="2" s="1"/>
  <c r="C87" i="8"/>
  <c r="N357" i="2" s="1"/>
  <c r="C86" i="8"/>
  <c r="N277" i="2" s="1"/>
  <c r="C132" i="8"/>
  <c r="C106" i="8"/>
  <c r="N94" i="2" s="1"/>
  <c r="C163" i="8"/>
  <c r="N70" i="2" s="1"/>
  <c r="C28" i="8"/>
  <c r="C110" i="8"/>
  <c r="N336" i="2" s="1"/>
  <c r="C42" i="8"/>
  <c r="C16" i="8"/>
  <c r="D9" i="4"/>
  <c r="B573" i="3"/>
  <c r="B8" i="3"/>
  <c r="B56" i="3"/>
  <c r="B452" i="3"/>
  <c r="D144" i="4"/>
  <c r="D132" i="4"/>
  <c r="D138" i="4"/>
  <c r="B1876" i="3"/>
  <c r="B2086" i="3"/>
  <c r="B2000" i="3"/>
  <c r="B895" i="3"/>
  <c r="B755" i="3"/>
  <c r="B1954" i="3"/>
  <c r="B577" i="3"/>
  <c r="B422" i="3"/>
  <c r="B1506" i="3"/>
  <c r="B633" i="3"/>
  <c r="B636" i="3"/>
  <c r="B217" i="3"/>
  <c r="B1946" i="3"/>
  <c r="D134" i="4"/>
  <c r="B1903" i="3"/>
  <c r="B1651" i="3"/>
  <c r="B1246" i="3"/>
  <c r="B1889" i="3"/>
  <c r="B1274" i="3"/>
  <c r="B1278" i="3"/>
  <c r="D4" i="4"/>
  <c r="D32" i="4"/>
  <c r="D51" i="4"/>
  <c r="B401" i="3"/>
  <c r="B720" i="3"/>
  <c r="D47" i="4"/>
  <c r="D53" i="4"/>
  <c r="D43" i="4"/>
  <c r="B653" i="3"/>
  <c r="B799" i="3"/>
  <c r="B592" i="3"/>
  <c r="B668" i="3"/>
  <c r="D49" i="4"/>
  <c r="B676" i="3"/>
  <c r="B2029" i="3"/>
  <c r="B2006" i="3"/>
  <c r="D89" i="4"/>
  <c r="B1312" i="3"/>
  <c r="D28" i="4"/>
  <c r="B287" i="3"/>
  <c r="B1165" i="3"/>
  <c r="B1920" i="3"/>
  <c r="B47" i="3"/>
  <c r="B242" i="3"/>
  <c r="D84" i="4"/>
  <c r="B1268" i="3"/>
  <c r="B211" i="3"/>
  <c r="B1234" i="3"/>
  <c r="B1819" i="3"/>
  <c r="B1846" i="3"/>
  <c r="B1871" i="3"/>
  <c r="B1838" i="3"/>
  <c r="B2083" i="3"/>
  <c r="B1900" i="3"/>
  <c r="B1848" i="3"/>
  <c r="B909" i="3"/>
  <c r="B945" i="3"/>
  <c r="B928" i="3"/>
  <c r="B495" i="3"/>
  <c r="B511" i="3"/>
  <c r="B486" i="3"/>
  <c r="B476" i="3"/>
  <c r="B150" i="3"/>
  <c r="B93" i="3"/>
  <c r="B1318" i="3"/>
  <c r="Y747" i="1"/>
  <c r="I150" i="8"/>
  <c r="I56" i="8"/>
  <c r="I135" i="8"/>
  <c r="S358" i="3" s="1"/>
  <c r="I131" i="8"/>
  <c r="S1165" i="3" s="1"/>
  <c r="I125" i="8"/>
  <c r="I32" i="8"/>
  <c r="S1815" i="3" s="1"/>
  <c r="I75" i="8"/>
  <c r="S594" i="3" s="1"/>
  <c r="I54" i="8"/>
  <c r="S1794" i="3" s="1"/>
  <c r="I159" i="8"/>
  <c r="I74" i="8"/>
  <c r="S593" i="3" s="1"/>
  <c r="I58" i="8"/>
  <c r="I23" i="8"/>
  <c r="I109" i="8"/>
  <c r="S871" i="3" s="1"/>
  <c r="A89" i="9"/>
  <c r="A102" i="9"/>
  <c r="A5" i="9"/>
  <c r="A50" i="9"/>
  <c r="A37" i="9"/>
  <c r="A24" i="9"/>
  <c r="F89" i="6"/>
  <c r="A115" i="9"/>
  <c r="A76" i="9"/>
  <c r="F21" i="6"/>
  <c r="A63" i="9"/>
  <c r="F84" i="6"/>
  <c r="L22" i="6"/>
  <c r="F9" i="6"/>
  <c r="F11" i="7"/>
  <c r="F23" i="7"/>
  <c r="D1281" i="3" s="1"/>
  <c r="F35" i="7"/>
  <c r="D228" i="3" s="1"/>
  <c r="F47" i="7"/>
  <c r="D150" i="3" s="1"/>
  <c r="F59" i="7"/>
  <c r="D213" i="3" s="1"/>
  <c r="F71" i="7"/>
  <c r="D1560" i="3" s="1"/>
  <c r="I3" i="7"/>
  <c r="F708" i="3" s="1"/>
  <c r="I15" i="7"/>
  <c r="F1843" i="3" s="1"/>
  <c r="I27" i="7"/>
  <c r="F1649" i="3" s="1"/>
  <c r="I39" i="7"/>
  <c r="F1509" i="3" s="1"/>
  <c r="I51" i="7"/>
  <c r="F303" i="3" s="1"/>
  <c r="I63" i="7"/>
  <c r="F1750" i="3" s="1"/>
  <c r="C15" i="2"/>
  <c r="C94" i="1" s="1"/>
  <c r="C27" i="2"/>
  <c r="C1231" i="1" s="1"/>
  <c r="C39" i="2"/>
  <c r="C51" i="2"/>
  <c r="C1141" i="1" s="1"/>
  <c r="C63" i="2"/>
  <c r="C75" i="2"/>
  <c r="C212" i="1" s="1"/>
  <c r="C87" i="2"/>
  <c r="C99" i="2"/>
  <c r="C111" i="2"/>
  <c r="C152" i="1" s="1"/>
  <c r="C123" i="2"/>
  <c r="C135" i="2"/>
  <c r="C147" i="2"/>
  <c r="C968" i="1" s="1"/>
  <c r="C159" i="2"/>
  <c r="C171" i="2"/>
  <c r="C183" i="2"/>
  <c r="C24" i="1" s="1"/>
  <c r="C195" i="2"/>
  <c r="C947" i="1" s="1"/>
  <c r="C207" i="2"/>
  <c r="C219" i="2"/>
  <c r="C231" i="2"/>
  <c r="C243" i="2"/>
  <c r="C965" i="1" s="1"/>
  <c r="C255" i="2"/>
  <c r="C554" i="1" s="1"/>
  <c r="C267" i="2"/>
  <c r="C279" i="2"/>
  <c r="C291" i="2"/>
  <c r="C303" i="2"/>
  <c r="C372" i="1" s="1"/>
  <c r="C315" i="2"/>
  <c r="C327" i="2"/>
  <c r="C1022" i="1" s="1"/>
  <c r="C339" i="2"/>
  <c r="C351" i="2"/>
  <c r="C363" i="2"/>
  <c r="C516" i="1" s="1"/>
  <c r="C375" i="2"/>
  <c r="C274" i="1" s="1"/>
  <c r="A389" i="2"/>
  <c r="C401" i="2"/>
  <c r="C663" i="1" s="1"/>
  <c r="C413" i="2"/>
  <c r="C1155" i="1" s="1"/>
  <c r="C425" i="2"/>
  <c r="C217" i="1" s="1"/>
  <c r="C442" i="2"/>
  <c r="C718" i="1" s="1"/>
  <c r="C457" i="2"/>
  <c r="C100" i="1" s="1"/>
  <c r="C473" i="2"/>
  <c r="C615" i="1" s="1"/>
  <c r="C497" i="2"/>
  <c r="C31" i="1" s="1"/>
  <c r="B3" i="8"/>
  <c r="L2" i="2"/>
  <c r="C29" i="8"/>
  <c r="C97" i="8"/>
  <c r="N382" i="2" s="1"/>
  <c r="C8" i="8"/>
  <c r="N321" i="2" s="1"/>
  <c r="C38" i="8"/>
  <c r="N381" i="2" s="1"/>
  <c r="C164" i="8"/>
  <c r="N256" i="2" s="1"/>
  <c r="C169" i="8"/>
  <c r="N71" i="2" s="1"/>
  <c r="C147" i="8"/>
  <c r="N190" i="2" s="1"/>
  <c r="C68" i="8"/>
  <c r="N370" i="2" s="1"/>
  <c r="C161" i="8"/>
  <c r="N302" i="2" s="1"/>
  <c r="C47" i="8"/>
  <c r="B717" i="3"/>
  <c r="B1941" i="3"/>
  <c r="B575" i="3"/>
  <c r="B2091" i="3"/>
  <c r="B1984" i="3"/>
  <c r="B442" i="3"/>
  <c r="B931" i="3"/>
  <c r="B1977" i="3"/>
  <c r="B1504" i="3"/>
  <c r="B1503" i="3"/>
  <c r="B2056" i="3"/>
  <c r="B1973" i="3"/>
  <c r="B679" i="3"/>
  <c r="B630" i="3"/>
  <c r="B1664" i="3"/>
  <c r="B1719" i="3"/>
  <c r="D80" i="4"/>
  <c r="B1182" i="3"/>
  <c r="D67" i="4"/>
  <c r="B1055" i="3"/>
  <c r="B1341" i="3"/>
  <c r="B1300" i="3"/>
  <c r="B1515" i="3"/>
  <c r="B36" i="3"/>
  <c r="B85" i="3"/>
  <c r="B61" i="3"/>
  <c r="B88" i="3"/>
  <c r="B689" i="3"/>
  <c r="B355" i="3"/>
  <c r="B1407" i="3"/>
  <c r="B768" i="3"/>
  <c r="B2041" i="3"/>
  <c r="B1981" i="3"/>
  <c r="B969" i="3"/>
  <c r="D34" i="4"/>
  <c r="B458" i="3"/>
  <c r="B1629" i="3"/>
  <c r="B1569" i="3"/>
  <c r="B492" i="3"/>
  <c r="B1934" i="3"/>
  <c r="B1028" i="3"/>
  <c r="B958" i="3"/>
  <c r="D109" i="4"/>
  <c r="B1590" i="3"/>
  <c r="B1083" i="3"/>
  <c r="B1315" i="3"/>
  <c r="B2082" i="3"/>
  <c r="B1671" i="3"/>
  <c r="B520" i="3"/>
  <c r="B1703" i="3"/>
  <c r="B246" i="3"/>
  <c r="I101" i="8"/>
  <c r="I73" i="8"/>
  <c r="S592" i="3" s="1"/>
  <c r="I136" i="8"/>
  <c r="I31" i="8"/>
  <c r="I61" i="8"/>
  <c r="I113" i="8"/>
  <c r="S870" i="3" s="1"/>
  <c r="I90" i="8"/>
  <c r="I76" i="8"/>
  <c r="I13" i="8"/>
  <c r="S551" i="3" s="1"/>
  <c r="I166" i="8"/>
  <c r="S1262" i="3" s="1"/>
  <c r="I42" i="8"/>
  <c r="I96" i="8"/>
  <c r="S34" i="3" s="1"/>
  <c r="I19" i="8"/>
  <c r="A103" i="9"/>
  <c r="A116" i="9"/>
  <c r="A51" i="9"/>
  <c r="A38" i="9"/>
  <c r="A25" i="9"/>
  <c r="A6" i="9"/>
  <c r="A64" i="9"/>
  <c r="L79" i="6"/>
  <c r="A90" i="9"/>
  <c r="E197" i="6"/>
  <c r="E168" i="6"/>
  <c r="E191" i="6"/>
  <c r="A77" i="9"/>
  <c r="E179" i="6"/>
  <c r="L93" i="6"/>
  <c r="L30" i="6"/>
  <c r="E148" i="6"/>
  <c r="E109" i="6"/>
  <c r="L66" i="6"/>
  <c r="E157" i="6"/>
  <c r="E122" i="6"/>
  <c r="E145" i="6"/>
  <c r="E135" i="6"/>
  <c r="E130" i="6"/>
  <c r="C465" i="7"/>
  <c r="H136" i="6"/>
  <c r="C478" i="7"/>
  <c r="Y1193" i="1" s="1"/>
  <c r="H148" i="6"/>
  <c r="C491" i="7"/>
  <c r="F43" i="5"/>
  <c r="H160" i="6"/>
  <c r="C504" i="7"/>
  <c r="H172" i="6"/>
  <c r="F105" i="4"/>
  <c r="C517" i="7"/>
  <c r="H184" i="6"/>
  <c r="C530" i="7"/>
  <c r="P74" i="5"/>
  <c r="H72" i="5"/>
  <c r="J75" i="5"/>
  <c r="C543" i="7"/>
  <c r="F145" i="3" s="1"/>
  <c r="F12" i="7"/>
  <c r="F24" i="7"/>
  <c r="F36" i="7"/>
  <c r="D258" i="3" s="1"/>
  <c r="F48" i="7"/>
  <c r="D93" i="3" s="1"/>
  <c r="F60" i="7"/>
  <c r="D433" i="3" s="1"/>
  <c r="F72" i="7"/>
  <c r="D1946" i="3" s="1"/>
  <c r="I4" i="7"/>
  <c r="F393" i="3" s="1"/>
  <c r="I16" i="7"/>
  <c r="F115" i="3" s="1"/>
  <c r="I28" i="7"/>
  <c r="F140" i="3" s="1"/>
  <c r="I40" i="7"/>
  <c r="F1506" i="3" s="1"/>
  <c r="I52" i="7"/>
  <c r="A4" i="2"/>
  <c r="C16" i="2"/>
  <c r="C28" i="2"/>
  <c r="C40" i="2"/>
  <c r="C52" i="2"/>
  <c r="C64" i="2"/>
  <c r="C222" i="1" s="1"/>
  <c r="C76" i="2"/>
  <c r="C929" i="1" s="1"/>
  <c r="C88" i="2"/>
  <c r="C100" i="2"/>
  <c r="C112" i="2"/>
  <c r="C124" i="2"/>
  <c r="C1122" i="1" s="1"/>
  <c r="C136" i="2"/>
  <c r="C148" i="2"/>
  <c r="C210" i="1" s="1"/>
  <c r="C160" i="2"/>
  <c r="C172" i="2"/>
  <c r="C184" i="2"/>
  <c r="C196" i="2"/>
  <c r="C86" i="1" s="1"/>
  <c r="C208" i="2"/>
  <c r="C220" i="2"/>
  <c r="C154" i="1" s="1"/>
  <c r="C232" i="2"/>
  <c r="C244" i="2"/>
  <c r="C966" i="1" s="1"/>
  <c r="C256" i="2"/>
  <c r="C268" i="2"/>
  <c r="C799" i="1" s="1"/>
  <c r="C280" i="2"/>
  <c r="C292" i="2"/>
  <c r="C434" i="1" s="1"/>
  <c r="C304" i="2"/>
  <c r="C316" i="2"/>
  <c r="C328" i="2"/>
  <c r="C779" i="1" s="1"/>
  <c r="C340" i="2"/>
  <c r="C352" i="2"/>
  <c r="C924" i="1" s="1"/>
  <c r="C364" i="2"/>
  <c r="A377" i="2"/>
  <c r="C390" i="2"/>
  <c r="C41" i="1" s="1"/>
  <c r="C402" i="2"/>
  <c r="C824" i="1" s="1"/>
  <c r="C414" i="2"/>
  <c r="C1157" i="1" s="1"/>
  <c r="C426" i="2"/>
  <c r="C218" i="1" s="1"/>
  <c r="C443" i="2"/>
  <c r="C719" i="1" s="1"/>
  <c r="C458" i="2"/>
  <c r="C285" i="1" s="1"/>
  <c r="C474" i="2"/>
  <c r="C617" i="1" s="1"/>
  <c r="C498" i="2"/>
  <c r="C255" i="1" s="1"/>
  <c r="L502" i="2"/>
  <c r="L481" i="2"/>
  <c r="L459" i="2"/>
  <c r="L444" i="2"/>
  <c r="L434" i="2"/>
  <c r="L429" i="2"/>
  <c r="L423" i="2"/>
  <c r="L411" i="2"/>
  <c r="L399" i="2"/>
  <c r="L333" i="2"/>
  <c r="L497" i="2"/>
  <c r="L473" i="2"/>
  <c r="L454" i="2"/>
  <c r="L418" i="2"/>
  <c r="L406" i="2"/>
  <c r="L394" i="2"/>
  <c r="L352" i="2"/>
  <c r="L504" i="2"/>
  <c r="L485" i="2"/>
  <c r="L464" i="2"/>
  <c r="L446" i="2"/>
  <c r="L436" i="2"/>
  <c r="L425" i="2"/>
  <c r="L413" i="2"/>
  <c r="L401" i="2"/>
  <c r="L506" i="2"/>
  <c r="L490" i="2"/>
  <c r="L470" i="2"/>
  <c r="L448" i="2"/>
  <c r="L440" i="2"/>
  <c r="L433" i="2"/>
  <c r="L415" i="2"/>
  <c r="L403" i="2"/>
  <c r="L391" i="2"/>
  <c r="L501" i="2"/>
  <c r="L480" i="2"/>
  <c r="L458" i="2"/>
  <c r="L427" i="2"/>
  <c r="L422" i="2"/>
  <c r="L410" i="2"/>
  <c r="L398" i="2"/>
  <c r="L332" i="2"/>
  <c r="L510" i="2"/>
  <c r="L496" i="2"/>
  <c r="L472" i="2"/>
  <c r="L453" i="2"/>
  <c r="L417" i="2"/>
  <c r="L405" i="2"/>
  <c r="L393" i="2"/>
  <c r="L375" i="2"/>
  <c r="L279" i="2"/>
  <c r="L503" i="2"/>
  <c r="L482" i="2"/>
  <c r="L463" i="2"/>
  <c r="L460" i="2"/>
  <c r="L445" i="2"/>
  <c r="L435" i="2"/>
  <c r="L424" i="2"/>
  <c r="L412" i="2"/>
  <c r="L400" i="2"/>
  <c r="L498" i="2"/>
  <c r="L474" i="2"/>
  <c r="L455" i="2"/>
  <c r="L432" i="2"/>
  <c r="L419" i="2"/>
  <c r="L407" i="2"/>
  <c r="L395" i="2"/>
  <c r="L386" i="2"/>
  <c r="L353" i="2"/>
  <c r="L505" i="2"/>
  <c r="L489" i="2"/>
  <c r="L467" i="2"/>
  <c r="L447" i="2"/>
  <c r="L437" i="2"/>
  <c r="L414" i="2"/>
  <c r="L402" i="2"/>
  <c r="L390" i="2"/>
  <c r="L449" i="2"/>
  <c r="L281" i="2"/>
  <c r="L235" i="2"/>
  <c r="L223" i="2"/>
  <c r="L457" i="2"/>
  <c r="L254" i="2"/>
  <c r="L218" i="2"/>
  <c r="L35" i="2"/>
  <c r="L354" i="2"/>
  <c r="L64" i="2"/>
  <c r="L42" i="2"/>
  <c r="L441" i="2"/>
  <c r="L244" i="2"/>
  <c r="L232" i="2"/>
  <c r="L37" i="2"/>
  <c r="L456" i="2"/>
  <c r="L276" i="2"/>
  <c r="L44" i="2"/>
  <c r="L32" i="2"/>
  <c r="L462" i="2"/>
  <c r="L416" i="2"/>
  <c r="L404" i="2"/>
  <c r="L392" i="2"/>
  <c r="L234" i="2"/>
  <c r="L222" i="2"/>
  <c r="L39" i="2"/>
  <c r="L507" i="2"/>
  <c r="L492" i="2"/>
  <c r="L471" i="2"/>
  <c r="L421" i="2"/>
  <c r="L409" i="2"/>
  <c r="L397" i="2"/>
  <c r="L253" i="2"/>
  <c r="L22" i="2"/>
  <c r="L500" i="2"/>
  <c r="L479" i="2"/>
  <c r="L461" i="2"/>
  <c r="L283" i="2"/>
  <c r="L236" i="2"/>
  <c r="L41" i="2"/>
  <c r="L255" i="2"/>
  <c r="L243" i="2"/>
  <c r="L231" i="2"/>
  <c r="L219" i="2"/>
  <c r="L36" i="2"/>
  <c r="L426" i="2"/>
  <c r="L420" i="2"/>
  <c r="L408" i="2"/>
  <c r="L396" i="2"/>
  <c r="L65" i="2"/>
  <c r="L43" i="2"/>
  <c r="L374" i="2"/>
  <c r="L245" i="2"/>
  <c r="L499" i="2"/>
  <c r="L274" i="2"/>
  <c r="L40" i="2"/>
  <c r="L478" i="2"/>
  <c r="L21" i="2"/>
  <c r="L45" i="2"/>
  <c r="L33" i="2"/>
  <c r="C6" i="8"/>
  <c r="C150" i="8"/>
  <c r="N224" i="2" s="1"/>
  <c r="C45" i="8"/>
  <c r="C100" i="8"/>
  <c r="C95" i="8"/>
  <c r="C33" i="8"/>
  <c r="C155" i="8"/>
  <c r="N327" i="2" s="1"/>
  <c r="C4" i="8"/>
  <c r="C11" i="8"/>
  <c r="N301" i="2" s="1"/>
  <c r="C156" i="8"/>
  <c r="N143" i="2" s="1"/>
  <c r="B363" i="3"/>
  <c r="B25" i="3"/>
  <c r="B455" i="3"/>
  <c r="B785" i="3"/>
  <c r="B825" i="3"/>
  <c r="B839" i="3"/>
  <c r="B854" i="3"/>
  <c r="B822" i="3"/>
  <c r="D66" i="4"/>
  <c r="B1050" i="3"/>
  <c r="B1355" i="3"/>
  <c r="D56" i="4"/>
  <c r="B1734" i="3"/>
  <c r="B746" i="3"/>
  <c r="D10" i="4"/>
  <c r="B28" i="3"/>
  <c r="B1497" i="3"/>
  <c r="B1498" i="3"/>
  <c r="Y835" i="1"/>
  <c r="B2009" i="3"/>
  <c r="B2044" i="3"/>
  <c r="B79" i="3"/>
  <c r="B1415" i="3"/>
  <c r="B1728" i="3"/>
  <c r="B1732" i="3"/>
  <c r="B1730" i="3"/>
  <c r="B1066" i="3"/>
  <c r="B1788" i="3"/>
  <c r="B1321" i="3"/>
  <c r="B713" i="3"/>
  <c r="B711" i="3"/>
  <c r="B1958" i="3"/>
  <c r="B379" i="3"/>
  <c r="D101" i="4"/>
  <c r="B1433" i="3"/>
  <c r="B1610" i="3"/>
  <c r="B1461" i="3"/>
  <c r="D108" i="4"/>
  <c r="D95" i="4"/>
  <c r="B1438" i="3"/>
  <c r="B1691" i="3"/>
  <c r="B967" i="3"/>
  <c r="B1596" i="3"/>
  <c r="B2032" i="3"/>
  <c r="B1397" i="3"/>
  <c r="B1834" i="3"/>
  <c r="B1645" i="3"/>
  <c r="B1333" i="3"/>
  <c r="B1482" i="3"/>
  <c r="B1237" i="3"/>
  <c r="B1135" i="3"/>
  <c r="B1098" i="3"/>
  <c r="B388" i="3"/>
  <c r="B673" i="3"/>
  <c r="B613" i="3"/>
  <c r="B130" i="3"/>
  <c r="B106" i="3"/>
  <c r="D45" i="4"/>
  <c r="B574" i="3"/>
  <c r="B316" i="3"/>
  <c r="B1545" i="3"/>
  <c r="B1533" i="3"/>
  <c r="B233" i="3"/>
  <c r="B297" i="3"/>
  <c r="Y154" i="1"/>
  <c r="D85" i="4"/>
  <c r="B1271" i="3"/>
  <c r="B1216" i="3"/>
  <c r="B1468" i="3"/>
  <c r="B616" i="3"/>
  <c r="B1015" i="3"/>
  <c r="B1910" i="3"/>
  <c r="I66" i="8"/>
  <c r="I115" i="8"/>
  <c r="S607" i="3" s="1"/>
  <c r="I137" i="8"/>
  <c r="I43" i="8"/>
  <c r="S899" i="3" s="1"/>
  <c r="I126" i="8"/>
  <c r="I29" i="8"/>
  <c r="I91" i="8"/>
  <c r="I124" i="8"/>
  <c r="I64" i="8"/>
  <c r="I110" i="8"/>
  <c r="I144" i="8"/>
  <c r="I20" i="8"/>
  <c r="I22" i="8"/>
  <c r="S180" i="3" s="1"/>
  <c r="A117" i="9"/>
  <c r="A7" i="9"/>
  <c r="A52" i="9"/>
  <c r="A39" i="9"/>
  <c r="A26" i="9"/>
  <c r="A65" i="9"/>
  <c r="A78" i="9"/>
  <c r="A104" i="9"/>
  <c r="A91" i="9"/>
  <c r="L41" i="6"/>
  <c r="L14" i="6"/>
  <c r="L62" i="6"/>
  <c r="H85" i="6"/>
  <c r="C315" i="7"/>
  <c r="D1087" i="3" s="1"/>
  <c r="P60" i="5"/>
  <c r="C328" i="7"/>
  <c r="H97" i="6"/>
  <c r="H110" i="6"/>
  <c r="P63" i="5"/>
  <c r="C339" i="7"/>
  <c r="C352" i="7"/>
  <c r="H122" i="6"/>
  <c r="D10" i="5"/>
  <c r="N14" i="5"/>
  <c r="B115" i="6"/>
  <c r="C364" i="7"/>
  <c r="F70" i="4"/>
  <c r="C377" i="7"/>
  <c r="B127" i="6"/>
  <c r="L39" i="5"/>
  <c r="F39" i="5"/>
  <c r="P42" i="5"/>
  <c r="C390" i="7"/>
  <c r="B139" i="6"/>
  <c r="L11" i="5"/>
  <c r="C402" i="7"/>
  <c r="B152" i="6"/>
  <c r="C415" i="7"/>
  <c r="J474" i="2" s="1"/>
  <c r="K617" i="1" s="1"/>
  <c r="B164" i="6"/>
  <c r="C428" i="7"/>
  <c r="J448" i="2" s="1"/>
  <c r="K232" i="1" s="1"/>
  <c r="B176" i="6"/>
  <c r="B188" i="6"/>
  <c r="C441" i="7"/>
  <c r="B200" i="6"/>
  <c r="C454" i="7"/>
  <c r="C466" i="7"/>
  <c r="H137" i="6"/>
  <c r="F56" i="4"/>
  <c r="C479" i="7"/>
  <c r="D1314" i="3" s="1"/>
  <c r="H149" i="6"/>
  <c r="C492" i="7"/>
  <c r="H161" i="6"/>
  <c r="L42" i="5"/>
  <c r="C505" i="7"/>
  <c r="H173" i="6"/>
  <c r="F84" i="4"/>
  <c r="C518" i="7"/>
  <c r="H185" i="6"/>
  <c r="C531" i="7"/>
  <c r="D73" i="5"/>
  <c r="J76" i="5"/>
  <c r="N49" i="5"/>
  <c r="H49" i="5"/>
  <c r="J47" i="5"/>
  <c r="P75" i="5"/>
  <c r="D49" i="5"/>
  <c r="F53" i="5"/>
  <c r="L52" i="5"/>
  <c r="C544" i="7"/>
  <c r="F13" i="7"/>
  <c r="F25" i="7"/>
  <c r="F37" i="7"/>
  <c r="D252" i="3" s="1"/>
  <c r="F49" i="7"/>
  <c r="D121" i="3" s="1"/>
  <c r="F61" i="7"/>
  <c r="D575" i="3" s="1"/>
  <c r="F73" i="7"/>
  <c r="D1648" i="3" s="1"/>
  <c r="I5" i="7"/>
  <c r="I17" i="7"/>
  <c r="F922" i="3" s="1"/>
  <c r="I29" i="7"/>
  <c r="F2071" i="3" s="1"/>
  <c r="I41" i="7"/>
  <c r="I53" i="7"/>
  <c r="F1753" i="3" s="1"/>
  <c r="C5" i="2"/>
  <c r="C17" i="2"/>
  <c r="C29" i="2"/>
  <c r="C190" i="1" s="1"/>
  <c r="C41" i="2"/>
  <c r="C137" i="1" s="1"/>
  <c r="C53" i="2"/>
  <c r="C65" i="2"/>
  <c r="C223" i="1" s="1"/>
  <c r="C77" i="2"/>
  <c r="C558" i="1" s="1"/>
  <c r="C89" i="2"/>
  <c r="C101" i="2"/>
  <c r="C113" i="2"/>
  <c r="C125" i="2"/>
  <c r="C1123" i="1" s="1"/>
  <c r="C137" i="2"/>
  <c r="C149" i="2"/>
  <c r="C161" i="2"/>
  <c r="C173" i="2"/>
  <c r="C185" i="2"/>
  <c r="C197" i="2"/>
  <c r="C209" i="2"/>
  <c r="C983" i="1" s="1"/>
  <c r="C221" i="2"/>
  <c r="C233" i="2"/>
  <c r="C245" i="2"/>
  <c r="C967" i="1" s="1"/>
  <c r="C257" i="2"/>
  <c r="C269" i="2"/>
  <c r="C281" i="2"/>
  <c r="C293" i="2"/>
  <c r="C300" i="1" s="1"/>
  <c r="C305" i="2"/>
  <c r="C317" i="2"/>
  <c r="C329" i="2"/>
  <c r="C778" i="1" s="1"/>
  <c r="C341" i="2"/>
  <c r="C1012" i="1" s="1"/>
  <c r="C353" i="2"/>
  <c r="C925" i="1" s="1"/>
  <c r="C365" i="2"/>
  <c r="C378" i="2"/>
  <c r="C68" i="1" s="1"/>
  <c r="C391" i="2"/>
  <c r="C42" i="1" s="1"/>
  <c r="C403" i="2"/>
  <c r="C825" i="1" s="1"/>
  <c r="C415" i="2"/>
  <c r="C1158" i="1" s="1"/>
  <c r="C427" i="2"/>
  <c r="C533" i="1" s="1"/>
  <c r="C444" i="2"/>
  <c r="C737" i="1" s="1"/>
  <c r="C459" i="2"/>
  <c r="C286" i="1" s="1"/>
  <c r="C478" i="2"/>
  <c r="C1072" i="1" s="1"/>
  <c r="C499" i="2"/>
  <c r="C256" i="1" s="1"/>
  <c r="C153" i="8"/>
  <c r="N88" i="2" s="1"/>
  <c r="C146" i="8"/>
  <c r="N303" i="2" s="1"/>
  <c r="C122" i="8"/>
  <c r="N237" i="2" s="1"/>
  <c r="C83" i="8"/>
  <c r="C69" i="8"/>
  <c r="C44" i="8"/>
  <c r="C25" i="8"/>
  <c r="C103" i="8"/>
  <c r="C96" i="8"/>
  <c r="C64" i="8"/>
  <c r="N149" i="2" s="1"/>
  <c r="C26" i="8"/>
  <c r="C148" i="8"/>
  <c r="N18" i="2" s="1"/>
  <c r="C195" i="8"/>
  <c r="N53" i="2" s="1"/>
  <c r="C151" i="8"/>
  <c r="N379" i="2" s="1"/>
  <c r="B1843" i="3"/>
  <c r="B988" i="3"/>
  <c r="B270" i="3"/>
  <c r="B1890" i="3"/>
  <c r="B819" i="3"/>
  <c r="B743" i="3"/>
  <c r="B597" i="3"/>
  <c r="B933" i="3"/>
  <c r="B977" i="3"/>
  <c r="B1281" i="3"/>
  <c r="B1046" i="3"/>
  <c r="B560" i="3"/>
  <c r="B627" i="3"/>
  <c r="B876" i="3"/>
  <c r="B281" i="3"/>
  <c r="B1913" i="3"/>
  <c r="B1073" i="3"/>
  <c r="B589" i="3"/>
  <c r="B303" i="3"/>
  <c r="D11" i="4"/>
  <c r="B498" i="3"/>
  <c r="B73" i="3"/>
  <c r="B536" i="3"/>
  <c r="B1399" i="3"/>
  <c r="B68" i="3"/>
  <c r="D98" i="4"/>
  <c r="B1423" i="3"/>
  <c r="B504" i="3"/>
  <c r="B1837" i="3"/>
  <c r="B1440" i="3"/>
  <c r="B955" i="3"/>
  <c r="B1025" i="3"/>
  <c r="B834" i="3"/>
  <c r="B1167" i="3"/>
  <c r="B1213" i="3"/>
  <c r="B1203" i="3"/>
  <c r="B1194" i="3"/>
  <c r="B1189" i="3"/>
  <c r="B1200" i="3"/>
  <c r="B258" i="3"/>
  <c r="B412" i="3"/>
  <c r="B193" i="3"/>
  <c r="B415" i="3"/>
  <c r="B261" i="3"/>
  <c r="B196" i="3"/>
  <c r="B409" i="3"/>
  <c r="B34" i="3"/>
  <c r="B406" i="3"/>
  <c r="B986" i="3"/>
  <c r="B482" i="3"/>
  <c r="B916" i="3"/>
  <c r="B938" i="3"/>
  <c r="B1418" i="3"/>
  <c r="I143" i="8"/>
  <c r="I127" i="8"/>
  <c r="S199" i="3" s="1"/>
  <c r="I48" i="8"/>
  <c r="I156" i="8"/>
  <c r="I88" i="8"/>
  <c r="I35" i="8"/>
  <c r="I37" i="8"/>
  <c r="I151" i="8"/>
  <c r="S31" i="3" s="1"/>
  <c r="I140" i="8"/>
  <c r="I79" i="8"/>
  <c r="S1408" i="3" s="1"/>
  <c r="I6" i="8"/>
  <c r="I21" i="8"/>
  <c r="I95" i="8"/>
  <c r="S1333" i="3" s="1"/>
  <c r="A118" i="9"/>
  <c r="A53" i="9"/>
  <c r="A40" i="9"/>
  <c r="A27" i="9"/>
  <c r="A66" i="9"/>
  <c r="A79" i="9"/>
  <c r="A8" i="9"/>
  <c r="A92" i="9"/>
  <c r="L7" i="6"/>
  <c r="A105" i="9"/>
  <c r="L19" i="6"/>
  <c r="L97" i="6"/>
  <c r="L81" i="6"/>
  <c r="B165" i="6"/>
  <c r="C416" i="7"/>
  <c r="C429" i="7"/>
  <c r="B177" i="6"/>
  <c r="P44" i="5"/>
  <c r="J38" i="5"/>
  <c r="B40" i="5"/>
  <c r="C442" i="7"/>
  <c r="B189" i="6"/>
  <c r="H126" i="6"/>
  <c r="H138" i="6"/>
  <c r="C467" i="7"/>
  <c r="D2003" i="3" s="1"/>
  <c r="F118" i="4"/>
  <c r="C480" i="7"/>
  <c r="H150" i="6"/>
  <c r="L43" i="5"/>
  <c r="C493" i="7"/>
  <c r="H162" i="6"/>
  <c r="P45" i="5"/>
  <c r="C506" i="7"/>
  <c r="Y628" i="1" s="1"/>
  <c r="H174" i="6"/>
  <c r="H186" i="6"/>
  <c r="C519" i="7"/>
  <c r="C532" i="7"/>
  <c r="J25" i="5"/>
  <c r="P55" i="5"/>
  <c r="L21" i="5"/>
  <c r="F76" i="5"/>
  <c r="N27" i="5"/>
  <c r="F1" i="7"/>
  <c r="F14" i="7"/>
  <c r="F26" i="7"/>
  <c r="F38" i="7"/>
  <c r="F50" i="7"/>
  <c r="D373" i="3" s="1"/>
  <c r="F62" i="7"/>
  <c r="D1083" i="3" s="1"/>
  <c r="F74" i="7"/>
  <c r="D1262" i="3" s="1"/>
  <c r="I6" i="7"/>
  <c r="F19" i="3" s="1"/>
  <c r="I18" i="7"/>
  <c r="F1554" i="3" s="1"/>
  <c r="I30" i="7"/>
  <c r="F1879" i="3" s="1"/>
  <c r="I42" i="7"/>
  <c r="F79" i="3" s="1"/>
  <c r="I54" i="7"/>
  <c r="F306" i="3" s="1"/>
  <c r="C6" i="2"/>
  <c r="C156" i="1" s="1"/>
  <c r="C18" i="2"/>
  <c r="C373" i="1" s="1"/>
  <c r="C30" i="2"/>
  <c r="C42" i="2"/>
  <c r="C340" i="1" s="1"/>
  <c r="C54" i="2"/>
  <c r="C942" i="1" s="1"/>
  <c r="C66" i="2"/>
  <c r="C951" i="1" s="1"/>
  <c r="C78" i="2"/>
  <c r="C1230" i="1" s="1"/>
  <c r="C90" i="2"/>
  <c r="C102" i="2"/>
  <c r="C170" i="1" s="1"/>
  <c r="C114" i="2"/>
  <c r="C126" i="2"/>
  <c r="C1124" i="1" s="1"/>
  <c r="C138" i="2"/>
  <c r="C454" i="1" s="1"/>
  <c r="C150" i="2"/>
  <c r="C946" i="1" s="1"/>
  <c r="C162" i="2"/>
  <c r="C174" i="2"/>
  <c r="C186" i="2"/>
  <c r="C198" i="2"/>
  <c r="C210" i="2"/>
  <c r="C222" i="2"/>
  <c r="C1009" i="1" s="1"/>
  <c r="C234" i="2"/>
  <c r="C319" i="1" s="1"/>
  <c r="C246" i="2"/>
  <c r="C258" i="2"/>
  <c r="C270" i="2"/>
  <c r="C453" i="1" s="1"/>
  <c r="C282" i="2"/>
  <c r="C294" i="2"/>
  <c r="C301" i="1" s="1"/>
  <c r="C306" i="2"/>
  <c r="C318" i="2"/>
  <c r="C330" i="2"/>
  <c r="C780" i="1" s="1"/>
  <c r="C342" i="2"/>
  <c r="C432" i="1" s="1"/>
  <c r="C354" i="2"/>
  <c r="C926" i="1" s="1"/>
  <c r="C366" i="2"/>
  <c r="C379" i="2"/>
  <c r="C585" i="1" s="1"/>
  <c r="C392" i="2"/>
  <c r="C178" i="1" s="1"/>
  <c r="C404" i="2"/>
  <c r="C972" i="1" s="1"/>
  <c r="C416" i="2"/>
  <c r="C1160" i="1" s="1"/>
  <c r="C429" i="2"/>
  <c r="C543" i="1" s="1"/>
  <c r="C445" i="2"/>
  <c r="C738" i="1" s="1"/>
  <c r="C460" i="2"/>
  <c r="C288" i="1" s="1"/>
  <c r="Z382" i="1"/>
  <c r="Y382" i="1"/>
  <c r="C479" i="2"/>
  <c r="C126" i="1" s="1"/>
  <c r="C500" i="2"/>
  <c r="C359" i="1" s="1"/>
  <c r="C17" i="8"/>
  <c r="N5" i="2" s="1"/>
  <c r="C72" i="8"/>
  <c r="N241" i="2" s="1"/>
  <c r="C185" i="8"/>
  <c r="N69" i="2" s="1"/>
  <c r="C36" i="8"/>
  <c r="N387" i="2" s="1"/>
  <c r="C141" i="8"/>
  <c r="C142" i="8"/>
  <c r="N378" i="2" s="1"/>
  <c r="C52" i="8"/>
  <c r="N99" i="2" s="1"/>
  <c r="C136" i="8"/>
  <c r="C128" i="8"/>
  <c r="N203" i="2" s="1"/>
  <c r="C12" i="8"/>
  <c r="N176" i="2" s="1"/>
  <c r="C114" i="8"/>
  <c r="N340" i="2" s="1"/>
  <c r="D142" i="4"/>
  <c r="B1938" i="3"/>
  <c r="B136" i="3"/>
  <c r="B137" i="3"/>
  <c r="B2048" i="3"/>
  <c r="B1009" i="3"/>
  <c r="B1554" i="3"/>
  <c r="B1669" i="3"/>
  <c r="B1901" i="3"/>
  <c r="B1336" i="3"/>
  <c r="B324" i="3"/>
  <c r="B361" i="3"/>
  <c r="B96" i="3"/>
  <c r="B71" i="3"/>
  <c r="B252" i="3"/>
  <c r="B118" i="3"/>
  <c r="B866" i="3"/>
  <c r="B1960" i="3"/>
  <c r="B1968" i="3"/>
  <c r="B1682" i="3"/>
  <c r="B1206" i="3"/>
  <c r="B1449" i="3"/>
  <c r="B1622" i="3"/>
  <c r="B1093" i="3"/>
  <c r="B248" i="3"/>
  <c r="B98" i="3"/>
  <c r="B2050" i="3"/>
  <c r="B343" i="3"/>
  <c r="B1884" i="3"/>
  <c r="B446" i="3"/>
  <c r="B1294" i="3"/>
  <c r="B1430" i="3"/>
  <c r="B622" i="3"/>
  <c r="B1427" i="3"/>
  <c r="B22" i="3"/>
  <c r="B749" i="3"/>
  <c r="B1887" i="3"/>
  <c r="B1006" i="3"/>
  <c r="B1058" i="3"/>
  <c r="B1646" i="3"/>
  <c r="B1004" i="3"/>
  <c r="B479" i="3"/>
  <c r="B39" i="3"/>
  <c r="B1962" i="3"/>
  <c r="B1186" i="3"/>
  <c r="B545" i="3"/>
  <c r="B953" i="3"/>
  <c r="B1170" i="3"/>
  <c r="B1362" i="3"/>
  <c r="B1324" i="3"/>
  <c r="B1265" i="3"/>
  <c r="H3" i="8"/>
  <c r="I45" i="8"/>
  <c r="I141" i="8"/>
  <c r="S1418" i="3" s="1"/>
  <c r="I130" i="8"/>
  <c r="I80" i="8"/>
  <c r="I112" i="8"/>
  <c r="S1585" i="3" s="1"/>
  <c r="I38" i="8"/>
  <c r="I98" i="8"/>
  <c r="I153" i="8"/>
  <c r="S1090" i="3" s="1"/>
  <c r="I65" i="8"/>
  <c r="I17" i="8"/>
  <c r="I7" i="8"/>
  <c r="I102" i="8"/>
  <c r="I82" i="8"/>
  <c r="S1407" i="3" s="1"/>
  <c r="A67" i="9"/>
  <c r="A80" i="9"/>
  <c r="A93" i="9"/>
  <c r="A106" i="9"/>
  <c r="K146" i="6"/>
  <c r="K69" i="6"/>
  <c r="A54" i="9"/>
  <c r="A41" i="9"/>
  <c r="A9" i="9"/>
  <c r="K67" i="6"/>
  <c r="K48" i="6"/>
  <c r="E24" i="6"/>
  <c r="E18" i="6"/>
  <c r="F97" i="6"/>
  <c r="K63" i="6"/>
  <c r="E27" i="6"/>
  <c r="K14" i="6"/>
  <c r="K153" i="6"/>
  <c r="K33" i="6"/>
  <c r="E30" i="6"/>
  <c r="K70" i="6"/>
  <c r="K57" i="6"/>
  <c r="E14" i="6"/>
  <c r="A28" i="9"/>
  <c r="K53" i="6"/>
  <c r="K29" i="6"/>
  <c r="K10" i="6"/>
  <c r="E60" i="6"/>
  <c r="K167" i="6"/>
  <c r="K65" i="6"/>
  <c r="K59" i="6"/>
  <c r="K46" i="6"/>
  <c r="K38" i="6"/>
  <c r="K19" i="6"/>
  <c r="K68" i="6"/>
  <c r="E35" i="6"/>
  <c r="K28" i="6"/>
  <c r="K9" i="6"/>
  <c r="A119" i="9"/>
  <c r="K61" i="6"/>
  <c r="K21" i="6"/>
  <c r="F73" i="6"/>
  <c r="K160" i="6"/>
  <c r="K58" i="6"/>
  <c r="E12" i="6"/>
  <c r="E52" i="6"/>
  <c r="K37" i="6"/>
  <c r="K35" i="6"/>
  <c r="K34" i="6"/>
  <c r="A120" i="9"/>
  <c r="A107" i="9"/>
  <c r="A94" i="9"/>
  <c r="A81" i="9"/>
  <c r="A68" i="9"/>
  <c r="A55" i="9"/>
  <c r="A42" i="9"/>
  <c r="A29" i="9"/>
  <c r="E89" i="6"/>
  <c r="E75" i="6"/>
  <c r="E172" i="6"/>
  <c r="E92" i="6"/>
  <c r="A10" i="9"/>
  <c r="E34" i="6"/>
  <c r="K148" i="6"/>
  <c r="E61" i="6"/>
  <c r="E45" i="6"/>
  <c r="E37" i="6"/>
  <c r="E97" i="6"/>
  <c r="K169" i="6"/>
  <c r="E51" i="6"/>
  <c r="K75" i="6"/>
  <c r="E36" i="6"/>
  <c r="E33" i="6"/>
  <c r="E23" i="6"/>
  <c r="E80" i="6"/>
  <c r="E66" i="6"/>
  <c r="K162" i="6"/>
  <c r="E32" i="6"/>
  <c r="E193" i="6"/>
  <c r="E128" i="6"/>
  <c r="E62" i="6"/>
  <c r="E46" i="6"/>
  <c r="E38" i="6"/>
  <c r="E22" i="6"/>
  <c r="E19" i="6"/>
  <c r="E9" i="6"/>
  <c r="K7" i="6"/>
  <c r="E69" i="6"/>
  <c r="K155" i="6"/>
  <c r="E68" i="6"/>
  <c r="E28" i="6"/>
  <c r="E15" i="6"/>
  <c r="E85" i="6"/>
  <c r="E55" i="6"/>
  <c r="E64" i="6"/>
  <c r="E50" i="6"/>
  <c r="I104" i="8"/>
  <c r="S32" i="3" s="1"/>
  <c r="I146" i="8"/>
  <c r="S608" i="3" s="1"/>
  <c r="I170" i="8"/>
  <c r="I81" i="8"/>
  <c r="S243" i="3" s="1"/>
  <c r="I52" i="8"/>
  <c r="I86" i="8"/>
  <c r="I14" i="8"/>
  <c r="S493" i="3" s="1"/>
  <c r="I106" i="8"/>
  <c r="I15" i="8"/>
  <c r="S552" i="3" s="1"/>
  <c r="I121" i="8"/>
  <c r="I67" i="8"/>
  <c r="I40" i="8"/>
  <c r="I94" i="8"/>
  <c r="A56" i="9"/>
  <c r="A82" i="9"/>
  <c r="A95" i="9"/>
  <c r="A108" i="9"/>
  <c r="E124" i="6"/>
  <c r="K98" i="6"/>
  <c r="K82" i="6"/>
  <c r="E154" i="6"/>
  <c r="A11" i="9"/>
  <c r="A43" i="9"/>
  <c r="E176" i="6"/>
  <c r="A121" i="9"/>
  <c r="A30" i="9"/>
  <c r="K11" i="6"/>
  <c r="A69" i="9"/>
  <c r="E137" i="6"/>
  <c r="K84" i="6"/>
  <c r="E81" i="6"/>
  <c r="E58" i="6"/>
  <c r="K54" i="6"/>
  <c r="K51" i="6"/>
  <c r="K41" i="6"/>
  <c r="K8" i="6"/>
  <c r="E93" i="6"/>
  <c r="K23" i="6"/>
  <c r="E11" i="6"/>
  <c r="K163" i="6"/>
  <c r="E88" i="6"/>
  <c r="K80" i="6"/>
  <c r="E63" i="6"/>
  <c r="K60" i="6"/>
  <c r="K47" i="6"/>
  <c r="K44" i="6"/>
  <c r="E41" i="6"/>
  <c r="K26" i="6"/>
  <c r="E17" i="6"/>
  <c r="E8" i="6"/>
  <c r="K96" i="6"/>
  <c r="E20" i="6"/>
  <c r="K87" i="6"/>
  <c r="E47" i="6"/>
  <c r="E26" i="6"/>
  <c r="K16" i="6"/>
  <c r="K13" i="6"/>
  <c r="K156" i="6"/>
  <c r="K25" i="6"/>
  <c r="K22" i="6"/>
  <c r="E16" i="6"/>
  <c r="E162" i="6"/>
  <c r="K94" i="6"/>
  <c r="E56" i="6"/>
  <c r="K52" i="6"/>
  <c r="K49" i="6"/>
  <c r="E43" i="6"/>
  <c r="E59" i="6"/>
  <c r="K31" i="6"/>
  <c r="E25" i="6"/>
  <c r="K170" i="6"/>
  <c r="K89" i="6"/>
  <c r="K45" i="6"/>
  <c r="K56" i="6"/>
  <c r="E29" i="6"/>
  <c r="E6" i="6"/>
  <c r="E86" i="6"/>
  <c r="K104" i="6"/>
  <c r="E53" i="6"/>
  <c r="K149" i="6"/>
  <c r="K62" i="6"/>
  <c r="F10" i="6"/>
  <c r="E49" i="6"/>
  <c r="C319" i="7"/>
  <c r="H89" i="6"/>
  <c r="L35" i="5"/>
  <c r="C332" i="7"/>
  <c r="H101" i="6"/>
  <c r="D6" i="5"/>
  <c r="F7" i="5"/>
  <c r="B10" i="5"/>
  <c r="C344" i="7"/>
  <c r="H114" i="6"/>
  <c r="C356" i="7"/>
  <c r="B107" i="6"/>
  <c r="C369" i="7"/>
  <c r="B119" i="6"/>
  <c r="L40" i="5"/>
  <c r="B64" i="5"/>
  <c r="C382" i="7"/>
  <c r="B131" i="6"/>
  <c r="D39" i="5"/>
  <c r="B143" i="6"/>
  <c r="C395" i="7"/>
  <c r="O925" i="3" s="1"/>
  <c r="H10" i="5"/>
  <c r="P9" i="5"/>
  <c r="C407" i="7"/>
  <c r="B156" i="6"/>
  <c r="C420" i="7"/>
  <c r="D427" i="3" s="1"/>
  <c r="F42" i="5"/>
  <c r="B168" i="6"/>
  <c r="C433" i="7"/>
  <c r="B180" i="6"/>
  <c r="C446" i="7"/>
  <c r="D532" i="3" s="1"/>
  <c r="B192" i="6"/>
  <c r="F11" i="5"/>
  <c r="N18" i="5"/>
  <c r="H129" i="6"/>
  <c r="C458" i="7"/>
  <c r="F86" i="4"/>
  <c r="H141" i="6"/>
  <c r="C471" i="7"/>
  <c r="D1071" i="3" s="1"/>
  <c r="F65" i="4"/>
  <c r="F68" i="5"/>
  <c r="H153" i="6"/>
  <c r="C484" i="7"/>
  <c r="C497" i="7"/>
  <c r="H165" i="6"/>
  <c r="D17" i="5"/>
  <c r="C510" i="7"/>
  <c r="H177" i="6"/>
  <c r="C523" i="7"/>
  <c r="H189" i="6"/>
  <c r="C536" i="7"/>
  <c r="L76" i="5"/>
  <c r="H74" i="5"/>
  <c r="B79" i="5"/>
  <c r="F5" i="7"/>
  <c r="F17" i="7"/>
  <c r="F29" i="7"/>
  <c r="F41" i="7"/>
  <c r="D1167" i="3" s="1"/>
  <c r="F53" i="7"/>
  <c r="D660" i="3" s="1"/>
  <c r="F65" i="7"/>
  <c r="D1422" i="3" s="1"/>
  <c r="F77" i="7"/>
  <c r="O1865" i="3" s="1"/>
  <c r="I9" i="7"/>
  <c r="F1367" i="3" s="1"/>
  <c r="I21" i="7"/>
  <c r="F1960" i="3" s="1"/>
  <c r="I33" i="7"/>
  <c r="I45" i="7"/>
  <c r="F961" i="3" s="1"/>
  <c r="I57" i="7"/>
  <c r="F649" i="3" s="1"/>
  <c r="C9" i="2"/>
  <c r="C21" i="2"/>
  <c r="C33" i="2"/>
  <c r="C209" i="1" s="1"/>
  <c r="C45" i="2"/>
  <c r="C371" i="1" s="1"/>
  <c r="C57" i="2"/>
  <c r="C978" i="1" s="1"/>
  <c r="C69" i="2"/>
  <c r="C81" i="2"/>
  <c r="C390" i="1" s="1"/>
  <c r="C93" i="2"/>
  <c r="C105" i="2"/>
  <c r="C117" i="2"/>
  <c r="C238" i="1" s="1"/>
  <c r="C129" i="2"/>
  <c r="C1189" i="1" s="1"/>
  <c r="C141" i="2"/>
  <c r="C153" i="2"/>
  <c r="C165" i="2"/>
  <c r="C177" i="2"/>
  <c r="C12" i="1" s="1"/>
  <c r="C189" i="2"/>
  <c r="C224" i="1" s="1"/>
  <c r="C201" i="2"/>
  <c r="C519" i="1" s="1"/>
  <c r="C213" i="2"/>
  <c r="C225" i="2"/>
  <c r="C1090" i="1" s="1"/>
  <c r="C237" i="2"/>
  <c r="C243" i="1" s="1"/>
  <c r="C249" i="2"/>
  <c r="C196" i="1" s="1"/>
  <c r="C261" i="2"/>
  <c r="C798" i="1" s="1"/>
  <c r="C273" i="2"/>
  <c r="C285" i="2"/>
  <c r="C671" i="1" s="1"/>
  <c r="C297" i="2"/>
  <c r="C337" i="1" s="1"/>
  <c r="C309" i="2"/>
  <c r="C321" i="2"/>
  <c r="C333" i="2"/>
  <c r="C513" i="1" s="1"/>
  <c r="C345" i="2"/>
  <c r="C357" i="2"/>
  <c r="C369" i="2"/>
  <c r="C573" i="1" s="1"/>
  <c r="C382" i="2"/>
  <c r="C961" i="1" s="1"/>
  <c r="C395" i="2"/>
  <c r="C329" i="1" s="1"/>
  <c r="C407" i="2"/>
  <c r="C867" i="1" s="1"/>
  <c r="C419" i="2"/>
  <c r="C1164" i="1" s="1"/>
  <c r="C434" i="2"/>
  <c r="C548" i="1" s="1"/>
  <c r="C448" i="2"/>
  <c r="C232" i="1" s="1"/>
  <c r="C463" i="2"/>
  <c r="C291" i="1" s="1"/>
  <c r="C482" i="2"/>
  <c r="C784" i="1" s="1"/>
  <c r="C503" i="2"/>
  <c r="C692" i="1" s="1"/>
  <c r="C9" i="8"/>
  <c r="C61" i="8"/>
  <c r="N78" i="2" s="1"/>
  <c r="C34" i="8"/>
  <c r="C89" i="8"/>
  <c r="N285" i="2" s="1"/>
  <c r="C75" i="8"/>
  <c r="C51" i="8"/>
  <c r="C112" i="8"/>
  <c r="C62" i="8"/>
  <c r="N27" i="2" s="1"/>
  <c r="C126" i="8"/>
  <c r="N199" i="2" s="1"/>
  <c r="C50" i="8"/>
  <c r="C167" i="8"/>
  <c r="N11" i="2" s="1"/>
  <c r="C53" i="8"/>
  <c r="N50" i="2" s="1"/>
  <c r="C102" i="8"/>
  <c r="N25" i="2" s="1"/>
  <c r="C116" i="8"/>
  <c r="B1951" i="3"/>
  <c r="B624" i="3"/>
  <c r="D16" i="4"/>
  <c r="B996" i="3"/>
  <c r="B100" i="3"/>
  <c r="B289" i="3"/>
  <c r="B548" i="3"/>
  <c r="B1157" i="3"/>
  <c r="B1197" i="3"/>
  <c r="B922" i="3"/>
  <c r="B2063" i="3"/>
  <c r="B31" i="3"/>
  <c r="B1052" i="3"/>
  <c r="B619" i="3"/>
  <c r="B2026" i="3"/>
  <c r="B1991" i="3"/>
  <c r="B1625" i="3"/>
  <c r="D136" i="4"/>
  <c r="D74" i="4"/>
  <c r="B1923" i="3"/>
  <c r="B471" i="3"/>
  <c r="B722" i="3"/>
  <c r="D90" i="4"/>
  <c r="B1354" i="3"/>
  <c r="B1778" i="3"/>
  <c r="B1794" i="3"/>
  <c r="B1781" i="3"/>
  <c r="B1908" i="3"/>
  <c r="B1150" i="3"/>
  <c r="B1178" i="3"/>
  <c r="D19" i="4"/>
  <c r="D8" i="4"/>
  <c r="D13" i="4"/>
  <c r="B172" i="3"/>
  <c r="B10" i="3"/>
  <c r="B112" i="3"/>
  <c r="B13" i="3"/>
  <c r="B1002" i="3"/>
  <c r="D145" i="4"/>
  <c r="B2066" i="3"/>
  <c r="D17" i="4"/>
  <c r="B999" i="3"/>
  <c r="B124" i="3"/>
  <c r="B1694" i="3"/>
  <c r="B1405" i="3"/>
  <c r="B1262" i="3"/>
  <c r="D38" i="4"/>
  <c r="B508" i="3"/>
  <c r="B253" i="3"/>
  <c r="B660" i="3"/>
  <c r="B1803" i="3"/>
  <c r="B1387" i="3"/>
  <c r="B607" i="3"/>
  <c r="B1966" i="3"/>
  <c r="I69" i="8"/>
  <c r="S536" i="3" s="1"/>
  <c r="I105" i="8"/>
  <c r="S1946" i="3" s="1"/>
  <c r="I172" i="8"/>
  <c r="S610" i="3" s="1"/>
  <c r="I12" i="8"/>
  <c r="S2029" i="3" s="1"/>
  <c r="I70" i="8"/>
  <c r="I118" i="8"/>
  <c r="I83" i="8"/>
  <c r="I59" i="8"/>
  <c r="S933" i="3" s="1"/>
  <c r="I138" i="8"/>
  <c r="I44" i="8"/>
  <c r="I16" i="8"/>
  <c r="S179" i="3" s="1"/>
  <c r="I46" i="8"/>
  <c r="I60" i="8"/>
  <c r="S1010" i="3" s="1"/>
  <c r="I171" i="8"/>
  <c r="A44" i="9"/>
  <c r="A31" i="9"/>
  <c r="A70" i="9"/>
  <c r="A96" i="9"/>
  <c r="A109" i="9"/>
  <c r="A122" i="9"/>
  <c r="E178" i="6"/>
  <c r="E169" i="6"/>
  <c r="K154" i="6"/>
  <c r="E138" i="6"/>
  <c r="K116" i="6"/>
  <c r="K112" i="6"/>
  <c r="K103" i="6"/>
  <c r="K92" i="6"/>
  <c r="A57" i="9"/>
  <c r="A12" i="9"/>
  <c r="K161" i="6"/>
  <c r="K108" i="6"/>
  <c r="E192" i="6"/>
  <c r="K168" i="6"/>
  <c r="E129" i="6"/>
  <c r="K119" i="6"/>
  <c r="E95" i="6"/>
  <c r="A83" i="9"/>
  <c r="K120" i="6"/>
  <c r="K114" i="6"/>
  <c r="K109" i="6"/>
  <c r="K101" i="6"/>
  <c r="K88" i="6"/>
  <c r="E119" i="6"/>
  <c r="E101" i="6"/>
  <c r="E185" i="6"/>
  <c r="K118" i="6"/>
  <c r="K113" i="6"/>
  <c r="E84" i="6"/>
  <c r="K147" i="6"/>
  <c r="E44" i="6"/>
  <c r="K117" i="6"/>
  <c r="K111" i="6"/>
  <c r="E13" i="6"/>
  <c r="E156" i="6"/>
  <c r="K86" i="6"/>
  <c r="F62" i="6"/>
  <c r="E99" i="6"/>
  <c r="E90" i="6"/>
  <c r="E82" i="6"/>
  <c r="E91" i="6"/>
  <c r="K110" i="6"/>
  <c r="E133" i="6"/>
  <c r="E73" i="6"/>
  <c r="K107" i="6"/>
  <c r="E100" i="6"/>
  <c r="K83" i="6"/>
  <c r="F52" i="6"/>
  <c r="E96" i="6"/>
  <c r="K115" i="6"/>
  <c r="E94" i="6"/>
  <c r="E78" i="6"/>
  <c r="F1619" i="3" l="1"/>
  <c r="F1994" i="3"/>
  <c r="Y701" i="1"/>
  <c r="V199" i="3"/>
  <c r="F575" i="3"/>
  <c r="Y319" i="1"/>
  <c r="V1028" i="3"/>
  <c r="V1494" i="3"/>
  <c r="Y873" i="1"/>
  <c r="Z873" i="1"/>
  <c r="Y1186" i="1"/>
  <c r="V536" i="3"/>
  <c r="E117" i="4"/>
  <c r="V2082" i="3"/>
  <c r="V1025" i="3"/>
  <c r="F1841" i="3"/>
  <c r="Y1169" i="1"/>
  <c r="F1297" i="3"/>
  <c r="E61" i="4"/>
  <c r="Y1087" i="1"/>
  <c r="Y1163" i="1"/>
  <c r="E62" i="4"/>
  <c r="Z1169" i="1"/>
  <c r="F689" i="3"/>
  <c r="Y157" i="1"/>
  <c r="Z1218" i="1"/>
  <c r="V1951" i="3"/>
  <c r="F284" i="3"/>
  <c r="V1653" i="3"/>
  <c r="V1981" i="3"/>
  <c r="E4" i="4"/>
  <c r="Y838" i="1"/>
  <c r="V1050" i="3"/>
  <c r="Y1153" i="1"/>
  <c r="Z838" i="1"/>
  <c r="V2050" i="3"/>
  <c r="V1530" i="3"/>
  <c r="V1975" i="3"/>
  <c r="V1903" i="3"/>
  <c r="V292" i="3"/>
  <c r="V533" i="3"/>
  <c r="V850" i="3"/>
  <c r="Y767" i="1"/>
  <c r="E111" i="4"/>
  <c r="V110" i="3"/>
  <c r="E54" i="4"/>
  <c r="F1905" i="3"/>
  <c r="F1371" i="3"/>
  <c r="T2" i="1"/>
  <c r="V1172" i="3"/>
  <c r="O2" i="1"/>
  <c r="V2056" i="3"/>
  <c r="S1905" i="3"/>
  <c r="S1822" i="3"/>
  <c r="S1642" i="3"/>
  <c r="S1775" i="3"/>
  <c r="S1678" i="3"/>
  <c r="S1558" i="3"/>
  <c r="S1593" i="3"/>
  <c r="S1680" i="3"/>
  <c r="S193" i="3"/>
  <c r="S430" i="3"/>
  <c r="S975" i="3"/>
  <c r="S127" i="3"/>
  <c r="C745" i="1"/>
  <c r="C673" i="1"/>
  <c r="D998" i="3"/>
  <c r="D762" i="3"/>
  <c r="D662" i="3"/>
  <c r="D362" i="3"/>
  <c r="D102" i="3"/>
  <c r="S233" i="3"/>
  <c r="S297" i="3"/>
  <c r="D2007" i="3"/>
  <c r="D447" i="3"/>
  <c r="C645" i="1"/>
  <c r="C635" i="1"/>
  <c r="N356" i="2"/>
  <c r="N215" i="2"/>
  <c r="N164" i="2"/>
  <c r="C907" i="1"/>
  <c r="C262" i="1"/>
  <c r="C279" i="1"/>
  <c r="C920" i="1"/>
  <c r="C892" i="1"/>
  <c r="C388" i="1"/>
  <c r="Y386" i="1"/>
  <c r="D1876" i="3"/>
  <c r="D2086" i="3"/>
  <c r="D2000" i="3"/>
  <c r="D1698" i="3"/>
  <c r="D1659" i="3"/>
  <c r="D1151" i="3"/>
  <c r="D318" i="3"/>
  <c r="D605" i="3"/>
  <c r="D321" i="3"/>
  <c r="C514" i="1"/>
  <c r="C81" i="1"/>
  <c r="D1914" i="3"/>
  <c r="O1822" i="3"/>
  <c r="D1915" i="3"/>
  <c r="D1449" i="3"/>
  <c r="O1819" i="3"/>
  <c r="D1959" i="3"/>
  <c r="D1866" i="3"/>
  <c r="D1435" i="3"/>
  <c r="O1397" i="3"/>
  <c r="O1387" i="3"/>
  <c r="D849" i="3"/>
  <c r="O933" i="3"/>
  <c r="D650" i="3"/>
  <c r="D758" i="3"/>
  <c r="D380" i="3"/>
  <c r="D445" i="3"/>
  <c r="D199" i="3"/>
  <c r="D133" i="3"/>
  <c r="U11" i="1"/>
  <c r="C969" i="1"/>
  <c r="C1011" i="1"/>
  <c r="C169" i="1"/>
  <c r="C570" i="1"/>
  <c r="C577" i="1"/>
  <c r="C199" i="1"/>
  <c r="C1201" i="1"/>
  <c r="C581" i="1"/>
  <c r="C139" i="1"/>
  <c r="C131" i="1"/>
  <c r="C845" i="1"/>
  <c r="C415" i="1"/>
  <c r="D2011" i="3"/>
  <c r="Z1173" i="1"/>
  <c r="S1551" i="3"/>
  <c r="S1471" i="3"/>
  <c r="S1172" i="3"/>
  <c r="S1042" i="3"/>
  <c r="S738" i="3"/>
  <c r="S303" i="3"/>
  <c r="S16" i="3"/>
  <c r="C1002" i="1"/>
  <c r="C982" i="1"/>
  <c r="S1812" i="3"/>
  <c r="S1841" i="3"/>
  <c r="S1903" i="3"/>
  <c r="S1750" i="3"/>
  <c r="S1651" i="3"/>
  <c r="S1753" i="3"/>
  <c r="S1673" i="3"/>
  <c r="S1570" i="3"/>
  <c r="S1630" i="3"/>
  <c r="S1906" i="3"/>
  <c r="S1823" i="3"/>
  <c r="S1789" i="3"/>
  <c r="S1714" i="3"/>
  <c r="S1235" i="3"/>
  <c r="S1321" i="3"/>
  <c r="S1059" i="3"/>
  <c r="S1160" i="3"/>
  <c r="S1023" i="3"/>
  <c r="S799" i="3"/>
  <c r="S1050" i="3"/>
  <c r="S1026" i="3"/>
  <c r="S893" i="3"/>
  <c r="S771" i="3"/>
  <c r="S751" i="3"/>
  <c r="S1297" i="3"/>
  <c r="S996" i="3"/>
  <c r="S1007" i="3"/>
  <c r="S682" i="3"/>
  <c r="S1182" i="3"/>
  <c r="S352" i="3"/>
  <c r="S244" i="3"/>
  <c r="S480" i="3"/>
  <c r="S435" i="3"/>
  <c r="S240" i="3"/>
  <c r="S1038" i="3"/>
  <c r="S973" i="3"/>
  <c r="S677" i="3"/>
  <c r="S290" i="3"/>
  <c r="S914" i="3"/>
  <c r="S1104" i="3"/>
  <c r="S850" i="3"/>
  <c r="S462" i="3"/>
  <c r="S1084" i="3"/>
  <c r="S936" i="3"/>
  <c r="S1119" i="3"/>
  <c r="S956" i="3"/>
  <c r="S100" i="3"/>
  <c r="S684" i="3"/>
  <c r="S284" i="3"/>
  <c r="S896" i="3"/>
  <c r="S306" i="3"/>
  <c r="S791" i="3"/>
  <c r="S26" i="3"/>
  <c r="S557" i="3"/>
  <c r="S69" i="3"/>
  <c r="S110" i="3"/>
  <c r="C599" i="1"/>
  <c r="C425" i="1"/>
  <c r="C1067" i="1"/>
  <c r="C1061" i="1"/>
  <c r="C250" i="1"/>
  <c r="Y273" i="1"/>
  <c r="C273" i="1"/>
  <c r="C958" i="1"/>
  <c r="C193" i="1"/>
  <c r="C755" i="1"/>
  <c r="C675" i="1"/>
  <c r="C702" i="1"/>
  <c r="C726" i="1"/>
  <c r="C762" i="1"/>
  <c r="S1641" i="3"/>
  <c r="S239" i="3"/>
  <c r="S54" i="3"/>
  <c r="S66" i="3"/>
  <c r="S967" i="3"/>
  <c r="S1249" i="3"/>
  <c r="S1360" i="3"/>
  <c r="S343" i="3"/>
  <c r="N160" i="2"/>
  <c r="N116" i="2"/>
  <c r="N265" i="2"/>
  <c r="C18" i="1"/>
  <c r="C35" i="1"/>
  <c r="C506" i="1"/>
  <c r="C527" i="1"/>
  <c r="D880" i="3"/>
  <c r="P746" i="1"/>
  <c r="C754" i="1"/>
  <c r="C747" i="1"/>
  <c r="O1841" i="3"/>
  <c r="D285" i="3"/>
  <c r="D1465" i="3"/>
  <c r="P1022" i="1"/>
  <c r="D2001" i="3"/>
  <c r="D1572" i="3"/>
  <c r="D1558" i="3"/>
  <c r="D2087" i="3"/>
  <c r="D1569" i="3"/>
  <c r="O1558" i="3"/>
  <c r="D1629" i="3"/>
  <c r="D941" i="3"/>
  <c r="D464" i="3"/>
  <c r="D492" i="3"/>
  <c r="D105" i="3"/>
  <c r="J96" i="2"/>
  <c r="D718" i="3"/>
  <c r="J232" i="2"/>
  <c r="J402" i="2"/>
  <c r="K824" i="1" s="1"/>
  <c r="P1187" i="1"/>
  <c r="J65" i="2"/>
  <c r="K223" i="1" s="1"/>
  <c r="P296" i="1"/>
  <c r="P384" i="1"/>
  <c r="S1441" i="3"/>
  <c r="S287" i="3"/>
  <c r="S743" i="3"/>
  <c r="C1227" i="1"/>
  <c r="C1220" i="1"/>
  <c r="O343" i="3"/>
  <c r="J472" i="2"/>
  <c r="K614" i="1" s="1"/>
  <c r="O446" i="3"/>
  <c r="O1719" i="3"/>
  <c r="D609" i="3"/>
  <c r="D20" i="3"/>
  <c r="D327" i="3"/>
  <c r="D1025" i="3"/>
  <c r="D955" i="3"/>
  <c r="P99" i="1"/>
  <c r="D1615" i="3"/>
  <c r="P993" i="1"/>
  <c r="C1125" i="1"/>
  <c r="C1187" i="1"/>
  <c r="D1190" i="3"/>
  <c r="D601" i="3"/>
  <c r="P1090" i="1"/>
  <c r="D2063" i="3"/>
  <c r="D1888" i="3"/>
  <c r="D1191" i="3"/>
  <c r="D765" i="3"/>
  <c r="D265" i="3"/>
  <c r="D66" i="3"/>
  <c r="D185" i="3"/>
  <c r="O61" i="3"/>
  <c r="D1332" i="3"/>
  <c r="D1044" i="3"/>
  <c r="P683" i="1"/>
  <c r="D1342" i="3"/>
  <c r="D740" i="3"/>
  <c r="D2089" i="3"/>
  <c r="D1819" i="3"/>
  <c r="O2091" i="3"/>
  <c r="D1961" i="3"/>
  <c r="O2006" i="3"/>
  <c r="O1703" i="3"/>
  <c r="D1457" i="3"/>
  <c r="O1548" i="3"/>
  <c r="D1432" i="3"/>
  <c r="O1315" i="3"/>
  <c r="D1960" i="3"/>
  <c r="D1734" i="3"/>
  <c r="D2083" i="3"/>
  <c r="O1221" i="3"/>
  <c r="D1217" i="3"/>
  <c r="O1380" i="3"/>
  <c r="D1456" i="3"/>
  <c r="D1380" i="3"/>
  <c r="O1321" i="3"/>
  <c r="O1076" i="3"/>
  <c r="D895" i="3"/>
  <c r="O830" i="3"/>
  <c r="D1218" i="3"/>
  <c r="D1076" i="3"/>
  <c r="O866" i="3"/>
  <c r="D1184" i="3"/>
  <c r="D1321" i="3"/>
  <c r="O686" i="3"/>
  <c r="D511" i="3"/>
  <c r="O895" i="3"/>
  <c r="O698" i="3"/>
  <c r="D963" i="3"/>
  <c r="D746" i="3"/>
  <c r="D390" i="3"/>
  <c r="D842" i="3"/>
  <c r="D684" i="3"/>
  <c r="O566" i="3"/>
  <c r="O331" i="3"/>
  <c r="J406" i="2"/>
  <c r="K1115" i="1" s="1"/>
  <c r="J352" i="2"/>
  <c r="K924" i="1" s="1"/>
  <c r="D766" i="3"/>
  <c r="J499" i="2"/>
  <c r="K256" i="1" s="1"/>
  <c r="J440" i="2"/>
  <c r="K564" i="1" s="1"/>
  <c r="J301" i="2"/>
  <c r="J398" i="2"/>
  <c r="K493" i="1" s="1"/>
  <c r="O705" i="3"/>
  <c r="D478" i="3"/>
  <c r="J445" i="2"/>
  <c r="K738" i="1" s="1"/>
  <c r="D640" i="3"/>
  <c r="O287" i="3"/>
  <c r="J407" i="2"/>
  <c r="K867" i="1" s="1"/>
  <c r="J353" i="2"/>
  <c r="K925" i="1" s="1"/>
  <c r="J267" i="2"/>
  <c r="J211" i="2"/>
  <c r="K917" i="1" s="1"/>
  <c r="P1174" i="1"/>
  <c r="P1132" i="1"/>
  <c r="P1074" i="1"/>
  <c r="P1226" i="1"/>
  <c r="P1197" i="1"/>
  <c r="J162" i="2"/>
  <c r="J39" i="2"/>
  <c r="P1025" i="1"/>
  <c r="P932" i="1"/>
  <c r="P1047" i="1"/>
  <c r="P867" i="1"/>
  <c r="P846" i="1"/>
  <c r="U668" i="1"/>
  <c r="J221" i="2"/>
  <c r="U572" i="1"/>
  <c r="P510" i="1"/>
  <c r="P385" i="1"/>
  <c r="P785" i="1"/>
  <c r="P354" i="1"/>
  <c r="P583" i="1"/>
  <c r="P412" i="1"/>
  <c r="P309" i="1"/>
  <c r="P709" i="1"/>
  <c r="P980" i="1"/>
  <c r="P587" i="1"/>
  <c r="U335" i="1"/>
  <c r="P278" i="1"/>
  <c r="P759" i="1"/>
  <c r="P208" i="1"/>
  <c r="P96" i="1"/>
  <c r="P87" i="1"/>
  <c r="P222" i="1"/>
  <c r="P163" i="1"/>
  <c r="P60" i="1"/>
  <c r="E64" i="4"/>
  <c r="V1037" i="3"/>
  <c r="V1015" i="3"/>
  <c r="C237" i="1"/>
  <c r="C187" i="1"/>
  <c r="D420" i="3"/>
  <c r="D32" i="3"/>
  <c r="P906" i="1"/>
  <c r="P1036" i="1"/>
  <c r="N287" i="2"/>
  <c r="N86" i="2"/>
  <c r="C225" i="1"/>
  <c r="C155" i="1"/>
  <c r="O1150" i="3"/>
  <c r="D944" i="3"/>
  <c r="D1575" i="3"/>
  <c r="D467" i="3"/>
  <c r="D46" i="3"/>
  <c r="O16" i="3"/>
  <c r="J97" i="2"/>
  <c r="P745" i="1"/>
  <c r="P405" i="1"/>
  <c r="P834" i="1"/>
  <c r="U1125" i="1"/>
  <c r="P213" i="1"/>
  <c r="D1310" i="3"/>
  <c r="O22" i="3"/>
  <c r="V967" i="3"/>
  <c r="V969" i="3"/>
  <c r="V1858" i="3"/>
  <c r="D385" i="3"/>
  <c r="D130" i="3"/>
  <c r="C1178" i="1"/>
  <c r="C312" i="1"/>
  <c r="C352" i="1"/>
  <c r="C848" i="1"/>
  <c r="V1680" i="3"/>
  <c r="D1470" i="3"/>
  <c r="D193" i="3"/>
  <c r="V1197" i="3"/>
  <c r="O1095" i="3"/>
  <c r="D811" i="3"/>
  <c r="P119" i="1"/>
  <c r="D2080" i="3"/>
  <c r="D1826" i="3"/>
  <c r="D1756" i="3"/>
  <c r="D1640" i="3"/>
  <c r="D1467" i="3"/>
  <c r="D1741" i="3"/>
  <c r="D1499" i="3"/>
  <c r="D582" i="3"/>
  <c r="D335" i="3"/>
  <c r="D1974" i="3"/>
  <c r="D2057" i="3"/>
  <c r="O1861" i="3"/>
  <c r="D1502" i="3"/>
  <c r="D1144" i="3"/>
  <c r="D1518" i="3"/>
  <c r="O278" i="3"/>
  <c r="D585" i="3"/>
  <c r="D1952" i="3"/>
  <c r="O1307" i="3"/>
  <c r="O1645" i="3"/>
  <c r="O1636" i="3"/>
  <c r="D1307" i="3"/>
  <c r="D1106" i="3"/>
  <c r="D1138" i="3"/>
  <c r="O600" i="3"/>
  <c r="D625" i="3"/>
  <c r="O409" i="3"/>
  <c r="D80" i="3"/>
  <c r="J216" i="2"/>
  <c r="O53" i="3"/>
  <c r="J239" i="2"/>
  <c r="O44" i="3"/>
  <c r="D581" i="3"/>
  <c r="P1063" i="1"/>
  <c r="P632" i="1"/>
  <c r="P321" i="1"/>
  <c r="P37" i="1"/>
  <c r="E98" i="4"/>
  <c r="C1048" i="1"/>
  <c r="C431" i="1"/>
  <c r="D2013" i="3"/>
  <c r="D1319" i="3"/>
  <c r="O1176" i="3"/>
  <c r="D1000" i="3"/>
  <c r="D125" i="3"/>
  <c r="D542" i="3"/>
  <c r="O1910" i="3"/>
  <c r="O1858" i="3"/>
  <c r="O1584" i="3"/>
  <c r="O1587" i="3"/>
  <c r="O1249" i="3"/>
  <c r="D1187" i="3"/>
  <c r="D846" i="3"/>
  <c r="D533" i="3"/>
  <c r="J383" i="2"/>
  <c r="K761" i="1" s="1"/>
  <c r="J378" i="2"/>
  <c r="K68" i="1" s="1"/>
  <c r="J385" i="2"/>
  <c r="K813" i="1" s="1"/>
  <c r="J387" i="2"/>
  <c r="K419" i="1" s="1"/>
  <c r="J382" i="2"/>
  <c r="K961" i="1" s="1"/>
  <c r="J384" i="2"/>
  <c r="K1000" i="1" s="1"/>
  <c r="J379" i="2"/>
  <c r="K585" i="1" s="1"/>
  <c r="J381" i="2"/>
  <c r="K901" i="1" s="1"/>
  <c r="P1075" i="1"/>
  <c r="J69" i="2"/>
  <c r="J380" i="2"/>
  <c r="K120" i="1" s="1"/>
  <c r="P1206" i="1"/>
  <c r="J256" i="2"/>
  <c r="J83" i="2"/>
  <c r="K357" i="1" s="1"/>
  <c r="J51" i="2"/>
  <c r="K1141" i="1" s="1"/>
  <c r="J53" i="2"/>
  <c r="J48" i="2"/>
  <c r="P913" i="1"/>
  <c r="U1037" i="1"/>
  <c r="P589" i="1"/>
  <c r="U402" i="1"/>
  <c r="P887" i="1"/>
  <c r="P757" i="1"/>
  <c r="P614" i="1"/>
  <c r="P196" i="1"/>
  <c r="V1230" i="3"/>
  <c r="F162" i="3"/>
  <c r="F644" i="3"/>
  <c r="F1246" i="3"/>
  <c r="F1012" i="3"/>
  <c r="F839" i="3"/>
  <c r="F1449" i="3"/>
  <c r="F1213" i="3"/>
  <c r="F1970" i="3"/>
  <c r="F281" i="3"/>
  <c r="D422" i="3"/>
  <c r="P763" i="1"/>
  <c r="D2071" i="3"/>
  <c r="O1427" i="3"/>
  <c r="D1852" i="3"/>
  <c r="D1452" i="3"/>
  <c r="D1271" i="3"/>
  <c r="D1413" i="3"/>
  <c r="O1399" i="3"/>
  <c r="O1418" i="3"/>
  <c r="D1389" i="3"/>
  <c r="D1392" i="3"/>
  <c r="D292" i="3"/>
  <c r="D627" i="3"/>
  <c r="D521" i="3"/>
  <c r="D1148" i="3"/>
  <c r="D997" i="3"/>
  <c r="J290" i="2"/>
  <c r="D633" i="3"/>
  <c r="D44" i="3"/>
  <c r="D604" i="3"/>
  <c r="D317" i="3"/>
  <c r="J294" i="2"/>
  <c r="K301" i="1" s="1"/>
  <c r="D590" i="3"/>
  <c r="D1410" i="3"/>
  <c r="J291" i="2"/>
  <c r="J151" i="2"/>
  <c r="J11" i="2"/>
  <c r="D636" i="3"/>
  <c r="J246" i="2"/>
  <c r="J61" i="2"/>
  <c r="K1036" i="1" s="1"/>
  <c r="J297" i="2"/>
  <c r="K337" i="1" s="1"/>
  <c r="J195" i="2"/>
  <c r="K947" i="1" s="1"/>
  <c r="J58" i="2"/>
  <c r="K979" i="1" s="1"/>
  <c r="J55" i="2"/>
  <c r="K943" i="1" s="1"/>
  <c r="D101" i="3"/>
  <c r="J300" i="2"/>
  <c r="U300" i="1"/>
  <c r="U795" i="1"/>
  <c r="W798" i="1"/>
  <c r="E103" i="4"/>
  <c r="D140" i="3"/>
  <c r="P51" i="1"/>
  <c r="C528" i="1"/>
  <c r="C456" i="1"/>
  <c r="C459" i="1"/>
  <c r="C505" i="1"/>
  <c r="D763" i="3"/>
  <c r="D1259" i="3"/>
  <c r="D1073" i="3"/>
  <c r="D1052" i="3"/>
  <c r="P699" i="1"/>
  <c r="S1303" i="3"/>
  <c r="S1238" i="3"/>
  <c r="S1211" i="3"/>
  <c r="S555" i="3"/>
  <c r="S1087" i="3"/>
  <c r="S29" i="3"/>
  <c r="S1871" i="3"/>
  <c r="S1528" i="3"/>
  <c r="S1390" i="3"/>
  <c r="S1056" i="3"/>
  <c r="S696" i="3"/>
  <c r="S293" i="3"/>
  <c r="S143" i="3"/>
  <c r="P194" i="1"/>
  <c r="P282" i="1"/>
  <c r="P226" i="1"/>
  <c r="P252" i="1"/>
  <c r="S1854" i="3"/>
  <c r="S2032" i="3"/>
  <c r="S1416" i="3"/>
  <c r="S1819" i="3"/>
  <c r="S867" i="3"/>
  <c r="S1150" i="3"/>
  <c r="S153" i="3"/>
  <c r="S437" i="3"/>
  <c r="C111" i="1"/>
  <c r="C117" i="1"/>
  <c r="C138" i="1"/>
  <c r="C65" i="1"/>
  <c r="P708" i="1"/>
  <c r="P100" i="1"/>
  <c r="D1871" i="3"/>
  <c r="D48" i="3"/>
  <c r="C309" i="1"/>
  <c r="C408" i="1"/>
  <c r="C995" i="1"/>
  <c r="C385" i="1"/>
  <c r="D1779" i="3"/>
  <c r="D1532" i="3"/>
  <c r="O1440" i="3"/>
  <c r="D1608" i="3"/>
  <c r="D1607" i="3"/>
  <c r="D749" i="3"/>
  <c r="O1368" i="3"/>
  <c r="O755" i="3"/>
  <c r="D652" i="3"/>
  <c r="D201" i="3"/>
  <c r="O810" i="3"/>
  <c r="D797" i="3"/>
  <c r="O479" i="3"/>
  <c r="P1066" i="1"/>
  <c r="O108" i="3"/>
  <c r="P821" i="1"/>
  <c r="D1666" i="3"/>
  <c r="D263" i="3"/>
  <c r="P793" i="1"/>
  <c r="D743" i="3"/>
  <c r="D799" i="3"/>
  <c r="D592" i="3"/>
  <c r="D653" i="3"/>
  <c r="U190" i="1"/>
  <c r="S2068" i="3"/>
  <c r="S1951" i="3"/>
  <c r="S1771" i="3"/>
  <c r="S1851" i="3"/>
  <c r="S1689" i="3"/>
  <c r="S1672" i="3"/>
  <c r="S1259" i="3"/>
  <c r="S1494" i="3"/>
  <c r="S1103" i="3"/>
  <c r="S1037" i="3"/>
  <c r="S935" i="3"/>
  <c r="S964" i="3"/>
  <c r="S447" i="3"/>
  <c r="S398" i="3"/>
  <c r="S482" i="3"/>
  <c r="S1100" i="3"/>
  <c r="S624" i="3"/>
  <c r="S172" i="3"/>
  <c r="S158" i="3"/>
  <c r="S112" i="3"/>
  <c r="S13" i="3"/>
  <c r="S10" i="3"/>
  <c r="D1918" i="3"/>
  <c r="P968" i="1"/>
  <c r="P171" i="1"/>
  <c r="O1329" i="3"/>
  <c r="D888" i="3"/>
  <c r="D514" i="3"/>
  <c r="P1177" i="1"/>
  <c r="C1191" i="1"/>
  <c r="C249" i="1"/>
  <c r="O1243" i="3"/>
  <c r="D1243" i="3"/>
  <c r="D143" i="3"/>
  <c r="C36" i="1"/>
  <c r="C19" i="1"/>
  <c r="P1200" i="1"/>
  <c r="P1180" i="1"/>
  <c r="P1222" i="1"/>
  <c r="P1137" i="1"/>
  <c r="D186" i="3"/>
  <c r="P284" i="1"/>
  <c r="P110" i="1"/>
  <c r="C992" i="1"/>
  <c r="C757" i="1"/>
  <c r="C705" i="1"/>
  <c r="D1875" i="3"/>
  <c r="D1681" i="3"/>
  <c r="D1441" i="3"/>
  <c r="D976" i="3"/>
  <c r="D225" i="3"/>
  <c r="D35" i="3"/>
  <c r="E47" i="4"/>
  <c r="V653" i="3"/>
  <c r="S2088" i="3"/>
  <c r="S2078" i="3"/>
  <c r="S2070" i="3"/>
  <c r="S1972" i="3"/>
  <c r="S2075" i="3"/>
  <c r="S2065" i="3"/>
  <c r="S2005" i="3"/>
  <c r="S1950" i="3"/>
  <c r="S1919" i="3"/>
  <c r="S1872" i="3"/>
  <c r="S1860" i="3"/>
  <c r="S1810" i="3"/>
  <c r="S1799" i="3"/>
  <c r="S1787" i="3"/>
  <c r="S2040" i="3"/>
  <c r="S2034" i="3"/>
  <c r="S1942" i="3"/>
  <c r="S1891" i="3"/>
  <c r="S2021" i="3"/>
  <c r="S2008" i="3"/>
  <c r="S1961" i="3"/>
  <c r="S1953" i="3"/>
  <c r="S1995" i="3"/>
  <c r="S1937" i="3"/>
  <c r="S1850" i="3"/>
  <c r="S1974" i="3"/>
  <c r="S1921" i="3"/>
  <c r="S1883" i="3"/>
  <c r="S1874" i="3"/>
  <c r="S1863" i="3"/>
  <c r="S1816" i="3"/>
  <c r="S1773" i="3"/>
  <c r="S1944" i="3"/>
  <c r="S1932" i="3"/>
  <c r="S1904" i="3"/>
  <c r="S1896" i="3"/>
  <c r="S1845" i="3"/>
  <c r="S1821" i="3"/>
  <c r="S2028" i="3"/>
  <c r="S2023" i="3"/>
  <c r="S2016" i="3"/>
  <c r="S2002" i="3"/>
  <c r="S1976" i="3"/>
  <c r="S1894" i="3"/>
  <c r="S1885" i="3"/>
  <c r="S2018" i="3"/>
  <c r="S1754" i="3"/>
  <c r="S1699" i="3"/>
  <c r="S1687" i="3"/>
  <c r="S1663" i="3"/>
  <c r="S1647" i="3"/>
  <c r="S1568" i="3"/>
  <c r="S1553" i="3"/>
  <c r="S1540" i="3"/>
  <c r="S1532" i="3"/>
  <c r="S1517" i="3"/>
  <c r="S1488" i="3"/>
  <c r="S1457" i="3"/>
  <c r="S1998" i="3"/>
  <c r="S1940" i="3"/>
  <c r="S1912" i="3"/>
  <c r="S1813" i="3"/>
  <c r="S1783" i="3"/>
  <c r="S1718" i="3"/>
  <c r="S1683" i="3"/>
  <c r="S1674" i="3"/>
  <c r="S1654" i="3"/>
  <c r="S1643" i="3"/>
  <c r="S1605" i="3"/>
  <c r="S1595" i="3"/>
  <c r="S1586" i="3"/>
  <c r="S1493" i="3"/>
  <c r="S1484" i="3"/>
  <c r="S1444" i="3"/>
  <c r="S1373" i="3"/>
  <c r="S1320" i="3"/>
  <c r="S1979" i="3"/>
  <c r="S1899" i="3"/>
  <c r="S1793" i="3"/>
  <c r="S1776" i="3"/>
  <c r="S1727" i="3"/>
  <c r="S1670" i="3"/>
  <c r="S1627" i="3"/>
  <c r="S1571" i="3"/>
  <c r="S1448" i="3"/>
  <c r="S1420" i="3"/>
  <c r="S1411" i="3"/>
  <c r="S1404" i="3"/>
  <c r="S1388" i="3"/>
  <c r="S1364" i="3"/>
  <c r="S1347" i="3"/>
  <c r="S2093" i="3"/>
  <c r="S2031" i="3"/>
  <c r="S1807" i="3"/>
  <c r="S1763" i="3"/>
  <c r="S1690" i="3"/>
  <c r="S1631" i="3"/>
  <c r="S1556" i="3"/>
  <c r="S1543" i="3"/>
  <c r="S2067" i="3"/>
  <c r="S2010" i="3"/>
  <c r="S1836" i="3"/>
  <c r="S1802" i="3"/>
  <c r="S1702" i="3"/>
  <c r="S1679" i="3"/>
  <c r="S1598" i="3"/>
  <c r="S1580" i="3"/>
  <c r="S1507" i="3"/>
  <c r="S1473" i="3"/>
  <c r="S1459" i="3"/>
  <c r="S1842" i="3"/>
  <c r="S1749" i="3"/>
  <c r="S1693" i="3"/>
  <c r="S1657" i="3"/>
  <c r="S1637" i="3"/>
  <c r="S2045" i="3"/>
  <c r="S1993" i="3"/>
  <c r="S1947" i="3"/>
  <c r="S1907" i="3"/>
  <c r="S1770" i="3"/>
  <c r="S1739" i="3"/>
  <c r="S1721" i="3"/>
  <c r="S1574" i="3"/>
  <c r="S1824" i="3"/>
  <c r="S1785" i="3"/>
  <c r="S1780" i="3"/>
  <c r="S1766" i="3"/>
  <c r="S1705" i="3"/>
  <c r="S1611" i="3"/>
  <c r="S2062" i="3"/>
  <c r="S1988" i="3"/>
  <c r="S1856" i="3"/>
  <c r="S1681" i="3"/>
  <c r="S1660" i="3"/>
  <c r="S1878" i="3"/>
  <c r="S1795" i="3"/>
  <c r="S1790" i="3"/>
  <c r="S1751" i="3"/>
  <c r="S1742" i="3"/>
  <c r="S1715" i="3"/>
  <c r="S1696" i="3"/>
  <c r="S1668" i="3"/>
  <c r="S1652" i="3"/>
  <c r="S1614" i="3"/>
  <c r="S2057" i="3"/>
  <c r="S1804" i="3"/>
  <c r="S1724" i="3"/>
  <c r="S1592" i="3"/>
  <c r="S1853" i="3"/>
  <c r="S1479" i="3"/>
  <c r="S1465" i="3"/>
  <c r="S1357" i="3"/>
  <c r="S1335" i="3"/>
  <c r="S1331" i="3"/>
  <c r="S1617" i="3"/>
  <c r="S1442" i="3"/>
  <c r="S1409" i="3"/>
  <c r="S1292" i="3"/>
  <c r="S1257" i="3"/>
  <c r="S1231" i="3"/>
  <c r="S1199" i="3"/>
  <c r="S1190" i="3"/>
  <c r="S1173" i="3"/>
  <c r="S1154" i="3"/>
  <c r="S1839" i="3"/>
  <c r="S1537" i="3"/>
  <c r="S1437" i="3"/>
  <c r="S1340" i="3"/>
  <c r="S1313" i="3"/>
  <c r="S1169" i="3"/>
  <c r="S1394" i="3"/>
  <c r="S1382" i="3"/>
  <c r="S1309" i="3"/>
  <c r="S1304" i="3"/>
  <c r="S1296" i="3"/>
  <c r="S1270" i="3"/>
  <c r="S1261" i="3"/>
  <c r="S1207" i="3"/>
  <c r="S1559" i="3"/>
  <c r="S1450" i="3"/>
  <c r="S1375" i="3"/>
  <c r="S1361" i="3"/>
  <c r="S1239" i="3"/>
  <c r="S1226" i="3"/>
  <c r="S1117" i="3"/>
  <c r="S1583" i="3"/>
  <c r="S1550" i="3"/>
  <c r="S1496" i="3"/>
  <c r="S1322" i="3"/>
  <c r="S1273" i="3"/>
  <c r="S1212" i="3"/>
  <c r="S1202" i="3"/>
  <c r="S1180" i="3"/>
  <c r="S1164" i="3"/>
  <c r="S1534" i="3"/>
  <c r="S1514" i="3"/>
  <c r="S1350" i="3"/>
  <c r="S1915" i="3"/>
  <c r="S1747" i="3"/>
  <c r="S1529" i="3"/>
  <c r="S1434" i="3"/>
  <c r="S1429" i="3"/>
  <c r="S1417" i="3"/>
  <c r="S1406" i="3"/>
  <c r="S1370" i="3"/>
  <c r="S1343" i="3"/>
  <c r="S1317" i="3"/>
  <c r="S1264" i="3"/>
  <c r="S1311" i="3"/>
  <c r="S1547" i="3"/>
  <c r="S1379" i="3"/>
  <c r="S1326" i="3"/>
  <c r="S1302" i="3"/>
  <c r="S1298" i="3"/>
  <c r="S1251" i="3"/>
  <c r="S1242" i="3"/>
  <c r="S1229" i="3"/>
  <c r="S1161" i="3"/>
  <c r="S1152" i="3"/>
  <c r="S1147" i="3"/>
  <c r="S1072" i="3"/>
  <c r="S1051" i="3"/>
  <c r="S1011" i="3"/>
  <c r="S1003" i="3"/>
  <c r="S962" i="3"/>
  <c r="S890" i="3"/>
  <c r="S868" i="3"/>
  <c r="S844" i="3"/>
  <c r="S804" i="3"/>
  <c r="S1196" i="3"/>
  <c r="S1188" i="3"/>
  <c r="S995" i="3"/>
  <c r="S982" i="3"/>
  <c r="S970" i="3"/>
  <c r="S954" i="3"/>
  <c r="S940" i="3"/>
  <c r="S784" i="3"/>
  <c r="S773" i="3"/>
  <c r="S763" i="3"/>
  <c r="S1166" i="3"/>
  <c r="S1122" i="3"/>
  <c r="S1113" i="3"/>
  <c r="S1027" i="3"/>
  <c r="S856" i="3"/>
  <c r="S752" i="3"/>
  <c r="S1401" i="3"/>
  <c r="S1248" i="3"/>
  <c r="S1140" i="3"/>
  <c r="S1054" i="3"/>
  <c r="S1014" i="3"/>
  <c r="S990" i="3"/>
  <c r="S974" i="3"/>
  <c r="S927" i="3"/>
  <c r="S894" i="3"/>
  <c r="S875" i="3"/>
  <c r="S824" i="3"/>
  <c r="S807" i="3"/>
  <c r="S1193" i="3"/>
  <c r="S1159" i="3"/>
  <c r="S1127" i="3"/>
  <c r="S1075" i="3"/>
  <c r="S966" i="3"/>
  <c r="S943" i="3"/>
  <c r="S778" i="3"/>
  <c r="S767" i="3"/>
  <c r="S737" i="3"/>
  <c r="S1236" i="3"/>
  <c r="S1085" i="3"/>
  <c r="S1005" i="3"/>
  <c r="S997" i="3"/>
  <c r="S1589" i="3"/>
  <c r="S1215" i="3"/>
  <c r="S1184" i="3"/>
  <c r="S1177" i="3"/>
  <c r="S1102" i="3"/>
  <c r="S1089" i="3"/>
  <c r="S1057" i="3"/>
  <c r="S1036" i="3"/>
  <c r="S1021" i="3"/>
  <c r="S1001" i="3"/>
  <c r="S976" i="3"/>
  <c r="S934" i="3"/>
  <c r="S897" i="3"/>
  <c r="S1130" i="3"/>
  <c r="S1120" i="3"/>
  <c r="S1097" i="3"/>
  <c r="S1070" i="3"/>
  <c r="S1044" i="3"/>
  <c r="S960" i="3"/>
  <c r="S1353" i="3"/>
  <c r="S1254" i="3"/>
  <c r="S1105" i="3"/>
  <c r="S1077" i="3"/>
  <c r="S1048" i="3"/>
  <c r="S1039" i="3"/>
  <c r="S1008" i="3"/>
  <c r="S992" i="3"/>
  <c r="S968" i="3"/>
  <c r="S1024" i="3"/>
  <c r="S917" i="3"/>
  <c r="S553" i="3"/>
  <c r="S507" i="3"/>
  <c r="S417" i="3"/>
  <c r="S408" i="3"/>
  <c r="S397" i="3"/>
  <c r="S330" i="3"/>
  <c r="S288" i="3"/>
  <c r="S266" i="3"/>
  <c r="S245" i="3"/>
  <c r="S1453" i="3"/>
  <c r="S1156" i="3"/>
  <c r="S1137" i="3"/>
  <c r="S1060" i="3"/>
  <c r="S859" i="3"/>
  <c r="S838" i="3"/>
  <c r="S733" i="3"/>
  <c r="S707" i="3"/>
  <c r="S643" i="3"/>
  <c r="S494" i="3"/>
  <c r="S481" i="3"/>
  <c r="S457" i="3"/>
  <c r="S448" i="3"/>
  <c r="S421" i="3"/>
  <c r="S387" i="3"/>
  <c r="S375" i="3"/>
  <c r="S338" i="3"/>
  <c r="S305" i="3"/>
  <c r="S280" i="3"/>
  <c r="S257" i="3"/>
  <c r="S241" i="3"/>
  <c r="S232" i="3"/>
  <c r="S220" i="3"/>
  <c r="S210" i="3"/>
  <c r="S201" i="3"/>
  <c r="S952" i="3"/>
  <c r="S924" i="3"/>
  <c r="S885" i="3"/>
  <c r="S853" i="3"/>
  <c r="S821" i="3"/>
  <c r="S770" i="3"/>
  <c r="S678" i="3"/>
  <c r="S651" i="3"/>
  <c r="S510" i="3"/>
  <c r="S333" i="3"/>
  <c r="S323" i="3"/>
  <c r="S269" i="3"/>
  <c r="S1092" i="3"/>
  <c r="S915" i="3"/>
  <c r="S693" i="3"/>
  <c r="S661" i="3"/>
  <c r="S615" i="3"/>
  <c r="S596" i="3"/>
  <c r="S556" i="3"/>
  <c r="S547" i="3"/>
  <c r="S534" i="3"/>
  <c r="S497" i="3"/>
  <c r="S460" i="3"/>
  <c r="S411" i="3"/>
  <c r="S360" i="3"/>
  <c r="S1205" i="3"/>
  <c r="S1110" i="3"/>
  <c r="S827" i="3"/>
  <c r="S792" i="3"/>
  <c r="S701" i="3"/>
  <c r="S685" i="3"/>
  <c r="S626" i="3"/>
  <c r="S538" i="3"/>
  <c r="S513" i="3"/>
  <c r="S485" i="3"/>
  <c r="S451" i="3"/>
  <c r="S438" i="3"/>
  <c r="S400" i="3"/>
  <c r="S378" i="3"/>
  <c r="S365" i="3"/>
  <c r="S283" i="3"/>
  <c r="S247" i="3"/>
  <c r="S1565" i="3"/>
  <c r="S985" i="3"/>
  <c r="S930" i="3"/>
  <c r="S921" i="3"/>
  <c r="S851" i="3"/>
  <c r="S817" i="3"/>
  <c r="S715" i="3"/>
  <c r="S1391" i="3"/>
  <c r="S688" i="3"/>
  <c r="S629" i="3"/>
  <c r="S598" i="3"/>
  <c r="S541" i="3"/>
  <c r="S516" i="3"/>
  <c r="S500" i="3"/>
  <c r="S488" i="3"/>
  <c r="S405" i="3"/>
  <c r="S381" i="3"/>
  <c r="S345" i="3"/>
  <c r="S195" i="3"/>
  <c r="S957" i="3"/>
  <c r="S901" i="3"/>
  <c r="S865" i="3"/>
  <c r="S833" i="3"/>
  <c r="S729" i="3"/>
  <c r="S667" i="3"/>
  <c r="S562" i="3"/>
  <c r="S454" i="3"/>
  <c r="S441" i="3"/>
  <c r="S413" i="3"/>
  <c r="S1511" i="3"/>
  <c r="S1065" i="3"/>
  <c r="S911" i="3"/>
  <c r="S879" i="3"/>
  <c r="S872" i="3"/>
  <c r="S841" i="3"/>
  <c r="S659" i="3"/>
  <c r="S602" i="3"/>
  <c r="S572" i="3"/>
  <c r="S550" i="3"/>
  <c r="S466" i="3"/>
  <c r="S432" i="3"/>
  <c r="S350" i="3"/>
  <c r="S302" i="3"/>
  <c r="S285" i="3"/>
  <c r="S263" i="3"/>
  <c r="S215" i="3"/>
  <c r="S111" i="3"/>
  <c r="S78" i="3"/>
  <c r="S12" i="3"/>
  <c r="S740" i="3"/>
  <c r="S620" i="3"/>
  <c r="S606" i="3"/>
  <c r="S319" i="3"/>
  <c r="S155" i="3"/>
  <c r="S132" i="3"/>
  <c r="S24" i="3"/>
  <c r="S7" i="3"/>
  <c r="S937" i="3"/>
  <c r="S836" i="3"/>
  <c r="S800" i="3"/>
  <c r="S646" i="3"/>
  <c r="S576" i="3"/>
  <c r="S341" i="3"/>
  <c r="S291" i="3"/>
  <c r="S255" i="3"/>
  <c r="S166" i="3"/>
  <c r="S161" i="3"/>
  <c r="S123" i="3"/>
  <c r="S95" i="3"/>
  <c r="S63" i="3"/>
  <c r="S1219" i="3"/>
  <c r="S979" i="3"/>
  <c r="S797" i="3"/>
  <c r="S697" i="3"/>
  <c r="S618" i="3"/>
  <c r="S353" i="3"/>
  <c r="S307" i="3"/>
  <c r="S299" i="3"/>
  <c r="S277" i="3"/>
  <c r="S192" i="3"/>
  <c r="S184" i="3"/>
  <c r="S590" i="3"/>
  <c r="S519" i="3"/>
  <c r="S426" i="3"/>
  <c r="S384" i="3"/>
  <c r="S204" i="3"/>
  <c r="S198" i="3"/>
  <c r="S178" i="3"/>
  <c r="S114" i="3"/>
  <c r="S87" i="3"/>
  <c r="S27" i="3"/>
  <c r="S683" i="3"/>
  <c r="S372" i="3"/>
  <c r="S260" i="3"/>
  <c r="S126" i="3"/>
  <c r="S67" i="3"/>
  <c r="S787" i="3"/>
  <c r="S757" i="3"/>
  <c r="S424" i="3"/>
  <c r="S238" i="3"/>
  <c r="S144" i="3"/>
  <c r="S680" i="3"/>
  <c r="S559" i="3"/>
  <c r="S463" i="3"/>
  <c r="S171" i="3"/>
  <c r="S38" i="3"/>
  <c r="S30" i="3"/>
  <c r="S18" i="3"/>
  <c r="S882" i="3"/>
  <c r="S691" i="3"/>
  <c r="S503" i="3"/>
  <c r="S294" i="3"/>
  <c r="S229" i="3"/>
  <c r="S139" i="3"/>
  <c r="S109" i="3"/>
  <c r="S75" i="3"/>
  <c r="S70" i="3"/>
  <c r="S544" i="3"/>
  <c r="S532" i="3"/>
  <c r="S491" i="3"/>
  <c r="S436" i="3"/>
  <c r="S129" i="3"/>
  <c r="S117" i="3"/>
  <c r="S664" i="3"/>
  <c r="S235" i="3"/>
  <c r="S21" i="3"/>
  <c r="S947" i="3"/>
  <c r="S745" i="3"/>
  <c r="S151" i="3"/>
  <c r="S55" i="3"/>
  <c r="S389" i="3"/>
  <c r="S35" i="3"/>
  <c r="S227" i="3"/>
  <c r="S146" i="3"/>
  <c r="S33" i="3"/>
  <c r="S90" i="3"/>
  <c r="S310" i="3"/>
  <c r="S174" i="3"/>
  <c r="S107" i="3"/>
  <c r="S15" i="3"/>
  <c r="S83" i="3"/>
  <c r="S120" i="3"/>
  <c r="S105" i="3"/>
  <c r="S812" i="3"/>
  <c r="S357" i="3"/>
  <c r="S60" i="3"/>
  <c r="S40" i="3"/>
  <c r="S101" i="3"/>
  <c r="S780" i="3"/>
  <c r="C579" i="1"/>
  <c r="C572" i="1"/>
  <c r="D267" i="3"/>
  <c r="U156" i="1"/>
  <c r="D577" i="3"/>
  <c r="O570" i="3"/>
  <c r="V711" i="3"/>
  <c r="Y1218" i="1"/>
  <c r="C1234" i="1"/>
  <c r="D1750" i="3"/>
  <c r="D1752" i="3"/>
  <c r="D1751" i="3"/>
  <c r="J223" i="2"/>
  <c r="K1010" i="1" s="1"/>
  <c r="J222" i="2"/>
  <c r="K1009" i="1" s="1"/>
  <c r="P977" i="1"/>
  <c r="U978" i="1"/>
  <c r="D1991" i="3"/>
  <c r="D1573" i="3"/>
  <c r="D1222" i="3"/>
  <c r="D1559" i="3"/>
  <c r="O1135" i="3"/>
  <c r="D942" i="3"/>
  <c r="J330" i="2"/>
  <c r="K780" i="1" s="1"/>
  <c r="D465" i="3"/>
  <c r="D41" i="3"/>
  <c r="P349" i="1"/>
  <c r="U571" i="1"/>
  <c r="P511" i="1"/>
  <c r="E99" i="4"/>
  <c r="V289" i="3"/>
  <c r="E8" i="4"/>
  <c r="V1318" i="3"/>
  <c r="Z747" i="1"/>
  <c r="C1132" i="1"/>
  <c r="C876" i="1"/>
  <c r="V1509" i="3"/>
  <c r="F168" i="3"/>
  <c r="F964" i="3"/>
  <c r="F1471" i="3"/>
  <c r="F2068" i="3"/>
  <c r="D1574" i="3"/>
  <c r="D943" i="3"/>
  <c r="J350" i="2"/>
  <c r="D466" i="3"/>
  <c r="D42" i="3"/>
  <c r="J98" i="2"/>
  <c r="J99" i="2"/>
  <c r="P1027" i="1"/>
  <c r="P971" i="1"/>
  <c r="C641" i="1"/>
  <c r="C676" i="1"/>
  <c r="E21" i="4"/>
  <c r="V597" i="3"/>
  <c r="V560" i="3"/>
  <c r="C1209" i="1"/>
  <c r="C909" i="1"/>
  <c r="C580" i="1"/>
  <c r="C575" i="1"/>
  <c r="C593" i="1"/>
  <c r="C264" i="1"/>
  <c r="C921" i="1"/>
  <c r="C893" i="1"/>
  <c r="N100" i="2"/>
  <c r="N107" i="2"/>
  <c r="N106" i="2"/>
  <c r="N101" i="2"/>
  <c r="C1219" i="1"/>
  <c r="C1045" i="1"/>
  <c r="D2078" i="3"/>
  <c r="D1943" i="3"/>
  <c r="O1333" i="3"/>
  <c r="O2071" i="3"/>
  <c r="D1400" i="3"/>
  <c r="D1861" i="3"/>
  <c r="O1958" i="3"/>
  <c r="D1780" i="3"/>
  <c r="D1273" i="3"/>
  <c r="D947" i="3"/>
  <c r="D679" i="3"/>
  <c r="O379" i="3"/>
  <c r="D353" i="3"/>
  <c r="D909" i="3"/>
  <c r="D278" i="3"/>
  <c r="J345" i="2"/>
  <c r="D371" i="3"/>
  <c r="J355" i="2"/>
  <c r="K38" i="1" s="1"/>
  <c r="J23" i="2"/>
  <c r="J18" i="2"/>
  <c r="K373" i="1" s="1"/>
  <c r="J307" i="2"/>
  <c r="J25" i="2"/>
  <c r="J50" i="2"/>
  <c r="J7" i="2"/>
  <c r="O1682" i="3"/>
  <c r="D1404" i="3"/>
  <c r="O1206" i="3"/>
  <c r="D1448" i="3"/>
  <c r="D917" i="3"/>
  <c r="S1533" i="3"/>
  <c r="S623" i="3"/>
  <c r="N323" i="2"/>
  <c r="N348" i="2"/>
  <c r="N230" i="2"/>
  <c r="N90" i="2"/>
  <c r="N217" i="2"/>
  <c r="N212" i="2"/>
  <c r="N147" i="2"/>
  <c r="N216" i="2"/>
  <c r="N38" i="2"/>
  <c r="N350" i="2"/>
  <c r="C1208" i="1"/>
  <c r="C906" i="1"/>
  <c r="C198" i="1"/>
  <c r="N272" i="2"/>
  <c r="N63" i="2"/>
  <c r="C1196" i="1"/>
  <c r="C1044" i="1"/>
  <c r="S822" i="3"/>
  <c r="S379" i="3"/>
  <c r="C1195" i="1"/>
  <c r="C1043" i="1"/>
  <c r="C998" i="1"/>
  <c r="C391" i="1"/>
  <c r="C277" i="1"/>
  <c r="C283" i="1"/>
  <c r="C583" i="1"/>
  <c r="O2063" i="3"/>
  <c r="O641" i="3"/>
  <c r="O264" i="3"/>
  <c r="S1978" i="3"/>
  <c r="S1861" i="3"/>
  <c r="S1716" i="3"/>
  <c r="S1720" i="3"/>
  <c r="S1246" i="3"/>
  <c r="S1151" i="3"/>
  <c r="S874" i="3"/>
  <c r="S278" i="3"/>
  <c r="N298" i="2"/>
  <c r="N126" i="2"/>
  <c r="N60" i="2"/>
  <c r="N316" i="2"/>
  <c r="N133" i="2"/>
  <c r="C1070" i="1"/>
  <c r="C1064" i="1"/>
  <c r="C877" i="1"/>
  <c r="C852" i="1"/>
  <c r="C356" i="1"/>
  <c r="C314" i="1"/>
  <c r="C1023" i="1"/>
  <c r="C993" i="1"/>
  <c r="C849" i="1"/>
  <c r="C462" i="1"/>
  <c r="C200" i="1"/>
  <c r="C997" i="1"/>
  <c r="C386" i="1"/>
  <c r="N193" i="2"/>
  <c r="N144" i="2"/>
  <c r="C252" i="1"/>
  <c r="C781" i="1"/>
  <c r="C768" i="1"/>
  <c r="C748" i="1"/>
  <c r="C774" i="1"/>
  <c r="D1512" i="3"/>
  <c r="D1016" i="3"/>
  <c r="D324" i="3"/>
  <c r="D693" i="3"/>
  <c r="D450" i="3"/>
  <c r="U943" i="1"/>
  <c r="D1808" i="3"/>
  <c r="J399" i="2"/>
  <c r="K494" i="1" s="1"/>
  <c r="O2083" i="3"/>
  <c r="D2085" i="3"/>
  <c r="D2054" i="3"/>
  <c r="P756" i="1"/>
  <c r="C157" i="1"/>
  <c r="C188" i="1"/>
  <c r="S2092" i="3"/>
  <c r="S1975" i="3"/>
  <c r="S1949" i="3"/>
  <c r="S2064" i="3"/>
  <c r="S1970" i="3"/>
  <c r="S2015" i="3"/>
  <c r="S1881" i="3"/>
  <c r="S1552" i="3"/>
  <c r="S1478" i="3"/>
  <c r="S1873" i="3"/>
  <c r="S1456" i="3"/>
  <c r="S1682" i="3"/>
  <c r="S1572" i="3"/>
  <c r="S1372" i="3"/>
  <c r="S1352" i="3"/>
  <c r="S1176" i="3"/>
  <c r="S1206" i="3"/>
  <c r="S1387" i="3"/>
  <c r="S1472" i="3"/>
  <c r="S835" i="3"/>
  <c r="S803" i="3"/>
  <c r="S1201" i="3"/>
  <c r="S1214" i="3"/>
  <c r="S959" i="3"/>
  <c r="S1076" i="3"/>
  <c r="S416" i="3"/>
  <c r="S837" i="3"/>
  <c r="S769" i="3"/>
  <c r="S642" i="3"/>
  <c r="S1240" i="3"/>
  <c r="S816" i="3"/>
  <c r="S575" i="3"/>
  <c r="S298" i="3"/>
  <c r="S728" i="3"/>
  <c r="S484" i="3"/>
  <c r="S832" i="3"/>
  <c r="S160" i="3"/>
  <c r="S165" i="3"/>
  <c r="S234" i="3"/>
  <c r="S1981" i="3"/>
  <c r="S2041" i="3"/>
  <c r="C759" i="1"/>
  <c r="C853" i="1"/>
  <c r="C28" i="1"/>
  <c r="S1463" i="3"/>
  <c r="S1725" i="3"/>
  <c r="S2076" i="3"/>
  <c r="S1563" i="3"/>
  <c r="S1703" i="3"/>
  <c r="S1068" i="3"/>
  <c r="S938" i="3"/>
  <c r="S732" i="3"/>
  <c r="S308" i="3"/>
  <c r="S825" i="3"/>
  <c r="S486" i="3"/>
  <c r="S58" i="3"/>
  <c r="S658" i="3"/>
  <c r="S597" i="3"/>
  <c r="N172" i="2"/>
  <c r="N246" i="2"/>
  <c r="N171" i="2"/>
  <c r="N173" i="2"/>
  <c r="C730" i="1"/>
  <c r="C722" i="1"/>
  <c r="C1063" i="1"/>
  <c r="C1041" i="1"/>
  <c r="D180" i="3"/>
  <c r="P905" i="1"/>
  <c r="P782" i="1"/>
  <c r="P431" i="1"/>
  <c r="S2020" i="3"/>
  <c r="S1890" i="3"/>
  <c r="S1911" i="3"/>
  <c r="S2001" i="3"/>
  <c r="S1616" i="3"/>
  <c r="S1898" i="3"/>
  <c r="S1884" i="3"/>
  <c r="S1762" i="3"/>
  <c r="S1542" i="3"/>
  <c r="S2087" i="3"/>
  <c r="S1893" i="3"/>
  <c r="S1877" i="3"/>
  <c r="S1741" i="3"/>
  <c r="S1225" i="3"/>
  <c r="S1513" i="3"/>
  <c r="S1074" i="3"/>
  <c r="S1162" i="3"/>
  <c r="S984" i="3"/>
  <c r="S1035" i="3"/>
  <c r="S1096" i="3"/>
  <c r="S796" i="3"/>
  <c r="S543" i="3"/>
  <c r="S348" i="3"/>
  <c r="S858" i="3"/>
  <c r="S650" i="3"/>
  <c r="S766" i="3"/>
  <c r="S282" i="3"/>
  <c r="S275" i="3"/>
  <c r="S756" i="3"/>
  <c r="S237" i="3"/>
  <c r="S17" i="3"/>
  <c r="S20" i="3"/>
  <c r="S94" i="3"/>
  <c r="S62" i="3"/>
  <c r="C1205" i="1"/>
  <c r="C587" i="1"/>
  <c r="C1049" i="1"/>
  <c r="C130" i="1"/>
  <c r="C136" i="1"/>
  <c r="C800" i="1"/>
  <c r="C808" i="1"/>
  <c r="C1180" i="1"/>
  <c r="C417" i="1"/>
  <c r="C202" i="1"/>
  <c r="C899" i="1"/>
  <c r="C838" i="1"/>
  <c r="C851" i="1"/>
  <c r="C758" i="1"/>
  <c r="C706" i="1"/>
  <c r="C660" i="1"/>
  <c r="C469" i="1"/>
  <c r="S1307" i="3"/>
  <c r="S1615" i="3"/>
  <c r="S418" i="3"/>
  <c r="S819" i="3"/>
  <c r="S385" i="3"/>
  <c r="N273" i="2"/>
  <c r="N286" i="2"/>
  <c r="C517" i="1"/>
  <c r="C84" i="1"/>
  <c r="C981" i="1"/>
  <c r="C1035" i="1"/>
  <c r="D1901" i="3"/>
  <c r="D1661" i="3"/>
  <c r="D1700" i="3"/>
  <c r="D1655" i="3"/>
  <c r="D1450" i="3"/>
  <c r="D1135" i="3"/>
  <c r="O1666" i="3"/>
  <c r="D1062" i="3"/>
  <c r="S1006" i="3"/>
  <c r="S1058" i="3"/>
  <c r="N351" i="2"/>
  <c r="N66" i="2"/>
  <c r="N68" i="2"/>
  <c r="N292" i="2"/>
  <c r="N268" i="2"/>
  <c r="D1360" i="3"/>
  <c r="O873" i="3"/>
  <c r="E144" i="4"/>
  <c r="V2086" i="3"/>
  <c r="V941" i="3"/>
  <c r="D2081" i="3"/>
  <c r="D1725" i="3"/>
  <c r="D885" i="3"/>
  <c r="P552" i="1"/>
  <c r="S1548" i="3"/>
  <c r="S331" i="3"/>
  <c r="S203" i="3"/>
  <c r="C1223" i="1"/>
  <c r="C1229" i="1"/>
  <c r="C956" i="1"/>
  <c r="C87" i="1"/>
  <c r="D1913" i="3"/>
  <c r="O1797" i="3"/>
  <c r="D1233" i="3"/>
  <c r="D671" i="3"/>
  <c r="P1193" i="1"/>
  <c r="P726" i="1"/>
  <c r="P701" i="1"/>
  <c r="U745" i="1"/>
  <c r="P344" i="1"/>
  <c r="P729" i="1"/>
  <c r="U838" i="1"/>
  <c r="U669" i="1"/>
  <c r="P527" i="1"/>
  <c r="U104" i="1"/>
  <c r="U15" i="1"/>
  <c r="U189" i="1"/>
  <c r="U334" i="1"/>
  <c r="P677" i="1"/>
  <c r="P506" i="1"/>
  <c r="Y183" i="1"/>
  <c r="D2060" i="3"/>
  <c r="P420" i="1"/>
  <c r="D993" i="3"/>
  <c r="P896" i="1"/>
  <c r="C1059" i="1"/>
  <c r="C1040" i="1"/>
  <c r="C1107" i="1"/>
  <c r="C1087" i="1"/>
  <c r="C110" i="1"/>
  <c r="C121" i="1"/>
  <c r="C116" i="1"/>
  <c r="C37" i="1"/>
  <c r="C23" i="1"/>
  <c r="E31" i="4"/>
  <c r="V430" i="3"/>
  <c r="V435" i="3"/>
  <c r="V442" i="3"/>
  <c r="V444" i="3"/>
  <c r="V439" i="3"/>
  <c r="V297" i="3"/>
  <c r="D928" i="3"/>
  <c r="D752" i="3"/>
  <c r="D131" i="3"/>
  <c r="D2008" i="3"/>
  <c r="O261" i="3"/>
  <c r="D1260" i="3"/>
  <c r="D1189" i="3"/>
  <c r="P464" i="1"/>
  <c r="O2066" i="3"/>
  <c r="O1975" i="3"/>
  <c r="O2060" i="3"/>
  <c r="O1905" i="3"/>
  <c r="D1927" i="3"/>
  <c r="D1905" i="3"/>
  <c r="O1834" i="3"/>
  <c r="O1941" i="3"/>
  <c r="O1960" i="3"/>
  <c r="D1887" i="3"/>
  <c r="O2032" i="3"/>
  <c r="O1931" i="3"/>
  <c r="O1838" i="3"/>
  <c r="D1723" i="3"/>
  <c r="O1581" i="3"/>
  <c r="D1578" i="3"/>
  <c r="O1563" i="3"/>
  <c r="O1535" i="3"/>
  <c r="O2015" i="3"/>
  <c r="D1563" i="3"/>
  <c r="O1938" i="3"/>
  <c r="D1642" i="3"/>
  <c r="D1711" i="3"/>
  <c r="D1685" i="3"/>
  <c r="O1641" i="3"/>
  <c r="D1848" i="3"/>
  <c r="D1641" i="3"/>
  <c r="O1778" i="3"/>
  <c r="O1458" i="3"/>
  <c r="O1477" i="3"/>
  <c r="D1431" i="3"/>
  <c r="O1345" i="3"/>
  <c r="D1292" i="3"/>
  <c r="O1371" i="3"/>
  <c r="D1285" i="3"/>
  <c r="D1523" i="3"/>
  <c r="D1351" i="3"/>
  <c r="D1221" i="3"/>
  <c r="O1456" i="3"/>
  <c r="D1291" i="3"/>
  <c r="D1475" i="3"/>
  <c r="D1579" i="3"/>
  <c r="D1364" i="3"/>
  <c r="O1259" i="3"/>
  <c r="O1487" i="3"/>
  <c r="O1232" i="3"/>
  <c r="D850" i="3"/>
  <c r="O795" i="3"/>
  <c r="O779" i="3"/>
  <c r="O743" i="3"/>
  <c r="D1267" i="3"/>
  <c r="D962" i="3"/>
  <c r="O919" i="3"/>
  <c r="O1237" i="3"/>
  <c r="O1063" i="3"/>
  <c r="O1262" i="3"/>
  <c r="O1210" i="3"/>
  <c r="O1178" i="3"/>
  <c r="D1068" i="3"/>
  <c r="O1050" i="3"/>
  <c r="O931" i="3"/>
  <c r="D904" i="3"/>
  <c r="O1246" i="3"/>
  <c r="D1210" i="3"/>
  <c r="O1200" i="3"/>
  <c r="O1784" i="3"/>
  <c r="D918" i="3"/>
  <c r="O1004" i="3"/>
  <c r="O1271" i="3"/>
  <c r="D1183" i="3"/>
  <c r="D175" i="3"/>
  <c r="D1326" i="3"/>
  <c r="D616" i="3"/>
  <c r="D597" i="3"/>
  <c r="O348" i="3"/>
  <c r="O785" i="3"/>
  <c r="O531" i="3"/>
  <c r="D1004" i="3"/>
  <c r="D903" i="3"/>
  <c r="D657" i="3"/>
  <c r="D476" i="3"/>
  <c r="D348" i="3"/>
  <c r="O761" i="3"/>
  <c r="D573" i="3"/>
  <c r="O545" i="3"/>
  <c r="O437" i="3"/>
  <c r="D191" i="3"/>
  <c r="O850" i="3"/>
  <c r="O554" i="3"/>
  <c r="O398" i="3"/>
  <c r="O805" i="3"/>
  <c r="O790" i="3"/>
  <c r="D437" i="3"/>
  <c r="O388" i="3"/>
  <c r="D1268" i="3"/>
  <c r="O771" i="3"/>
  <c r="O137" i="3"/>
  <c r="J326" i="2"/>
  <c r="O662" i="3"/>
  <c r="J411" i="2"/>
  <c r="K1017" i="1" s="1"/>
  <c r="D902" i="3"/>
  <c r="O551" i="3"/>
  <c r="D119" i="3"/>
  <c r="O172" i="3"/>
  <c r="O671" i="3"/>
  <c r="O110" i="3"/>
  <c r="O10" i="3"/>
  <c r="O857" i="3"/>
  <c r="D708" i="3"/>
  <c r="D172" i="3"/>
  <c r="J349" i="2"/>
  <c r="J325" i="2"/>
  <c r="J265" i="2"/>
  <c r="D438" i="3"/>
  <c r="D10" i="3"/>
  <c r="J296" i="2"/>
  <c r="K336" i="1" s="1"/>
  <c r="O613" i="3"/>
  <c r="O112" i="3"/>
  <c r="O13" i="3"/>
  <c r="J322" i="2"/>
  <c r="K96" i="1" s="1"/>
  <c r="D477" i="3"/>
  <c r="D217" i="3"/>
  <c r="O175" i="3"/>
  <c r="D56" i="3"/>
  <c r="J329" i="2"/>
  <c r="K778" i="1" s="1"/>
  <c r="J274" i="2"/>
  <c r="D112" i="3"/>
  <c r="J286" i="2"/>
  <c r="K672" i="1" s="1"/>
  <c r="J115" i="2"/>
  <c r="J264" i="2"/>
  <c r="K835" i="1" s="1"/>
  <c r="J182" i="2"/>
  <c r="J57" i="2"/>
  <c r="K978" i="1" s="1"/>
  <c r="D389" i="3"/>
  <c r="J273" i="2"/>
  <c r="J148" i="2"/>
  <c r="K210" i="1" s="1"/>
  <c r="O142" i="3"/>
  <c r="J276" i="2"/>
  <c r="J251" i="2"/>
  <c r="J215" i="2"/>
  <c r="K1112" i="1" s="1"/>
  <c r="J66" i="2"/>
  <c r="K951" i="1" s="1"/>
  <c r="J174" i="2"/>
  <c r="D13" i="3"/>
  <c r="J157" i="2"/>
  <c r="J68" i="2"/>
  <c r="J152" i="2"/>
  <c r="J116" i="2"/>
  <c r="P1042" i="1"/>
  <c r="U888" i="1"/>
  <c r="P995" i="1"/>
  <c r="P1171" i="1"/>
  <c r="P923" i="1"/>
  <c r="D8" i="3"/>
  <c r="P925" i="1"/>
  <c r="P809" i="1"/>
  <c r="P779" i="1"/>
  <c r="P865" i="1"/>
  <c r="U835" i="1"/>
  <c r="P504" i="1"/>
  <c r="U337" i="1"/>
  <c r="P1127" i="1"/>
  <c r="P840" i="1"/>
  <c r="P680" i="1"/>
  <c r="P667" i="1"/>
  <c r="P343" i="1"/>
  <c r="P1076" i="1"/>
  <c r="P568" i="1"/>
  <c r="U296" i="1"/>
  <c r="P1009" i="1"/>
  <c r="P772" i="1"/>
  <c r="P499" i="1"/>
  <c r="P436" i="1"/>
  <c r="P704" i="1"/>
  <c r="U630" i="1"/>
  <c r="P894" i="1"/>
  <c r="P50" i="1"/>
  <c r="P21" i="1"/>
  <c r="P200" i="1"/>
  <c r="P189" i="1"/>
  <c r="P463" i="1"/>
  <c r="P55" i="1"/>
  <c r="D1356" i="3"/>
  <c r="O486" i="3"/>
  <c r="O158" i="3"/>
  <c r="D751" i="3"/>
  <c r="P918" i="1"/>
  <c r="P427" i="1"/>
  <c r="V627" i="3"/>
  <c r="V961" i="3"/>
  <c r="C723" i="1"/>
  <c r="C731" i="1"/>
  <c r="D2018" i="3"/>
  <c r="D859" i="3"/>
  <c r="D730" i="3"/>
  <c r="V1737" i="3"/>
  <c r="D1834" i="3"/>
  <c r="D1932" i="3"/>
  <c r="D1294" i="3"/>
  <c r="D426" i="3"/>
  <c r="C518" i="1"/>
  <c r="C85" i="1"/>
  <c r="E70" i="4"/>
  <c r="V1103" i="3"/>
  <c r="V1083" i="3"/>
  <c r="P1099" i="1"/>
  <c r="U448" i="1"/>
  <c r="V1734" i="3"/>
  <c r="V749" i="3"/>
  <c r="V902" i="3"/>
  <c r="Z408" i="1"/>
  <c r="V1418" i="3"/>
  <c r="F98" i="3"/>
  <c r="F261" i="3"/>
  <c r="F1329" i="3"/>
  <c r="F1761" i="3"/>
  <c r="F1512" i="3"/>
  <c r="F1846" i="3"/>
  <c r="O2038" i="3"/>
  <c r="D1507" i="3"/>
  <c r="O1268" i="3"/>
  <c r="O482" i="3"/>
  <c r="P223" i="1"/>
  <c r="D1784" i="3"/>
  <c r="D1986" i="3"/>
  <c r="D1920" i="3"/>
  <c r="D1146" i="3"/>
  <c r="O1449" i="3"/>
  <c r="O1405" i="3"/>
  <c r="D1015" i="3"/>
  <c r="O916" i="3"/>
  <c r="D270" i="3"/>
  <c r="D802" i="3"/>
  <c r="O918" i="3"/>
  <c r="D110" i="3"/>
  <c r="D303" i="3"/>
  <c r="P803" i="1"/>
  <c r="O1685" i="3"/>
  <c r="D1249" i="3"/>
  <c r="E90" i="4"/>
  <c r="E43" i="4"/>
  <c r="V1500" i="3"/>
  <c r="D1500" i="3"/>
  <c r="D953" i="3"/>
  <c r="D698" i="3"/>
  <c r="D1288" i="3"/>
  <c r="D458" i="3"/>
  <c r="J436" i="2"/>
  <c r="K398" i="1" s="1"/>
  <c r="O1527" i="3"/>
  <c r="D876" i="3"/>
  <c r="P86" i="1"/>
  <c r="D1099" i="3"/>
  <c r="D552" i="3"/>
  <c r="O339" i="3"/>
  <c r="S1913" i="3"/>
  <c r="S1740" i="3"/>
  <c r="S1487" i="3"/>
  <c r="S857" i="3"/>
  <c r="S39" i="3"/>
  <c r="E146" i="4"/>
  <c r="C1203" i="1"/>
  <c r="C903" i="1"/>
  <c r="D761" i="3"/>
  <c r="P928" i="1"/>
  <c r="O1997" i="3"/>
  <c r="D818" i="3"/>
  <c r="C491" i="1"/>
  <c r="C659" i="1"/>
  <c r="C820" i="1"/>
  <c r="C326" i="1"/>
  <c r="C176" i="1"/>
  <c r="P970" i="1"/>
  <c r="P826" i="1"/>
  <c r="V355" i="3"/>
  <c r="V376" i="3"/>
  <c r="V577" i="3"/>
  <c r="V379" i="3"/>
  <c r="D446" i="3"/>
  <c r="P1201" i="1"/>
  <c r="V182" i="3"/>
  <c r="D182" i="3"/>
  <c r="O1740" i="3"/>
  <c r="O1764" i="3"/>
  <c r="O1367" i="3"/>
  <c r="D1367" i="3"/>
  <c r="D436" i="3"/>
  <c r="D470" i="3"/>
  <c r="O589" i="3"/>
  <c r="O373" i="3"/>
  <c r="O355" i="3"/>
  <c r="O363" i="3"/>
  <c r="D462" i="3"/>
  <c r="D40" i="3"/>
  <c r="J316" i="2"/>
  <c r="O165" i="3"/>
  <c r="D19" i="3"/>
  <c r="O19" i="3"/>
  <c r="P1191" i="1"/>
  <c r="D79" i="3"/>
  <c r="P523" i="1"/>
  <c r="P452" i="1"/>
  <c r="P337" i="1"/>
  <c r="P185" i="1"/>
  <c r="P170" i="1"/>
  <c r="P13" i="1"/>
  <c r="C1026" i="1"/>
  <c r="C467" i="1"/>
  <c r="E37" i="4"/>
  <c r="V1440" i="3"/>
  <c r="V489" i="3"/>
  <c r="D1043" i="3"/>
  <c r="D395" i="3"/>
  <c r="P201" i="1"/>
  <c r="E89" i="4"/>
  <c r="F153" i="3"/>
  <c r="F554" i="3"/>
  <c r="F300" i="3"/>
  <c r="F1191" i="3"/>
  <c r="E17" i="4"/>
  <c r="V1002" i="3"/>
  <c r="V996" i="3"/>
  <c r="V153" i="3"/>
  <c r="V124" i="3"/>
  <c r="W53" i="1"/>
  <c r="D727" i="3"/>
  <c r="P888" i="1"/>
  <c r="V1825" i="3"/>
  <c r="V1865" i="3"/>
  <c r="F1430" i="3"/>
  <c r="D2009" i="3"/>
  <c r="D2044" i="3"/>
  <c r="J446" i="2"/>
  <c r="K740" i="1" s="1"/>
  <c r="E123" i="4"/>
  <c r="V1446" i="3"/>
  <c r="C1052" i="1"/>
  <c r="C908" i="1"/>
  <c r="C263" i="1"/>
  <c r="C281" i="1"/>
  <c r="E55" i="4"/>
  <c r="D1550" i="3"/>
  <c r="D1460" i="3"/>
  <c r="D333" i="3"/>
  <c r="C211" i="1"/>
  <c r="C26" i="1"/>
  <c r="C1102" i="1"/>
  <c r="C864" i="1"/>
  <c r="C192" i="1"/>
  <c r="N158" i="2"/>
  <c r="N263" i="2"/>
  <c r="N58" i="2"/>
  <c r="S1578" i="3"/>
  <c r="S1345" i="3"/>
  <c r="S321" i="3"/>
  <c r="S225" i="3"/>
  <c r="S175" i="3"/>
  <c r="S1834" i="3"/>
  <c r="S2061" i="3"/>
  <c r="S1768" i="3"/>
  <c r="S1334" i="3"/>
  <c r="S1197" i="3"/>
  <c r="S880" i="3"/>
  <c r="S1063" i="3"/>
  <c r="S839" i="3"/>
  <c r="S981" i="3"/>
  <c r="S1157" i="3"/>
  <c r="S600" i="3"/>
  <c r="S300" i="3"/>
  <c r="S328" i="3"/>
  <c r="S449" i="3"/>
  <c r="S978" i="3"/>
  <c r="S130" i="3"/>
  <c r="S42" i="3"/>
  <c r="S383" i="3"/>
  <c r="S190" i="3"/>
  <c r="S208" i="3"/>
  <c r="C689" i="1"/>
  <c r="C643" i="1"/>
  <c r="C734" i="1"/>
  <c r="C1056" i="1"/>
  <c r="C1038" i="1"/>
  <c r="D1979" i="3"/>
  <c r="D1266" i="3"/>
  <c r="D1363" i="3"/>
  <c r="D1336" i="3"/>
  <c r="D1171" i="3"/>
  <c r="D1325" i="3"/>
  <c r="P1060" i="1"/>
  <c r="P608" i="1"/>
  <c r="N261" i="2"/>
  <c r="N57" i="2"/>
  <c r="N157" i="2"/>
  <c r="N56" i="2"/>
  <c r="N262" i="2"/>
  <c r="N156" i="2"/>
  <c r="C859" i="1"/>
  <c r="C839" i="1"/>
  <c r="C161" i="1"/>
  <c r="C184" i="1"/>
  <c r="S1604" i="3"/>
  <c r="S1483" i="3"/>
  <c r="S1691" i="3"/>
  <c r="S1510" i="3"/>
  <c r="S406" i="3"/>
  <c r="S386" i="3"/>
  <c r="S317" i="3"/>
  <c r="S820" i="3"/>
  <c r="S761" i="3"/>
  <c r="S604" i="3"/>
  <c r="S218" i="3"/>
  <c r="S662" i="3"/>
  <c r="N103" i="2"/>
  <c r="N105" i="2"/>
  <c r="N102" i="2"/>
  <c r="N109" i="2"/>
  <c r="N248" i="2"/>
  <c r="N104" i="2"/>
  <c r="N28" i="2"/>
  <c r="N26" i="2"/>
  <c r="C688" i="1"/>
  <c r="C324" i="1"/>
  <c r="C569" i="1"/>
  <c r="C526" i="1"/>
  <c r="C504" i="1"/>
  <c r="C349" i="1"/>
  <c r="C382" i="1"/>
  <c r="D1814" i="3"/>
  <c r="D1805" i="3"/>
  <c r="D1794" i="3"/>
  <c r="S1662" i="3"/>
  <c r="S1920" i="3"/>
  <c r="S1701" i="3"/>
  <c r="S1088" i="3"/>
  <c r="S605" i="3"/>
  <c r="S762" i="3"/>
  <c r="S407" i="3"/>
  <c r="S219" i="3"/>
  <c r="S1554" i="3"/>
  <c r="S318" i="3"/>
  <c r="N289" i="2"/>
  <c r="N93" i="2"/>
  <c r="N195" i="2"/>
  <c r="N304" i="2"/>
  <c r="C129" i="1"/>
  <c r="C135" i="1"/>
  <c r="C1101" i="1"/>
  <c r="C164" i="1"/>
  <c r="C62" i="1"/>
  <c r="C50" i="1"/>
  <c r="C846" i="1"/>
  <c r="C772" i="1"/>
  <c r="C582" i="1"/>
  <c r="S2063" i="3"/>
  <c r="S1253" i="3"/>
  <c r="S1198" i="3"/>
  <c r="S1256" i="3"/>
  <c r="S1158" i="3"/>
  <c r="S374" i="3"/>
  <c r="S22" i="3"/>
  <c r="S641" i="3"/>
  <c r="S459" i="3"/>
  <c r="S1234" i="3"/>
  <c r="S686" i="3"/>
  <c r="S705" i="3"/>
  <c r="N264" i="2"/>
  <c r="N59" i="2"/>
  <c r="N159" i="2"/>
  <c r="C60" i="1"/>
  <c r="C48" i="1"/>
  <c r="S1938" i="3"/>
  <c r="S1268" i="3"/>
  <c r="S900" i="3"/>
  <c r="S1155" i="3"/>
  <c r="S1138" i="3"/>
  <c r="S479" i="3"/>
  <c r="S137" i="3"/>
  <c r="C58" i="1"/>
  <c r="C98" i="1"/>
  <c r="O1854" i="3"/>
  <c r="D269" i="3"/>
  <c r="P1116" i="1"/>
  <c r="P827" i="1"/>
  <c r="D1816" i="3"/>
  <c r="D1911" i="3"/>
  <c r="D1692" i="3"/>
  <c r="D1845" i="3"/>
  <c r="D899" i="3"/>
  <c r="D537" i="3"/>
  <c r="P841" i="1"/>
  <c r="U569" i="1"/>
  <c r="P569" i="1"/>
  <c r="U191" i="1"/>
  <c r="S1355" i="3"/>
  <c r="S577" i="3"/>
  <c r="S422" i="3"/>
  <c r="C515" i="1"/>
  <c r="C82" i="1"/>
  <c r="C405" i="1"/>
  <c r="C412" i="1"/>
  <c r="D498" i="3"/>
  <c r="D73" i="3"/>
  <c r="D689" i="3"/>
  <c r="P25" i="1"/>
  <c r="D594" i="3"/>
  <c r="D801" i="3"/>
  <c r="D655" i="3"/>
  <c r="J82" i="2"/>
  <c r="P482" i="1"/>
  <c r="C984" i="1"/>
  <c r="C1003" i="1"/>
  <c r="D1987" i="3"/>
  <c r="D1865" i="3"/>
  <c r="D1957" i="3"/>
  <c r="D1945" i="3"/>
  <c r="D1921" i="3"/>
  <c r="D1944" i="3"/>
  <c r="D1419" i="3"/>
  <c r="D1418" i="3"/>
  <c r="D1147" i="3"/>
  <c r="O1103" i="3"/>
  <c r="O1037" i="3"/>
  <c r="O935" i="3"/>
  <c r="D989" i="3"/>
  <c r="D1443" i="3"/>
  <c r="D755" i="3"/>
  <c r="D304" i="3"/>
  <c r="D988" i="3"/>
  <c r="D934" i="3"/>
  <c r="D271" i="3"/>
  <c r="D377" i="3"/>
  <c r="P1034" i="1"/>
  <c r="P818" i="1"/>
  <c r="P824" i="1"/>
  <c r="O689" i="3"/>
  <c r="D1092" i="3"/>
  <c r="D406" i="3"/>
  <c r="P390" i="1"/>
  <c r="D1539" i="3"/>
  <c r="O1435" i="3"/>
  <c r="D1545" i="3"/>
  <c r="D2066" i="3"/>
  <c r="D1223" i="3"/>
  <c r="D593" i="3"/>
  <c r="D1533" i="3"/>
  <c r="D800" i="3"/>
  <c r="D654" i="3"/>
  <c r="D16" i="3"/>
  <c r="U1186" i="1"/>
  <c r="P477" i="1"/>
  <c r="P633" i="1"/>
  <c r="U237" i="1"/>
  <c r="P174" i="1"/>
  <c r="E102" i="4"/>
  <c r="V1480" i="3"/>
  <c r="C57" i="1"/>
  <c r="C79" i="1"/>
  <c r="C644" i="1"/>
  <c r="C191" i="1"/>
  <c r="C1128" i="1"/>
  <c r="C862" i="1"/>
  <c r="C536" i="1"/>
  <c r="D1237" i="3"/>
  <c r="O1040" i="3"/>
  <c r="D717" i="3"/>
  <c r="D1098" i="3"/>
  <c r="D2019" i="3"/>
  <c r="O928" i="3"/>
  <c r="D984" i="3"/>
  <c r="P1098" i="1"/>
  <c r="P953" i="1"/>
  <c r="D1365" i="3"/>
  <c r="D1951" i="3"/>
  <c r="O1873" i="3"/>
  <c r="D1327" i="3"/>
  <c r="O1794" i="3"/>
  <c r="O1118" i="3"/>
  <c r="O1046" i="3"/>
  <c r="D624" i="3"/>
  <c r="O560" i="3"/>
  <c r="D539" i="3"/>
  <c r="D580" i="3"/>
  <c r="D59" i="3"/>
  <c r="O82" i="3"/>
  <c r="O412" i="3"/>
  <c r="P1173" i="1"/>
  <c r="P1094" i="1"/>
  <c r="P744" i="1"/>
  <c r="P340" i="1"/>
  <c r="P184" i="1"/>
  <c r="P173" i="1"/>
  <c r="V317" i="3"/>
  <c r="V316" i="3"/>
  <c r="D620" i="3"/>
  <c r="J17" i="2"/>
  <c r="U1187" i="1"/>
  <c r="D250" i="3"/>
  <c r="U748" i="1"/>
  <c r="P796" i="1"/>
  <c r="U834" i="1"/>
  <c r="U336" i="1"/>
  <c r="U154" i="1"/>
  <c r="C777" i="1"/>
  <c r="C773" i="1"/>
  <c r="C767" i="1"/>
  <c r="C749" i="1"/>
  <c r="D1338" i="3"/>
  <c r="O275" i="3"/>
  <c r="P750" i="1"/>
  <c r="D1788" i="3"/>
  <c r="D1785" i="3"/>
  <c r="D404" i="3"/>
  <c r="D111" i="3"/>
  <c r="O1068" i="3"/>
  <c r="D827" i="3"/>
  <c r="U500" i="1"/>
  <c r="P305" i="1"/>
  <c r="U16" i="1"/>
  <c r="N122" i="2"/>
  <c r="N294" i="2"/>
  <c r="D1842" i="3"/>
  <c r="D2077" i="3"/>
  <c r="D1610" i="3"/>
  <c r="D1461" i="3"/>
  <c r="D1438" i="3"/>
  <c r="D1433" i="3"/>
  <c r="D1424" i="3"/>
  <c r="D1549" i="3"/>
  <c r="D1406" i="3"/>
  <c r="D1459" i="3"/>
  <c r="O647" i="3"/>
  <c r="D643" i="3"/>
  <c r="D210" i="3"/>
  <c r="O711" i="3"/>
  <c r="O713" i="3"/>
  <c r="D332" i="3"/>
  <c r="J328" i="2"/>
  <c r="K779" i="1" s="1"/>
  <c r="J280" i="2"/>
  <c r="D290" i="3"/>
  <c r="J318" i="2"/>
  <c r="D273" i="3"/>
  <c r="J323" i="2"/>
  <c r="K17" i="1" s="1"/>
  <c r="J175" i="2"/>
  <c r="K106" i="1" s="1"/>
  <c r="J213" i="2"/>
  <c r="J285" i="2"/>
  <c r="K671" i="1" s="1"/>
  <c r="J88" i="2"/>
  <c r="J181" i="2"/>
  <c r="J275" i="2"/>
  <c r="J12" i="2"/>
  <c r="K634" i="1" s="1"/>
  <c r="J178" i="2"/>
  <c r="K13" i="1" s="1"/>
  <c r="P819" i="1"/>
  <c r="U797" i="1"/>
  <c r="D1938" i="3"/>
  <c r="O1759" i="3"/>
  <c r="D137" i="3"/>
  <c r="P428" i="1"/>
  <c r="D1828" i="3"/>
  <c r="O1951" i="3"/>
  <c r="O1512" i="3"/>
  <c r="D1478" i="3"/>
  <c r="D1548" i="3"/>
  <c r="D2027" i="3"/>
  <c r="D1758" i="3"/>
  <c r="O1625" i="3"/>
  <c r="D1458" i="3"/>
  <c r="O1318" i="3"/>
  <c r="O1509" i="3"/>
  <c r="O1303" i="3"/>
  <c r="O1299" i="3"/>
  <c r="D1366" i="3"/>
  <c r="D1328" i="3"/>
  <c r="O1294" i="3"/>
  <c r="O1607" i="3"/>
  <c r="D1188" i="3"/>
  <c r="D970" i="3"/>
  <c r="O1009" i="3"/>
  <c r="D969" i="3"/>
  <c r="O430" i="3"/>
  <c r="O501" i="3"/>
  <c r="O676" i="3"/>
  <c r="O607" i="3"/>
  <c r="O766" i="3"/>
  <c r="O750" i="3"/>
  <c r="D558" i="3"/>
  <c r="D676" i="3"/>
  <c r="J416" i="2"/>
  <c r="K1160" i="1" s="1"/>
  <c r="D767" i="3"/>
  <c r="D331" i="3"/>
  <c r="D212" i="3"/>
  <c r="D160" i="3"/>
  <c r="J306" i="2"/>
  <c r="D599" i="3"/>
  <c r="O624" i="3"/>
  <c r="D776" i="3"/>
  <c r="J84" i="2"/>
  <c r="K541" i="1" s="1"/>
  <c r="J139" i="2"/>
  <c r="J249" i="2"/>
  <c r="K196" i="1" s="1"/>
  <c r="U1124" i="1"/>
  <c r="J71" i="2"/>
  <c r="P1179" i="1"/>
  <c r="J145" i="2"/>
  <c r="K409" i="1" s="1"/>
  <c r="J34" i="2"/>
  <c r="P1192" i="1"/>
  <c r="P900" i="1"/>
  <c r="J233" i="2"/>
  <c r="P955" i="1"/>
  <c r="U980" i="1"/>
  <c r="P844" i="1"/>
  <c r="P1039" i="1"/>
  <c r="U629" i="1"/>
  <c r="P283" i="1"/>
  <c r="P353" i="1"/>
  <c r="P273" i="1"/>
  <c r="P1016" i="1"/>
  <c r="P718" i="1"/>
  <c r="P861" i="1"/>
  <c r="P313" i="1"/>
  <c r="P580" i="1"/>
  <c r="J149" i="2"/>
  <c r="P919" i="1"/>
  <c r="P808" i="1"/>
  <c r="U570" i="1"/>
  <c r="P240" i="1"/>
  <c r="P199" i="1"/>
  <c r="P643" i="1"/>
  <c r="P66" i="1"/>
  <c r="P23" i="1"/>
  <c r="P157" i="1"/>
  <c r="U106" i="1"/>
  <c r="P59" i="1"/>
  <c r="P466" i="1"/>
  <c r="D1584" i="3"/>
  <c r="D919" i="3"/>
  <c r="O876" i="3"/>
  <c r="P601" i="1"/>
  <c r="P775" i="1"/>
  <c r="P456" i="1"/>
  <c r="P301" i="1"/>
  <c r="V1943" i="3"/>
  <c r="V1471" i="3"/>
  <c r="V1023" i="3"/>
  <c r="V955" i="3"/>
  <c r="V958" i="3"/>
  <c r="V1541" i="3"/>
  <c r="D1541" i="3"/>
  <c r="P1046" i="1"/>
  <c r="E19" i="4"/>
  <c r="V213" i="3"/>
  <c r="V172" i="3"/>
  <c r="V118" i="3"/>
  <c r="V233" i="3"/>
  <c r="N325" i="2"/>
  <c r="N329" i="2"/>
  <c r="D1603" i="3"/>
  <c r="P274" i="1"/>
  <c r="D2036" i="3"/>
  <c r="D2056" i="3"/>
  <c r="D2035" i="3"/>
  <c r="D2034" i="3"/>
  <c r="O1986" i="3"/>
  <c r="D2033" i="3"/>
  <c r="D2032" i="3"/>
  <c r="D1622" i="3"/>
  <c r="D1963" i="3"/>
  <c r="D1740" i="3"/>
  <c r="D1973" i="3"/>
  <c r="D1466" i="3"/>
  <c r="D1094" i="3"/>
  <c r="D1066" i="3"/>
  <c r="D334" i="3"/>
  <c r="D702" i="3"/>
  <c r="D583" i="3"/>
  <c r="D1145" i="3"/>
  <c r="D71" i="3"/>
  <c r="U447" i="1"/>
  <c r="V1538" i="3"/>
  <c r="C842" i="1"/>
  <c r="C649" i="1"/>
  <c r="E13" i="4"/>
  <c r="V112" i="3"/>
  <c r="D1312" i="3"/>
  <c r="D1203" i="3"/>
  <c r="D1040" i="3"/>
  <c r="D1232" i="3"/>
  <c r="D351" i="3"/>
  <c r="D841" i="3"/>
  <c r="D892" i="3"/>
  <c r="J400" i="2"/>
  <c r="K662" i="1" s="1"/>
  <c r="P1123" i="1"/>
  <c r="U671" i="1"/>
  <c r="P835" i="1"/>
  <c r="U672" i="1"/>
  <c r="U406" i="1"/>
  <c r="U185" i="1"/>
  <c r="P365" i="1"/>
  <c r="V1367" i="3"/>
  <c r="V1362" i="3"/>
  <c r="Z744" i="1"/>
  <c r="F673" i="3"/>
  <c r="F308" i="3"/>
  <c r="F366" i="3"/>
  <c r="F1042" i="3"/>
  <c r="F1227" i="3"/>
  <c r="F1774" i="3"/>
  <c r="F292" i="3"/>
  <c r="D1850" i="3"/>
  <c r="D2073" i="3"/>
  <c r="D1964" i="3"/>
  <c r="D1488" i="3"/>
  <c r="D1369" i="3"/>
  <c r="D1498" i="3"/>
  <c r="D1370" i="3"/>
  <c r="D1566" i="3"/>
  <c r="O738" i="3"/>
  <c r="O880" i="3"/>
  <c r="O834" i="3"/>
  <c r="D1070" i="3"/>
  <c r="D695" i="3"/>
  <c r="D571" i="3"/>
  <c r="O665" i="3"/>
  <c r="D460" i="3"/>
  <c r="O684" i="3"/>
  <c r="D664" i="3"/>
  <c r="D618" i="3"/>
  <c r="D855" i="3"/>
  <c r="O825" i="3"/>
  <c r="D663" i="3"/>
  <c r="D162" i="3"/>
  <c r="O73" i="3"/>
  <c r="J404" i="2"/>
  <c r="K972" i="1" s="1"/>
  <c r="O498" i="3"/>
  <c r="J502" i="2"/>
  <c r="K361" i="1" s="1"/>
  <c r="D685" i="3"/>
  <c r="O695" i="3"/>
  <c r="O76" i="3"/>
  <c r="J354" i="2"/>
  <c r="K926" i="1" s="1"/>
  <c r="O616" i="3"/>
  <c r="D219" i="3"/>
  <c r="O182" i="3"/>
  <c r="J327" i="2"/>
  <c r="K1022" i="1" s="1"/>
  <c r="O217" i="3"/>
  <c r="D163" i="3"/>
  <c r="J132" i="2"/>
  <c r="K97" i="1" s="1"/>
  <c r="J62" i="2"/>
  <c r="K1037" i="1" s="1"/>
  <c r="U1123" i="1"/>
  <c r="J129" i="2"/>
  <c r="K1189" i="1" s="1"/>
  <c r="D459" i="3"/>
  <c r="O162" i="3"/>
  <c r="P863" i="1"/>
  <c r="P1069" i="1"/>
  <c r="P1062" i="1"/>
  <c r="P1058" i="1"/>
  <c r="U890" i="1"/>
  <c r="P845" i="1"/>
  <c r="P833" i="1"/>
  <c r="P279" i="1"/>
  <c r="P1010" i="1"/>
  <c r="P806" i="1"/>
  <c r="P672" i="1"/>
  <c r="P573" i="1"/>
  <c r="P338" i="1"/>
  <c r="J77" i="2"/>
  <c r="K558" i="1" s="1"/>
  <c r="J26" i="2"/>
  <c r="K557" i="1" s="1"/>
  <c r="P898" i="1"/>
  <c r="P783" i="1"/>
  <c r="U340" i="1"/>
  <c r="P85" i="1"/>
  <c r="P104" i="1"/>
  <c r="P56" i="1"/>
  <c r="P227" i="1"/>
  <c r="P238" i="1"/>
  <c r="P557" i="1"/>
  <c r="P275" i="1"/>
  <c r="U186" i="1"/>
  <c r="P773" i="1"/>
  <c r="P391" i="1"/>
  <c r="Z402" i="1"/>
  <c r="V1501" i="3"/>
  <c r="D1754" i="3"/>
  <c r="O533" i="3"/>
  <c r="D413" i="3"/>
  <c r="D1508" i="3"/>
  <c r="O727" i="3"/>
  <c r="O233" i="3"/>
  <c r="O297" i="3"/>
  <c r="P957" i="1"/>
  <c r="V385" i="3"/>
  <c r="D1444" i="3"/>
  <c r="D910" i="3"/>
  <c r="D49" i="3"/>
  <c r="C1207" i="1"/>
  <c r="C905" i="1"/>
  <c r="C1082" i="1"/>
  <c r="C938" i="1"/>
  <c r="C445" i="1"/>
  <c r="C791" i="1"/>
  <c r="C627" i="1"/>
  <c r="C295" i="1"/>
  <c r="C147" i="1"/>
  <c r="C7" i="1"/>
  <c r="D2067" i="3"/>
  <c r="D1032" i="3"/>
  <c r="D893" i="3"/>
  <c r="D167" i="3"/>
  <c r="P1188" i="1"/>
  <c r="P516" i="1"/>
  <c r="U184" i="1"/>
  <c r="P136" i="1"/>
  <c r="U568" i="1"/>
  <c r="C1177" i="1"/>
  <c r="C351" i="1"/>
  <c r="C313" i="1"/>
  <c r="C847" i="1"/>
  <c r="D2079" i="3"/>
  <c r="D1791" i="3"/>
  <c r="D619" i="3"/>
  <c r="J234" i="2"/>
  <c r="K319" i="1" s="1"/>
  <c r="D197" i="3"/>
  <c r="D829" i="3"/>
  <c r="C105" i="1"/>
  <c r="C63" i="1"/>
  <c r="C51" i="1"/>
  <c r="D211" i="3"/>
  <c r="Z124" i="1"/>
  <c r="D17" i="3"/>
  <c r="O39" i="3"/>
  <c r="N297" i="2"/>
  <c r="N125" i="2"/>
  <c r="C1198" i="1"/>
  <c r="C928" i="1"/>
  <c r="D1967" i="3"/>
  <c r="O1956" i="3"/>
  <c r="O2076" i="3"/>
  <c r="D1829" i="3"/>
  <c r="D1990" i="3"/>
  <c r="O1297" i="3"/>
  <c r="O1338" i="3"/>
  <c r="D768" i="3"/>
  <c r="D202" i="3"/>
  <c r="D798" i="3"/>
  <c r="O376" i="3"/>
  <c r="O504" i="3"/>
  <c r="P1068" i="1"/>
  <c r="P372" i="1"/>
  <c r="S950" i="3"/>
  <c r="S699" i="3"/>
  <c r="S512" i="3"/>
  <c r="N344" i="2"/>
  <c r="N15" i="2"/>
  <c r="C1218" i="1"/>
  <c r="C1226" i="1"/>
  <c r="C571" i="1"/>
  <c r="C578" i="1"/>
  <c r="S1917" i="3"/>
  <c r="S1415" i="3"/>
  <c r="S830" i="3"/>
  <c r="S1178" i="3"/>
  <c r="S373" i="3"/>
  <c r="S264" i="3"/>
  <c r="S735" i="3"/>
  <c r="S458" i="3"/>
  <c r="N296" i="2"/>
  <c r="N124" i="2"/>
  <c r="N123" i="2"/>
  <c r="N295" i="2"/>
  <c r="C1197" i="1"/>
  <c r="C927" i="1"/>
  <c r="C1047" i="1"/>
  <c r="S1983" i="3"/>
  <c r="S2043" i="3"/>
  <c r="N320" i="2"/>
  <c r="N291" i="2"/>
  <c r="N187" i="2"/>
  <c r="N290" i="2"/>
  <c r="N170" i="2"/>
  <c r="N184" i="2"/>
  <c r="N131" i="2"/>
  <c r="N186" i="2"/>
  <c r="N169" i="2"/>
  <c r="N188" i="2"/>
  <c r="N183" i="2"/>
  <c r="D1839" i="3"/>
  <c r="D1971" i="3"/>
  <c r="D1838" i="3"/>
  <c r="D1970" i="3"/>
  <c r="D1595" i="3"/>
  <c r="D1496" i="3"/>
  <c r="D1893" i="3"/>
  <c r="D1840" i="3"/>
  <c r="D1331" i="3"/>
  <c r="D1426" i="3"/>
  <c r="D1399" i="3"/>
  <c r="O1312" i="3"/>
  <c r="D1555" i="3"/>
  <c r="D1428" i="3"/>
  <c r="D971" i="3"/>
  <c r="D932" i="3"/>
  <c r="D946" i="3"/>
  <c r="D206" i="3"/>
  <c r="D352" i="3"/>
  <c r="D370" i="3"/>
  <c r="D713" i="3"/>
  <c r="D242" i="3"/>
  <c r="D711" i="3"/>
  <c r="J272" i="2"/>
  <c r="D135" i="3"/>
  <c r="O121" i="3"/>
  <c r="J252" i="2"/>
  <c r="K108" i="1" s="1"/>
  <c r="J228" i="2"/>
  <c r="J192" i="2"/>
  <c r="K1066" i="1" s="1"/>
  <c r="J144" i="2"/>
  <c r="J163" i="2"/>
  <c r="J86" i="2"/>
  <c r="J153" i="2"/>
  <c r="J141" i="2"/>
  <c r="J136" i="2"/>
  <c r="J20" i="2"/>
  <c r="K375" i="1" s="1"/>
  <c r="J269" i="2"/>
  <c r="J193" i="2"/>
  <c r="J85" i="2"/>
  <c r="J63" i="2"/>
  <c r="J135" i="2"/>
  <c r="J226" i="2"/>
  <c r="J287" i="2"/>
  <c r="J130" i="2"/>
  <c r="J214" i="2"/>
  <c r="U798" i="1"/>
  <c r="U51" i="1"/>
  <c r="C538" i="1"/>
  <c r="C863" i="1"/>
  <c r="C416" i="1"/>
  <c r="C27" i="1"/>
  <c r="C73" i="1"/>
  <c r="C64" i="1"/>
  <c r="C112" i="1"/>
  <c r="C141" i="1"/>
  <c r="C118" i="1"/>
  <c r="C133" i="1"/>
  <c r="S805" i="3"/>
  <c r="S492" i="3"/>
  <c r="Y124" i="1"/>
  <c r="N346" i="2"/>
  <c r="N288" i="2"/>
  <c r="N140" i="2"/>
  <c r="C614" i="1"/>
  <c r="Y599" i="1"/>
  <c r="C394" i="1"/>
  <c r="C690" i="1"/>
  <c r="C229" i="1"/>
  <c r="C1200" i="1"/>
  <c r="C602" i="1"/>
  <c r="C608" i="1"/>
  <c r="Y1121" i="1"/>
  <c r="N127" i="2"/>
  <c r="N115" i="2"/>
  <c r="N182" i="2"/>
  <c r="C529" i="1"/>
  <c r="C507" i="1"/>
  <c r="C1103" i="1"/>
  <c r="C1131" i="1"/>
  <c r="C865" i="1"/>
  <c r="C165" i="1"/>
  <c r="C1139" i="1"/>
  <c r="C1193" i="1"/>
  <c r="D2055" i="3"/>
  <c r="D1773" i="3"/>
  <c r="D1368" i="3"/>
  <c r="D754" i="3"/>
  <c r="D368" i="3"/>
  <c r="D107" i="3"/>
  <c r="S1566" i="3"/>
  <c r="S1377" i="3"/>
  <c r="S1128" i="3"/>
  <c r="S663" i="3"/>
  <c r="S217" i="3"/>
  <c r="C1136" i="1"/>
  <c r="C413" i="1"/>
  <c r="C241" i="1"/>
  <c r="C247" i="1"/>
  <c r="V1503" i="3"/>
  <c r="D1503" i="3"/>
  <c r="D183" i="3"/>
  <c r="P879" i="1"/>
  <c r="P383" i="1"/>
  <c r="D434" i="3"/>
  <c r="P903" i="1"/>
  <c r="D419" i="3"/>
  <c r="P1037" i="1"/>
  <c r="U942" i="1"/>
  <c r="D2061" i="3"/>
  <c r="O2044" i="3"/>
  <c r="D1764" i="3"/>
  <c r="D1469" i="3"/>
  <c r="D1377" i="3"/>
  <c r="D1590" i="3"/>
  <c r="O2009" i="3"/>
  <c r="D1293" i="3"/>
  <c r="O1530" i="3"/>
  <c r="D1821" i="3"/>
  <c r="O1291" i="3"/>
  <c r="D1186" i="3"/>
  <c r="D1355" i="3"/>
  <c r="O1494" i="3"/>
  <c r="O862" i="3"/>
  <c r="D159" i="3"/>
  <c r="D706" i="3"/>
  <c r="D623" i="3"/>
  <c r="O382" i="3"/>
  <c r="D845" i="3"/>
  <c r="D680" i="3"/>
  <c r="O888" i="3"/>
  <c r="D687" i="3"/>
  <c r="O393" i="3"/>
  <c r="D208" i="3"/>
  <c r="J507" i="2"/>
  <c r="K1144" i="1" s="1"/>
  <c r="J492" i="2"/>
  <c r="K1211" i="1" s="1"/>
  <c r="J392" i="2"/>
  <c r="K178" i="1" s="1"/>
  <c r="D207" i="3"/>
  <c r="O385" i="3"/>
  <c r="D508" i="3"/>
  <c r="J478" i="2"/>
  <c r="K1072" i="1" s="1"/>
  <c r="J420" i="2"/>
  <c r="K89" i="1" s="1"/>
  <c r="O136" i="3"/>
  <c r="J490" i="2"/>
  <c r="K911" i="1" s="1"/>
  <c r="O822" i="3"/>
  <c r="D253" i="3"/>
  <c r="J427" i="2"/>
  <c r="K533" i="1" s="1"/>
  <c r="O679" i="3"/>
  <c r="D23" i="3"/>
  <c r="J485" i="2"/>
  <c r="K266" i="1" s="1"/>
  <c r="J457" i="2"/>
  <c r="K100" i="1" s="1"/>
  <c r="J41" i="2"/>
  <c r="K137" i="1" s="1"/>
  <c r="J5" i="2"/>
  <c r="P1219" i="1"/>
  <c r="J489" i="2"/>
  <c r="K595" i="1" s="1"/>
  <c r="P895" i="1"/>
  <c r="P933" i="1"/>
  <c r="U979" i="1"/>
  <c r="J9" i="2"/>
  <c r="P1014" i="1"/>
  <c r="P911" i="1"/>
  <c r="P761" i="1"/>
  <c r="P606" i="1"/>
  <c r="P214" i="1"/>
  <c r="U407" i="1"/>
  <c r="P328" i="1"/>
  <c r="U1121" i="1"/>
  <c r="P878" i="1"/>
  <c r="U239" i="1"/>
  <c r="P811" i="1"/>
  <c r="P525" i="1"/>
  <c r="U833" i="1"/>
  <c r="P276" i="1"/>
  <c r="P787" i="1"/>
  <c r="P315" i="1"/>
  <c r="P389" i="1"/>
  <c r="P356" i="1"/>
  <c r="P127" i="1"/>
  <c r="P120" i="1"/>
  <c r="P62" i="1"/>
  <c r="P135" i="1"/>
  <c r="P433" i="1"/>
  <c r="P251" i="1"/>
  <c r="U47" i="1"/>
  <c r="P43" i="1"/>
  <c r="P684" i="1"/>
  <c r="U107" i="1"/>
  <c r="P114" i="1"/>
  <c r="S1590" i="3"/>
  <c r="S1530" i="3"/>
  <c r="S515" i="3"/>
  <c r="D1703" i="3"/>
  <c r="D710" i="3"/>
  <c r="V1006" i="3"/>
  <c r="E74" i="4"/>
  <c r="V1926" i="3"/>
  <c r="V1525" i="3"/>
  <c r="Z1093" i="1"/>
  <c r="C724" i="1"/>
  <c r="C732" i="1"/>
  <c r="D1778" i="3"/>
  <c r="D1999" i="3"/>
  <c r="D1998" i="3"/>
  <c r="D1421" i="3"/>
  <c r="O1843" i="3"/>
  <c r="D1571" i="3"/>
  <c r="D1631" i="3"/>
  <c r="D1531" i="3"/>
  <c r="D759" i="3"/>
  <c r="D986" i="3"/>
  <c r="D494" i="3"/>
  <c r="D651" i="3"/>
  <c r="D200" i="3"/>
  <c r="O708" i="3"/>
  <c r="D870" i="3"/>
  <c r="D104" i="3"/>
  <c r="D109" i="3"/>
  <c r="P873" i="1"/>
  <c r="P823" i="1"/>
  <c r="U403" i="1"/>
  <c r="O1934" i="3"/>
  <c r="D1357" i="3"/>
  <c r="D861" i="3"/>
  <c r="O370" i="3"/>
  <c r="P434" i="1"/>
  <c r="D1630" i="3"/>
  <c r="D1305" i="3"/>
  <c r="D1598" i="3"/>
  <c r="D1570" i="3"/>
  <c r="D1174" i="3"/>
  <c r="D785" i="3"/>
  <c r="D493" i="3"/>
  <c r="D372" i="3"/>
  <c r="C955" i="1"/>
  <c r="C1014" i="1"/>
  <c r="D840" i="3"/>
  <c r="V914" i="3"/>
  <c r="D914" i="3"/>
  <c r="U889" i="1"/>
  <c r="S355" i="3"/>
  <c r="S999" i="3"/>
  <c r="S103" i="3"/>
  <c r="S504" i="3"/>
  <c r="S124" i="3"/>
  <c r="C698" i="1"/>
  <c r="C680" i="1"/>
  <c r="D1482" i="3"/>
  <c r="D860" i="3"/>
  <c r="D1675" i="3"/>
  <c r="O1203" i="3"/>
  <c r="D1515" i="3"/>
  <c r="D337" i="3"/>
  <c r="D300" i="3"/>
  <c r="D246" i="3"/>
  <c r="J391" i="2"/>
  <c r="K42" i="1" s="1"/>
  <c r="J72" i="2"/>
  <c r="P1113" i="1"/>
  <c r="J311" i="2"/>
  <c r="P1107" i="1"/>
  <c r="J80" i="2"/>
  <c r="K213" i="1" s="1"/>
  <c r="J75" i="2"/>
  <c r="K212" i="1" s="1"/>
  <c r="P654" i="1"/>
  <c r="P41" i="1"/>
  <c r="P17" i="1"/>
  <c r="U10" i="1"/>
  <c r="N361" i="2"/>
  <c r="N360" i="2"/>
  <c r="N362" i="2"/>
  <c r="C806" i="1"/>
  <c r="C834" i="1"/>
  <c r="C488" i="1"/>
  <c r="C323" i="1"/>
  <c r="D1966" i="3"/>
  <c r="D1520" i="3"/>
  <c r="D884" i="3"/>
  <c r="D1093" i="3"/>
  <c r="O1167" i="3"/>
  <c r="C109" i="1"/>
  <c r="C115" i="1"/>
  <c r="V2054" i="3"/>
  <c r="V133" i="3"/>
  <c r="V137" i="3"/>
  <c r="Z1121" i="1"/>
  <c r="N111" i="2"/>
  <c r="N178" i="2"/>
  <c r="D1719" i="3"/>
  <c r="P58" i="1"/>
  <c r="P112" i="1"/>
  <c r="P132" i="1"/>
  <c r="P88" i="1"/>
  <c r="D925" i="3"/>
  <c r="D325" i="3"/>
  <c r="D2051" i="3"/>
  <c r="D1736" i="3"/>
  <c r="D1771" i="3"/>
  <c r="D1283" i="3"/>
  <c r="D1250" i="3"/>
  <c r="D779" i="3"/>
  <c r="D748" i="3"/>
  <c r="D344" i="3"/>
  <c r="P1124" i="1"/>
  <c r="P921" i="1"/>
  <c r="P927" i="1"/>
  <c r="P874" i="1"/>
  <c r="P891" i="1"/>
  <c r="U887" i="1"/>
  <c r="P611" i="1"/>
  <c r="P404" i="1"/>
  <c r="P394" i="1"/>
  <c r="P1067" i="1"/>
  <c r="U628" i="1"/>
  <c r="P722" i="1"/>
  <c r="P229" i="1"/>
  <c r="U105" i="1"/>
  <c r="U498" i="1"/>
  <c r="P572" i="1"/>
  <c r="P63" i="1"/>
  <c r="P767" i="1"/>
  <c r="U49" i="1"/>
  <c r="V458" i="3"/>
  <c r="V1271" i="3"/>
  <c r="D848" i="3"/>
  <c r="U941" i="1"/>
  <c r="V1299" i="3"/>
  <c r="D2015" i="3"/>
  <c r="D816" i="3"/>
  <c r="D1846" i="3"/>
  <c r="D1792" i="3"/>
  <c r="D1371" i="3"/>
  <c r="O1358" i="3"/>
  <c r="D987" i="3"/>
  <c r="O986" i="3"/>
  <c r="D1113" i="3"/>
  <c r="O977" i="3"/>
  <c r="O1111" i="3"/>
  <c r="D502" i="3"/>
  <c r="D383" i="3"/>
  <c r="D510" i="3"/>
  <c r="D255" i="3"/>
  <c r="O321" i="3"/>
  <c r="J100" i="2"/>
  <c r="J107" i="2"/>
  <c r="U977" i="1"/>
  <c r="U886" i="1"/>
  <c r="U504" i="1"/>
  <c r="P769" i="1"/>
  <c r="P602" i="1"/>
  <c r="P703" i="1"/>
  <c r="P698" i="1"/>
  <c r="P685" i="1"/>
  <c r="U746" i="1"/>
  <c r="U749" i="1"/>
  <c r="P513" i="1"/>
  <c r="N146" i="2"/>
  <c r="N19" i="2"/>
  <c r="D728" i="3"/>
  <c r="U1035" i="1"/>
  <c r="N225" i="2"/>
  <c r="N227" i="2"/>
  <c r="C1027" i="1"/>
  <c r="C468" i="1"/>
  <c r="V2029" i="3"/>
  <c r="V2000" i="3"/>
  <c r="E138" i="4"/>
  <c r="V22" i="3"/>
  <c r="E9" i="4"/>
  <c r="V1761" i="3"/>
  <c r="V1966" i="3"/>
  <c r="F650" i="3"/>
  <c r="F165" i="3"/>
  <c r="F68" i="3"/>
  <c r="F613" i="3"/>
  <c r="F518" i="3"/>
  <c r="F486" i="3"/>
  <c r="F1093" i="3"/>
  <c r="F738" i="3"/>
  <c r="F1435" i="3"/>
  <c r="F1791" i="3"/>
  <c r="F1581" i="3"/>
  <c r="F1978" i="3"/>
  <c r="D1955" i="3"/>
  <c r="D857" i="3"/>
  <c r="P1134" i="1"/>
  <c r="O79" i="3"/>
  <c r="P358" i="1"/>
  <c r="V1697" i="3"/>
  <c r="V1700" i="3"/>
  <c r="D1511" i="3"/>
  <c r="O575" i="3"/>
  <c r="U793" i="1"/>
  <c r="U338" i="1"/>
  <c r="V1452" i="3"/>
  <c r="C918" i="1"/>
  <c r="C898" i="1"/>
  <c r="O1876" i="3"/>
  <c r="P480" i="1"/>
  <c r="C970" i="1"/>
  <c r="C171" i="1"/>
  <c r="N153" i="2"/>
  <c r="N136" i="2"/>
  <c r="N135" i="2"/>
  <c r="N228" i="2"/>
  <c r="S1435" i="3"/>
  <c r="S388" i="3"/>
  <c r="N299" i="2"/>
  <c r="N174" i="2"/>
  <c r="D1693" i="3"/>
  <c r="P581" i="1"/>
  <c r="O1392" i="3"/>
  <c r="D1513" i="3"/>
  <c r="D741" i="3"/>
  <c r="D1581" i="3"/>
  <c r="D742" i="3"/>
  <c r="C1057" i="1"/>
  <c r="C1039" i="1"/>
  <c r="S2060" i="3"/>
  <c r="S977" i="3"/>
  <c r="S382" i="3"/>
  <c r="S980" i="3"/>
  <c r="C460" i="1"/>
  <c r="C489" i="1"/>
  <c r="C686" i="1"/>
  <c r="S1555" i="3"/>
  <c r="S301" i="3"/>
  <c r="S537" i="3"/>
  <c r="S191" i="3"/>
  <c r="S450" i="3"/>
  <c r="S43" i="3"/>
  <c r="N284" i="2"/>
  <c r="N282" i="2"/>
  <c r="C1192" i="1"/>
  <c r="C1137" i="1"/>
  <c r="C246" i="1"/>
  <c r="C957" i="1"/>
  <c r="C228" i="1"/>
  <c r="F1926" i="3"/>
  <c r="F1474" i="3"/>
  <c r="F1522" i="3"/>
  <c r="O1978" i="3"/>
  <c r="D621" i="3"/>
  <c r="O1649" i="3"/>
  <c r="P869" i="1"/>
  <c r="P805" i="1"/>
  <c r="S1531" i="3"/>
  <c r="S1527" i="3"/>
  <c r="S1013" i="3"/>
  <c r="S511" i="3"/>
  <c r="S700" i="3"/>
  <c r="N349" i="2"/>
  <c r="N330" i="2"/>
  <c r="N97" i="2"/>
  <c r="N96" i="2"/>
  <c r="C654" i="1"/>
  <c r="C632" i="1"/>
  <c r="C1126" i="1"/>
  <c r="C1098" i="1"/>
  <c r="C1093" i="1"/>
  <c r="S1786" i="3"/>
  <c r="S2091" i="3"/>
  <c r="S2033" i="3"/>
  <c r="S2007" i="3"/>
  <c r="S1882" i="3"/>
  <c r="S1852" i="3"/>
  <c r="S1798" i="3"/>
  <c r="S1516" i="3"/>
  <c r="S1252" i="3"/>
  <c r="S1495" i="3"/>
  <c r="S1255" i="3"/>
  <c r="S1101" i="3"/>
  <c r="S831" i="3"/>
  <c r="S197" i="3"/>
  <c r="S1241" i="3"/>
  <c r="S768" i="3"/>
  <c r="S246" i="3"/>
  <c r="S815" i="3"/>
  <c r="S104" i="3"/>
  <c r="S23" i="3"/>
  <c r="S483" i="3"/>
  <c r="C525" i="1"/>
  <c r="C503" i="1"/>
  <c r="N372" i="2"/>
  <c r="N23" i="2"/>
  <c r="N12" i="2"/>
  <c r="N355" i="2"/>
  <c r="C524" i="1"/>
  <c r="C502" i="1"/>
  <c r="S1778" i="3"/>
  <c r="S1849" i="3"/>
  <c r="S1895" i="3"/>
  <c r="S1997" i="3"/>
  <c r="S589" i="3"/>
  <c r="S1020" i="3"/>
  <c r="S750" i="3"/>
  <c r="S539" i="3"/>
  <c r="S2074" i="3"/>
  <c r="S1952" i="3"/>
  <c r="S1935" i="3"/>
  <c r="S1625" i="3"/>
  <c r="S1800" i="3"/>
  <c r="S1245" i="3"/>
  <c r="S1392" i="3"/>
  <c r="S1136" i="3"/>
  <c r="S1108" i="3"/>
  <c r="S1112" i="3"/>
  <c r="S883" i="3"/>
  <c r="S356" i="3"/>
  <c r="S370" i="3"/>
  <c r="S261" i="3"/>
  <c r="S420" i="3"/>
  <c r="S673" i="3"/>
  <c r="S336" i="3"/>
  <c r="S226" i="3"/>
  <c r="S495" i="3"/>
  <c r="S579" i="3"/>
  <c r="S625" i="3"/>
  <c r="S545" i="3"/>
  <c r="S423" i="3"/>
  <c r="S571" i="3"/>
  <c r="S714" i="3"/>
  <c r="S115" i="3"/>
  <c r="C404" i="1"/>
  <c r="C411" i="1"/>
  <c r="C484" i="1"/>
  <c r="C452" i="1"/>
  <c r="S2073" i="3"/>
  <c r="S2039" i="3"/>
  <c r="S1341" i="3"/>
  <c r="S1477" i="3"/>
  <c r="S1931" i="3"/>
  <c r="S1814" i="3"/>
  <c r="S1356" i="3"/>
  <c r="S1243" i="3"/>
  <c r="S782" i="3"/>
  <c r="S713" i="3"/>
  <c r="S68" i="3"/>
  <c r="S410" i="3"/>
  <c r="D1348" i="3"/>
  <c r="O196" i="3"/>
  <c r="D1786" i="3"/>
  <c r="D1505" i="3"/>
  <c r="D1796" i="3"/>
  <c r="D1800" i="3"/>
  <c r="D1306" i="3"/>
  <c r="D1175" i="3"/>
  <c r="D786" i="3"/>
  <c r="D431" i="3"/>
  <c r="J235" i="2"/>
  <c r="K320" i="1" s="1"/>
  <c r="V2071" i="3"/>
  <c r="V1649" i="3"/>
  <c r="V977" i="3"/>
  <c r="V140" i="3"/>
  <c r="C1025" i="1"/>
  <c r="C810" i="1"/>
  <c r="C464" i="1"/>
  <c r="C175" i="1"/>
  <c r="C325" i="1"/>
  <c r="C821" i="1"/>
  <c r="C490" i="1"/>
  <c r="C658" i="1"/>
  <c r="F2009" i="3"/>
  <c r="F2044" i="3"/>
  <c r="D1976" i="3"/>
  <c r="D1104" i="3"/>
  <c r="D1038" i="3"/>
  <c r="D978" i="3"/>
  <c r="D936" i="3"/>
  <c r="D764" i="3"/>
  <c r="D414" i="3"/>
  <c r="D1012" i="3"/>
  <c r="D2014" i="3"/>
  <c r="D1050" i="3"/>
  <c r="D120" i="3"/>
  <c r="V1682" i="3"/>
  <c r="V975" i="3"/>
  <c r="C1111" i="1"/>
  <c r="C1099" i="1"/>
  <c r="D1088" i="3"/>
  <c r="D367" i="3"/>
  <c r="D382" i="3"/>
  <c r="D1858" i="3"/>
  <c r="D1587" i="3"/>
  <c r="P930" i="1"/>
  <c r="D1665" i="3"/>
  <c r="D65" i="3"/>
  <c r="P19" i="1"/>
  <c r="Y1083" i="1"/>
  <c r="C403" i="1"/>
  <c r="C366" i="1"/>
  <c r="C339" i="1"/>
  <c r="P243" i="1"/>
  <c r="P749" i="1"/>
  <c r="D1034" i="3"/>
  <c r="D782" i="3"/>
  <c r="D1995" i="3"/>
  <c r="D1152" i="3"/>
  <c r="U939" i="1"/>
  <c r="V1759" i="3"/>
  <c r="D1691" i="3"/>
  <c r="D1759" i="3"/>
  <c r="D1815" i="3"/>
  <c r="D1811" i="3"/>
  <c r="D1760" i="3"/>
  <c r="O1305" i="3"/>
  <c r="D788" i="3"/>
  <c r="O1174" i="3"/>
  <c r="D166" i="3"/>
  <c r="U981" i="1"/>
  <c r="P982" i="1"/>
  <c r="P678" i="1"/>
  <c r="P522" i="1"/>
  <c r="S2026" i="3"/>
  <c r="S1200" i="3"/>
  <c r="S404" i="3"/>
  <c r="S349" i="3"/>
  <c r="S228" i="3"/>
  <c r="C338" i="1"/>
  <c r="C365" i="1"/>
  <c r="C461" i="1"/>
  <c r="C844" i="1"/>
  <c r="C174" i="1"/>
  <c r="D1673" i="3"/>
  <c r="D1156" i="3"/>
  <c r="D1047" i="3"/>
  <c r="O1155" i="3"/>
  <c r="O1162" i="3"/>
  <c r="O236" i="3"/>
  <c r="D36" i="3"/>
  <c r="D561" i="3"/>
  <c r="D289" i="3"/>
  <c r="J393" i="2"/>
  <c r="K179" i="1" s="1"/>
  <c r="D98" i="3"/>
  <c r="D236" i="3"/>
  <c r="U1084" i="1"/>
  <c r="J172" i="2"/>
  <c r="J186" i="2"/>
  <c r="J169" i="2"/>
  <c r="K25" i="1" s="1"/>
  <c r="J188" i="2"/>
  <c r="U12" i="1"/>
  <c r="V501" i="3"/>
  <c r="V525" i="3"/>
  <c r="V498" i="3"/>
  <c r="N373" i="2"/>
  <c r="N152" i="2"/>
  <c r="N314" i="2"/>
  <c r="C833" i="1"/>
  <c r="C805" i="1"/>
  <c r="U1189" i="1"/>
  <c r="P421" i="1"/>
  <c r="C638" i="1"/>
  <c r="C674" i="1"/>
  <c r="D1770" i="3"/>
  <c r="D1804" i="3"/>
  <c r="P462" i="1"/>
  <c r="D648" i="3"/>
  <c r="D282" i="3"/>
  <c r="D306" i="3"/>
  <c r="D61" i="3"/>
  <c r="J204" i="2"/>
  <c r="J199" i="2"/>
  <c r="J206" i="2"/>
  <c r="J196" i="2"/>
  <c r="K86" i="1" s="1"/>
  <c r="P476" i="1"/>
  <c r="P175" i="1"/>
  <c r="U151" i="1"/>
  <c r="P459" i="1"/>
  <c r="V1768" i="3"/>
  <c r="V449" i="3"/>
  <c r="N155" i="2"/>
  <c r="N260" i="2"/>
  <c r="N55" i="2"/>
  <c r="D1296" i="3"/>
  <c r="D538" i="3"/>
  <c r="D155" i="3"/>
  <c r="V1803" i="3"/>
  <c r="V1755" i="3"/>
  <c r="D1161" i="3"/>
  <c r="D1029" i="3"/>
  <c r="D1024" i="3"/>
  <c r="D959" i="3"/>
  <c r="P188" i="1"/>
  <c r="C480" i="1"/>
  <c r="C476" i="1"/>
  <c r="D1925" i="3"/>
  <c r="D724" i="3"/>
  <c r="D473" i="3"/>
  <c r="D805" i="3"/>
  <c r="D1376" i="3"/>
  <c r="D1123" i="3"/>
  <c r="D523" i="3"/>
  <c r="D622" i="3"/>
  <c r="D158" i="3"/>
  <c r="V303" i="3"/>
  <c r="C987" i="1"/>
  <c r="C953" i="1"/>
  <c r="D356" i="3"/>
  <c r="P864" i="1"/>
  <c r="V1458" i="3"/>
  <c r="V331" i="3"/>
  <c r="V334" i="3"/>
  <c r="F58" i="3"/>
  <c r="F888" i="3"/>
  <c r="F531" i="3"/>
  <c r="F1341" i="3"/>
  <c r="F1530" i="3"/>
  <c r="F1778" i="3"/>
  <c r="F2032" i="3"/>
  <c r="O1897" i="3"/>
  <c r="O1613" i="3"/>
  <c r="D1492" i="3"/>
  <c r="D1801" i="3"/>
  <c r="O1800" i="3"/>
  <c r="D1614" i="3"/>
  <c r="D1564" i="3"/>
  <c r="D1115" i="3"/>
  <c r="O950" i="3"/>
  <c r="O1042" i="3"/>
  <c r="D950" i="3"/>
  <c r="D1116" i="3"/>
  <c r="D1157" i="3"/>
  <c r="D1022" i="3"/>
  <c r="D257" i="3"/>
  <c r="D647" i="3"/>
  <c r="D1197" i="3"/>
  <c r="O422" i="3"/>
  <c r="J362" i="2"/>
  <c r="K1222" i="1" s="1"/>
  <c r="O106" i="3"/>
  <c r="J363" i="2"/>
  <c r="K516" i="1" s="1"/>
  <c r="O281" i="3"/>
  <c r="D106" i="3"/>
  <c r="J367" i="2"/>
  <c r="P1061" i="1"/>
  <c r="J359" i="2"/>
  <c r="P1013" i="1"/>
  <c r="P979" i="1"/>
  <c r="D1674" i="3"/>
  <c r="O1160" i="3"/>
  <c r="D1491" i="3"/>
  <c r="O1023" i="3"/>
  <c r="O1138" i="3"/>
  <c r="D1049" i="3"/>
  <c r="O938" i="3"/>
  <c r="D563" i="3"/>
  <c r="D256" i="3"/>
  <c r="J366" i="2"/>
  <c r="J361" i="2"/>
  <c r="J368" i="2"/>
  <c r="J358" i="2"/>
  <c r="K83" i="1" s="1"/>
  <c r="P949" i="1"/>
  <c r="D287" i="3"/>
  <c r="P303" i="1"/>
  <c r="F681" i="3"/>
  <c r="D309" i="3"/>
  <c r="U157" i="1"/>
  <c r="Z1159" i="1"/>
  <c r="V592" i="3"/>
  <c r="V1954" i="3"/>
  <c r="V1956" i="3"/>
  <c r="N337" i="2"/>
  <c r="N207" i="2"/>
  <c r="C807" i="1"/>
  <c r="C817" i="1"/>
  <c r="C687" i="1"/>
  <c r="S2056" i="3"/>
  <c r="S1973" i="3"/>
  <c r="S1918" i="3"/>
  <c r="S1809" i="3"/>
  <c r="S1858" i="3"/>
  <c r="S1936" i="3"/>
  <c r="S1746" i="3"/>
  <c r="S1656" i="3"/>
  <c r="S1587" i="3"/>
  <c r="S1393" i="3"/>
  <c r="S1272" i="3"/>
  <c r="S1405" i="3"/>
  <c r="S889" i="3"/>
  <c r="S953" i="3"/>
  <c r="S214" i="3"/>
  <c r="S518" i="3"/>
  <c r="S810" i="3"/>
  <c r="S456" i="3"/>
  <c r="S509" i="3"/>
  <c r="S268" i="3"/>
  <c r="S946" i="3"/>
  <c r="S628" i="3"/>
  <c r="S864" i="3"/>
  <c r="S540" i="3"/>
  <c r="S910" i="3"/>
  <c r="S150" i="3"/>
  <c r="S154" i="3"/>
  <c r="S549" i="3"/>
  <c r="S412" i="3"/>
  <c r="S254" i="3"/>
  <c r="S116" i="3"/>
  <c r="C642" i="1"/>
  <c r="C657" i="1"/>
  <c r="C1138" i="1"/>
  <c r="C1058" i="1"/>
  <c r="S1582" i="3"/>
  <c r="S1596" i="3"/>
  <c r="S988" i="3"/>
  <c r="S616" i="3"/>
  <c r="S1987" i="3"/>
  <c r="S1971" i="3"/>
  <c r="S2004" i="3"/>
  <c r="S1805" i="3"/>
  <c r="S2019" i="3"/>
  <c r="S1943" i="3"/>
  <c r="S1797" i="3"/>
  <c r="S1677" i="3"/>
  <c r="S1204" i="3"/>
  <c r="S1046" i="3"/>
  <c r="S560" i="3"/>
  <c r="S19" i="3"/>
  <c r="S925" i="3"/>
  <c r="N114" i="2"/>
  <c r="N181" i="2"/>
  <c r="D1162" i="3"/>
  <c r="P515" i="1"/>
  <c r="P613" i="1"/>
  <c r="P584" i="1"/>
  <c r="P556" i="1"/>
  <c r="D1813" i="3"/>
  <c r="P1135" i="1"/>
  <c r="D1618" i="3"/>
  <c r="O366" i="3"/>
  <c r="S2069" i="3"/>
  <c r="S1782" i="3"/>
  <c r="S1745" i="3"/>
  <c r="S1669" i="3"/>
  <c r="S1653" i="3"/>
  <c r="S1855" i="3"/>
  <c r="S1146" i="3"/>
  <c r="S1318" i="3"/>
  <c r="S1244" i="3"/>
  <c r="S1189" i="3"/>
  <c r="S1308" i="3"/>
  <c r="S1135" i="3"/>
  <c r="S1808" i="3"/>
  <c r="S1348" i="3"/>
  <c r="S1109" i="3"/>
  <c r="S1218" i="3"/>
  <c r="S926" i="3"/>
  <c r="S1053" i="3"/>
  <c r="S674" i="3"/>
  <c r="S396" i="3"/>
  <c r="S1111" i="3"/>
  <c r="S777" i="3"/>
  <c r="S304" i="3"/>
  <c r="S322" i="3"/>
  <c r="S617" i="3"/>
  <c r="S213" i="3"/>
  <c r="S1713" i="3"/>
  <c r="S2022" i="3"/>
  <c r="S1765" i="3"/>
  <c r="S1118" i="3"/>
  <c r="S823" i="3"/>
  <c r="S1025" i="3"/>
  <c r="S955" i="3"/>
  <c r="S359" i="3"/>
  <c r="C655" i="1"/>
  <c r="C633" i="1"/>
  <c r="D2038" i="3"/>
  <c r="D1769" i="3"/>
  <c r="D753" i="3"/>
  <c r="D142" i="3"/>
  <c r="P1026" i="1"/>
  <c r="S1342" i="3"/>
  <c r="S419" i="3"/>
  <c r="S881" i="3"/>
  <c r="S863" i="3"/>
  <c r="C259" i="1"/>
  <c r="C590" i="1"/>
  <c r="C1062" i="1"/>
  <c r="C1068" i="1"/>
  <c r="C251" i="1"/>
  <c r="D1014" i="3"/>
  <c r="D1246" i="3"/>
  <c r="D480" i="3"/>
  <c r="D393" i="3"/>
  <c r="D2096" i="3"/>
  <c r="D1103" i="3"/>
  <c r="D1037" i="3"/>
  <c r="D935" i="3"/>
  <c r="D203" i="3"/>
  <c r="S1992" i="3"/>
  <c r="S2017" i="3"/>
  <c r="S1801" i="3"/>
  <c r="S1844" i="3"/>
  <c r="S1626" i="3"/>
  <c r="S1792" i="3"/>
  <c r="S1695" i="3"/>
  <c r="S1346" i="3"/>
  <c r="S1772" i="3"/>
  <c r="S1349" i="3"/>
  <c r="S1263" i="3"/>
  <c r="S884" i="3"/>
  <c r="S888" i="3"/>
  <c r="S941" i="3"/>
  <c r="S425" i="3"/>
  <c r="S785" i="3"/>
  <c r="S739" i="3"/>
  <c r="S464" i="3"/>
  <c r="S265" i="3"/>
  <c r="S253" i="3"/>
  <c r="S776" i="3"/>
  <c r="S546" i="3"/>
  <c r="S455" i="3"/>
  <c r="S508" i="3"/>
  <c r="S945" i="3"/>
  <c r="S675" i="3"/>
  <c r="S145" i="3"/>
  <c r="S736" i="3"/>
  <c r="S496" i="3"/>
  <c r="S262" i="3"/>
  <c r="S1116" i="3"/>
  <c r="S627" i="3"/>
  <c r="S548" i="3"/>
  <c r="S371" i="3"/>
  <c r="S533" i="3"/>
  <c r="S666" i="3"/>
  <c r="C343" i="1"/>
  <c r="C383" i="1"/>
  <c r="C355" i="1"/>
  <c r="C367" i="1"/>
  <c r="C342" i="1"/>
  <c r="S2003" i="3"/>
  <c r="S1941" i="3"/>
  <c r="S1781" i="3"/>
  <c r="S1452" i="3"/>
  <c r="S1594" i="3"/>
  <c r="S1655" i="3"/>
  <c r="S1324" i="3"/>
  <c r="S1403" i="3"/>
  <c r="S1410" i="3"/>
  <c r="S1310" i="3"/>
  <c r="S1217" i="3"/>
  <c r="S842" i="3"/>
  <c r="S1362" i="3"/>
  <c r="S1125" i="3"/>
  <c r="S1447" i="3"/>
  <c r="S731" i="3"/>
  <c r="S337" i="3"/>
  <c r="S395" i="3"/>
  <c r="S909" i="3"/>
  <c r="S50" i="3"/>
  <c r="S168" i="3"/>
  <c r="C677" i="1"/>
  <c r="C703" i="1"/>
  <c r="C695" i="1"/>
  <c r="C948" i="1"/>
  <c r="C1005" i="1"/>
  <c r="C952" i="1"/>
  <c r="C986" i="1"/>
  <c r="D1997" i="3"/>
  <c r="D1853" i="3"/>
  <c r="D1390" i="3"/>
  <c r="D1504" i="3"/>
  <c r="D1414" i="3"/>
  <c r="D1446" i="3"/>
  <c r="D1393" i="3"/>
  <c r="O1461" i="3"/>
  <c r="D1272" i="3"/>
  <c r="D1402" i="3"/>
  <c r="O1554" i="3"/>
  <c r="O627" i="3"/>
  <c r="D637" i="3"/>
  <c r="D522" i="3"/>
  <c r="D634" i="3"/>
  <c r="D628" i="3"/>
  <c r="D591" i="3"/>
  <c r="D996" i="3"/>
  <c r="O115" i="3"/>
  <c r="J314" i="2"/>
  <c r="J292" i="2"/>
  <c r="K434" i="1" s="1"/>
  <c r="D100" i="3"/>
  <c r="O93" i="3"/>
  <c r="J373" i="2"/>
  <c r="J313" i="2"/>
  <c r="J344" i="2"/>
  <c r="J308" i="2"/>
  <c r="J370" i="2"/>
  <c r="K95" i="1" s="1"/>
  <c r="J348" i="2"/>
  <c r="K1013" i="1" s="1"/>
  <c r="J230" i="2"/>
  <c r="J146" i="2"/>
  <c r="K1169" i="1" s="1"/>
  <c r="J52" i="2"/>
  <c r="J237" i="2"/>
  <c r="K243" i="1" s="1"/>
  <c r="J165" i="2"/>
  <c r="J220" i="2"/>
  <c r="K154" i="1" s="1"/>
  <c r="J208" i="2"/>
  <c r="J13" i="2"/>
  <c r="J371" i="2"/>
  <c r="J347" i="2"/>
  <c r="J167" i="2"/>
  <c r="J95" i="2"/>
  <c r="K945" i="1" s="1"/>
  <c r="J258" i="2"/>
  <c r="J210" i="2"/>
  <c r="J150" i="2"/>
  <c r="K946" i="1" s="1"/>
  <c r="J90" i="2"/>
  <c r="D293" i="3"/>
  <c r="J147" i="2"/>
  <c r="K968" i="1" s="1"/>
  <c r="J89" i="2"/>
  <c r="J19" i="2"/>
  <c r="K374" i="1" s="1"/>
  <c r="J209" i="2"/>
  <c r="K983" i="1" s="1"/>
  <c r="U796" i="1"/>
  <c r="U9" i="1"/>
  <c r="D1658" i="3"/>
  <c r="D1697" i="3"/>
  <c r="D1300" i="3"/>
  <c r="D871" i="3"/>
  <c r="D515" i="3"/>
  <c r="D196" i="3"/>
  <c r="S1761" i="3"/>
  <c r="S1541" i="3"/>
  <c r="C727" i="1"/>
  <c r="C678" i="1"/>
  <c r="C704" i="1"/>
  <c r="C647" i="1"/>
  <c r="C696" i="1"/>
  <c r="D991" i="3"/>
  <c r="D814" i="3"/>
  <c r="P369" i="1"/>
  <c r="O205" i="3"/>
  <c r="D692" i="3"/>
  <c r="O854" i="3"/>
  <c r="P1208" i="1"/>
  <c r="D1994" i="3"/>
  <c r="D1682" i="3"/>
  <c r="D1206" i="3"/>
  <c r="D531" i="3"/>
  <c r="P940" i="1"/>
  <c r="E136" i="4"/>
  <c r="V1923" i="3"/>
  <c r="V722" i="3"/>
  <c r="C753" i="1"/>
  <c r="C746" i="1"/>
  <c r="D1395" i="3"/>
  <c r="D284" i="3"/>
  <c r="U405" i="1"/>
  <c r="P42" i="1"/>
  <c r="D1933" i="3"/>
  <c r="D1836" i="3"/>
  <c r="D1688" i="3"/>
  <c r="D1295" i="3"/>
  <c r="D773" i="3"/>
  <c r="D1141" i="3"/>
  <c r="D541" i="3"/>
  <c r="P1190" i="1"/>
  <c r="J133" i="2"/>
  <c r="P890" i="1"/>
  <c r="P910" i="1"/>
  <c r="P81" i="1"/>
  <c r="P107" i="1"/>
  <c r="P126" i="1"/>
  <c r="P77" i="1"/>
  <c r="P53" i="1"/>
  <c r="V1522" i="3"/>
  <c r="V1474" i="3"/>
  <c r="V1518" i="3"/>
  <c r="P1225" i="1"/>
  <c r="P137" i="1"/>
  <c r="S490" i="3"/>
  <c r="S231" i="3"/>
  <c r="S440" i="3"/>
  <c r="C837" i="1"/>
  <c r="C1021" i="1"/>
  <c r="C822" i="1"/>
  <c r="C811" i="1"/>
  <c r="C802" i="1"/>
  <c r="C857" i="1"/>
  <c r="O1446" i="3"/>
  <c r="O1402" i="3"/>
  <c r="D586" i="3"/>
  <c r="Z792" i="1"/>
  <c r="S1666" i="3"/>
  <c r="S1843" i="3"/>
  <c r="S1227" i="3"/>
  <c r="S1115" i="3"/>
  <c r="S121" i="3"/>
  <c r="D690" i="3"/>
  <c r="O103" i="3"/>
  <c r="P688" i="1"/>
  <c r="D1978" i="3"/>
  <c r="O514" i="3"/>
  <c r="D1358" i="3"/>
  <c r="D1301" i="3"/>
  <c r="P1229" i="1"/>
  <c r="U108" i="1"/>
  <c r="O577" i="3"/>
  <c r="D858" i="3"/>
  <c r="D1313" i="3"/>
  <c r="D675" i="3"/>
  <c r="D674" i="3"/>
  <c r="D673" i="3"/>
  <c r="P239" i="1"/>
  <c r="N206" i="2"/>
  <c r="N201" i="2"/>
  <c r="N196" i="2"/>
  <c r="N205" i="2"/>
  <c r="N202" i="2"/>
  <c r="N197" i="2"/>
  <c r="N204" i="2"/>
  <c r="C226" i="1"/>
  <c r="C603" i="1"/>
  <c r="C609" i="1"/>
  <c r="D455" i="3"/>
  <c r="O258" i="3"/>
  <c r="D1253" i="3"/>
  <c r="D1256" i="3"/>
  <c r="D1077" i="3"/>
  <c r="D668" i="3"/>
  <c r="N269" i="2"/>
  <c r="N226" i="2"/>
  <c r="O1407" i="3"/>
  <c r="D1672" i="3"/>
  <c r="D981" i="3"/>
  <c r="D1046" i="3"/>
  <c r="D244" i="3"/>
  <c r="D560" i="3"/>
  <c r="D1150" i="3"/>
  <c r="D28" i="3"/>
  <c r="D122" i="3"/>
  <c r="D76" i="3"/>
  <c r="J103" i="2"/>
  <c r="J102" i="2"/>
  <c r="K170" i="1" s="1"/>
  <c r="J104" i="2"/>
  <c r="J243" i="2"/>
  <c r="K965" i="1" s="1"/>
  <c r="J106" i="2"/>
  <c r="K555" i="1" s="1"/>
  <c r="P481" i="1"/>
  <c r="V1612" i="3"/>
  <c r="V1433" i="3"/>
  <c r="C613" i="1"/>
  <c r="Z599" i="1"/>
  <c r="C186" i="1"/>
  <c r="C163" i="1"/>
  <c r="D1538" i="3"/>
  <c r="D1535" i="3"/>
  <c r="D1900" i="3"/>
  <c r="D1781" i="3"/>
  <c r="D1855" i="3"/>
  <c r="D1201" i="3"/>
  <c r="D1172" i="3"/>
  <c r="D1214" i="3"/>
  <c r="D418" i="3"/>
  <c r="J332" i="2"/>
  <c r="K512" i="1" s="1"/>
  <c r="D164" i="3"/>
  <c r="J333" i="2"/>
  <c r="K513" i="1" s="1"/>
  <c r="J35" i="2"/>
  <c r="K485" i="1" s="1"/>
  <c r="O228" i="3"/>
  <c r="J42" i="2"/>
  <c r="K340" i="1" s="1"/>
  <c r="J37" i="2"/>
  <c r="K487" i="1" s="1"/>
  <c r="J236" i="2"/>
  <c r="K321" i="1" s="1"/>
  <c r="J36" i="2"/>
  <c r="K486" i="1" s="1"/>
  <c r="J43" i="2"/>
  <c r="K341" i="1" s="1"/>
  <c r="U1038" i="1"/>
  <c r="P403" i="1"/>
  <c r="U150" i="1"/>
  <c r="U503" i="1"/>
  <c r="O1189" i="3"/>
  <c r="D1153" i="3"/>
  <c r="D336" i="3"/>
  <c r="D264" i="3"/>
  <c r="O508" i="3"/>
  <c r="D1048" i="3"/>
  <c r="D562" i="3"/>
  <c r="D554" i="3"/>
  <c r="O246" i="3"/>
  <c r="O253" i="3"/>
  <c r="J334" i="2"/>
  <c r="K227" i="1" s="1"/>
  <c r="J341" i="2"/>
  <c r="K1012" i="1" s="1"/>
  <c r="J343" i="2"/>
  <c r="D281" i="3"/>
  <c r="J336" i="2"/>
  <c r="K556" i="1" s="1"/>
  <c r="P327" i="1"/>
  <c r="P148" i="1"/>
  <c r="P636" i="1"/>
  <c r="P156" i="1"/>
  <c r="V1307" i="3"/>
  <c r="V1305" i="3"/>
  <c r="V1153" i="3"/>
  <c r="Z633" i="1"/>
  <c r="U794" i="1"/>
  <c r="P162" i="1"/>
  <c r="V13" i="3"/>
  <c r="V175" i="3"/>
  <c r="D127" i="3"/>
  <c r="P115" i="1"/>
  <c r="P244" i="1"/>
  <c r="E108" i="4"/>
  <c r="V1610" i="3"/>
  <c r="V1613" i="3"/>
  <c r="E79" i="4"/>
  <c r="C1135" i="1"/>
  <c r="C275" i="1"/>
  <c r="C248" i="1"/>
  <c r="C242" i="1"/>
  <c r="C280" i="1"/>
  <c r="D1975" i="3"/>
  <c r="D1953" i="3"/>
  <c r="D1926" i="3"/>
  <c r="D1647" i="3"/>
  <c r="D1474" i="3"/>
  <c r="O1661" i="3"/>
  <c r="O1646" i="3"/>
  <c r="O1700" i="3"/>
  <c r="O1629" i="3"/>
  <c r="D1710" i="3"/>
  <c r="O1578" i="3"/>
  <c r="O1300" i="3"/>
  <c r="O1569" i="3"/>
  <c r="D1522" i="3"/>
  <c r="D1140" i="3"/>
  <c r="D584" i="3"/>
  <c r="O492" i="3"/>
  <c r="D81" i="3"/>
  <c r="D626" i="3"/>
  <c r="P981" i="1"/>
  <c r="P917" i="1"/>
  <c r="P886" i="1"/>
  <c r="J38" i="2"/>
  <c r="P984" i="1"/>
  <c r="P350" i="1"/>
  <c r="P837" i="1"/>
  <c r="P10" i="1"/>
  <c r="V312" i="3"/>
  <c r="E27" i="4"/>
  <c r="D1638" i="3"/>
  <c r="U631" i="1"/>
  <c r="U149" i="1"/>
  <c r="E39" i="4"/>
  <c r="D1194" i="3"/>
  <c r="O819" i="3"/>
  <c r="V1194" i="3"/>
  <c r="D819" i="3"/>
  <c r="U238" i="1"/>
  <c r="O1892" i="3"/>
  <c r="D2026" i="3"/>
  <c r="D1923" i="3"/>
  <c r="O1890" i="3"/>
  <c r="O1948" i="3"/>
  <c r="O2019" i="3"/>
  <c r="D1890" i="3"/>
  <c r="D1882" i="3"/>
  <c r="D1639" i="3"/>
  <c r="O1895" i="3"/>
  <c r="D1825" i="3"/>
  <c r="O1716" i="3"/>
  <c r="D1637" i="3"/>
  <c r="O1748" i="3"/>
  <c r="O1655" i="3"/>
  <c r="D1755" i="3"/>
  <c r="O1213" i="3"/>
  <c r="D1477" i="3"/>
  <c r="O1230" i="3"/>
  <c r="D1176" i="3"/>
  <c r="D1282" i="3"/>
  <c r="O1506" i="3"/>
  <c r="D301" i="3"/>
  <c r="D262" i="3"/>
  <c r="D722" i="3"/>
  <c r="O404" i="3"/>
  <c r="D471" i="3"/>
  <c r="J357" i="2"/>
  <c r="J454" i="2"/>
  <c r="K710" i="1" s="1"/>
  <c r="D442" i="3"/>
  <c r="D39" i="3"/>
  <c r="O41" i="3"/>
  <c r="J417" i="2"/>
  <c r="K1161" i="1" s="1"/>
  <c r="J405" i="2"/>
  <c r="K973" i="1" s="1"/>
  <c r="J317" i="2"/>
  <c r="J305" i="2"/>
  <c r="J240" i="2"/>
  <c r="K240" i="1" s="1"/>
  <c r="J91" i="2"/>
  <c r="K756" i="1" s="1"/>
  <c r="J79" i="2"/>
  <c r="J16" i="2"/>
  <c r="P1093" i="1"/>
  <c r="J194" i="2"/>
  <c r="J47" i="2"/>
  <c r="K636" i="1" s="1"/>
  <c r="J30" i="2"/>
  <c r="D69" i="3"/>
  <c r="P1169" i="1"/>
  <c r="J29" i="2"/>
  <c r="K190" i="1" s="1"/>
  <c r="J31" i="2"/>
  <c r="K890" i="1" s="1"/>
  <c r="U1085" i="1"/>
  <c r="P1087" i="1"/>
  <c r="J238" i="2"/>
  <c r="K56" i="1" s="1"/>
  <c r="P946" i="1"/>
  <c r="U446" i="1"/>
  <c r="P836" i="1"/>
  <c r="P800" i="1"/>
  <c r="P453" i="1"/>
  <c r="P339" i="1"/>
  <c r="P335" i="1"/>
  <c r="P797" i="1"/>
  <c r="P675" i="1"/>
  <c r="P392" i="1"/>
  <c r="P183" i="1"/>
  <c r="P307" i="1"/>
  <c r="P637" i="1"/>
  <c r="P211" i="1"/>
  <c r="P12" i="1"/>
  <c r="U17" i="1"/>
  <c r="U158" i="1"/>
  <c r="P47" i="1"/>
  <c r="Y633" i="1"/>
  <c r="D1799" i="3"/>
  <c r="D1130" i="3"/>
  <c r="D1080" i="3"/>
  <c r="D1054" i="3"/>
  <c r="O1052" i="3"/>
  <c r="D497" i="3"/>
  <c r="O1100" i="3"/>
  <c r="J198" i="2"/>
  <c r="J202" i="2"/>
  <c r="P571" i="1"/>
  <c r="P612" i="1"/>
  <c r="P554" i="1"/>
  <c r="P250" i="1"/>
  <c r="P242" i="1"/>
  <c r="V1278" i="3"/>
  <c r="E32" i="4"/>
  <c r="V401" i="3"/>
  <c r="V455" i="3"/>
  <c r="V471" i="3"/>
  <c r="E34" i="4"/>
  <c r="F324" i="3"/>
  <c r="F6" i="3"/>
  <c r="F442" i="3"/>
  <c r="F1034" i="3"/>
  <c r="F665" i="3"/>
  <c r="F1098" i="3"/>
  <c r="F1438" i="3"/>
  <c r="F1186" i="3"/>
  <c r="F1596" i="3"/>
  <c r="F2063" i="3"/>
  <c r="F1728" i="3"/>
  <c r="F2022" i="3"/>
  <c r="D2075" i="3"/>
  <c r="D2006" i="3"/>
  <c r="D1257" i="3"/>
  <c r="D1254" i="3"/>
  <c r="D951" i="3"/>
  <c r="E140" i="4"/>
  <c r="C1144" i="1"/>
  <c r="D1090" i="3"/>
  <c r="D173" i="3"/>
  <c r="D14" i="3"/>
  <c r="D750" i="3"/>
  <c r="P760" i="1"/>
  <c r="Z628" i="1"/>
  <c r="E84" i="4"/>
  <c r="D1844" i="3"/>
  <c r="D1521" i="3"/>
  <c r="D308" i="3"/>
  <c r="D432" i="3"/>
  <c r="D787" i="3"/>
  <c r="J49" i="2"/>
  <c r="K707" i="1" s="1"/>
  <c r="D251" i="3"/>
  <c r="J190" i="2"/>
  <c r="K750" i="1" s="1"/>
  <c r="J94" i="2"/>
  <c r="J137" i="2"/>
  <c r="U505" i="1"/>
  <c r="U152" i="1"/>
  <c r="V1174" i="3"/>
  <c r="J253" i="2"/>
  <c r="K552" i="1" s="1"/>
  <c r="Z552" i="1"/>
  <c r="N112" i="2"/>
  <c r="N179" i="2"/>
  <c r="N180" i="2"/>
  <c r="N113" i="2"/>
  <c r="C140" i="1"/>
  <c r="C132" i="1"/>
  <c r="C66" i="1"/>
  <c r="D1851" i="3"/>
  <c r="O1900" i="3"/>
  <c r="D1412" i="3"/>
  <c r="D1440" i="3"/>
  <c r="O1610" i="3"/>
  <c r="O1438" i="3"/>
  <c r="O1433" i="3"/>
  <c r="O909" i="3"/>
  <c r="D506" i="3"/>
  <c r="D443" i="3"/>
  <c r="O317" i="3"/>
  <c r="D608" i="3"/>
  <c r="O604" i="3"/>
  <c r="D589" i="3"/>
  <c r="O1015" i="3"/>
  <c r="D760" i="3"/>
  <c r="O945" i="3"/>
  <c r="J266" i="2"/>
  <c r="O267" i="3"/>
  <c r="O289" i="3"/>
  <c r="J351" i="2"/>
  <c r="D134" i="3"/>
  <c r="J28" i="2"/>
  <c r="J189" i="2"/>
  <c r="K224" i="1" s="1"/>
  <c r="J117" i="2"/>
  <c r="K238" i="1" s="1"/>
  <c r="J6" i="2"/>
  <c r="K156" i="1" s="1"/>
  <c r="O914" i="3"/>
  <c r="J114" i="2"/>
  <c r="J263" i="2"/>
  <c r="J10" i="2"/>
  <c r="J248" i="2"/>
  <c r="K818" i="1" s="1"/>
  <c r="J260" i="2"/>
  <c r="K797" i="1" s="1"/>
  <c r="J111" i="2"/>
  <c r="K152" i="1" s="1"/>
  <c r="J268" i="2"/>
  <c r="K799" i="1" s="1"/>
  <c r="J257" i="2"/>
  <c r="P778" i="1"/>
  <c r="P129" i="1"/>
  <c r="D815" i="3"/>
  <c r="U499" i="1"/>
  <c r="D1822" i="3"/>
  <c r="D1345" i="3"/>
  <c r="P781" i="1"/>
  <c r="V573" i="3"/>
  <c r="V8" i="3"/>
  <c r="S1914" i="3"/>
  <c r="S1897" i="3"/>
  <c r="S1960" i="3"/>
  <c r="S2027" i="3"/>
  <c r="S1512" i="3"/>
  <c r="S1567" i="3"/>
  <c r="S1910" i="3"/>
  <c r="S1597" i="3"/>
  <c r="S1892" i="3"/>
  <c r="S1610" i="3"/>
  <c r="S1339" i="3"/>
  <c r="S1581" i="3"/>
  <c r="S1433" i="3"/>
  <c r="S783" i="3"/>
  <c r="S1073" i="3"/>
  <c r="S755" i="3"/>
  <c r="S236" i="3"/>
  <c r="S409" i="3"/>
  <c r="S1163" i="3"/>
  <c r="S645" i="3"/>
  <c r="S276" i="3"/>
  <c r="S93" i="3"/>
  <c r="S929" i="3"/>
  <c r="S6" i="3"/>
  <c r="N364" i="2"/>
  <c r="N359" i="2"/>
  <c r="N368" i="2"/>
  <c r="N363" i="2"/>
  <c r="N358" i="2"/>
  <c r="N366" i="2"/>
  <c r="N331" i="2"/>
  <c r="N49" i="2"/>
  <c r="N138" i="2"/>
  <c r="N92" i="2"/>
  <c r="N166" i="2"/>
  <c r="N168" i="2"/>
  <c r="N132" i="2"/>
  <c r="N137" i="2"/>
  <c r="N367" i="2"/>
  <c r="C530" i="1"/>
  <c r="C508" i="1"/>
  <c r="C78" i="1"/>
  <c r="C55" i="1"/>
  <c r="C72" i="1"/>
  <c r="C1120" i="1"/>
  <c r="C976" i="1"/>
  <c r="C831" i="1"/>
  <c r="C666" i="1"/>
  <c r="C497" i="1"/>
  <c r="C182" i="1"/>
  <c r="C332" i="1"/>
  <c r="C46" i="1"/>
  <c r="D809" i="3"/>
  <c r="P604" i="1"/>
  <c r="S1224" i="3"/>
  <c r="S542" i="3"/>
  <c r="S928" i="3"/>
  <c r="S1603" i="3"/>
  <c r="S1482" i="3"/>
  <c r="N242" i="2"/>
  <c r="N214" i="2"/>
  <c r="S1982" i="3"/>
  <c r="S2042" i="3"/>
  <c r="S1052" i="3"/>
  <c r="S790" i="3"/>
  <c r="S363" i="3"/>
  <c r="N247" i="2"/>
  <c r="N221" i="2"/>
  <c r="N120" i="2"/>
  <c r="N328" i="2"/>
  <c r="C775" i="1"/>
  <c r="C1046" i="1"/>
  <c r="C782" i="1"/>
  <c r="C769" i="1"/>
  <c r="C253" i="1"/>
  <c r="C153" i="1"/>
  <c r="C160" i="1"/>
  <c r="S1774" i="3"/>
  <c r="S1764" i="3"/>
  <c r="S692" i="3"/>
  <c r="C721" i="1"/>
  <c r="C729" i="1"/>
  <c r="C1172" i="1"/>
  <c r="C1127" i="1"/>
  <c r="C873" i="1"/>
  <c r="S2006" i="3"/>
  <c r="S1301" i="3"/>
  <c r="S989" i="3"/>
  <c r="S690" i="3"/>
  <c r="N317" i="2"/>
  <c r="N91" i="2"/>
  <c r="N79" i="2"/>
  <c r="C653" i="1"/>
  <c r="C631" i="1"/>
  <c r="S1694" i="3"/>
  <c r="S1368" i="3"/>
  <c r="S866" i="3"/>
  <c r="S1034" i="3"/>
  <c r="S877" i="3"/>
  <c r="S892" i="3"/>
  <c r="S196" i="3"/>
  <c r="S613" i="3"/>
  <c r="S59" i="3"/>
  <c r="C725" i="1"/>
  <c r="C733" i="1"/>
  <c r="F1274" i="3"/>
  <c r="F1278" i="3"/>
  <c r="P1011" i="1"/>
  <c r="P1049" i="1"/>
  <c r="P1071" i="1"/>
  <c r="P989" i="1"/>
  <c r="C475" i="1"/>
  <c r="C479" i="1"/>
  <c r="D1772" i="3"/>
  <c r="D1279" i="3"/>
  <c r="D954" i="3"/>
  <c r="D1275" i="3"/>
  <c r="D1013" i="3"/>
  <c r="D677" i="3"/>
  <c r="O644" i="3"/>
  <c r="D545" i="3"/>
  <c r="P642" i="1"/>
  <c r="D1601" i="3"/>
  <c r="D1110" i="3"/>
  <c r="C173" i="1"/>
  <c r="C466" i="1"/>
  <c r="D2012" i="3"/>
  <c r="D1464" i="3"/>
  <c r="D149" i="3"/>
  <c r="J419" i="2"/>
  <c r="K1164" i="1" s="1"/>
  <c r="D1617" i="3"/>
  <c r="D1646" i="3"/>
  <c r="O1377" i="3"/>
  <c r="O573" i="3"/>
  <c r="O56" i="3"/>
  <c r="O8" i="3"/>
  <c r="S1539" i="3"/>
  <c r="S1381" i="3"/>
  <c r="S1330" i="3"/>
  <c r="S1536" i="3"/>
  <c r="S1237" i="3"/>
  <c r="S1210" i="3"/>
  <c r="S855" i="3"/>
  <c r="S1591" i="3"/>
  <c r="S1129" i="3"/>
  <c r="S1055" i="3"/>
  <c r="S554" i="3"/>
  <c r="S82" i="3"/>
  <c r="S77" i="3"/>
  <c r="S51" i="3"/>
  <c r="S28" i="3"/>
  <c r="S200" i="3"/>
  <c r="C1190" i="1"/>
  <c r="C1134" i="1"/>
  <c r="C245" i="1"/>
  <c r="D2052" i="3"/>
  <c r="D1551" i="3"/>
  <c r="D1471" i="3"/>
  <c r="D145" i="3"/>
  <c r="O1566" i="3"/>
  <c r="D1097" i="3"/>
  <c r="P1218" i="1"/>
  <c r="D1109" i="3"/>
  <c r="D486" i="3"/>
  <c r="C1024" i="1"/>
  <c r="C994" i="1"/>
  <c r="C850" i="1"/>
  <c r="C201" i="1"/>
  <c r="C463" i="1"/>
  <c r="S1685" i="3"/>
  <c r="S1719" i="3"/>
  <c r="S502" i="3"/>
  <c r="S446" i="3"/>
  <c r="D1996" i="3"/>
  <c r="D452" i="3"/>
  <c r="D115" i="3"/>
  <c r="J374" i="2"/>
  <c r="K273" i="1" s="1"/>
  <c r="J459" i="2"/>
  <c r="K286" i="1" s="1"/>
  <c r="J458" i="2"/>
  <c r="K285" i="1" s="1"/>
  <c r="J375" i="2"/>
  <c r="K274" i="1" s="1"/>
  <c r="J22" i="2"/>
  <c r="K389" i="1" s="1"/>
  <c r="J21" i="2"/>
  <c r="K388" i="1" s="1"/>
  <c r="Z386" i="1"/>
  <c r="Z273" i="1"/>
  <c r="N335" i="2"/>
  <c r="N339" i="2"/>
  <c r="N334" i="2"/>
  <c r="N341" i="2"/>
  <c r="N342" i="2"/>
  <c r="N343" i="2"/>
  <c r="N338" i="2"/>
  <c r="O1811" i="3"/>
  <c r="D642" i="3"/>
  <c r="D261" i="3"/>
  <c r="C1051" i="1"/>
  <c r="C592" i="1"/>
  <c r="C261" i="1"/>
  <c r="C1130" i="1"/>
  <c r="C1171" i="1"/>
  <c r="C539" i="1"/>
  <c r="C990" i="1"/>
  <c r="V1374" i="3"/>
  <c r="V1121" i="3"/>
  <c r="C357" i="1"/>
  <c r="D2072" i="3"/>
  <c r="D254" i="3"/>
  <c r="D783" i="3"/>
  <c r="D509" i="3"/>
  <c r="D1879" i="3"/>
  <c r="D1501" i="3"/>
  <c r="O1658" i="3"/>
  <c r="D1873" i="3"/>
  <c r="O1697" i="3"/>
  <c r="O1669" i="3"/>
  <c r="D1716" i="3"/>
  <c r="D1669" i="3"/>
  <c r="O1664" i="3"/>
  <c r="D1649" i="3"/>
  <c r="D1664" i="3"/>
  <c r="O1545" i="3"/>
  <c r="O1274" i="3"/>
  <c r="O1515" i="3"/>
  <c r="O1194" i="3"/>
  <c r="O1278" i="3"/>
  <c r="D1274" i="3"/>
  <c r="D1463" i="3"/>
  <c r="D1278" i="3"/>
  <c r="O1533" i="3"/>
  <c r="O1182" i="3"/>
  <c r="O1142" i="3"/>
  <c r="O967" i="3"/>
  <c r="D1142" i="3"/>
  <c r="O1146" i="3"/>
  <c r="O1079" i="3"/>
  <c r="O953" i="3"/>
  <c r="O1061" i="3"/>
  <c r="O964" i="3"/>
  <c r="O984" i="3"/>
  <c r="O284" i="3"/>
  <c r="D249" i="3"/>
  <c r="O991" i="3"/>
  <c r="D461" i="3"/>
  <c r="D1005" i="3"/>
  <c r="D439" i="3"/>
  <c r="O542" i="3"/>
  <c r="O469" i="3"/>
  <c r="O435" i="3"/>
  <c r="O406" i="3"/>
  <c r="O1020" i="3"/>
  <c r="D922" i="3"/>
  <c r="D569" i="3"/>
  <c r="D230" i="3"/>
  <c r="D568" i="3"/>
  <c r="O418" i="3"/>
  <c r="D672" i="3"/>
  <c r="D50" i="3"/>
  <c r="O28" i="3"/>
  <c r="J278" i="2"/>
  <c r="D699" i="3"/>
  <c r="D564" i="3"/>
  <c r="D469" i="3"/>
  <c r="O536" i="3"/>
  <c r="O6" i="3"/>
  <c r="J443" i="2"/>
  <c r="K719" i="1" s="1"/>
  <c r="D339" i="3"/>
  <c r="D26" i="3"/>
  <c r="D6" i="3"/>
  <c r="J480" i="2"/>
  <c r="K127" i="1" s="1"/>
  <c r="O461" i="3"/>
  <c r="O65" i="3"/>
  <c r="J295" i="2"/>
  <c r="K302" i="1" s="1"/>
  <c r="J262" i="2"/>
  <c r="J180" i="2"/>
  <c r="J156" i="2"/>
  <c r="J120" i="2"/>
  <c r="K1110" i="1" s="1"/>
  <c r="D489" i="3"/>
  <c r="D97" i="3"/>
  <c r="J247" i="2"/>
  <c r="J127" i="2"/>
  <c r="J259" i="2"/>
  <c r="K796" i="1" s="1"/>
  <c r="J110" i="2"/>
  <c r="K151" i="1" s="1"/>
  <c r="J299" i="2"/>
  <c r="J177" i="2"/>
  <c r="K12" i="1" s="1"/>
  <c r="P1084" i="1"/>
  <c r="O50" i="3"/>
  <c r="J160" i="2"/>
  <c r="J59" i="2"/>
  <c r="K980" i="1" s="1"/>
  <c r="J298" i="2"/>
  <c r="J126" i="2"/>
  <c r="K1124" i="1" s="1"/>
  <c r="J56" i="2"/>
  <c r="K944" i="1" s="1"/>
  <c r="P1126" i="1"/>
  <c r="D435" i="3"/>
  <c r="D82" i="3"/>
  <c r="J159" i="2"/>
  <c r="J123" i="2"/>
  <c r="P966" i="1"/>
  <c r="J245" i="2"/>
  <c r="K967" i="1" s="1"/>
  <c r="P996" i="1"/>
  <c r="P1121" i="1"/>
  <c r="P1110" i="1"/>
  <c r="P631" i="1"/>
  <c r="P475" i="1"/>
  <c r="P457" i="1"/>
  <c r="J113" i="2"/>
  <c r="P346" i="1"/>
  <c r="P655" i="1"/>
  <c r="P553" i="1"/>
  <c r="P1114" i="1"/>
  <c r="P1092" i="1"/>
  <c r="U832" i="1"/>
  <c r="P807" i="1"/>
  <c r="P302" i="1"/>
  <c r="P212" i="1"/>
  <c r="P320" i="1"/>
  <c r="P674" i="1"/>
  <c r="P461" i="1"/>
  <c r="P483" i="1"/>
  <c r="P297" i="1"/>
  <c r="P14" i="1"/>
  <c r="P40" i="1"/>
  <c r="P8" i="1"/>
  <c r="P862" i="1"/>
  <c r="P825" i="1"/>
  <c r="P172" i="1"/>
  <c r="P498" i="1"/>
  <c r="P150" i="1"/>
  <c r="P153" i="1"/>
  <c r="P326" i="1"/>
  <c r="P49" i="1"/>
  <c r="P333" i="1"/>
  <c r="V665" i="3"/>
  <c r="O1750" i="3"/>
  <c r="O1593" i="3"/>
  <c r="D1619" i="3"/>
  <c r="D1126" i="3"/>
  <c r="D1620" i="3"/>
  <c r="D1018" i="3"/>
  <c r="O996" i="3"/>
  <c r="O955" i="3"/>
  <c r="D791" i="3"/>
  <c r="O969" i="3"/>
  <c r="D1125" i="3"/>
  <c r="O100" i="3"/>
  <c r="J497" i="2"/>
  <c r="K31" i="1" s="1"/>
  <c r="J394" i="2"/>
  <c r="K328" i="1" s="1"/>
  <c r="J415" i="2"/>
  <c r="K1158" i="1" s="1"/>
  <c r="D99" i="3"/>
  <c r="O1025" i="3"/>
  <c r="D37" i="3"/>
  <c r="J187" i="2"/>
  <c r="J170" i="2"/>
  <c r="J183" i="2"/>
  <c r="K24" i="1" s="1"/>
  <c r="U1188" i="1"/>
  <c r="J173" i="2"/>
  <c r="P79" i="1"/>
  <c r="U839" i="1"/>
  <c r="P54" i="1"/>
  <c r="U48" i="1"/>
  <c r="P124" i="1"/>
  <c r="V1629" i="3"/>
  <c r="V492" i="3"/>
  <c r="Z1083" i="1"/>
  <c r="D366" i="3"/>
  <c r="D833" i="3"/>
  <c r="D358" i="3"/>
  <c r="S1791" i="3"/>
  <c r="S1991" i="3"/>
  <c r="S1359" i="3"/>
  <c r="S1848" i="3"/>
  <c r="S993" i="3"/>
  <c r="S1213" i="3"/>
  <c r="S895" i="3"/>
  <c r="S452" i="3"/>
  <c r="D1316" i="3"/>
  <c r="D1258" i="3"/>
  <c r="E124" i="4"/>
  <c r="E51" i="4"/>
  <c r="V720" i="3"/>
  <c r="V734" i="3"/>
  <c r="V717" i="3"/>
  <c r="E10" i="4"/>
  <c r="V1506" i="3"/>
  <c r="F918" i="3"/>
  <c r="F71" i="3"/>
  <c r="F193" i="3"/>
  <c r="F1167" i="3"/>
  <c r="F205" i="3"/>
  <c r="F909" i="3"/>
  <c r="F1150" i="3"/>
  <c r="F825" i="3"/>
  <c r="F1345" i="3"/>
  <c r="F1730" i="3"/>
  <c r="F1615" i="3"/>
  <c r="F2066" i="3"/>
  <c r="N211" i="2"/>
  <c r="N259" i="2"/>
  <c r="N54" i="2"/>
  <c r="N154" i="2"/>
  <c r="D2084" i="3"/>
  <c r="D2092" i="3"/>
  <c r="D2091" i="3"/>
  <c r="D1528" i="3"/>
  <c r="O2095" i="3"/>
  <c r="D1820" i="3"/>
  <c r="D1121" i="3"/>
  <c r="O1252" i="3"/>
  <c r="D1322" i="3"/>
  <c r="O1255" i="3"/>
  <c r="D1374" i="3"/>
  <c r="D1219" i="3"/>
  <c r="D1055" i="3"/>
  <c r="D843" i="3"/>
  <c r="D1527" i="3"/>
  <c r="O1083" i="3"/>
  <c r="D632" i="3"/>
  <c r="O1055" i="3"/>
  <c r="D1220" i="3"/>
  <c r="O673" i="3"/>
  <c r="J340" i="2"/>
  <c r="O203" i="3"/>
  <c r="J510" i="2"/>
  <c r="K1147" i="1" s="1"/>
  <c r="D22" i="3"/>
  <c r="J424" i="2"/>
  <c r="K216" i="1" s="1"/>
  <c r="J386" i="2"/>
  <c r="K204" i="1" s="1"/>
  <c r="J365" i="2"/>
  <c r="J108" i="2"/>
  <c r="U1036" i="1"/>
  <c r="J447" i="2"/>
  <c r="K231" i="1" s="1"/>
  <c r="P1175" i="1"/>
  <c r="D701" i="3"/>
  <c r="J203" i="2"/>
  <c r="J78" i="2"/>
  <c r="K1230" i="1" s="1"/>
  <c r="J27" i="2"/>
  <c r="K1231" i="1" s="1"/>
  <c r="J390" i="2"/>
  <c r="K41" i="1" s="1"/>
  <c r="J310" i="2"/>
  <c r="P858" i="1"/>
  <c r="P843" i="1"/>
  <c r="P1021" i="1"/>
  <c r="P934" i="1"/>
  <c r="P1133" i="1"/>
  <c r="P909" i="1"/>
  <c r="P705" i="1"/>
  <c r="U236" i="1"/>
  <c r="P922" i="1"/>
  <c r="P687" i="1"/>
  <c r="U744" i="1"/>
  <c r="J185" i="2"/>
  <c r="J505" i="2"/>
  <c r="K1095" i="1" s="1"/>
  <c r="P754" i="1"/>
  <c r="P599" i="1"/>
  <c r="P560" i="1"/>
  <c r="P786" i="1"/>
  <c r="P586" i="1"/>
  <c r="P134" i="1"/>
  <c r="P417" i="1"/>
  <c r="P67" i="1"/>
  <c r="P98" i="1"/>
  <c r="P388" i="1"/>
  <c r="P106" i="1"/>
  <c r="P341" i="1"/>
  <c r="P225" i="1"/>
  <c r="P312" i="1"/>
  <c r="P402" i="1"/>
  <c r="D574" i="3"/>
  <c r="D275" i="3"/>
  <c r="D1039" i="3"/>
  <c r="D937" i="3"/>
  <c r="D316" i="3"/>
  <c r="D1105" i="3"/>
  <c r="P656" i="1"/>
  <c r="U13" i="1"/>
  <c r="Z701" i="1"/>
  <c r="E14" i="4"/>
  <c r="E85" i="4"/>
  <c r="Z319" i="1"/>
  <c r="V746" i="3"/>
  <c r="E56" i="4"/>
  <c r="S1646" i="3"/>
  <c r="S1667" i="3"/>
  <c r="S1295" i="3"/>
  <c r="S505" i="3"/>
  <c r="S170" i="3"/>
  <c r="S25" i="3"/>
  <c r="S676" i="3"/>
  <c r="D2022" i="3"/>
  <c r="O1012" i="3"/>
  <c r="D806" i="3"/>
  <c r="F1661" i="3"/>
  <c r="F1700" i="3"/>
  <c r="N165" i="2"/>
  <c r="N167" i="2"/>
  <c r="N258" i="2"/>
  <c r="N46" i="2"/>
  <c r="N82" i="2"/>
  <c r="C1179" i="1"/>
  <c r="C1232" i="1"/>
  <c r="C931" i="1"/>
  <c r="C922" i="1"/>
  <c r="C1224" i="1"/>
  <c r="C429" i="1"/>
  <c r="C735" i="1"/>
  <c r="C559" i="1"/>
  <c r="C437" i="1"/>
  <c r="C395" i="1"/>
  <c r="C282" i="1"/>
  <c r="C276" i="1"/>
  <c r="P1199" i="1"/>
  <c r="P281" i="1"/>
  <c r="D1002" i="3"/>
  <c r="P1045" i="1"/>
  <c r="S1230" i="3"/>
  <c r="S951" i="3"/>
  <c r="S498" i="3"/>
  <c r="S53" i="3"/>
  <c r="S73" i="3"/>
  <c r="S1698" i="3"/>
  <c r="S1659" i="3"/>
  <c r="C860" i="1"/>
  <c r="C841" i="1"/>
  <c r="C648" i="1"/>
  <c r="C809" i="1"/>
  <c r="C185" i="1"/>
  <c r="C162" i="1"/>
  <c r="S1329" i="3"/>
  <c r="S1515" i="3"/>
  <c r="S854" i="3"/>
  <c r="C604" i="1"/>
  <c r="C611" i="1"/>
  <c r="C1185" i="1"/>
  <c r="C1033" i="1"/>
  <c r="C885" i="1"/>
  <c r="C235" i="1"/>
  <c r="C743" i="1"/>
  <c r="C103" i="1"/>
  <c r="C401" i="1"/>
  <c r="C567" i="1"/>
  <c r="C996" i="1"/>
  <c r="C751" i="1"/>
  <c r="C393" i="1"/>
  <c r="C770" i="1"/>
  <c r="O1788" i="3"/>
  <c r="D1988" i="3"/>
  <c r="D1494" i="3"/>
  <c r="O1165" i="3"/>
  <c r="D1329" i="3"/>
  <c r="D1495" i="3"/>
  <c r="O768" i="3"/>
  <c r="D795" i="3"/>
  <c r="D1095" i="3"/>
  <c r="D990" i="3"/>
  <c r="D1096" i="3"/>
  <c r="O802" i="3"/>
  <c r="D852" i="3"/>
  <c r="D678" i="3"/>
  <c r="D1420" i="3"/>
  <c r="D595" i="3"/>
  <c r="O150" i="3"/>
  <c r="D205" i="3"/>
  <c r="O650" i="3"/>
  <c r="P1064" i="1"/>
  <c r="P875" i="1"/>
  <c r="P367" i="1"/>
  <c r="U450" i="1"/>
  <c r="O1538" i="3"/>
  <c r="J473" i="2"/>
  <c r="K615" i="1" s="1"/>
  <c r="C897" i="1"/>
  <c r="C889" i="1"/>
  <c r="C1109" i="1"/>
  <c r="C1089" i="1"/>
  <c r="S665" i="3"/>
  <c r="S258" i="3"/>
  <c r="C896" i="1"/>
  <c r="C888" i="1"/>
  <c r="C1088" i="1"/>
  <c r="C1108" i="1"/>
  <c r="S1986" i="3"/>
  <c r="S1613" i="3"/>
  <c r="S1803" i="3"/>
  <c r="S1121" i="3"/>
  <c r="S1436" i="3"/>
  <c r="S1312" i="3"/>
  <c r="S1374" i="3"/>
  <c r="S922" i="3"/>
  <c r="S499" i="3"/>
  <c r="S679" i="3"/>
  <c r="S364" i="3"/>
  <c r="S74" i="3"/>
  <c r="S501" i="3"/>
  <c r="S558" i="3"/>
  <c r="N198" i="2"/>
  <c r="N200" i="2"/>
  <c r="F1981" i="3"/>
  <c r="F2041" i="3"/>
  <c r="S1661" i="3"/>
  <c r="S1700" i="3"/>
  <c r="S1186" i="3"/>
  <c r="S1389" i="3"/>
  <c r="S1509" i="3"/>
  <c r="S1380" i="3"/>
  <c r="S292" i="3"/>
  <c r="S118" i="3"/>
  <c r="S189" i="3"/>
  <c r="S514" i="3"/>
  <c r="S76" i="3"/>
  <c r="S270" i="3"/>
  <c r="C1221" i="1"/>
  <c r="C1228" i="1"/>
  <c r="D670" i="3"/>
  <c r="D184" i="3"/>
  <c r="D1072" i="3"/>
  <c r="D551" i="3"/>
  <c r="D1030" i="3"/>
  <c r="D1931" i="3"/>
  <c r="D771" i="3"/>
  <c r="D1928" i="3"/>
  <c r="O1981" i="3"/>
  <c r="D1712" i="3"/>
  <c r="O2041" i="3"/>
  <c r="D1335" i="3"/>
  <c r="D1297" i="3"/>
  <c r="D1524" i="3"/>
  <c r="D1334" i="3"/>
  <c r="D1270" i="3"/>
  <c r="D1476" i="3"/>
  <c r="D1333" i="3"/>
  <c r="D1489" i="3"/>
  <c r="D1593" i="3"/>
  <c r="D844" i="3"/>
  <c r="O839" i="3"/>
  <c r="D856" i="3"/>
  <c r="D839" i="3"/>
  <c r="D1298" i="3"/>
  <c r="D572" i="3"/>
  <c r="J503" i="2"/>
  <c r="K692" i="1" s="1"/>
  <c r="D194" i="3"/>
  <c r="D188" i="3"/>
  <c r="J464" i="2"/>
  <c r="K1234" i="1" s="1"/>
  <c r="P1044" i="1"/>
  <c r="P1203" i="1"/>
  <c r="J437" i="2"/>
  <c r="K561" i="1" s="1"/>
  <c r="P1227" i="1"/>
  <c r="P1198" i="1"/>
  <c r="P1176" i="1"/>
  <c r="P926" i="1"/>
  <c r="P1041" i="1"/>
  <c r="P899" i="1"/>
  <c r="P880" i="1"/>
  <c r="P768" i="1"/>
  <c r="P706" i="1"/>
  <c r="P762" i="1"/>
  <c r="P1024" i="1"/>
  <c r="P425" i="1"/>
  <c r="P355" i="1"/>
  <c r="P418" i="1"/>
  <c r="P577" i="1"/>
  <c r="P133" i="1"/>
  <c r="P615" i="1"/>
  <c r="P195" i="1"/>
  <c r="N148" i="2"/>
  <c r="N306" i="2"/>
  <c r="N305" i="2"/>
  <c r="C501" i="1"/>
  <c r="C523" i="1"/>
  <c r="D1362" i="3"/>
  <c r="D1324" i="3"/>
  <c r="D1265" i="3"/>
  <c r="D1170" i="3"/>
  <c r="D696" i="3"/>
  <c r="D108" i="3"/>
  <c r="D369" i="3"/>
  <c r="D1746" i="3"/>
  <c r="D1809" i="3"/>
  <c r="D916" i="3"/>
  <c r="D1143" i="3"/>
  <c r="P941" i="1"/>
  <c r="D47" i="3"/>
  <c r="P160" i="1"/>
  <c r="S1371" i="3"/>
  <c r="S958" i="3"/>
  <c r="S834" i="3"/>
  <c r="S843" i="3"/>
  <c r="S802" i="3"/>
  <c r="S689" i="3"/>
  <c r="S1126" i="3"/>
  <c r="S159" i="3"/>
  <c r="S727" i="3"/>
  <c r="N213" i="2"/>
  <c r="N208" i="2"/>
  <c r="N239" i="2"/>
  <c r="N8" i="2"/>
  <c r="N34" i="2"/>
  <c r="N17" i="2"/>
  <c r="N209" i="2"/>
  <c r="N257" i="2"/>
  <c r="C874" i="1"/>
  <c r="C189" i="1"/>
  <c r="D1483" i="3"/>
  <c r="D967" i="3"/>
  <c r="D386" i="3"/>
  <c r="D1600" i="3"/>
  <c r="D1597" i="3"/>
  <c r="D638" i="3"/>
  <c r="D635" i="3"/>
  <c r="N315" i="2"/>
  <c r="N312" i="2"/>
  <c r="N87" i="2"/>
  <c r="N84" i="2"/>
  <c r="C1100" i="1"/>
  <c r="C1092" i="1"/>
  <c r="S972" i="3"/>
  <c r="S681" i="3"/>
  <c r="C887" i="1"/>
  <c r="C895" i="1"/>
  <c r="C836" i="1"/>
  <c r="O1452" i="3"/>
  <c r="O1410" i="3"/>
  <c r="D243" i="3"/>
  <c r="D1827" i="3"/>
  <c r="D1797" i="3"/>
  <c r="D1757" i="3"/>
  <c r="D1774" i="3"/>
  <c r="P978" i="1"/>
  <c r="P794" i="1"/>
  <c r="O2026" i="3"/>
  <c r="O1946" i="3"/>
  <c r="O1846" i="3"/>
  <c r="O1791" i="3"/>
  <c r="O2029" i="3"/>
  <c r="O2017" i="3"/>
  <c r="O2073" i="3"/>
  <c r="O2068" i="3"/>
  <c r="O1991" i="3"/>
  <c r="O1970" i="3"/>
  <c r="O1913" i="3"/>
  <c r="D1874" i="3"/>
  <c r="O1935" i="3"/>
  <c r="O1830" i="3"/>
  <c r="D1644" i="3"/>
  <c r="O1324" i="3"/>
  <c r="D1304" i="3"/>
  <c r="D1643" i="3"/>
  <c r="O1781" i="3"/>
  <c r="D1717" i="3"/>
  <c r="D2090" i="3"/>
  <c r="O1551" i="3"/>
  <c r="D1849" i="3"/>
  <c r="D1935" i="3"/>
  <c r="O1761" i="3"/>
  <c r="O1677" i="3"/>
  <c r="D1956" i="3"/>
  <c r="O1596" i="3"/>
  <c r="O1362" i="3"/>
  <c r="O1471" i="3"/>
  <c r="D1352" i="3"/>
  <c r="O1217" i="3"/>
  <c r="O1157" i="3"/>
  <c r="O1572" i="3"/>
  <c r="O1265" i="3"/>
  <c r="O1234" i="3"/>
  <c r="D1596" i="3"/>
  <c r="D1269" i="3"/>
  <c r="D1303" i="3"/>
  <c r="D1287" i="3"/>
  <c r="O1240" i="3"/>
  <c r="D853" i="3"/>
  <c r="O1086" i="3"/>
  <c r="D923" i="3"/>
  <c r="O1310" i="3"/>
  <c r="O899" i="3"/>
  <c r="D803" i="3"/>
  <c r="O1227" i="3"/>
  <c r="O1108" i="3"/>
  <c r="O870" i="3"/>
  <c r="D1155" i="3"/>
  <c r="O1170" i="3"/>
  <c r="D1107" i="3"/>
  <c r="O892" i="3"/>
  <c r="O1073" i="3"/>
  <c r="O1197" i="3"/>
  <c r="O452" i="3"/>
  <c r="O439" i="3"/>
  <c r="O476" i="3"/>
  <c r="D214" i="3"/>
  <c r="O193" i="3"/>
  <c r="D189" i="3"/>
  <c r="O179" i="3"/>
  <c r="O869" i="3"/>
  <c r="D686" i="3"/>
  <c r="D631" i="3"/>
  <c r="O619" i="3"/>
  <c r="D565" i="3"/>
  <c r="O883" i="3"/>
  <c r="O837" i="3"/>
  <c r="O731" i="3"/>
  <c r="O681" i="3"/>
  <c r="D669" i="3"/>
  <c r="O489" i="3"/>
  <c r="D869" i="3"/>
  <c r="D596" i="3"/>
  <c r="D518" i="3"/>
  <c r="O328" i="3"/>
  <c r="O213" i="3"/>
  <c r="D731" i="3"/>
  <c r="D1069" i="3"/>
  <c r="D700" i="3"/>
  <c r="D512" i="3"/>
  <c r="O735" i="3"/>
  <c r="D705" i="3"/>
  <c r="D598" i="3"/>
  <c r="D520" i="3"/>
  <c r="D504" i="3"/>
  <c r="D617" i="3"/>
  <c r="O511" i="3"/>
  <c r="O225" i="3"/>
  <c r="O660" i="3"/>
  <c r="D376" i="3"/>
  <c r="D658" i="3"/>
  <c r="O230" i="3"/>
  <c r="O47" i="3"/>
  <c r="J277" i="2"/>
  <c r="D328" i="3"/>
  <c r="J501" i="2"/>
  <c r="K360" i="1" s="1"/>
  <c r="J284" i="2"/>
  <c r="K670" i="1" s="1"/>
  <c r="O692" i="3"/>
  <c r="J442" i="2"/>
  <c r="K718" i="1" s="1"/>
  <c r="O782" i="3"/>
  <c r="D349" i="3"/>
  <c r="O189" i="3"/>
  <c r="O557" i="3"/>
  <c r="D312" i="3"/>
  <c r="J395" i="2"/>
  <c r="K329" i="1" s="1"/>
  <c r="J281" i="2"/>
  <c r="J425" i="2"/>
  <c r="K217" i="1" s="1"/>
  <c r="J40" i="2"/>
  <c r="J321" i="2"/>
  <c r="J143" i="2"/>
  <c r="O622" i="3"/>
  <c r="J279" i="2"/>
  <c r="P1207" i="1"/>
  <c r="J421" i="2"/>
  <c r="K90" i="1" s="1"/>
  <c r="D83" i="3"/>
  <c r="J283" i="2"/>
  <c r="J176" i="2"/>
  <c r="K107" i="1" s="1"/>
  <c r="D1079" i="3"/>
  <c r="D513" i="3"/>
  <c r="J414" i="2"/>
  <c r="K1157" i="1" s="1"/>
  <c r="J118" i="2"/>
  <c r="K239" i="1" s="1"/>
  <c r="U1034" i="1"/>
  <c r="P1096" i="1"/>
  <c r="P954" i="1"/>
  <c r="P950" i="1"/>
  <c r="P991" i="1"/>
  <c r="D501" i="3"/>
  <c r="J60" i="2"/>
  <c r="P931" i="1"/>
  <c r="P1195" i="1"/>
  <c r="J70" i="2"/>
  <c r="K214" i="1" s="1"/>
  <c r="P832" i="1"/>
  <c r="P668" i="1"/>
  <c r="P780" i="1"/>
  <c r="P607" i="1"/>
  <c r="P280" i="1"/>
  <c r="P810" i="1"/>
  <c r="U837" i="1"/>
  <c r="U501" i="1"/>
  <c r="P230" i="1"/>
  <c r="U1086" i="1"/>
  <c r="U747" i="1"/>
  <c r="P507" i="1"/>
  <c r="P465" i="1"/>
  <c r="U1122" i="1"/>
  <c r="P310" i="1"/>
  <c r="P61" i="1"/>
  <c r="U188" i="1"/>
  <c r="P26" i="1"/>
  <c r="U8" i="1"/>
  <c r="P641" i="1"/>
  <c r="P578" i="1"/>
  <c r="P121" i="1"/>
  <c r="U53" i="1"/>
  <c r="P575" i="1"/>
  <c r="U153" i="1"/>
  <c r="P83" i="1"/>
  <c r="P1065" i="1"/>
  <c r="U670" i="1"/>
  <c r="P249" i="1"/>
  <c r="P784" i="1"/>
  <c r="U408" i="1"/>
  <c r="P111" i="1"/>
  <c r="P393" i="1"/>
  <c r="S1351" i="3"/>
  <c r="S1300" i="3"/>
  <c r="S657" i="3"/>
  <c r="S873" i="3"/>
  <c r="N249" i="2"/>
  <c r="N250" i="2"/>
  <c r="C322" i="1"/>
  <c r="C303" i="1"/>
  <c r="P901" i="1"/>
  <c r="P866" i="1"/>
  <c r="P849" i="1"/>
  <c r="P929" i="1"/>
  <c r="S1859" i="3"/>
  <c r="S1319" i="3"/>
  <c r="S1588" i="3"/>
  <c r="S1779" i="3"/>
  <c r="S969" i="3"/>
  <c r="S1271" i="3"/>
  <c r="S578" i="3"/>
  <c r="S122" i="3"/>
  <c r="P897" i="1"/>
  <c r="P610" i="1"/>
  <c r="D1240" i="3"/>
  <c r="D999" i="3"/>
  <c r="D739" i="3"/>
  <c r="D124" i="3"/>
  <c r="D398" i="3"/>
  <c r="U14" i="1"/>
  <c r="D1835" i="3"/>
  <c r="D1765" i="3"/>
  <c r="D1064" i="3"/>
  <c r="D772" i="3"/>
  <c r="D1613" i="3"/>
  <c r="O1725" i="3"/>
  <c r="O1351" i="3"/>
  <c r="D1375" i="3"/>
  <c r="O1374" i="3"/>
  <c r="O1443" i="3"/>
  <c r="O1415" i="3"/>
  <c r="D1122" i="3"/>
  <c r="O852" i="3"/>
  <c r="O1121" i="3"/>
  <c r="O595" i="3"/>
  <c r="O199" i="3"/>
  <c r="J423" i="2"/>
  <c r="K378" i="1" s="1"/>
  <c r="J304" i="2"/>
  <c r="J403" i="2"/>
  <c r="K825" i="1" s="1"/>
  <c r="J289" i="2"/>
  <c r="J93" i="2"/>
  <c r="J64" i="2"/>
  <c r="K222" i="1" s="1"/>
  <c r="J229" i="2"/>
  <c r="J224" i="2"/>
  <c r="J231" i="2"/>
  <c r="P1078" i="1"/>
  <c r="P839" i="1"/>
  <c r="V1861" i="3"/>
  <c r="V1587" i="3"/>
  <c r="C591" i="1"/>
  <c r="C260" i="1"/>
  <c r="O1943" i="3"/>
  <c r="D1554" i="3"/>
  <c r="D1425" i="3"/>
  <c r="D1462" i="3"/>
  <c r="D1611" i="3"/>
  <c r="D1439" i="3"/>
  <c r="D1434" i="3"/>
  <c r="J302" i="2"/>
  <c r="K1175" i="1" s="1"/>
  <c r="J369" i="2"/>
  <c r="K573" i="1" s="1"/>
  <c r="J356" i="2"/>
  <c r="J320" i="2"/>
  <c r="K15" i="1" s="1"/>
  <c r="J315" i="2"/>
  <c r="J303" i="2"/>
  <c r="K372" i="1" s="1"/>
  <c r="J346" i="2"/>
  <c r="J168" i="2"/>
  <c r="J67" i="2"/>
  <c r="J242" i="2"/>
  <c r="J225" i="2"/>
  <c r="K1090" i="1" s="1"/>
  <c r="J331" i="2"/>
  <c r="J227" i="2"/>
  <c r="K819" i="1" s="1"/>
  <c r="J191" i="2"/>
  <c r="J131" i="2"/>
  <c r="K16" i="1" s="1"/>
  <c r="J138" i="2"/>
  <c r="K454" i="1" s="1"/>
  <c r="J288" i="2"/>
  <c r="J241" i="2"/>
  <c r="J217" i="2"/>
  <c r="K1091" i="1" s="1"/>
  <c r="J324" i="2"/>
  <c r="K54" i="1" s="1"/>
  <c r="J319" i="2"/>
  <c r="J212" i="2"/>
  <c r="J164" i="2"/>
  <c r="J140" i="2"/>
  <c r="J92" i="2"/>
  <c r="J24" i="2"/>
  <c r="J166" i="2"/>
  <c r="J142" i="2"/>
  <c r="K801" i="1" s="1"/>
  <c r="U792" i="1"/>
  <c r="J14" i="2"/>
  <c r="K656" i="1" s="1"/>
  <c r="V1387" i="3"/>
  <c r="D1387" i="3"/>
  <c r="U187" i="1"/>
  <c r="D2074" i="3"/>
  <c r="D1830" i="3"/>
  <c r="D1854" i="3"/>
  <c r="D1889" i="3"/>
  <c r="D1479" i="3"/>
  <c r="D2028" i="3"/>
  <c r="O1889" i="3"/>
  <c r="D1323" i="3"/>
  <c r="O1341" i="3"/>
  <c r="O208" i="3"/>
  <c r="D607" i="3"/>
  <c r="J441" i="2"/>
  <c r="K1182" i="1" s="1"/>
  <c r="J429" i="2"/>
  <c r="K543" i="1" s="1"/>
  <c r="J422" i="2"/>
  <c r="K377" i="1" s="1"/>
  <c r="J482" i="2"/>
  <c r="K784" i="1" s="1"/>
  <c r="D195" i="3"/>
  <c r="P1048" i="1"/>
  <c r="J500" i="2"/>
  <c r="K359" i="1" s="1"/>
  <c r="P1130" i="1"/>
  <c r="J87" i="2"/>
  <c r="P992" i="1"/>
  <c r="J250" i="2"/>
  <c r="P247" i="1"/>
  <c r="P437" i="1"/>
  <c r="P95" i="1"/>
  <c r="P419" i="1"/>
  <c r="P228" i="1"/>
  <c r="N117" i="2"/>
  <c r="N266" i="2"/>
  <c r="N161" i="2"/>
  <c r="D1427" i="3"/>
  <c r="D1028" i="3"/>
  <c r="D1160" i="3"/>
  <c r="D958" i="3"/>
  <c r="D1396" i="3"/>
  <c r="D1023" i="3"/>
  <c r="D1200" i="3"/>
  <c r="O1332" i="3"/>
  <c r="D817" i="3"/>
  <c r="D165" i="3"/>
  <c r="D630" i="3"/>
  <c r="V2044" i="3"/>
  <c r="V2041" i="3"/>
  <c r="E132" i="4"/>
  <c r="V1157" i="3"/>
  <c r="V253" i="3"/>
  <c r="V100" i="3"/>
  <c r="Y792" i="1"/>
  <c r="E28" i="4"/>
  <c r="D1689" i="3"/>
  <c r="D482" i="3"/>
  <c r="P579" i="1"/>
  <c r="E86" i="4"/>
  <c r="D2039" i="3"/>
  <c r="D1468" i="3"/>
  <c r="D1252" i="3"/>
  <c r="D1255" i="3"/>
  <c r="D775" i="3"/>
  <c r="D1680" i="3"/>
  <c r="D975" i="3"/>
  <c r="V1312" i="3"/>
  <c r="F41" i="3"/>
  <c r="F339" i="3"/>
  <c r="F993" i="3"/>
  <c r="F1115" i="3"/>
  <c r="F1178" i="3"/>
  <c r="F1463" i="3"/>
  <c r="F1800" i="3"/>
  <c r="F1456" i="3"/>
  <c r="F2083" i="3"/>
  <c r="N110" i="2"/>
  <c r="N177" i="2"/>
  <c r="Z1034" i="1"/>
  <c r="E50" i="4"/>
  <c r="E95" i="4"/>
  <c r="E71" i="4"/>
  <c r="V382" i="3"/>
  <c r="D2095" i="3"/>
  <c r="D1108" i="3"/>
  <c r="S2030" i="3"/>
  <c r="S2044" i="3"/>
  <c r="S2077" i="3"/>
  <c r="S2038" i="3"/>
  <c r="S1862" i="3"/>
  <c r="S1464" i="3"/>
  <c r="S1400" i="3"/>
  <c r="S1717" i="3"/>
  <c r="S1726" i="3"/>
  <c r="S2066" i="3"/>
  <c r="S2009" i="3"/>
  <c r="S1806" i="3"/>
  <c r="S1579" i="3"/>
  <c r="S1564" i="3"/>
  <c r="S1784" i="3"/>
  <c r="S1446" i="3"/>
  <c r="S1291" i="3"/>
  <c r="S1260" i="3"/>
  <c r="S1402" i="3"/>
  <c r="S1247" i="3"/>
  <c r="S1369" i="3"/>
  <c r="S916" i="3"/>
  <c r="S1195" i="3"/>
  <c r="S1002" i="3"/>
  <c r="S939" i="3"/>
  <c r="S961" i="3"/>
  <c r="S1004" i="3"/>
  <c r="S1000" i="3"/>
  <c r="S1723" i="3"/>
  <c r="S965" i="3"/>
  <c r="S779" i="3"/>
  <c r="S279" i="3"/>
  <c r="S660" i="3"/>
  <c r="S614" i="3"/>
  <c r="S259" i="3"/>
  <c r="S487" i="3"/>
  <c r="S380" i="3"/>
  <c r="S173" i="3"/>
  <c r="S309" i="3"/>
  <c r="S11" i="3"/>
  <c r="S340" i="3"/>
  <c r="S14" i="3"/>
  <c r="S182" i="3"/>
  <c r="S177" i="3"/>
  <c r="S113" i="3"/>
  <c r="S125" i="3"/>
  <c r="S37" i="3"/>
  <c r="S377" i="3"/>
  <c r="S806" i="3"/>
  <c r="S1069" i="3"/>
  <c r="C368" i="1"/>
  <c r="C344" i="1"/>
  <c r="C306" i="1"/>
  <c r="D1286" i="3"/>
  <c r="D1284" i="3"/>
  <c r="D2048" i="3"/>
  <c r="D1397" i="3"/>
  <c r="D1009" i="3"/>
  <c r="P198" i="1"/>
  <c r="D1045" i="3"/>
  <c r="D691" i="3"/>
  <c r="P1077" i="1"/>
  <c r="C1206" i="1"/>
  <c r="C588" i="1"/>
  <c r="C426" i="1"/>
  <c r="C600" i="1"/>
  <c r="S1250" i="3"/>
  <c r="S344" i="3"/>
  <c r="S1203" i="3"/>
  <c r="S1187" i="3"/>
  <c r="S1722" i="3"/>
  <c r="S1686" i="3"/>
  <c r="S1315" i="3"/>
  <c r="S89" i="3"/>
  <c r="S878" i="3"/>
  <c r="C662" i="1"/>
  <c r="N663" i="1"/>
  <c r="S1338" i="3"/>
  <c r="S1427" i="3"/>
  <c r="S795" i="3"/>
  <c r="S267" i="3"/>
  <c r="S376" i="3"/>
  <c r="S339" i="3"/>
  <c r="N194" i="2"/>
  <c r="N145" i="2"/>
  <c r="C1204" i="1"/>
  <c r="C904" i="1"/>
  <c r="D1506" i="3"/>
  <c r="O815" i="3"/>
  <c r="D1224" i="3"/>
  <c r="P1072" i="1"/>
  <c r="D938" i="3"/>
  <c r="P942" i="1"/>
  <c r="D1599" i="3"/>
  <c r="D487" i="3"/>
  <c r="D1704" i="3"/>
  <c r="P1015" i="1"/>
  <c r="P512" i="1"/>
  <c r="D1299" i="3"/>
  <c r="D1315" i="3"/>
  <c r="D181" i="3"/>
  <c r="O1774" i="3"/>
  <c r="D1604" i="3"/>
  <c r="O1576" i="3"/>
  <c r="D1775" i="3"/>
  <c r="D1832" i="3"/>
  <c r="O1606" i="3"/>
  <c r="D1831" i="3"/>
  <c r="D1118" i="3"/>
  <c r="D1019" i="3"/>
  <c r="O1071" i="3"/>
  <c r="D1063" i="3"/>
  <c r="D1021" i="3"/>
  <c r="D411" i="3"/>
  <c r="D792" i="3"/>
  <c r="O525" i="3"/>
  <c r="J338" i="2"/>
  <c r="K197" i="1" s="1"/>
  <c r="D1119" i="3"/>
  <c r="J342" i="2"/>
  <c r="K432" i="1" s="1"/>
  <c r="J337" i="2"/>
  <c r="D719" i="3"/>
  <c r="D555" i="3"/>
  <c r="J335" i="2"/>
  <c r="K433" i="1" s="1"/>
  <c r="P334" i="1"/>
  <c r="P236" i="1"/>
  <c r="U667" i="1"/>
  <c r="P382" i="1"/>
  <c r="P351" i="1"/>
  <c r="C52" i="1"/>
  <c r="C77" i="1"/>
  <c r="C20" i="1"/>
  <c r="D729" i="3"/>
  <c r="P314" i="1"/>
  <c r="N309" i="2"/>
  <c r="N311" i="2"/>
  <c r="N308" i="2"/>
  <c r="N81" i="2"/>
  <c r="N307" i="2"/>
  <c r="N13" i="2"/>
  <c r="N73" i="2"/>
  <c r="N80" i="2"/>
  <c r="N89" i="2"/>
  <c r="N72" i="2"/>
  <c r="N77" i="2"/>
  <c r="C606" i="1"/>
  <c r="C601" i="1"/>
  <c r="D1803" i="3"/>
  <c r="D1517" i="3"/>
  <c r="O1803" i="3"/>
  <c r="D1373" i="3"/>
  <c r="D1735" i="3"/>
  <c r="D1086" i="3"/>
  <c r="O1098" i="3"/>
  <c r="D794" i="3"/>
  <c r="D747" i="3"/>
  <c r="D1053" i="3"/>
  <c r="O495" i="3"/>
  <c r="J471" i="2"/>
  <c r="K613" i="1" s="1"/>
  <c r="O1034" i="3"/>
  <c r="O336" i="3"/>
  <c r="J309" i="2"/>
  <c r="P1196" i="1"/>
  <c r="J74" i="2"/>
  <c r="P1220" i="1"/>
  <c r="P1136" i="1"/>
  <c r="P113" i="1"/>
  <c r="D1714" i="3"/>
  <c r="O1590" i="3"/>
  <c r="D1713" i="3"/>
  <c r="D1650" i="3"/>
  <c r="D1715" i="3"/>
  <c r="D1139" i="3"/>
  <c r="O539" i="3"/>
  <c r="O368" i="3"/>
  <c r="O358" i="3"/>
  <c r="D540" i="3"/>
  <c r="D359" i="3"/>
  <c r="J504" i="2"/>
  <c r="K693" i="1" s="1"/>
  <c r="J15" i="2"/>
  <c r="K94" i="1" s="1"/>
  <c r="D45" i="3"/>
  <c r="P1088" i="1"/>
  <c r="P948" i="1"/>
  <c r="P857" i="1"/>
  <c r="P386" i="1"/>
  <c r="P449" i="1"/>
  <c r="P149" i="1"/>
  <c r="C61" i="1"/>
  <c r="C49" i="1"/>
  <c r="N345" i="2"/>
  <c r="N7" i="2"/>
  <c r="D1843" i="3"/>
  <c r="D2064" i="3"/>
  <c r="D1968" i="3"/>
  <c r="D1924" i="3"/>
  <c r="D912" i="3"/>
  <c r="D430" i="3"/>
  <c r="D723" i="3"/>
  <c r="D1067" i="3"/>
  <c r="D472" i="3"/>
  <c r="D703" i="3"/>
  <c r="D666" i="3"/>
  <c r="S1835" i="3"/>
  <c r="S1748" i="3"/>
  <c r="S1636" i="3"/>
  <c r="S1769" i="3"/>
  <c r="S1086" i="3"/>
  <c r="S329" i="3"/>
  <c r="S1064" i="3"/>
  <c r="S840" i="3"/>
  <c r="S119" i="3"/>
  <c r="S131" i="3"/>
  <c r="S601" i="3"/>
  <c r="S272" i="3"/>
  <c r="S209" i="3"/>
  <c r="S108" i="3"/>
  <c r="P774" i="1"/>
  <c r="P758" i="1"/>
  <c r="P710" i="1"/>
  <c r="P686" i="1"/>
  <c r="O1808" i="3"/>
  <c r="D1798" i="3"/>
  <c r="D1807" i="3"/>
  <c r="O1615" i="3"/>
  <c r="O1172" i="3"/>
  <c r="D1020" i="3"/>
  <c r="D1128" i="3"/>
  <c r="O972" i="3"/>
  <c r="D1129" i="3"/>
  <c r="O449" i="3"/>
  <c r="D62" i="3"/>
  <c r="D972" i="3"/>
  <c r="O118" i="3"/>
  <c r="D118" i="3"/>
  <c r="D409" i="3"/>
  <c r="J201" i="2"/>
  <c r="K519" i="1" s="1"/>
  <c r="J205" i="2"/>
  <c r="J200" i="2"/>
  <c r="K610" i="1" s="1"/>
  <c r="J197" i="2"/>
  <c r="U148" i="1"/>
  <c r="P503" i="1"/>
  <c r="P209" i="1"/>
  <c r="P190" i="1"/>
  <c r="E101" i="4"/>
  <c r="V1463" i="3"/>
  <c r="V1461" i="3"/>
  <c r="U410" i="1"/>
  <c r="P357" i="1"/>
  <c r="U297" i="1"/>
  <c r="P416" i="1"/>
  <c r="P345" i="1"/>
  <c r="D1985" i="3"/>
  <c r="O1006" i="3"/>
  <c r="O1058" i="3"/>
  <c r="O699" i="3"/>
  <c r="C697" i="1"/>
  <c r="C679" i="1"/>
  <c r="C350" i="1"/>
  <c r="C436" i="1"/>
  <c r="C311" i="1"/>
  <c r="C428" i="1"/>
  <c r="C407" i="1"/>
  <c r="D1653" i="3"/>
  <c r="D1906" i="3"/>
  <c r="D1074" i="3"/>
  <c r="U449" i="1"/>
  <c r="D1149" i="3"/>
  <c r="D639" i="3"/>
  <c r="O1884" i="3"/>
  <c r="O2086" i="3"/>
  <c r="D1884" i="3"/>
  <c r="O1871" i="3"/>
  <c r="O1879" i="3"/>
  <c r="O1917" i="3"/>
  <c r="O1908" i="3"/>
  <c r="O1964" i="3"/>
  <c r="D1903" i="3"/>
  <c r="O1680" i="3"/>
  <c r="O1694" i="3"/>
  <c r="O1651" i="3"/>
  <c r="O1722" i="3"/>
  <c r="O1713" i="3"/>
  <c r="D1651" i="3"/>
  <c r="D1722" i="3"/>
  <c r="D1908" i="3"/>
  <c r="O1881" i="3"/>
  <c r="D1881" i="3"/>
  <c r="O1684" i="3"/>
  <c r="O1903" i="3"/>
  <c r="D1447" i="3"/>
  <c r="O1186" i="3"/>
  <c r="D1182" i="3"/>
  <c r="D1403" i="3"/>
  <c r="D1430" i="3"/>
  <c r="D1411" i="3"/>
  <c r="O922" i="3"/>
  <c r="O1395" i="3"/>
  <c r="D1453" i="3"/>
  <c r="D964" i="3"/>
  <c r="O941" i="3"/>
  <c r="D566" i="3"/>
  <c r="O464" i="3"/>
  <c r="D248" i="3"/>
  <c r="O975" i="3"/>
  <c r="D931" i="3"/>
  <c r="D961" i="3"/>
  <c r="D340" i="3"/>
  <c r="D567" i="3"/>
  <c r="D96" i="3"/>
  <c r="D388" i="3"/>
  <c r="D7" i="3"/>
  <c r="J396" i="2"/>
  <c r="J282" i="2"/>
  <c r="J506" i="2"/>
  <c r="K1149" i="1" s="1"/>
  <c r="O34" i="3"/>
  <c r="D588" i="3"/>
  <c r="J453" i="2"/>
  <c r="K709" i="1" s="1"/>
  <c r="D34" i="3"/>
  <c r="O25" i="3"/>
  <c r="J293" i="2"/>
  <c r="K300" i="1" s="1"/>
  <c r="J413" i="2"/>
  <c r="K1155" i="1" s="1"/>
  <c r="O36" i="3"/>
  <c r="J372" i="2"/>
  <c r="P1089" i="1"/>
  <c r="O270" i="3"/>
  <c r="J261" i="2"/>
  <c r="K798" i="1" s="1"/>
  <c r="J244" i="2"/>
  <c r="K966" i="1" s="1"/>
  <c r="J124" i="2"/>
  <c r="K1122" i="1" s="1"/>
  <c r="J112" i="2"/>
  <c r="J179" i="2"/>
  <c r="K14" i="1" s="1"/>
  <c r="J54" i="2"/>
  <c r="K942" i="1" s="1"/>
  <c r="J8" i="2"/>
  <c r="J397" i="2"/>
  <c r="J121" i="2"/>
  <c r="P1083" i="1"/>
  <c r="J154" i="2"/>
  <c r="P1108" i="1"/>
  <c r="P944" i="1"/>
  <c r="P951" i="1"/>
  <c r="D25" i="3"/>
  <c r="P1112" i="1"/>
  <c r="P817" i="1"/>
  <c r="P965" i="1"/>
  <c r="P798" i="1"/>
  <c r="P322" i="1"/>
  <c r="P298" i="1"/>
  <c r="P792" i="1"/>
  <c r="P628" i="1"/>
  <c r="P319" i="1"/>
  <c r="P306" i="1"/>
  <c r="P450" i="1"/>
  <c r="P635" i="1"/>
  <c r="P474" i="1"/>
  <c r="P446" i="1"/>
  <c r="P802" i="1"/>
  <c r="P9" i="1"/>
  <c r="P35" i="1"/>
  <c r="P16" i="1"/>
  <c r="P653" i="1"/>
  <c r="P455" i="1"/>
  <c r="P969" i="1"/>
  <c r="P325" i="1"/>
  <c r="P479" i="1"/>
  <c r="P39" i="1"/>
  <c r="U155" i="1"/>
  <c r="P169" i="1"/>
  <c r="P151" i="1"/>
  <c r="D1949" i="3"/>
  <c r="D1510" i="3"/>
  <c r="V1055" i="3"/>
  <c r="V1841" i="3"/>
  <c r="E53" i="4"/>
  <c r="V799" i="3"/>
  <c r="V802" i="3"/>
  <c r="Z1087" i="1"/>
  <c r="V1639" i="3"/>
  <c r="C384" i="1"/>
  <c r="C345" i="1"/>
  <c r="C353" i="1"/>
  <c r="O130" i="3"/>
  <c r="P559" i="1"/>
  <c r="D667" i="3"/>
  <c r="P904" i="1"/>
  <c r="U409" i="1"/>
  <c r="V1784" i="3"/>
  <c r="V106" i="3"/>
  <c r="D2065" i="3"/>
  <c r="D825" i="3"/>
  <c r="V230" i="3"/>
  <c r="V604" i="3"/>
  <c r="V19" i="3"/>
  <c r="E106" i="4"/>
  <c r="D1993" i="3"/>
  <c r="D1795" i="3"/>
  <c r="D1992" i="3"/>
  <c r="O1786" i="3"/>
  <c r="O1603" i="3"/>
  <c r="D1516" i="3"/>
  <c r="D1198" i="3"/>
  <c r="O1691" i="3"/>
  <c r="O993" i="3"/>
  <c r="O988" i="3"/>
  <c r="O300" i="3"/>
  <c r="D973" i="3"/>
  <c r="D247" i="3"/>
  <c r="D410" i="3"/>
  <c r="D103" i="3"/>
  <c r="J81" i="2"/>
  <c r="K390" i="1" s="1"/>
  <c r="J76" i="2"/>
  <c r="K929" i="1" s="1"/>
  <c r="D1158" i="3"/>
  <c r="J73" i="2"/>
  <c r="K930" i="1" s="1"/>
  <c r="P1204" i="1"/>
  <c r="P1170" i="1"/>
  <c r="P82" i="1"/>
  <c r="P105" i="1"/>
  <c r="P48" i="1"/>
  <c r="P97" i="1"/>
  <c r="D2076" i="3"/>
  <c r="D1885" i="3"/>
  <c r="D1841" i="3"/>
  <c r="D1405" i="3"/>
  <c r="O1389" i="3"/>
  <c r="D1423" i="3"/>
  <c r="D297" i="3"/>
  <c r="D915" i="3"/>
  <c r="D209" i="3"/>
  <c r="D272" i="3"/>
  <c r="O292" i="3"/>
  <c r="D233" i="3"/>
  <c r="D1185" i="3"/>
  <c r="O303" i="3"/>
  <c r="J270" i="2"/>
  <c r="K453" i="1" s="1"/>
  <c r="J158" i="2"/>
  <c r="J134" i="2"/>
  <c r="K1113" i="1" s="1"/>
  <c r="J122" i="2"/>
  <c r="J312" i="2"/>
  <c r="J155" i="2"/>
  <c r="J119" i="2"/>
  <c r="K304" i="1" s="1"/>
  <c r="O256" i="3"/>
  <c r="J128" i="2"/>
  <c r="K1188" i="1" s="1"/>
  <c r="J161" i="2"/>
  <c r="J125" i="2"/>
  <c r="K1123" i="1" s="1"/>
  <c r="U298" i="1"/>
  <c r="J271" i="2"/>
  <c r="K305" i="1" s="1"/>
  <c r="Z157" i="1"/>
  <c r="V1968" i="3"/>
  <c r="E49" i="4"/>
  <c r="F121" i="3"/>
  <c r="F36" i="3"/>
  <c r="F406" i="3"/>
  <c r="F425" i="3"/>
  <c r="F1252" i="3"/>
  <c r="F1210" i="3"/>
  <c r="F945" i="3"/>
  <c r="F1477" i="3"/>
  <c r="F1890" i="3"/>
  <c r="F988" i="3"/>
  <c r="Z832" i="1"/>
  <c r="C875" i="1"/>
  <c r="C858" i="1"/>
  <c r="C840" i="1"/>
  <c r="E96" i="4"/>
  <c r="E67" i="4"/>
  <c r="V545" i="3"/>
  <c r="V1958" i="3"/>
  <c r="D148" i="3"/>
  <c r="P370" i="1"/>
  <c r="P500" i="1"/>
  <c r="S1192" i="3"/>
  <c r="S415" i="3"/>
  <c r="C989" i="1"/>
  <c r="C540" i="1"/>
  <c r="C1173" i="1"/>
  <c r="C346" i="1"/>
  <c r="S1738" i="3"/>
  <c r="S399" i="3"/>
  <c r="S88" i="3"/>
  <c r="S176" i="3"/>
  <c r="C354" i="1"/>
  <c r="C406" i="1"/>
  <c r="C310" i="1"/>
  <c r="S1535" i="3"/>
  <c r="S1538" i="3"/>
  <c r="S1440" i="3"/>
  <c r="S489" i="3"/>
  <c r="S230" i="3"/>
  <c r="S439" i="3"/>
  <c r="S41" i="3"/>
  <c r="C70" i="1"/>
  <c r="C114" i="1"/>
  <c r="D2050" i="3"/>
  <c r="D343" i="3"/>
  <c r="J418" i="2"/>
  <c r="K1163" i="1" s="1"/>
  <c r="S1549" i="3"/>
  <c r="S332" i="3"/>
  <c r="S2086" i="3"/>
  <c r="S2000" i="3"/>
  <c r="S1876" i="3"/>
  <c r="S1492" i="3"/>
  <c r="S1491" i="3"/>
  <c r="S1095" i="3"/>
  <c r="S531" i="3"/>
  <c r="S1191" i="3"/>
  <c r="S644" i="3"/>
  <c r="S61" i="3"/>
  <c r="S281" i="3"/>
  <c r="C959" i="1"/>
  <c r="C194" i="1"/>
  <c r="S1994" i="3"/>
  <c r="S1939" i="3"/>
  <c r="S1811" i="3"/>
  <c r="S1629" i="3"/>
  <c r="S1168" i="3"/>
  <c r="S1569" i="3"/>
  <c r="S1269" i="3"/>
  <c r="S1294" i="3"/>
  <c r="S1506" i="3"/>
  <c r="S1428" i="3"/>
  <c r="S1091" i="3"/>
  <c r="S1546" i="3"/>
  <c r="S852" i="3"/>
  <c r="S1083" i="3"/>
  <c r="S991" i="3"/>
  <c r="S619" i="3"/>
  <c r="S506" i="3"/>
  <c r="S169" i="3"/>
  <c r="S351" i="3"/>
  <c r="S256" i="3"/>
  <c r="S289" i="3"/>
  <c r="S1378" i="3"/>
  <c r="S453" i="3"/>
  <c r="S1047" i="3"/>
  <c r="S561" i="3"/>
  <c r="S106" i="3"/>
  <c r="S461" i="3"/>
  <c r="S138" i="3"/>
  <c r="S128" i="3"/>
  <c r="S595" i="3"/>
  <c r="S194" i="3"/>
  <c r="N29" i="2"/>
  <c r="N31" i="2"/>
  <c r="C991" i="1"/>
  <c r="C646" i="1"/>
  <c r="C637" i="1"/>
  <c r="C1199" i="1"/>
  <c r="C607" i="1"/>
  <c r="V1216" i="3"/>
  <c r="D1216" i="3"/>
  <c r="D1989" i="3"/>
  <c r="O1745" i="3"/>
  <c r="O1851" i="3"/>
  <c r="D1594" i="3"/>
  <c r="O1848" i="3"/>
  <c r="D1969" i="3"/>
  <c r="D1330" i="3"/>
  <c r="D945" i="3"/>
  <c r="D834" i="3"/>
  <c r="D796" i="3"/>
  <c r="D709" i="3"/>
  <c r="O145" i="3"/>
  <c r="P876" i="1"/>
  <c r="P828" i="1"/>
  <c r="P1056" i="1"/>
  <c r="P371" i="1"/>
  <c r="S1820" i="3"/>
  <c r="S1658" i="3"/>
  <c r="S1697" i="3"/>
  <c r="S1399" i="3"/>
  <c r="S1194" i="3"/>
  <c r="S1443" i="3"/>
  <c r="S1228" i="3"/>
  <c r="S1179" i="3"/>
  <c r="S994" i="3"/>
  <c r="S1071" i="3"/>
  <c r="S706" i="3"/>
  <c r="S687" i="3"/>
  <c r="S86" i="3"/>
  <c r="S36" i="3"/>
  <c r="C1050" i="1"/>
  <c r="C258" i="1"/>
  <c r="C589" i="1"/>
  <c r="P1122" i="1"/>
  <c r="P78" i="1"/>
  <c r="C1069" i="1"/>
  <c r="C685" i="1"/>
  <c r="S1838" i="3"/>
  <c r="S1948" i="3"/>
  <c r="S1449" i="3"/>
  <c r="Y402" i="1"/>
  <c r="N74" i="2"/>
  <c r="N76" i="2"/>
  <c r="C1129" i="1"/>
  <c r="C1170" i="1"/>
  <c r="C537" i="1"/>
  <c r="C1176" i="1"/>
  <c r="C683" i="1"/>
  <c r="N163" i="2"/>
  <c r="N130" i="2"/>
  <c r="C891" i="1"/>
  <c r="C684" i="1"/>
  <c r="D1847" i="3"/>
  <c r="D1609" i="3"/>
  <c r="P985" i="1"/>
  <c r="P529" i="1"/>
  <c r="C1140" i="1"/>
  <c r="C574" i="1"/>
  <c r="D1031" i="3"/>
  <c r="D315" i="3"/>
  <c r="D1936" i="3"/>
  <c r="D1776" i="3"/>
  <c r="O1805" i="3"/>
  <c r="O1688" i="3"/>
  <c r="D1833" i="3"/>
  <c r="O1090" i="3"/>
  <c r="D1120" i="3"/>
  <c r="O520" i="3"/>
  <c r="D495" i="3"/>
  <c r="J339" i="2"/>
  <c r="J207" i="2"/>
  <c r="P411" i="1"/>
  <c r="U333" i="1"/>
  <c r="P753" i="1"/>
  <c r="U183" i="1"/>
  <c r="P426" i="1"/>
  <c r="P432" i="1"/>
  <c r="P679" i="1"/>
  <c r="U299" i="1"/>
  <c r="P246" i="1"/>
  <c r="C53" i="1"/>
  <c r="C71" i="1"/>
  <c r="D808" i="3"/>
  <c r="D53" i="3"/>
  <c r="P629" i="1"/>
  <c r="C465" i="1"/>
  <c r="C172" i="1"/>
  <c r="D154" i="3"/>
  <c r="D147" i="3"/>
  <c r="D1948" i="3"/>
  <c r="D738" i="3"/>
  <c r="D1042" i="3"/>
  <c r="C483" i="1"/>
  <c r="C451" i="1"/>
  <c r="D1886" i="3"/>
  <c r="D1415" i="3"/>
  <c r="D1061" i="3"/>
  <c r="D1318" i="3"/>
  <c r="D826" i="3"/>
  <c r="O2000" i="3"/>
  <c r="D2088" i="3"/>
  <c r="O1771" i="3"/>
  <c r="D1793" i="3"/>
  <c r="D1621" i="3"/>
  <c r="D2002" i="3"/>
  <c r="O1125" i="3"/>
  <c r="D1127" i="3"/>
  <c r="D977" i="3"/>
  <c r="O980" i="3"/>
  <c r="O153" i="3"/>
  <c r="D153" i="3"/>
  <c r="J184" i="2"/>
  <c r="U1126" i="1"/>
  <c r="J171" i="2"/>
  <c r="P920" i="1"/>
  <c r="P847" i="1"/>
  <c r="P1228" i="1"/>
  <c r="P128" i="1"/>
  <c r="D1962" i="3"/>
  <c r="D1958" i="3"/>
  <c r="D1880" i="3"/>
  <c r="O2003" i="3"/>
  <c r="D1904" i="3"/>
  <c r="O1984" i="3"/>
  <c r="D1686" i="3"/>
  <c r="D1654" i="3"/>
  <c r="O1753" i="3"/>
  <c r="D1726" i="3"/>
  <c r="O1653" i="3"/>
  <c r="O1672" i="3"/>
  <c r="O2022" i="3"/>
  <c r="O1737" i="3"/>
  <c r="D1652" i="3"/>
  <c r="D1645" i="3"/>
  <c r="D1636" i="3"/>
  <c r="O1541" i="3"/>
  <c r="O1482" i="3"/>
  <c r="O799" i="3"/>
  <c r="D1487" i="3"/>
  <c r="D854" i="3"/>
  <c r="O548" i="3"/>
  <c r="D557" i="3"/>
  <c r="D444" i="3"/>
  <c r="O425" i="3"/>
  <c r="D361" i="3"/>
  <c r="D379" i="3"/>
  <c r="D425" i="3"/>
  <c r="O653" i="3"/>
  <c r="O68" i="3"/>
  <c r="O592" i="3"/>
  <c r="O58" i="3"/>
  <c r="O351" i="3"/>
  <c r="D58" i="3"/>
  <c r="J456" i="2"/>
  <c r="K713" i="1" s="1"/>
  <c r="J412" i="2"/>
  <c r="K1154" i="1" s="1"/>
  <c r="O597" i="3"/>
  <c r="D570" i="3"/>
  <c r="P1117" i="1"/>
  <c r="D68" i="3"/>
  <c r="J409" i="2"/>
  <c r="K1030" i="1" s="1"/>
  <c r="J479" i="2"/>
  <c r="K126" i="1" s="1"/>
  <c r="P986" i="1"/>
  <c r="P192" i="1"/>
  <c r="P366" i="1"/>
  <c r="P502" i="1"/>
  <c r="P161" i="1"/>
  <c r="P508" i="1"/>
  <c r="P697" i="1"/>
  <c r="P348" i="1"/>
  <c r="C450" i="1"/>
  <c r="C482" i="1"/>
  <c r="N313" i="2"/>
  <c r="N322" i="2"/>
  <c r="N324" i="2"/>
  <c r="N151" i="2"/>
  <c r="N270" i="2"/>
  <c r="N134" i="2"/>
  <c r="N47" i="2"/>
  <c r="N30" i="2"/>
  <c r="N6" i="2"/>
  <c r="N326" i="2"/>
  <c r="N220" i="2"/>
  <c r="N191" i="2"/>
  <c r="N119" i="2"/>
  <c r="N95" i="2"/>
  <c r="N150" i="2"/>
  <c r="N10" i="2"/>
  <c r="N271" i="2"/>
  <c r="N142" i="2"/>
  <c r="N240" i="2"/>
  <c r="N318" i="2"/>
  <c r="N14" i="2"/>
  <c r="O657" i="3"/>
  <c r="O147" i="3"/>
  <c r="Y1034" i="1"/>
  <c r="C954" i="1"/>
  <c r="C455" i="1"/>
  <c r="C531" i="1"/>
  <c r="C509" i="1"/>
  <c r="O1191" i="3"/>
  <c r="D326" i="3"/>
  <c r="P1085" i="1"/>
  <c r="O1768" i="3"/>
  <c r="D1768" i="3"/>
  <c r="D1567" i="3"/>
  <c r="D1806" i="3"/>
  <c r="O1355" i="3"/>
  <c r="O999" i="3"/>
  <c r="O958" i="3"/>
  <c r="D790" i="3"/>
  <c r="O1002" i="3"/>
  <c r="D974" i="3"/>
  <c r="O961" i="3"/>
  <c r="D1112" i="3"/>
  <c r="D1017" i="3"/>
  <c r="D1111" i="3"/>
  <c r="O308" i="3"/>
  <c r="O1028" i="3"/>
  <c r="O127" i="3"/>
  <c r="D141" i="3"/>
  <c r="D77" i="3"/>
  <c r="O140" i="3"/>
  <c r="O243" i="3"/>
  <c r="D29" i="3"/>
  <c r="J105" i="2"/>
  <c r="O124" i="3"/>
  <c r="D123" i="3"/>
  <c r="J109" i="2"/>
  <c r="K392" i="1" s="1"/>
  <c r="P1040" i="1"/>
  <c r="J101" i="2"/>
  <c r="P1023" i="1"/>
  <c r="P574" i="1"/>
  <c r="P558" i="1"/>
  <c r="P528" i="1"/>
  <c r="P640" i="1"/>
  <c r="V469" i="3"/>
  <c r="V1265" i="3"/>
  <c r="V1234" i="3"/>
  <c r="S695" i="3"/>
  <c r="S85" i="3"/>
  <c r="S65" i="3"/>
  <c r="S142" i="3"/>
  <c r="C919" i="1"/>
  <c r="C435" i="1"/>
  <c r="C427" i="1"/>
  <c r="C414" i="1"/>
  <c r="D2017" i="3"/>
  <c r="D1211" i="3"/>
  <c r="D890" i="3"/>
  <c r="D807" i="3"/>
  <c r="D2041" i="3"/>
  <c r="D1954" i="3"/>
  <c r="D1981" i="3"/>
  <c r="D1625" i="3"/>
  <c r="P673" i="1"/>
  <c r="D310" i="3"/>
  <c r="O306" i="3"/>
  <c r="J218" i="2"/>
  <c r="J44" i="2"/>
  <c r="K370" i="1" s="1"/>
  <c r="J32" i="2"/>
  <c r="K208" i="1" s="1"/>
  <c r="J219" i="2"/>
  <c r="J45" i="2"/>
  <c r="K371" i="1" s="1"/>
  <c r="J33" i="2"/>
  <c r="K209" i="1" s="1"/>
  <c r="U404" i="1"/>
  <c r="S1737" i="3"/>
  <c r="S876" i="3"/>
  <c r="N300" i="2"/>
  <c r="N175" i="2"/>
  <c r="C985" i="1"/>
  <c r="C1004" i="1"/>
  <c r="D1341" i="3"/>
  <c r="D1580" i="3"/>
  <c r="D873" i="3"/>
  <c r="D1493" i="3"/>
  <c r="D1812" i="3"/>
  <c r="D1802" i="3"/>
  <c r="D1372" i="3"/>
  <c r="O1814" i="3"/>
  <c r="D1117" i="3"/>
  <c r="O1115" i="3"/>
  <c r="O518" i="3"/>
  <c r="D793" i="3"/>
  <c r="J364" i="2"/>
  <c r="D496" i="3"/>
  <c r="D519" i="3"/>
  <c r="J360" i="2"/>
  <c r="O31" i="3"/>
  <c r="P988" i="1"/>
  <c r="P892" i="1"/>
  <c r="P414" i="1"/>
  <c r="P409" i="1"/>
  <c r="P429" i="1"/>
  <c r="U339" i="1"/>
  <c r="D1051" i="3"/>
  <c r="O776" i="3"/>
  <c r="P877" i="1"/>
  <c r="P64" i="1"/>
  <c r="C552" i="1"/>
  <c r="Y552" i="1"/>
  <c r="O1926" i="3"/>
  <c r="O1474" i="3"/>
  <c r="O1522" i="3"/>
  <c r="O1710" i="3"/>
  <c r="P130" i="1"/>
  <c r="V1708" i="3"/>
  <c r="D1965" i="3"/>
  <c r="D1519" i="3"/>
  <c r="J46" i="2"/>
  <c r="D2046" i="3"/>
  <c r="D1497" i="3"/>
  <c r="V1497" i="3"/>
  <c r="D479" i="3"/>
  <c r="D179" i="3"/>
  <c r="P681" i="1"/>
  <c r="D1006" i="3"/>
  <c r="D789" i="3"/>
  <c r="D1058" i="3"/>
  <c r="D822" i="3"/>
  <c r="P407" i="1"/>
  <c r="E68" i="4"/>
  <c r="V600" i="3"/>
  <c r="D600" i="3"/>
  <c r="V73" i="3"/>
  <c r="D1910" i="3"/>
  <c r="O1887" i="3"/>
  <c r="Z183" i="1"/>
  <c r="F258" i="3"/>
  <c r="F495" i="3"/>
  <c r="F44" i="3"/>
  <c r="F415" i="3"/>
  <c r="F1040" i="3"/>
  <c r="F984" i="3"/>
  <c r="F834" i="3"/>
  <c r="F1259" i="3"/>
  <c r="F1822" i="3"/>
  <c r="F1722" i="3"/>
  <c r="F1834" i="3"/>
  <c r="N293" i="2"/>
  <c r="N121" i="2"/>
  <c r="O1491" i="3"/>
  <c r="O1224" i="3"/>
  <c r="C470" i="1"/>
  <c r="C39" i="1"/>
  <c r="E22" i="4"/>
  <c r="E122" i="4"/>
  <c r="D2040" i="3"/>
  <c r="D774" i="3"/>
  <c r="D314" i="3"/>
  <c r="D534" i="3"/>
  <c r="K1201" i="1" l="1"/>
  <c r="K581" i="1"/>
  <c r="K845" i="1"/>
  <c r="K415" i="1"/>
  <c r="K199" i="1"/>
  <c r="K139" i="1"/>
  <c r="K131" i="1"/>
  <c r="K110" i="1"/>
  <c r="K121" i="1"/>
  <c r="K116" i="1"/>
  <c r="K1025" i="1"/>
  <c r="K325" i="1"/>
  <c r="K821" i="1"/>
  <c r="K490" i="1"/>
  <c r="K658" i="1"/>
  <c r="K810" i="1"/>
  <c r="K464" i="1"/>
  <c r="K175" i="1"/>
  <c r="K411" i="1"/>
  <c r="K404" i="1"/>
  <c r="K889" i="1"/>
  <c r="K897" i="1"/>
  <c r="K841" i="1"/>
  <c r="K809" i="1"/>
  <c r="K860" i="1"/>
  <c r="K648" i="1"/>
  <c r="K1226" i="1"/>
  <c r="K1218" i="1"/>
  <c r="K35" i="1"/>
  <c r="K18" i="1"/>
  <c r="K611" i="1"/>
  <c r="K604" i="1"/>
  <c r="K1139" i="1"/>
  <c r="K1193" i="1"/>
  <c r="K642" i="1"/>
  <c r="K657" i="1"/>
  <c r="K721" i="1"/>
  <c r="K729" i="1"/>
  <c r="K569" i="1"/>
  <c r="K526" i="1"/>
  <c r="K504" i="1"/>
  <c r="K484" i="1"/>
  <c r="K452" i="1"/>
  <c r="K644" i="1"/>
  <c r="K191" i="1"/>
  <c r="K888" i="1"/>
  <c r="K896" i="1"/>
  <c r="K1011" i="1"/>
  <c r="K969" i="1"/>
  <c r="K169" i="1"/>
  <c r="K1221" i="1"/>
  <c r="K1228" i="1"/>
  <c r="K517" i="1"/>
  <c r="K84" i="1"/>
  <c r="K26" i="1"/>
  <c r="K211" i="1"/>
  <c r="K874" i="1"/>
  <c r="K189" i="1"/>
  <c r="K459" i="1"/>
  <c r="K505" i="1"/>
  <c r="K528" i="1"/>
  <c r="K456" i="1"/>
  <c r="K705" i="1"/>
  <c r="K992" i="1"/>
  <c r="K757" i="1"/>
  <c r="K187" i="1"/>
  <c r="K237" i="1"/>
  <c r="K673" i="1"/>
  <c r="K745" i="1"/>
  <c r="K1101" i="1"/>
  <c r="K164" i="1"/>
  <c r="K1023" i="1"/>
  <c r="K462" i="1"/>
  <c r="K849" i="1"/>
  <c r="K200" i="1"/>
  <c r="K993" i="1"/>
  <c r="K958" i="1"/>
  <c r="K193" i="1"/>
  <c r="K188" i="1"/>
  <c r="K157" i="1"/>
  <c r="K1047" i="1"/>
  <c r="K1197" i="1"/>
  <c r="K927" i="1"/>
  <c r="K1087" i="1"/>
  <c r="K1107" i="1"/>
  <c r="K954" i="1"/>
  <c r="K509" i="1"/>
  <c r="K531" i="1"/>
  <c r="K455" i="1"/>
  <c r="K60" i="1"/>
  <c r="K48" i="1"/>
  <c r="K834" i="1"/>
  <c r="K806" i="1"/>
  <c r="K991" i="1"/>
  <c r="K637" i="1"/>
  <c r="K646" i="1"/>
  <c r="K995" i="1"/>
  <c r="K385" i="1"/>
  <c r="K842" i="1"/>
  <c r="K649" i="1"/>
  <c r="K138" i="1"/>
  <c r="K65" i="1"/>
  <c r="K111" i="1"/>
  <c r="K117" i="1"/>
  <c r="K20" i="1"/>
  <c r="K52" i="1"/>
  <c r="K77" i="1"/>
  <c r="K755" i="1"/>
  <c r="K675" i="1"/>
  <c r="K726" i="1"/>
  <c r="K762" i="1"/>
  <c r="K702" i="1"/>
  <c r="K19" i="1"/>
  <c r="K36" i="1"/>
  <c r="K326" i="1"/>
  <c r="K659" i="1"/>
  <c r="K491" i="1"/>
  <c r="K820" i="1"/>
  <c r="K176" i="1"/>
  <c r="K1120" i="1"/>
  <c r="K182" i="1"/>
  <c r="K497" i="1"/>
  <c r="K976" i="1"/>
  <c r="K666" i="1"/>
  <c r="K332" i="1"/>
  <c r="K831" i="1"/>
  <c r="K46" i="1"/>
  <c r="K502" i="1"/>
  <c r="K524" i="1"/>
  <c r="K1048" i="1"/>
  <c r="K431" i="1"/>
  <c r="K475" i="1"/>
  <c r="K479" i="1"/>
  <c r="K577" i="1"/>
  <c r="K570" i="1"/>
  <c r="K476" i="1"/>
  <c r="K480" i="1"/>
  <c r="K226" i="1"/>
  <c r="K603" i="1"/>
  <c r="K609" i="1"/>
  <c r="K676" i="1"/>
  <c r="K641" i="1"/>
  <c r="K955" i="1"/>
  <c r="K1014" i="1"/>
  <c r="K919" i="1"/>
  <c r="K414" i="1"/>
  <c r="K435" i="1"/>
  <c r="K427" i="1"/>
  <c r="K805" i="1"/>
  <c r="K833" i="1"/>
  <c r="K162" i="1"/>
  <c r="K185" i="1"/>
  <c r="K1102" i="1"/>
  <c r="K864" i="1"/>
  <c r="K192" i="1"/>
  <c r="K1140" i="1"/>
  <c r="K574" i="1"/>
  <c r="K638" i="1"/>
  <c r="K674" i="1"/>
  <c r="K71" i="1"/>
  <c r="K53" i="1"/>
  <c r="K643" i="1"/>
  <c r="K734" i="1"/>
  <c r="K689" i="1"/>
  <c r="K1178" i="1"/>
  <c r="K848" i="1"/>
  <c r="K312" i="1"/>
  <c r="K352" i="1"/>
  <c r="K1059" i="1"/>
  <c r="K1040" i="1"/>
  <c r="K482" i="1"/>
  <c r="K450" i="1"/>
  <c r="K79" i="1"/>
  <c r="K57" i="1"/>
  <c r="K998" i="1"/>
  <c r="K391" i="1"/>
  <c r="K277" i="1"/>
  <c r="K283" i="1"/>
  <c r="K583" i="1"/>
  <c r="K582" i="1"/>
  <c r="K846" i="1"/>
  <c r="K772" i="1"/>
  <c r="K465" i="1"/>
  <c r="K172" i="1"/>
  <c r="K679" i="1"/>
  <c r="K697" i="1"/>
  <c r="K985" i="1"/>
  <c r="K1004" i="1"/>
  <c r="K345" i="1"/>
  <c r="K353" i="1"/>
  <c r="K384" i="1"/>
  <c r="K986" i="1"/>
  <c r="K948" i="1"/>
  <c r="K1005" i="1"/>
  <c r="K952" i="1"/>
  <c r="K1220" i="1"/>
  <c r="K1227" i="1"/>
  <c r="K501" i="1"/>
  <c r="K523" i="1"/>
  <c r="K50" i="1"/>
  <c r="K62" i="1"/>
  <c r="K129" i="1"/>
  <c r="K135" i="1"/>
  <c r="K1132" i="1"/>
  <c r="K876" i="1"/>
  <c r="K970" i="1"/>
  <c r="K171" i="1"/>
  <c r="K844" i="1"/>
  <c r="K461" i="1"/>
  <c r="K174" i="1"/>
  <c r="K98" i="1"/>
  <c r="K58" i="1"/>
  <c r="K1180" i="1"/>
  <c r="K202" i="1"/>
  <c r="K417" i="1"/>
  <c r="K1100" i="1"/>
  <c r="K1092" i="1"/>
  <c r="K1170" i="1"/>
  <c r="K1129" i="1"/>
  <c r="K537" i="1"/>
  <c r="K1135" i="1"/>
  <c r="K275" i="1"/>
  <c r="K248" i="1"/>
  <c r="K280" i="1"/>
  <c r="K242" i="1"/>
  <c r="K130" i="1"/>
  <c r="K136" i="1"/>
  <c r="K1204" i="1"/>
  <c r="K904" i="1"/>
  <c r="K1199" i="1"/>
  <c r="K607" i="1"/>
  <c r="K503" i="1"/>
  <c r="K525" i="1"/>
  <c r="K403" i="1"/>
  <c r="K339" i="1"/>
  <c r="K366" i="1"/>
  <c r="K631" i="1"/>
  <c r="K653" i="1"/>
  <c r="K1056" i="1"/>
  <c r="K1038" i="1"/>
  <c r="K1026" i="1"/>
  <c r="K467" i="1"/>
  <c r="K956" i="1"/>
  <c r="K87" i="1"/>
  <c r="K155" i="1"/>
  <c r="K225" i="1"/>
  <c r="K1203" i="1"/>
  <c r="K903" i="1"/>
  <c r="K470" i="1"/>
  <c r="K39" i="1"/>
  <c r="K1172" i="1"/>
  <c r="K873" i="1"/>
  <c r="K1127" i="1"/>
  <c r="K654" i="1"/>
  <c r="K632" i="1"/>
  <c r="K1232" i="1"/>
  <c r="K1224" i="1"/>
  <c r="K1179" i="1"/>
  <c r="K931" i="1"/>
  <c r="K922" i="1"/>
  <c r="K559" i="1"/>
  <c r="K437" i="1"/>
  <c r="K395" i="1"/>
  <c r="K735" i="1"/>
  <c r="K276" i="1"/>
  <c r="K282" i="1"/>
  <c r="K429" i="1"/>
  <c r="K1191" i="1"/>
  <c r="K249" i="1"/>
  <c r="K571" i="1"/>
  <c r="K578" i="1"/>
  <c r="K425" i="1"/>
  <c r="K599" i="1"/>
  <c r="K114" i="1"/>
  <c r="K70" i="1"/>
  <c r="K1109" i="1"/>
  <c r="K1089" i="1"/>
  <c r="K1064" i="1"/>
  <c r="K1070" i="1"/>
  <c r="K877" i="1"/>
  <c r="K852" i="1"/>
  <c r="K356" i="1"/>
  <c r="K314" i="1"/>
  <c r="K1207" i="1"/>
  <c r="K905" i="1"/>
  <c r="K907" i="1"/>
  <c r="K279" i="1"/>
  <c r="K262" i="1"/>
  <c r="K109" i="1"/>
  <c r="K115" i="1"/>
  <c r="K1128" i="1"/>
  <c r="K862" i="1"/>
  <c r="K536" i="1"/>
  <c r="K1130" i="1"/>
  <c r="K1171" i="1"/>
  <c r="K990" i="1"/>
  <c r="K539" i="1"/>
  <c r="K590" i="1"/>
  <c r="K259" i="1"/>
  <c r="K260" i="1"/>
  <c r="K591" i="1"/>
  <c r="K957" i="1"/>
  <c r="K228" i="1"/>
  <c r="K982" i="1"/>
  <c r="K1002" i="1"/>
  <c r="K1039" i="1"/>
  <c r="K1057" i="1"/>
  <c r="K996" i="1"/>
  <c r="K751" i="1"/>
  <c r="K393" i="1"/>
  <c r="K770" i="1"/>
  <c r="K899" i="1"/>
  <c r="K838" i="1"/>
  <c r="K527" i="1"/>
  <c r="K506" i="1"/>
  <c r="K51" i="1"/>
  <c r="K105" i="1"/>
  <c r="K63" i="1"/>
  <c r="K186" i="1"/>
  <c r="K163" i="1"/>
  <c r="K1069" i="1"/>
  <c r="K685" i="1"/>
  <c r="K1198" i="1"/>
  <c r="K928" i="1"/>
  <c r="K754" i="1"/>
  <c r="K747" i="1"/>
  <c r="K184" i="1"/>
  <c r="K161" i="1"/>
  <c r="K1041" i="1"/>
  <c r="K1063" i="1"/>
  <c r="K759" i="1"/>
  <c r="K853" i="1"/>
  <c r="K28" i="1"/>
  <c r="K1173" i="1"/>
  <c r="K346" i="1"/>
  <c r="K1136" i="1"/>
  <c r="K241" i="1"/>
  <c r="K247" i="1"/>
  <c r="K413" i="1"/>
  <c r="K386" i="1"/>
  <c r="K997" i="1"/>
  <c r="K572" i="1"/>
  <c r="K579" i="1"/>
  <c r="K898" i="1"/>
  <c r="K918" i="1"/>
  <c r="K753" i="1"/>
  <c r="K746" i="1"/>
  <c r="K1176" i="1"/>
  <c r="K683" i="1"/>
  <c r="K406" i="1"/>
  <c r="K310" i="1"/>
  <c r="K354" i="1"/>
  <c r="K342" i="1"/>
  <c r="K367" i="1"/>
  <c r="K1082" i="1"/>
  <c r="K938" i="1"/>
  <c r="K445" i="1"/>
  <c r="K627" i="1"/>
  <c r="K295" i="1"/>
  <c r="K791" i="1"/>
  <c r="K147" i="1"/>
  <c r="K7" i="1"/>
  <c r="K1049" i="1"/>
  <c r="K1205" i="1"/>
  <c r="K587" i="1"/>
  <c r="K483" i="1"/>
  <c r="K451" i="1"/>
  <c r="K730" i="1"/>
  <c r="K722" i="1"/>
  <c r="K529" i="1"/>
  <c r="K507" i="1"/>
  <c r="K768" i="1"/>
  <c r="K774" i="1"/>
  <c r="K252" i="1"/>
  <c r="K781" i="1"/>
  <c r="K748" i="1"/>
  <c r="K773" i="1"/>
  <c r="K767" i="1"/>
  <c r="K749" i="1"/>
  <c r="K777" i="1"/>
  <c r="K686" i="1"/>
  <c r="K460" i="1"/>
  <c r="K489" i="1"/>
  <c r="K1206" i="1"/>
  <c r="K588" i="1"/>
  <c r="K1052" i="1"/>
  <c r="K908" i="1"/>
  <c r="K263" i="1"/>
  <c r="K281" i="1"/>
  <c r="K1200" i="1"/>
  <c r="K602" i="1"/>
  <c r="K608" i="1"/>
  <c r="K1125" i="1"/>
  <c r="K1187" i="1"/>
  <c r="K859" i="1"/>
  <c r="K839" i="1"/>
  <c r="K687" i="1"/>
  <c r="K807" i="1"/>
  <c r="K817" i="1"/>
  <c r="K1058" i="1"/>
  <c r="K1138" i="1"/>
  <c r="K920" i="1"/>
  <c r="K892" i="1"/>
  <c r="K1209" i="1"/>
  <c r="K909" i="1"/>
  <c r="K593" i="1"/>
  <c r="K264" i="1"/>
  <c r="K580" i="1"/>
  <c r="K575" i="1"/>
  <c r="K987" i="1"/>
  <c r="K953" i="1"/>
  <c r="K1219" i="1"/>
  <c r="K1045" i="1"/>
  <c r="K49" i="1"/>
  <c r="K61" i="1"/>
  <c r="K1185" i="1"/>
  <c r="K885" i="1"/>
  <c r="K1033" i="1"/>
  <c r="K743" i="1"/>
  <c r="K567" i="1"/>
  <c r="K235" i="1"/>
  <c r="K103" i="1"/>
  <c r="K401" i="1"/>
  <c r="K1208" i="1"/>
  <c r="K906" i="1"/>
  <c r="K198" i="1"/>
  <c r="K160" i="1"/>
  <c r="K153" i="1"/>
  <c r="K1050" i="1"/>
  <c r="K589" i="1"/>
  <c r="K258" i="1"/>
  <c r="K1108" i="1"/>
  <c r="K1088" i="1"/>
  <c r="K1190" i="1"/>
  <c r="K1134" i="1"/>
  <c r="K245" i="1"/>
  <c r="K323" i="1"/>
  <c r="K488" i="1"/>
  <c r="K1035" i="1"/>
  <c r="K981" i="1"/>
  <c r="K723" i="1"/>
  <c r="K731" i="1"/>
  <c r="K606" i="1"/>
  <c r="K601" i="1"/>
  <c r="K1111" i="1"/>
  <c r="K1099" i="1"/>
  <c r="K382" i="1"/>
  <c r="K349" i="1"/>
  <c r="K530" i="1"/>
  <c r="K508" i="1"/>
  <c r="K959" i="1"/>
  <c r="K194" i="1"/>
  <c r="K468" i="1"/>
  <c r="K1027" i="1"/>
  <c r="K306" i="1"/>
  <c r="K368" i="1"/>
  <c r="K344" i="1"/>
  <c r="K645" i="1"/>
  <c r="K635" i="1"/>
  <c r="K858" i="1"/>
  <c r="K875" i="1"/>
  <c r="K840" i="1"/>
  <c r="K724" i="1"/>
  <c r="K732" i="1"/>
  <c r="K23" i="1"/>
  <c r="K37" i="1"/>
  <c r="K984" i="1"/>
  <c r="K1003" i="1"/>
  <c r="K1062" i="1"/>
  <c r="K1068" i="1"/>
  <c r="K251" i="1"/>
  <c r="K412" i="1"/>
  <c r="K405" i="1"/>
  <c r="K426" i="1"/>
  <c r="K600" i="1"/>
  <c r="K633" i="1"/>
  <c r="K655" i="1"/>
  <c r="K688" i="1"/>
  <c r="K324" i="1"/>
  <c r="K592" i="1"/>
  <c r="K261" i="1"/>
  <c r="K1051" i="1"/>
  <c r="K85" i="1"/>
  <c r="K518" i="1"/>
  <c r="K1196" i="1"/>
  <c r="K1044" i="1"/>
  <c r="K1131" i="1"/>
  <c r="K865" i="1"/>
  <c r="K1103" i="1"/>
  <c r="K165" i="1"/>
  <c r="K1177" i="1"/>
  <c r="K847" i="1"/>
  <c r="K351" i="1"/>
  <c r="K313" i="1"/>
  <c r="K1043" i="1"/>
  <c r="K1195" i="1"/>
  <c r="K416" i="1"/>
  <c r="K141" i="1"/>
  <c r="K27" i="1"/>
  <c r="K118" i="1"/>
  <c r="K133" i="1"/>
  <c r="K73" i="1"/>
  <c r="K64" i="1"/>
  <c r="K112" i="1"/>
  <c r="K1067" i="1"/>
  <c r="K250" i="1"/>
  <c r="K1061" i="1"/>
  <c r="K677" i="1"/>
  <c r="K703" i="1"/>
  <c r="K695" i="1"/>
  <c r="K863" i="1"/>
  <c r="K538" i="1"/>
  <c r="K800" i="1"/>
  <c r="K808" i="1"/>
  <c r="K696" i="1"/>
  <c r="K647" i="1"/>
  <c r="K727" i="1"/>
  <c r="K678" i="1"/>
  <c r="K704" i="1"/>
  <c r="K408" i="1"/>
  <c r="K309" i="1"/>
  <c r="K690" i="1"/>
  <c r="K394" i="1"/>
  <c r="K229" i="1"/>
  <c r="K515" i="1"/>
  <c r="K82" i="1"/>
  <c r="K466" i="1"/>
  <c r="K173" i="1"/>
  <c r="K1021" i="1"/>
  <c r="K857" i="1"/>
  <c r="K822" i="1"/>
  <c r="K837" i="1"/>
  <c r="K811" i="1"/>
  <c r="K802" i="1"/>
  <c r="K1137" i="1"/>
  <c r="K1192" i="1"/>
  <c r="K246" i="1"/>
  <c r="K733" i="1"/>
  <c r="K725" i="1"/>
  <c r="K887" i="1"/>
  <c r="K895" i="1"/>
  <c r="K836" i="1"/>
  <c r="K132" i="1"/>
  <c r="K66" i="1"/>
  <c r="K140" i="1"/>
  <c r="K706" i="1"/>
  <c r="K851" i="1"/>
  <c r="K758" i="1"/>
  <c r="K322" i="1"/>
  <c r="K303" i="1"/>
  <c r="K338" i="1"/>
  <c r="K365" i="1"/>
  <c r="K893" i="1"/>
  <c r="K921" i="1"/>
  <c r="K514" i="1"/>
  <c r="K81" i="1"/>
  <c r="K1223" i="1"/>
  <c r="K1229" i="1"/>
  <c r="K469" i="1"/>
  <c r="K660" i="1"/>
  <c r="K1098" i="1"/>
  <c r="K1093" i="1"/>
  <c r="K1126" i="1"/>
  <c r="K55" i="1"/>
  <c r="K72" i="1"/>
  <c r="K78" i="1"/>
  <c r="K989" i="1"/>
  <c r="K540" i="1"/>
  <c r="K680" i="1"/>
  <c r="K698" i="1"/>
  <c r="K311" i="1"/>
  <c r="K407" i="1"/>
  <c r="K436" i="1"/>
  <c r="K350" i="1"/>
  <c r="K428" i="1"/>
  <c r="K383" i="1"/>
  <c r="K355" i="1"/>
  <c r="K343" i="1"/>
  <c r="K1046" i="1"/>
  <c r="K769" i="1"/>
  <c r="K775" i="1"/>
  <c r="K253" i="1"/>
  <c r="K782" i="1"/>
  <c r="K1024" i="1"/>
  <c r="K994" i="1"/>
  <c r="K850" i="1"/>
  <c r="K201" i="1"/>
  <c r="K463" i="1"/>
  <c r="K891" i="1"/>
  <c r="K684" i="1"/>
</calcChain>
</file>

<file path=xl/sharedStrings.xml><?xml version="1.0" encoding="utf-8"?>
<sst xmlns="http://schemas.openxmlformats.org/spreadsheetml/2006/main" count="18531" uniqueCount="12910">
  <si>
    <t>Jump:</t>
  </si>
  <si>
    <t>Frostlands</t>
  </si>
  <si>
    <t>Flatlands</t>
  </si>
  <si>
    <t>Coastlands</t>
  </si>
  <si>
    <t>Highlands</t>
  </si>
  <si>
    <t>Sunlands</t>
  </si>
  <si>
    <t>Riverlands</t>
  </si>
  <si>
    <t>Cliftlands</t>
  </si>
  <si>
    <t>Woodlands</t>
  </si>
  <si>
    <t>Other Missable / Limited
or worth a mention</t>
  </si>
  <si>
    <t>(Red = Missable or Limited otherwise it's not)</t>
  </si>
  <si>
    <t>Note</t>
  </si>
  <si>
    <t>* This file is shared with everyone, if you want to use the checkboxes, please make yourself a copy "Menu -&gt; File -&gt; Make a copy", I will ignore any "Request edit access" to this file.</t>
  </si>
  <si>
    <t>-------&gt; Read the above please and stop requesting access to the file. Thanks. &lt;---------</t>
  </si>
  <si>
    <t>10 000$</t>
  </si>
  <si>
    <t>Boss</t>
  </si>
  <si>
    <t>5 500$</t>
  </si>
  <si>
    <t>30 000$</t>
  </si>
  <si>
    <t>1 500$</t>
  </si>
  <si>
    <t>5 000$</t>
  </si>
  <si>
    <t>4 000$</t>
  </si>
  <si>
    <t>3 000$</t>
  </si>
  <si>
    <t>20 000$</t>
  </si>
  <si>
    <t>4 500$</t>
  </si>
  <si>
    <t>25 000$</t>
  </si>
  <si>
    <t>1 000$</t>
  </si>
  <si>
    <t>1 200$</t>
  </si>
  <si>
    <t>9 400$</t>
  </si>
  <si>
    <t>6 000$</t>
  </si>
  <si>
    <t>12 000$</t>
  </si>
  <si>
    <t>35 000$</t>
  </si>
  <si>
    <t>50 000$</t>
  </si>
  <si>
    <t>* Will add info later</t>
  </si>
  <si>
    <t>They don't have missable nor limited items but you could Purchase/Steal them before getting any Mask or Black Market Inventory.</t>
  </si>
  <si>
    <t>2 000$</t>
  </si>
  <si>
    <t>1 400$</t>
  </si>
  <si>
    <t>3 500$</t>
  </si>
  <si>
    <t>6 000$ (hidden room)</t>
  </si>
  <si>
    <t>15 000$</t>
  </si>
  <si>
    <t>Normal Enemies</t>
  </si>
  <si>
    <t>Mini Bosses</t>
  </si>
  <si>
    <t>Boss &amp; Unique</t>
  </si>
  <si>
    <t>Name</t>
  </si>
  <si>
    <t>Numbers inside () in the Location column means the level in which the enemy appear, enemies does not always appear on every level of a zone</t>
  </si>
  <si>
    <t>9*</t>
  </si>
  <si>
    <t>1*</t>
  </si>
  <si>
    <t>4*</t>
  </si>
  <si>
    <t>7*</t>
  </si>
  <si>
    <t>2*</t>
  </si>
  <si>
    <t>5*</t>
  </si>
  <si>
    <t>6*</t>
  </si>
  <si>
    <t>8*</t>
  </si>
  <si>
    <t>*WARNING!!! not the same as the forced encounter during Olberic Chapter 1</t>
  </si>
  <si>
    <t>*WARNING!!! missable</t>
  </si>
  <si>
    <t>Everywhere</t>
  </si>
  <si>
    <t>10*</t>
  </si>
  <si>
    <t>* Spawn after "Devourer of Men" is killed</t>
  </si>
  <si>
    <t>3*</t>
  </si>
  <si>
    <t>* Spaw after "Leviathan" is killed</t>
  </si>
  <si>
    <t>* WARNING there are 2 version of that name (may be english only)</t>
  </si>
  <si>
    <t>* Can also be summoned by Rampant Weed and Mutant Mushroom</t>
  </si>
  <si>
    <t>Mini Bosses section is required to complete your Strategist achievement, they all respawn as normal monsters after you defeated them</t>
  </si>
  <si>
    <t>* None of the Bosses &amp; Unique section are required for the Strategist achievement</t>
  </si>
  <si>
    <t>6+</t>
  </si>
  <si>
    <t>Ophilia chapter 1</t>
  </si>
  <si>
    <t>4+</t>
  </si>
  <si>
    <t>Cyrus chapter 1</t>
  </si>
  <si>
    <t>2+</t>
  </si>
  <si>
    <t>3+</t>
  </si>
  <si>
    <t>Tressa chapter 1</t>
  </si>
  <si>
    <t>Olberic chapter 1</t>
  </si>
  <si>
    <t>Primrose chapter 1</t>
  </si>
  <si>
    <t>1+</t>
  </si>
  <si>
    <t>Alfyn chapter 1</t>
  </si>
  <si>
    <t>Alfyn chapter 1, only on Danger Level 4+</t>
  </si>
  <si>
    <t>Therion chapter 1</t>
  </si>
  <si>
    <t>5+</t>
  </si>
  <si>
    <t>H'aanit chapter 1</t>
  </si>
  <si>
    <t>Ophilia chapter 2</t>
  </si>
  <si>
    <t>Cyrus chapter 2</t>
  </si>
  <si>
    <t>Tressa chapter 2</t>
  </si>
  <si>
    <t>Olberic chapter 2</t>
  </si>
  <si>
    <t>Primrose chapter 2</t>
  </si>
  <si>
    <t>Alfyn chapter 2</t>
  </si>
  <si>
    <t>Therion chapter 2</t>
  </si>
  <si>
    <t>(can't steal)</t>
  </si>
  <si>
    <t>H'aanit chapter 2</t>
  </si>
  <si>
    <t>Ophilia chapter 3</t>
  </si>
  <si>
    <t>Cyrus chapter 3</t>
  </si>
  <si>
    <t>Tressa chapter 3</t>
  </si>
  <si>
    <t>Olberic chapter 3</t>
  </si>
  <si>
    <t>Primrose chapter 3</t>
  </si>
  <si>
    <t>Alfyn chapter 3</t>
  </si>
  <si>
    <t>Therion chapter 3</t>
  </si>
  <si>
    <t>H'aanit chapter 3</t>
  </si>
  <si>
    <t>Ophilia chapter 4</t>
  </si>
  <si>
    <t>Cyrus chapter 4</t>
  </si>
  <si>
    <t>Tressa chapter 4</t>
  </si>
  <si>
    <t>Olberic chapter 4</t>
  </si>
  <si>
    <t>Primrose chapter 4</t>
  </si>
  <si>
    <t>Alfyn chapter 4</t>
  </si>
  <si>
    <t>Therion chapter 4</t>
  </si>
  <si>
    <t>H'aanit chapter 4</t>
  </si>
  <si>
    <t>Shrine boss - Starseer</t>
  </si>
  <si>
    <t>Shrine boss - Runelord</t>
  </si>
  <si>
    <t>Shrine boss - Warmaster</t>
  </si>
  <si>
    <t>Shrine boss - Sorcerer</t>
  </si>
  <si>
    <t>Knowledge: Where the Ice Giant Sleep</t>
  </si>
  <si>
    <t>Quest: Scaredy Sheep</t>
  </si>
  <si>
    <t>Quest: Scourge of the Seas</t>
  </si>
  <si>
    <t>Knowledge: The Giant Serpent's Master</t>
  </si>
  <si>
    <t>Quest: Alphas and the Impresario</t>
  </si>
  <si>
    <t>Quest: Again with Alaic</t>
  </si>
  <si>
    <t>Quest: Into Thin Air</t>
  </si>
  <si>
    <t>NPC</t>
  </si>
  <si>
    <t>Str</t>
  </si>
  <si>
    <t>Shield</t>
  </si>
  <si>
    <t>Ability</t>
  </si>
  <si>
    <t>#</t>
  </si>
  <si>
    <t>X</t>
  </si>
  <si>
    <t>Don't forget to add him in Duskbarrow</t>
  </si>
  <si>
    <t>Add his last movement</t>
  </si>
  <si>
    <t>Requirements &amp; Solution</t>
  </si>
  <si>
    <t>Reward</t>
  </si>
  <si>
    <t>Outside Starting Town</t>
  </si>
  <si>
    <t>-</t>
  </si>
  <si>
    <t>13 000$</t>
  </si>
  <si>
    <t>22 000$</t>
  </si>
  <si>
    <t>9 000$</t>
  </si>
  <si>
    <t>7 500</t>
  </si>
  <si>
    <t>2 400</t>
  </si>
  <si>
    <t>12 000</t>
  </si>
  <si>
    <t>2 200</t>
  </si>
  <si>
    <t>2 000</t>
  </si>
  <si>
    <t>8 000</t>
  </si>
  <si>
    <t>1 400</t>
  </si>
  <si>
    <t>22 000</t>
  </si>
  <si>
    <t>2 600</t>
  </si>
  <si>
    <t>1 800</t>
  </si>
  <si>
    <t>18 000</t>
  </si>
  <si>
    <t>2 640</t>
  </si>
  <si>
    <t>14 400</t>
  </si>
  <si>
    <t>1 080</t>
  </si>
  <si>
    <t>1 200</t>
  </si>
  <si>
    <t>1 680</t>
  </si>
  <si>
    <t>1 120</t>
  </si>
  <si>
    <t>8 160</t>
  </si>
  <si>
    <t>1 050</t>
  </si>
  <si>
    <t>4 160</t>
  </si>
  <si>
    <t>2 760</t>
  </si>
  <si>
    <t>16 800</t>
  </si>
  <si>
    <t>2 550</t>
  </si>
  <si>
    <t>9 600</t>
  </si>
  <si>
    <t>2 100</t>
  </si>
  <si>
    <t>1 260</t>
  </si>
  <si>
    <t>7 000</t>
  </si>
  <si>
    <t>5 600</t>
  </si>
  <si>
    <t>24 000</t>
  </si>
  <si>
    <t>20 000</t>
  </si>
  <si>
    <t>31 000</t>
  </si>
  <si>
    <t>10 000</t>
  </si>
  <si>
    <t>26 000</t>
  </si>
  <si>
    <t>38 000</t>
  </si>
  <si>
    <t>15 000</t>
  </si>
  <si>
    <t>34 000</t>
  </si>
  <si>
    <t>16 000</t>
  </si>
  <si>
    <t>42 000</t>
  </si>
  <si>
    <t>32 000</t>
  </si>
  <si>
    <t>40 000</t>
  </si>
  <si>
    <t>30 000</t>
  </si>
  <si>
    <t>28 000</t>
  </si>
  <si>
    <t>27 000</t>
  </si>
  <si>
    <t>7 800</t>
  </si>
  <si>
    <t>3 000</t>
  </si>
  <si>
    <t>3 120</t>
  </si>
  <si>
    <t>6 960</t>
  </si>
  <si>
    <t>3 600</t>
  </si>
  <si>
    <t>8 640</t>
  </si>
  <si>
    <t>3 640</t>
  </si>
  <si>
    <t>6 000</t>
  </si>
  <si>
    <t>7 200</t>
  </si>
  <si>
    <t>4 680</t>
  </si>
  <si>
    <t>15 600</t>
  </si>
  <si>
    <t>19 200</t>
  </si>
  <si>
    <t>6 500</t>
  </si>
  <si>
    <t>3 200</t>
  </si>
  <si>
    <t>35 000</t>
  </si>
  <si>
    <t>46 000</t>
  </si>
  <si>
    <t>60 000</t>
  </si>
  <si>
    <t>37 000</t>
  </si>
  <si>
    <t>48 000</t>
  </si>
  <si>
    <t>44 000</t>
  </si>
  <si>
    <t>50 000</t>
  </si>
  <si>
    <t>55 000</t>
  </si>
  <si>
    <t>58 000</t>
  </si>
  <si>
    <t>45 000</t>
  </si>
  <si>
    <t>43 000</t>
  </si>
  <si>
    <t>47 000</t>
  </si>
  <si>
    <t>59 000</t>
  </si>
  <si>
    <t>28 800</t>
  </si>
  <si>
    <t>5 800</t>
  </si>
  <si>
    <t>21 600</t>
  </si>
  <si>
    <t>26 400</t>
  </si>
  <si>
    <t>33 600</t>
  </si>
  <si>
    <t>43 200</t>
  </si>
  <si>
    <t>Phys.</t>
  </si>
  <si>
    <t>Elem.</t>
  </si>
  <si>
    <t>Attack/Equip effects</t>
  </si>
  <si>
    <t>Equipment info</t>
  </si>
  <si>
    <t>Attack: Augments physical abilities
(+30%, buff to all weapon type, not just this sword)</t>
  </si>
  <si>
    <t>Equip: Increases lightning and ice damage (+30%)</t>
  </si>
  <si>
    <t>Equip: Increases fire damage dealt (+30%)</t>
  </si>
  <si>
    <t>Attack: Occasionally poisons target</t>
  </si>
  <si>
    <t>Attack: Regular attacks strike twice</t>
  </si>
  <si>
    <t>Attack: Occasionally confuses target</t>
  </si>
  <si>
    <t>Attack: Occasionally kills target instantly</t>
  </si>
  <si>
    <t>Attack: Occasionally puts target to sleep</t>
  </si>
  <si>
    <t>Equip: Increases lightning damage dealt (+30%)</t>
  </si>
  <si>
    <t>Attack: Occasionally blinds target</t>
  </si>
  <si>
    <t>Equip: Increases wind damage dealt (+30%)</t>
  </si>
  <si>
    <t>Equip: Increases the chance of encountering enemies</t>
  </si>
  <si>
    <t>Attack: Occasionally slows target</t>
  </si>
  <si>
    <t>Equip: Increases light damage dealt (+30%)</t>
  </si>
  <si>
    <t>Equip: Increases dark damage dealt (+30%)</t>
  </si>
  <si>
    <t>Equip: Reduces fire and dark damage dealt (-50%)</t>
  </si>
  <si>
    <t>Equip: Increases ice damage dealt (+30%)</t>
  </si>
  <si>
    <t>Equip: Restores HP and SP after every action (+200 HP / +8 SP)</t>
  </si>
  <si>
    <t>Equip: Slightly reduces wind damage taken (25%)</t>
  </si>
  <si>
    <t>Equip: Slightly reduces lightning damage taken (25%)</t>
  </si>
  <si>
    <t>Equip: Reduces ice damage taken (-50%)</t>
  </si>
  <si>
    <t>Equip: Slightly reduces light damage taken (25%)</t>
  </si>
  <si>
    <t>Equip: Restores SP after every action (+3 SP)</t>
  </si>
  <si>
    <t>Equip: Slightly reduces dark damage taken (-25%)</t>
  </si>
  <si>
    <t>Equip: Restores HP after every action</t>
  </si>
  <si>
    <t>Increases the chance of encountering enemies</t>
  </si>
  <si>
    <t>Grants additional EXP (+50%)</t>
  </si>
  <si>
    <t>Grants additional JP (+50%)</t>
  </si>
  <si>
    <t>Max SP +36</t>
  </si>
  <si>
    <t>Restores SP after every action (+6 SP)</t>
  </si>
  <si>
    <t>Restores HP after every action (100 HP)</t>
  </si>
  <si>
    <t>Atk. +65
Def. +50</t>
  </si>
  <si>
    <t>Def. +100</t>
  </si>
  <si>
    <t>Def. +30</t>
  </si>
  <si>
    <t>Atk. +50</t>
  </si>
  <si>
    <t>Atk. +100</t>
  </si>
  <si>
    <t>Def. +65</t>
  </si>
  <si>
    <t>Def. +80</t>
  </si>
  <si>
    <t>Def. +50</t>
  </si>
  <si>
    <t>Equip: Slightly reduces ice damage taken (-25%)</t>
  </si>
  <si>
    <t>Equip: Slightly reduces fire damage taken (-25%)</t>
  </si>
  <si>
    <t>Def. +20</t>
  </si>
  <si>
    <t>Equip: restores HP after every action (+100 HP)</t>
  </si>
  <si>
    <t>Def. +10</t>
  </si>
  <si>
    <t>Slightly reduces fire and light damage taken (25% resist)</t>
  </si>
  <si>
    <t>Slightly reduces lightning and dark damage taken (25% resist)</t>
  </si>
  <si>
    <t>Slightly reduces ice and wind damage taken (25% resist)</t>
  </si>
  <si>
    <t>Greatly reduces fire damage taken (99% resist)</t>
  </si>
  <si>
    <t>Greatly reduces ice damage taken (99% resist)</t>
  </si>
  <si>
    <t>Greatly reduces wind damage taken (99% resist)</t>
  </si>
  <si>
    <t>Greatly reduces lightning damage taken (99% resist)</t>
  </si>
  <si>
    <t>Greatly reduces dark damage taken (99% resist)</t>
  </si>
  <si>
    <t>Greatly reduces light damage taken (99% resist)</t>
  </si>
  <si>
    <t>Reduces fire damage taken (50% resist)</t>
  </si>
  <si>
    <t>Reduces ice damage taken (50% resist)</t>
  </si>
  <si>
    <t>Reduces wind damage taken (50% resist)</t>
  </si>
  <si>
    <t>Reduces lightning damage taken (50% resist)</t>
  </si>
  <si>
    <t>Reduces dark damage taken (50% resist)</t>
  </si>
  <si>
    <t>Reduces light damage taken (50% resist)</t>
  </si>
  <si>
    <t>Prevents poison</t>
  </si>
  <si>
    <t>Prevents sleep</t>
  </si>
  <si>
    <t>Prevents silence</t>
  </si>
  <si>
    <t>Prevents blindness</t>
  </si>
  <si>
    <t>Prevents terror</t>
  </si>
  <si>
    <t>Prevents confusion</t>
  </si>
  <si>
    <t>Prevents unconsciousness</t>
  </si>
  <si>
    <t>Prevents instant death</t>
  </si>
  <si>
    <t xml:space="preserve"> </t>
  </si>
  <si>
    <t>Those items should still be in your inventory after all your quests are completed.</t>
  </si>
  <si>
    <t>Those items you will lose them in order to complete a quest.</t>
  </si>
  <si>
    <t>Those items you can keep them in your inventory when using the alternate solution to complete the related quest. It's up to you to keep or give the item.</t>
  </si>
  <si>
    <t>Missable
(do note you won't keep the Brigand's Garb in your inventory after Therion chapter 4)</t>
  </si>
  <si>
    <t>Beat Galdera for this one (Spurning Ribbon), more info will come later about the Gate of Finis. This should be the only item not yet listed in this document elsewhere</t>
  </si>
  <si>
    <t>Using boost point increase damage on all abilities and also increase every Status Efffects and Debuffs chance to hit. Only a few Buffs gets their number of turn increased upon boosting the skills.</t>
  </si>
  <si>
    <t>To find out which NPC have the ability down below, search for it in the NPC tab. (Ctrl + F) Same thing with Summon Beast but search in the Enemies tab intead.</t>
  </si>
  <si>
    <t>Target</t>
  </si>
  <si>
    <t>Hit</t>
  </si>
  <si>
    <t>Additional Effect</t>
  </si>
  <si>
    <t>Additional Effect / Note</t>
  </si>
  <si>
    <t>Single</t>
  </si>
  <si>
    <t>1-Hit</t>
  </si>
  <si>
    <t>---</t>
  </si>
  <si>
    <t>1 Hit</t>
  </si>
  <si>
    <t>Basic attack (reference for all weapon type)</t>
  </si>
  <si>
    <t>3-Hit</t>
  </si>
  <si>
    <t>Status Effect: Blind (2 turns)</t>
  </si>
  <si>
    <t>Status Effect: Sleep (2 turns)</t>
  </si>
  <si>
    <t>2-Hit</t>
  </si>
  <si>
    <t>Status Effect: Confuse (2 turns)</t>
  </si>
  <si>
    <t>Debuff: Physical Attack, Elemental Attack (2 turns)</t>
  </si>
  <si>
    <t>Buff: Physical Attack (2 turns)</t>
  </si>
  <si>
    <t>High damage attack</t>
  </si>
  <si>
    <t>Buff: Physical Defense (2 turns)</t>
  </si>
  <si>
    <t>Buff: Invincibility (2 turns)</t>
  </si>
  <si>
    <t>All</t>
  </si>
  <si>
    <t>Status Effect: Poison (2-5 turns)</t>
  </si>
  <si>
    <t>Status Effect: Poison (2 turns)</t>
  </si>
  <si>
    <t>Status Effect: Confuse (2-5 turns)</t>
  </si>
  <si>
    <t>Debuff: Physical Defense (2 turns)</t>
  </si>
  <si>
    <t>2 Hit</t>
  </si>
  <si>
    <t>Debuff: Speed (2 turns)</t>
  </si>
  <si>
    <t>Debuff: Critical (2 turns)</t>
  </si>
  <si>
    <t>3 Hit</t>
  </si>
  <si>
    <t>Buff: Elemental Defense (2 turns)</t>
  </si>
  <si>
    <t>Buff (all): Speed (3 turns)</t>
  </si>
  <si>
    <t>Buff: Physical Attack, Elemental Attack (2 turns)</t>
  </si>
  <si>
    <t>Buff: Speed (2 turns)</t>
  </si>
  <si>
    <t>5 Hit</t>
  </si>
  <si>
    <t>Status Effect: Blind (2-5 turns)</t>
  </si>
  <si>
    <t>Status Effect: Sleep (2-5 turns)</t>
  </si>
  <si>
    <t>Multi</t>
  </si>
  <si>
    <t>2-4 Hit</t>
  </si>
  <si>
    <t>Debuff: Elemental Defense (2 turns)</t>
  </si>
  <si>
    <t>Debuff: Physical Attack (2 turns)</t>
  </si>
  <si>
    <t>Buff: Counter Physical Damage (2 stack)</t>
  </si>
  <si>
    <t>1-3 Hit</t>
  </si>
  <si>
    <t>Buff: Elemental Attack (2 turns)</t>
  </si>
  <si>
    <t>Status Effect: Confusion (2 turns)</t>
  </si>
  <si>
    <t>Debuff: Physical Attack, Speed (2 turns)</t>
  </si>
  <si>
    <t>Buff: Critical (2 turns)</t>
  </si>
  <si>
    <t>Debuff: Physical Attack, Physical Defense (2 turns)</t>
  </si>
  <si>
    <t>Buff: Physical Defense, Elemental Defense (2 turns)</t>
  </si>
  <si>
    <t>Debuff: Elemental Attack (2 turns)</t>
  </si>
  <si>
    <t>Restore 300 HP</t>
  </si>
  <si>
    <t>Restore 500 HP</t>
  </si>
  <si>
    <t>Restore 1750 HP</t>
  </si>
  <si>
    <t>Restore 1000 HP</t>
  </si>
  <si>
    <t>Restore 1500 HP</t>
  </si>
  <si>
    <t>Restore 9999 HP</t>
  </si>
  <si>
    <t>Restore 40 SP</t>
  </si>
  <si>
    <t>Restore 25 SP</t>
  </si>
  <si>
    <t>Restore 50 SP</t>
  </si>
  <si>
    <t>Heal Status Effect: Sleep</t>
  </si>
  <si>
    <t>Restore 500 HP (+500 HP * BP)</t>
  </si>
  <si>
    <t>Heal Status Effect: Blind</t>
  </si>
  <si>
    <t>Restore 1000 HP (+1000 HP * BP)</t>
  </si>
  <si>
    <t>Heal Status Effect: Poison</t>
  </si>
  <si>
    <t>Restore 1000 HP (+1000 HP * BP), Buff: HP Regen (2 turns)</t>
  </si>
  <si>
    <t>Heal Status Effect: Silence</t>
  </si>
  <si>
    <t>Restore 1000 HP (+1000 * BP), 
Buff: Physical Attack, Elemental Attack (2 turns)</t>
  </si>
  <si>
    <t>Heal All bad Status Effects</t>
  </si>
  <si>
    <t>Status Effect: Poison (3 turns)</t>
  </si>
  <si>
    <t>Restore 2000 HP (+2000 HP * BP), Buff: HP Regen (2 turns)</t>
  </si>
  <si>
    <t>Status Effect: Poison (4-6 turns)</t>
  </si>
  <si>
    <t>Restore 25 SP (+25 SP * BP), Buff: SP Regen (2 turns)</t>
  </si>
  <si>
    <t>Status Effect: Poison (4 turns)</t>
  </si>
  <si>
    <t>Status Effect: Blind (4 turns)</t>
  </si>
  <si>
    <t>Status Effect: Sleep (4-6 turns)</t>
  </si>
  <si>
    <t>Status Effect: Blind (6 turns)</t>
  </si>
  <si>
    <t>Status Effect: Sleep (4 turns)</t>
  </si>
  <si>
    <t>Status Effect: Sleep (6 turns)</t>
  </si>
  <si>
    <t>Status Effect: Poison, Sleep (6 turns)</t>
  </si>
  <si>
    <t>Status Effect: Poison, Dark, Confuse (2-5 turns)</t>
  </si>
  <si>
    <t>Debuff: Physical Attack, Elemental Attack (3 turns)</t>
  </si>
  <si>
    <t>Debuff: Physical Attack, Physical Defense (4 turns)</t>
  </si>
  <si>
    <t>Debuff: Physical Defense (3 turns)</t>
  </si>
  <si>
    <t>Debuff: Elemental Attack, Elemental Defense (4 turns)</t>
  </si>
  <si>
    <t>Debuff: Physical Defense, Elemental Defense (3 turns)</t>
  </si>
  <si>
    <t>Debuff: Elemetal Attack, Elemental Defense, Speed (6 turns)</t>
  </si>
  <si>
    <t>Debuff: Physical Defense, Elemental Defense, Speed
Status Effect: Poison, Sleep
(9 turns for all effect)</t>
  </si>
  <si>
    <t>Debuff: Physical Attack, Physical Defense (3 turns)</t>
  </si>
  <si>
    <t>Debuff: Elemental Attack, Elemental Defense (3 turns)</t>
  </si>
  <si>
    <t>Buff: Physical Defense, Elemental Defense (2 turns + 1*BP)</t>
  </si>
  <si>
    <t>Debuff: Physical Attack, Physical Defense, Elemental Attack, Elemental Defense (3 turns)</t>
  </si>
  <si>
    <t>Buff: Physical Attack, Physical Defense (2 turns + 1*BP)</t>
  </si>
  <si>
    <t>Debuff: Slow (3 turns)</t>
  </si>
  <si>
    <t>Buff: Elemental Attack, Elemental Defense (2 turns + 1*BP)</t>
  </si>
  <si>
    <t>Buff: Physical Attack, Physical Defense,
Elemental Attack, Elemental Defense, Speed
(2 turns + 1*BP)</t>
  </si>
  <si>
    <t>Buff: Physical Attack (3 turns)</t>
  </si>
  <si>
    <t>Buff: Physical Defense (2 turns),
Counter Physical (1 stack + 1*BP)</t>
  </si>
  <si>
    <t>Buff: Physical Defense (3 turns)</t>
  </si>
  <si>
    <t>Buff: Physical Attack, Elemental Attack (3 turns)</t>
  </si>
  <si>
    <t>Buff: Physical Defense, Elemental Defense (3 turns)</t>
  </si>
  <si>
    <t>Apply 1 of the effect below, each boost point adds 1 additional effect</t>
  </si>
  <si>
    <t>Buff: Physical Attack, Physical Defense, Elemental Attack, Elemental Defense (3 turns)</t>
  </si>
  <si>
    <t>Offense/Defense Cross</t>
  </si>
  <si>
    <t>Buff: Physical Attack (4 turns)</t>
  </si>
  <si>
    <t>Buff: Physical Attack, Physical Defense,
Elemental Attack, Elemental Defense (2 turns + 1*BP)</t>
  </si>
  <si>
    <t>Heterogeneous Cross</t>
  </si>
  <si>
    <t>Buff: Physical Attack, Physical Defense (3 turns)</t>
  </si>
  <si>
    <t>Buff: Accuracy, Evasion, Speed, Critical
(2 turns + 1*BP)</t>
  </si>
  <si>
    <t>Buff: Elemental Attack, Elemental Defense (3 turns)</t>
  </si>
  <si>
    <t>Buff: Physical Attack, Physical Defense, Elemental Defense (2 turns)</t>
  </si>
  <si>
    <t>Offense/Defense Break</t>
  </si>
  <si>
    <t>Debuff: Physical Attack, Physical Defense,
Elemental Attack, Elemental Defense (2 turns + 1*BP)</t>
  </si>
  <si>
    <t>Buff: Speed (3 turns)</t>
  </si>
  <si>
    <t>Buff: Critical (3 turns)</t>
  </si>
  <si>
    <t>Heterogeneous Break</t>
  </si>
  <si>
    <t>Debuff: Accuracy, Evasion, Speed, Critical
(2 turns + 1*BP)</t>
  </si>
  <si>
    <t>Skip turn</t>
  </si>
  <si>
    <t>Grape Harvest</t>
  </si>
  <si>
    <t>Restore 1111 / 3333 (1 BP) / 5555 (2 BP) / 7777 (3 BP) HP</t>
  </si>
  <si>
    <t>Plum Harvest</t>
  </si>
  <si>
    <t>Restore 7 / 77 (1 BP) / 177 (2 BP) / 777 (3 BP) SP</t>
  </si>
  <si>
    <t>Pomegranate Harvest</t>
  </si>
  <si>
    <t>Restore 1 BP (+1*BP)</t>
  </si>
  <si>
    <t>Jam Factory</t>
  </si>
  <si>
    <t>Buff: HP Regen, SP Regen, BP Regen (2 turns + 1*BP)</t>
  </si>
  <si>
    <t>Opulent Olive</t>
  </si>
  <si>
    <t>Revive and Restore 1111 / 3332 (1 BP) / 5554 (2 BP) / 7776 (3 BP) HP</t>
  </si>
  <si>
    <t>Lap of Luxury</t>
  </si>
  <si>
    <t>Buff: Invincibity (2 turns + 1*BP)</t>
  </si>
  <si>
    <t>Opulent Trio</t>
  </si>
  <si>
    <t>Buff: Counter Physical, Reflect Magic (2 stack + 1*BP)
Buff: Auto Revive (25% HP)</t>
  </si>
  <si>
    <t>Opulent Restorative</t>
  </si>
  <si>
    <t>Cancel all negative Status Effect and Debuff on your party
Cancel all positive Buff on enemies
Buff: Celestial Intervention (2 turns + 1*BP)</t>
  </si>
  <si>
    <t>Quick chart to show who is best in each stats. Numbers are given for level 99, check out the full chart for each character further down if you want to compare with lower level.</t>
  </si>
  <si>
    <t>EXP</t>
  </si>
  <si>
    <t>To Next Level</t>
  </si>
  <si>
    <t>Total Exp</t>
  </si>
  <si>
    <t>Here are a couple other information I thought was worth sharing.</t>
  </si>
  <si>
    <t>Skill info</t>
  </si>
  <si>
    <t>Arrowstorm (Hunter)</t>
  </si>
  <si>
    <t>Hit/miss randomly, but you are garanteed 3 successful hit each time you cast it. Not entirely sure how accuracy works with the skill but raising it doesn't increase the hit rate significantly as one might expect.</t>
  </si>
  <si>
    <t>Thousand Spears (Warrior)</t>
  </si>
  <si>
    <t>Heal Wounds (Cleric)
(and other healing spell)</t>
  </si>
  <si>
    <t>Uses Elem. Def. to output healing value. The higher the stat is, the better the result will be. However buffing your Elemental Defense doesn't increase your healing in any way.</t>
  </si>
  <si>
    <t>Revive (Cleric)</t>
  </si>
  <si>
    <t>Boost point with this skill will give more HP upon reviving your dead character.</t>
  </si>
  <si>
    <t>Analyse (Scholar)</t>
  </si>
  <si>
    <t>3 boost points on the skill can actually reveal up to 5 weakness (all weakness) even though the tooptips says 4.</t>
  </si>
  <si>
    <t>Alephan's Enlightenment
(Scholar Divine)</t>
  </si>
  <si>
    <t>Renders a multi target spell single target but double the damage (+100%).</t>
  </si>
  <si>
    <t>Bifelgan's Bounty
(Merchant Divine)</t>
  </si>
  <si>
    <t>Damage exceeding the monsters HP won't give you anymore gold. Even though the tooptip explicitly says "non-elemental attack" and the icon is a physical attack, this is misleading. The damage is based on your Elem. Atk. and everything that boost you Elem. Atk. will affect this skill and everything related to Phys. Atk. won't do any good with this skill.</t>
  </si>
  <si>
    <t>Sealticge's Seduction
(Dancer Divine)</t>
  </si>
  <si>
    <t>Works on most skills that are single target, including skills that target enemies and also skills that target allies. Won't work on skills that target Self only such as Sidestep/Rest (Merchant) or Abide/Stout Wall (Warrior), doesn't work either with Donate BP. Work especially well with: Reflective Veil (Cleric), but some other buffs provided by the Cleric/Dancer/Starseer or Debuffs from Thief/Sorceror could also be worth considering.</t>
  </si>
  <si>
    <t>Transfer Rune (Runelord)</t>
  </si>
  <si>
    <t>Outside of the Runelord this skill synergize with only a limited number of ability (mostly skills that didn't worked with Sealticge's Seduction), such as Rest/Sidestep (Merchant) or Abide/Stout Wall (Warrior). Tressa's Sidestep with this skill is one of the best combo in the game.</t>
  </si>
  <si>
    <t>Empoison (Apothecary)</t>
  </si>
  <si>
    <t>Poison does 1/6 max HP damage to normal monster, against bosses it deals 1% but bosses have high Max HP. NPC will received 5% their Max HP.</t>
  </si>
  <si>
    <t>Persistence</t>
  </si>
  <si>
    <t>All buffs you receive last for one additional turn. (Works with all source, including Summon and Summon Beast)</t>
  </si>
  <si>
    <t>The Show Goes On</t>
  </si>
  <si>
    <t>All buffs you cast will last 1 additional turn. (Summon and Summon Beast don't work with this passive)</t>
  </si>
  <si>
    <t>Buffs and Support Info</t>
  </si>
  <si>
    <t>Buffs increase a speciffic stat by 50%. Debuffs on the other hand will reduce a stat by 33%.
The math is pretty simple, weather you increase your attack (+50% attack) or decrease enemy's armor (-33% armor), in both cases this will result in 50% more damage. Apply both effects and the damage gets multiplied 2 times by +50% resulting in a 125% increase damage total (example: 100 base damage * 1.5 (attack buff) * 1.5 (defense debuff) = 225 total damage.
Another example this time with buffs and debuffs that will decrease damage instead. So let's say your attack gets debuffed (-33% attack) and the enemy has his armor buffed (+50% armor). In both cases this will reduce damage done by 33%. Again if both effect would be effective this would result in a total damage reduction of 56%. Example: 225 base damage * 0.66 (attack debuff) * 0.66 (defense debuff) = 100 total damage.
As you can see with the 2 example above, even though decreasing by 33% seems a lower than increasing by 50%, in reality it is of equal power when you do the math.
Other ramification to consider...
Stout Wall (Warrior) gives the same buff as Mole Dance (Dancer). When you cast both skills on the same character you don't get 2 different buffs that will increase twice your defense. Instead you get 1 buffs and the number of turns is what gets added. So in this cases Stout Wall gives 3 turns and Mole Dance give 2 turns, so you would end up with 1 buff lasting for 5 turns. It is also important to understand those buffs can be obtain through various sources (Skills, Support Ability, Summon, Summon Beast) and the same logic always apply. For instance if you would equip the Physical Prowess support skill, which provide Physical Attack/Defense, since that support skill provides thoses buffs for the entire fight it now render useless to try to buff those same attribute with any other skills. Now using a turn to cast your buffs is probably not what you want to do in most situation, so those support skills, Physical Prowess &amp; Elemental Edge, are still very strong and you'll probably want to use them as soon as you can get your hands on it. On the other hand if you are trying to unlock "The Strongest Sojourner" achievement (deal 99 999 damage), you might want to use another support skills that will increase your damage and cast your buffs manually.
Another thing you could consider during your playthrough is how buffs/defuffs of the opposite can cancel each others out. For instance if you were to fight Esmeralda, she can debuff your Physical Defense. One way to get rid of it would be to cast Stout Wall (Warrior) which under normal condition would give you a Physical Defense buff but in this case it would only heal the opposite debuff. When buffs/debuffs cancel each others out it doesn't matter how many turns the said buff/debuf last. You could have your Phys. Def. debuffed for 9 turns and Stout Wall unboosted (normally 3 turns) would cancel all the 9 turns. So if your intention is to cancel a buff/debuff, you never have to use boost point.
Now there are many support skills lacking a good description on their tooltip making it difficult to evaluate how good they are if you've never used them before. Since I've tested them, here is how they work and the numbers you want to know.
- Dauntless: Apply Physical &amp; Elemental Attack "buffs" during a bad status (buff disapear as soon as you clear the bad status, obviously could override buffs if you manually cast them. This is garbage, I just can't recommand the use of this)
- Intimidation: 25% chance to apply debuffs: Physical Attack &amp; Elemental Attack (the tooltip said Elemental Defense but it is wrong) for 2 turns on all monsters (like mentionned above debuffs reduce stats by 33%)
- Stronger Strikes: Instead of hitting a weakness at +30% bonus damage it will increase the bonus to +50%, this represent a +15% increase damage from wearing the support (does not increase damage when enemy is broken)
- Elemental Aid: +50% (elemental damage, also cost double SP)
- Augmented Elements: +20% (elemental damage)
- BP eater: +50% (for boosted ability)
- Physical Prowess: Apply the Physical Attack and Physical Defense buff for the entire duration of the battle (50% increase damage, 33% reduce damage, but can't manually cast the same buff on top)
- Elemental Edge: Apply Elemental Attack buff and Elemental Defense buff (+50% damage, 33% reduce damage, can't manually cast the same buff on top)
- Fortitude: +200% at 1 HP (Works only with physical, doesn't work with any elemental attack)</t>
  </si>
  <si>
    <t>The Strongest Sojourner (99 999 damage)</t>
  </si>
  <si>
    <t>If you are looking out to complete The Strongest Sojourner achievement here I'll give you 2 possible setup to unlock it.
#1 Physical Build (1 HP):
If we could push the damage cap beyond 99 999 damage, this is easily the setup that would perform the highest single hit damage in the game.
Olberic (Apothecary job):
Weapon: Battle-tested Blade + Memorial Axe
Accessories: 2 x Physical Belt
Support:
- Surpassing Power
- BP Eater
- Fortitude
- Summon Strength (or Physical Prowess, as it is a better support but since it is giving the same "Buff" as the Lion Dance ability from the Dancer, you could bring a support character with dancer job instead and use Summon Strenght for even higher theoritical damage output)
Put yourself at 1 HP. You can easily do that by Challenging a strong NPC and make yourself lose the battle. Once you are at 1 HP, you'll have full benefit from Fortitude and you'll be doing damage with Last Stand ability (Apothecary skill) which has a hidden bonus damage at low HP.
I recommend you bring with you Primrose or any character with Dancer job to perform Lion Dance on Olberic and bring yourself Therion or someone with Thief job to perform Armor Corrosive on the enemy. Give one of your support character the Cover Support to protect Olberic from any physical attack. You can also break your enemy before using Last Stand but with this setup you it won't even be necessary as you should easily already have enough power to deal max damage. With the testing I did I was able to perform max damage not breaking enemy and also not using 1 or the support character (if you don't break enemy, you'll need at least either the buff or debuff but only one of them should be enough)
#2 Elemetal Build:
This setup is also good but their won't be as many optional stuff in it as in the 1 HP build you theoriticaly do a lot more damage than the cap but with the Elemental Build your damage is a lot closer to that cap.
Cyrus (Thief job):
Weapon:
- Harald's Sword + Heathcote's Dagger (for Fire damage boost)
- Battle-tested Staff
Armor:
- Adamantine Hat + Sorcerer's Robe
Accessories:
- 2 x Elemental Augmentor
Support:
- Surpassing Power
- BP Eater
- Elemental Aid
- Augmented Elements (This gives only 20% increase damage and is the only thing optional in the build if your Elemental Attack is capped)
With this one you'll need to bring with you some support character to perform task such as buffing your elemental attack and debuffing the enemy elemental defense as well as someone with the Scholar job to cast Alephan's Enlightenment (Scholar Ultimate). On my side I brought Tressa for her ability to give other party members boost point, brought Therion with the Sorcerer job to debuff enemy using Elemental Break and Primrose with Scholar job to buff both Elemental attack on Cyrus as well as cast Alephan's Enlightenment. Boost-Start on support character is very good on this setup and The Show Goes On is pretty good on your buffing character, in my case Primrose. I like the Northreach area to perform this because in higher level area it's easier to break enemies without one-shotting them, outside of town your first fight will always be against Reptalios which are weak to axes. I used Tressa to give BP and she's good at breaking enemies with Hired Help (Bandit for axe damage) or you could equip her with a job that enable axe damage.</t>
  </si>
  <si>
    <t>Just a quick note for you guys: if you wish to force a change of line in a single cell use the (Alt + Enter) key. If you need any other trick like this, let me know.
It is also important to keep the same convention for NPCs' names, some of them can have multiple names and I use the '/' seperator followed with a line change for multiple names.
A few places in the spreadsheet I scan for those when I want to select a single specific name, otherwise if not using that convention it will create errors in a few cells (Quests tab).</t>
  </si>
  <si>
    <t>Current Selection</t>
  </si>
  <si>
    <t>By: Marcv666</t>
  </si>
  <si>
    <t>By: TrainXIII (unfinished)</t>
  </si>
  <si>
    <t>By:</t>
  </si>
  <si>
    <t>By: L1MB3RT</t>
  </si>
  <si>
    <t>By: Weichichi</t>
  </si>
  <si>
    <t>By: Dracarys</t>
  </si>
  <si>
    <t>By: Merlebird (unfinish)</t>
  </si>
  <si>
    <t>English</t>
  </si>
  <si>
    <t>Italian</t>
  </si>
  <si>
    <t>French</t>
  </si>
  <si>
    <t>German</t>
  </si>
  <si>
    <t>Spanish</t>
  </si>
  <si>
    <t>Traditional Chinese</t>
  </si>
  <si>
    <t>Simplified Chinese</t>
  </si>
  <si>
    <t>Korean</t>
  </si>
  <si>
    <t>Japanese</t>
  </si>
  <si>
    <t>"A3" controls the language you want to use. For instance, if you want the document to use english, put B above. You can select any supported language by selecting the appropriate column.</t>
  </si>
  <si>
    <t>Other stuff</t>
  </si>
  <si>
    <t>Varie</t>
  </si>
  <si>
    <t>Autre chose</t>
  </si>
  <si>
    <t>其他</t>
  </si>
  <si>
    <t>Strategist</t>
  </si>
  <si>
    <t>Stratège</t>
  </si>
  <si>
    <t>Estratega</t>
  </si>
  <si>
    <t>戰略家</t>
  </si>
  <si>
    <t>战略家</t>
  </si>
  <si>
    <t>戦略家</t>
  </si>
  <si>
    <t>Treasure Hunter</t>
  </si>
  <si>
    <t>Cacciatore di tesori</t>
  </si>
  <si>
    <t>Chasseur de trésor</t>
  </si>
  <si>
    <t>Buscador de tesoros</t>
  </si>
  <si>
    <t>寶物獵人</t>
  </si>
  <si>
    <t>宝物猎人</t>
  </si>
  <si>
    <t>トレジャーハンター</t>
  </si>
  <si>
    <t>Eagle-Eyed</t>
  </si>
  <si>
    <t>OEil de lynx</t>
  </si>
  <si>
    <t>Vista de águila</t>
  </si>
  <si>
    <t>滴水不漏的旅人</t>
  </si>
  <si>
    <t>滴水不漏的旅行者</t>
  </si>
  <si>
    <t>抜け目のない旅人</t>
  </si>
  <si>
    <t>Collector</t>
  </si>
  <si>
    <t>Collectionneur</t>
  </si>
  <si>
    <t>Coleccionista</t>
  </si>
  <si>
    <t>收藏家</t>
  </si>
  <si>
    <t>コレクター</t>
  </si>
  <si>
    <t>Weakness</t>
  </si>
  <si>
    <t>Debolezza</t>
  </si>
  <si>
    <t>Faible</t>
  </si>
  <si>
    <t>Debilidad</t>
  </si>
  <si>
    <t>弱點</t>
  </si>
  <si>
    <t>弱点</t>
  </si>
  <si>
    <t>Common Areas</t>
  </si>
  <si>
    <t>Zone comuni</t>
  </si>
  <si>
    <t>Zone Commune</t>
  </si>
  <si>
    <t>Zonas Comunes</t>
  </si>
  <si>
    <t>以下地區的怪物都一樣</t>
  </si>
  <si>
    <t>以下地区的怪物都一样</t>
  </si>
  <si>
    <t>level</t>
  </si>
  <si>
    <t>livello</t>
  </si>
  <si>
    <t>niveau</t>
  </si>
  <si>
    <t>Nivel</t>
  </si>
  <si>
    <t>危險度</t>
  </si>
  <si>
    <t>危险度</t>
  </si>
  <si>
    <t>ＬＶ</t>
  </si>
  <si>
    <t>Drop</t>
  </si>
  <si>
    <t>Bottino</t>
  </si>
  <si>
    <t>Butin</t>
  </si>
  <si>
    <t>Botín</t>
  </si>
  <si>
    <t>掉落物</t>
  </si>
  <si>
    <t>ドロップ</t>
  </si>
  <si>
    <t>Chapter</t>
  </si>
  <si>
    <t>Capitolo</t>
  </si>
  <si>
    <t>Chapitre</t>
  </si>
  <si>
    <t>Capítulo</t>
  </si>
  <si>
    <t>章節</t>
  </si>
  <si>
    <t>章节</t>
  </si>
  <si>
    <t>Jefe</t>
  </si>
  <si>
    <t>ボス</t>
  </si>
  <si>
    <t>Mini Boss</t>
  </si>
  <si>
    <t>Mini jefe</t>
  </si>
  <si>
    <t>小Boss</t>
  </si>
  <si>
    <t>中ボス</t>
  </si>
  <si>
    <t>Unique</t>
  </si>
  <si>
    <t>Único</t>
  </si>
  <si>
    <t>特殊怪</t>
  </si>
  <si>
    <t>Normal</t>
  </si>
  <si>
    <t>Normale</t>
  </si>
  <si>
    <t>普通野怪</t>
  </si>
  <si>
    <t>モンスター</t>
  </si>
  <si>
    <t>Chest</t>
  </si>
  <si>
    <t>Coffre</t>
  </si>
  <si>
    <t>Cofre</t>
  </si>
  <si>
    <t>寶箱</t>
  </si>
  <si>
    <t>宝箱</t>
  </si>
  <si>
    <t>locked</t>
  </si>
  <si>
    <t>verrouillé</t>
  </si>
  <si>
    <t>Cerrado</t>
  </si>
  <si>
    <t>上鎖寶箱</t>
  </si>
  <si>
    <t>上锁宝箱</t>
  </si>
  <si>
    <t>Hidden items</t>
  </si>
  <si>
    <t>Objet caché</t>
  </si>
  <si>
    <t>Objetos ocultos</t>
  </si>
  <si>
    <t>隱藏的道具</t>
  </si>
  <si>
    <t>隐藏的道具</t>
  </si>
  <si>
    <t>隠されたアイテム</t>
  </si>
  <si>
    <t>NPC's Scrutinize/Inquire</t>
  </si>
  <si>
    <t>從ＮＰＣ打聽到的資訊</t>
  </si>
  <si>
    <t>从ＮＰＣ打听到的资讯</t>
  </si>
  <si>
    <t>None</t>
  </si>
  <si>
    <t>Niente</t>
  </si>
  <si>
    <t>Aucune</t>
  </si>
  <si>
    <t>Nada</t>
  </si>
  <si>
    <t>無</t>
  </si>
  <si>
    <t>无</t>
  </si>
  <si>
    <t>無し</t>
  </si>
  <si>
    <t>Discount at the Inn</t>
  </si>
  <si>
    <t>Sconti alla locanda</t>
  </si>
  <si>
    <t>Ristourne à l'auberge</t>
  </si>
  <si>
    <t>Descuento en la posada</t>
  </si>
  <si>
    <t>旅店的折扣資訊</t>
  </si>
  <si>
    <t>旅店的折扣资讯</t>
  </si>
  <si>
    <t>宿屋の割引情報</t>
  </si>
  <si>
    <t>Smarter Bartering</t>
  </si>
  <si>
    <t>Le troc malin</t>
  </si>
  <si>
    <t>Regateo inteligente</t>
  </si>
  <si>
    <t>「購買」殺價機率ＵＰ資訊</t>
  </si>
  <si>
    <t>「购买」杀价机率ＵＰ资讯</t>
  </si>
  <si>
    <t>「買取る」値引き確率UP情報</t>
  </si>
  <si>
    <t>Thieving Tips &amp; Tricks</t>
  </si>
  <si>
    <t>Trucchi da furfante</t>
  </si>
  <si>
    <t>Trucs et astuces de voleur</t>
  </si>
  <si>
    <t>Consejos y trucos para ladrones</t>
  </si>
  <si>
    <t>「偷取」成功機率ＵＰ資訊</t>
  </si>
  <si>
    <t>「偷取」成功机率ＵＰ资讯</t>
  </si>
  <si>
    <t>「盗む」成功確率UP情報</t>
  </si>
  <si>
    <t>More Plentiful Provisions</t>
  </si>
  <si>
    <t>Des provisions à foison</t>
  </si>
  <si>
    <t>Provisiones más abundantes</t>
  </si>
  <si>
    <t>雜貨店商品追加資訊</t>
  </si>
  <si>
    <t>杂货店商品追加资讯</t>
  </si>
  <si>
    <t>よろず屋の商品追加情報</t>
  </si>
  <si>
    <t>New Weapons for Sale</t>
  </si>
  <si>
    <t>Nuove armi in vendita</t>
  </si>
  <si>
    <t>Vente de nouvelles armes</t>
  </si>
  <si>
    <t>Nuevas armas a la venta</t>
  </si>
  <si>
    <t>武器店商品追加資訊</t>
  </si>
  <si>
    <t>武器店商品追加资讯</t>
  </si>
  <si>
    <t>武器屋の商品追加情報</t>
  </si>
  <si>
    <t>Guide with Ease</t>
  </si>
  <si>
    <t>Guider avec facilité</t>
  </si>
  <si>
    <t>Guía con facilidad</t>
  </si>
  <si>
    <t>「引導」必須等級降低資訊</t>
  </si>
  <si>
    <t>「引导」必须等级降低资讯</t>
  </si>
  <si>
    <t>「導く」必要レベル緩和情報</t>
  </si>
  <si>
    <t>Undeniable Allure</t>
  </si>
  <si>
    <t>Fascino irresistibile</t>
  </si>
  <si>
    <t>Un attrait indéniable</t>
  </si>
  <si>
    <t>Seducción innegable</t>
  </si>
  <si>
    <t>「誘惑」成功機率ＵＰ資訊</t>
  </si>
  <si>
    <t>「诱惑」成功机率ＵＰ资讯</t>
  </si>
  <si>
    <t>「誘惑」成功確率UP情報</t>
  </si>
  <si>
    <t>Challenge with Ease</t>
  </si>
  <si>
    <t>Défier avec facilité</t>
  </si>
  <si>
    <t>Desafía con facilidad</t>
  </si>
  <si>
    <t>「比試」必須等級降低資訊</t>
  </si>
  <si>
    <t>「比试」必须等级降低资讯</t>
  </si>
  <si>
    <t>「試合」必要レベル緩和情報</t>
  </si>
  <si>
    <t>Provoke Like a Pro</t>
  </si>
  <si>
    <t>Provocare da professionisti</t>
  </si>
  <si>
    <t>La provocation pour les pros</t>
  </si>
  <si>
    <t>Provocar como un profesional</t>
  </si>
  <si>
    <t>「唆使」先制化的資訊</t>
  </si>
  <si>
    <t>「唆使」先制化的资讯</t>
  </si>
  <si>
    <t>「けしかける」先制化情報</t>
  </si>
  <si>
    <t>A Hidden Item</t>
  </si>
  <si>
    <t>Un oggetto nascosto</t>
  </si>
  <si>
    <t>Un objet caché</t>
  </si>
  <si>
    <t>Un objeto oculto</t>
  </si>
  <si>
    <t>隱藏道具的資訊</t>
  </si>
  <si>
    <t>隐藏道具的资讯</t>
  </si>
  <si>
    <t>隠されたアイテムの情報</t>
  </si>
  <si>
    <t>Character</t>
  </si>
  <si>
    <t>Personaggi</t>
  </si>
  <si>
    <t>Personage</t>
  </si>
  <si>
    <t>角色</t>
  </si>
  <si>
    <t>Ophilia</t>
  </si>
  <si>
    <t>歐菲莉亞</t>
  </si>
  <si>
    <t>欧菲莉亚</t>
  </si>
  <si>
    <t>オフィーリア</t>
  </si>
  <si>
    <t>Cyrus</t>
  </si>
  <si>
    <t>賽拉斯</t>
  </si>
  <si>
    <t>赛拉斯</t>
  </si>
  <si>
    <t>サイラス</t>
  </si>
  <si>
    <t>Tressa</t>
  </si>
  <si>
    <t>特蕾莎</t>
  </si>
  <si>
    <t>トレサ</t>
  </si>
  <si>
    <t>Olberic</t>
  </si>
  <si>
    <t>歐爾貝克</t>
  </si>
  <si>
    <t>欧尔贝克</t>
  </si>
  <si>
    <t>オルベリク</t>
  </si>
  <si>
    <t>Primrose</t>
  </si>
  <si>
    <t>普里姆蘿潔</t>
  </si>
  <si>
    <t>普里姆萝洁</t>
  </si>
  <si>
    <t>プリムロゼ</t>
  </si>
  <si>
    <t>Alfyn</t>
  </si>
  <si>
    <t>亞芬</t>
  </si>
  <si>
    <t>亚芬</t>
  </si>
  <si>
    <t>アーフェン</t>
  </si>
  <si>
    <t>Therion</t>
  </si>
  <si>
    <t>泰里翁</t>
  </si>
  <si>
    <t>テリオン</t>
  </si>
  <si>
    <t>H'aanit</t>
  </si>
  <si>
    <t>海茵特</t>
  </si>
  <si>
    <t>ハンイット</t>
  </si>
  <si>
    <t>Path Action</t>
  </si>
  <si>
    <t>Azioni speciali</t>
  </si>
  <si>
    <t>Action spéciale</t>
  </si>
  <si>
    <t>地圖指令</t>
  </si>
  <si>
    <t>地图指令</t>
  </si>
  <si>
    <t>フィールドコマンド</t>
  </si>
  <si>
    <t>Guide</t>
  </si>
  <si>
    <t>Guida</t>
  </si>
  <si>
    <t>Guider</t>
  </si>
  <si>
    <t>Guiar</t>
  </si>
  <si>
    <t>引導</t>
  </si>
  <si>
    <t>引导</t>
  </si>
  <si>
    <t>導く</t>
  </si>
  <si>
    <t>Scrutinize</t>
  </si>
  <si>
    <t>Valuta</t>
  </si>
  <si>
    <t>Scruter</t>
  </si>
  <si>
    <t>Escrutar</t>
  </si>
  <si>
    <t>探查</t>
  </si>
  <si>
    <t>探る</t>
  </si>
  <si>
    <t>Purchase</t>
  </si>
  <si>
    <t>Acquista</t>
  </si>
  <si>
    <t>Acheter</t>
  </si>
  <si>
    <t>Comprar</t>
  </si>
  <si>
    <t>購買</t>
  </si>
  <si>
    <t>购买</t>
  </si>
  <si>
    <t>買取る</t>
  </si>
  <si>
    <t>Challenge</t>
  </si>
  <si>
    <t>Sfida</t>
  </si>
  <si>
    <t>Défier</t>
  </si>
  <si>
    <t>Desafiar</t>
  </si>
  <si>
    <t>比試</t>
  </si>
  <si>
    <t>比试</t>
  </si>
  <si>
    <t>試合</t>
  </si>
  <si>
    <t>Allure</t>
  </si>
  <si>
    <t>Affascina</t>
  </si>
  <si>
    <t>Séduire</t>
  </si>
  <si>
    <t>Seducir</t>
  </si>
  <si>
    <t>誘惑</t>
  </si>
  <si>
    <t>诱惑</t>
  </si>
  <si>
    <t>Inquire</t>
  </si>
  <si>
    <t>Indaga</t>
  </si>
  <si>
    <t>Questionner</t>
  </si>
  <si>
    <t>Preguntar</t>
  </si>
  <si>
    <t>打聽</t>
  </si>
  <si>
    <t>打听</t>
  </si>
  <si>
    <t>聞き出す</t>
  </si>
  <si>
    <t>Steal</t>
  </si>
  <si>
    <t>Ruba</t>
  </si>
  <si>
    <t>Voler</t>
  </si>
  <si>
    <t>Robar</t>
  </si>
  <si>
    <t>偷取</t>
  </si>
  <si>
    <t>盗む</t>
  </si>
  <si>
    <t>Provoke</t>
  </si>
  <si>
    <t>Provoca</t>
  </si>
  <si>
    <t>Provoquer</t>
  </si>
  <si>
    <t>Provocar</t>
  </si>
  <si>
    <t>唆使</t>
  </si>
  <si>
    <t>けしかける</t>
  </si>
  <si>
    <t>Talent</t>
  </si>
  <si>
    <t>Talenti</t>
  </si>
  <si>
    <t>固有行動</t>
  </si>
  <si>
    <t>固有行动</t>
  </si>
  <si>
    <t>固有アクション</t>
  </si>
  <si>
    <t>Summon</t>
  </si>
  <si>
    <t>Appel</t>
  </si>
  <si>
    <t>Invocar</t>
  </si>
  <si>
    <t>援助</t>
  </si>
  <si>
    <t>加勢</t>
  </si>
  <si>
    <t>Study Foe</t>
  </si>
  <si>
    <t>Étude</t>
  </si>
  <si>
    <t>Estudiar al enemigo</t>
  </si>
  <si>
    <t>預習</t>
  </si>
  <si>
    <t>预习</t>
  </si>
  <si>
    <t>予習</t>
  </si>
  <si>
    <t>Eye for Money</t>
  </si>
  <si>
    <t>Collecte</t>
  </si>
  <si>
    <t>Ojo para el dinero</t>
  </si>
  <si>
    <t>走路賺錢</t>
  </si>
  <si>
    <t>走路赚钱</t>
  </si>
  <si>
    <t>歩いてリーフ</t>
  </si>
  <si>
    <t>Bolster Defense</t>
  </si>
  <si>
    <t>Défense accrue</t>
  </si>
  <si>
    <t>Reforzar defensa</t>
  </si>
  <si>
    <t>防禦增幅</t>
  </si>
  <si>
    <t>防御增幅</t>
  </si>
  <si>
    <t>防御ブースト</t>
  </si>
  <si>
    <t>Concoct</t>
  </si>
  <si>
    <t>Préparation</t>
  </si>
  <si>
    <t>Elaborar</t>
  </si>
  <si>
    <t>調合</t>
  </si>
  <si>
    <t>调合</t>
  </si>
  <si>
    <t>Pick Lock</t>
  </si>
  <si>
    <t>Crochetage</t>
  </si>
  <si>
    <t>Forzar cerradura</t>
  </si>
  <si>
    <t>開鎖</t>
  </si>
  <si>
    <t>开锁</t>
  </si>
  <si>
    <t>開錠</t>
  </si>
  <si>
    <t>Capture</t>
  </si>
  <si>
    <t>Capturar</t>
  </si>
  <si>
    <t>捕獲</t>
  </si>
  <si>
    <t>捕获</t>
  </si>
  <si>
    <t>Jobs</t>
  </si>
  <si>
    <t>Classi</t>
  </si>
  <si>
    <t>Classes</t>
  </si>
  <si>
    <t>職業</t>
  </si>
  <si>
    <t>职业</t>
  </si>
  <si>
    <t>ジョブ</t>
  </si>
  <si>
    <t>Cleric</t>
  </si>
  <si>
    <t>Ecclesiasta</t>
  </si>
  <si>
    <t>Prêtre</t>
  </si>
  <si>
    <t>Clérigo</t>
  </si>
  <si>
    <t>神官</t>
  </si>
  <si>
    <t>Scholar</t>
  </si>
  <si>
    <t>Sapiente</t>
  </si>
  <si>
    <t>Érudit</t>
  </si>
  <si>
    <t>Erudito</t>
  </si>
  <si>
    <t>學者</t>
  </si>
  <si>
    <t>学者</t>
  </si>
  <si>
    <t>Merchant</t>
  </si>
  <si>
    <t>Mercante</t>
  </si>
  <si>
    <t>Marchand</t>
  </si>
  <si>
    <t>Mercader</t>
  </si>
  <si>
    <t>商人</t>
  </si>
  <si>
    <t>Warrior</t>
  </si>
  <si>
    <t>Guerriero</t>
  </si>
  <si>
    <t>Guerrier</t>
  </si>
  <si>
    <t>Guerrero</t>
  </si>
  <si>
    <t>劍士</t>
  </si>
  <si>
    <t>剑士</t>
  </si>
  <si>
    <t>剣士</t>
  </si>
  <si>
    <t>Dancer</t>
  </si>
  <si>
    <t>Danzatrice</t>
  </si>
  <si>
    <t>Danseur</t>
  </si>
  <si>
    <t>Bailarín</t>
  </si>
  <si>
    <t>舞孃</t>
  </si>
  <si>
    <t>舞娘</t>
  </si>
  <si>
    <t>踊子</t>
  </si>
  <si>
    <t>Apothecary</t>
  </si>
  <si>
    <t>Speziale</t>
  </si>
  <si>
    <t>Apothicaire</t>
  </si>
  <si>
    <t>Boticario</t>
  </si>
  <si>
    <t>藥師</t>
  </si>
  <si>
    <t>药师</t>
  </si>
  <si>
    <t>薬師</t>
  </si>
  <si>
    <t>Thief</t>
  </si>
  <si>
    <t>Ladro</t>
  </si>
  <si>
    <t>Voleur</t>
  </si>
  <si>
    <t>Ladrón</t>
  </si>
  <si>
    <t>盜賊</t>
  </si>
  <si>
    <t>盗贼</t>
  </si>
  <si>
    <t>盗賊</t>
  </si>
  <si>
    <t>Hunter</t>
  </si>
  <si>
    <t>Cacciatore</t>
  </si>
  <si>
    <t>Chasseur</t>
  </si>
  <si>
    <t>Cazador</t>
  </si>
  <si>
    <t>獵人</t>
  </si>
  <si>
    <t>猎人</t>
  </si>
  <si>
    <t>狩人</t>
  </si>
  <si>
    <t>Starseer</t>
  </si>
  <si>
    <t>Veggente d'astri</t>
  </si>
  <si>
    <t>Augure</t>
  </si>
  <si>
    <t>Vidente de las estrellas</t>
  </si>
  <si>
    <t>占星師</t>
  </si>
  <si>
    <t>占星师</t>
  </si>
  <si>
    <t>星詠人</t>
  </si>
  <si>
    <t>Runelord</t>
  </si>
  <si>
    <t>Maestro di rune</t>
  </si>
  <si>
    <t>Seigneur des runes</t>
  </si>
  <si>
    <t>Señor de las runas</t>
  </si>
  <si>
    <t>符文大師</t>
  </si>
  <si>
    <t>符文大师</t>
  </si>
  <si>
    <t>ルーンマスター</t>
  </si>
  <si>
    <t>Warmaster</t>
  </si>
  <si>
    <t>Comandante</t>
  </si>
  <si>
    <t>Maître de guerre</t>
  </si>
  <si>
    <t>Señor de la guerra</t>
  </si>
  <si>
    <t>武藝家</t>
  </si>
  <si>
    <t>武术家</t>
  </si>
  <si>
    <t>武芸家</t>
  </si>
  <si>
    <t>Sorcerer</t>
  </si>
  <si>
    <t>Negromante</t>
  </si>
  <si>
    <t>Enchanteur</t>
  </si>
  <si>
    <t>Hechicero</t>
  </si>
  <si>
    <t>魔術師</t>
  </si>
  <si>
    <t>魔术师</t>
  </si>
  <si>
    <t>Skills</t>
  </si>
  <si>
    <t>Abilità</t>
  </si>
  <si>
    <t>Aptitudes</t>
  </si>
  <si>
    <t>技能</t>
  </si>
  <si>
    <t>アビリティ</t>
  </si>
  <si>
    <t>Heal Wounds</t>
  </si>
  <si>
    <t>Cura ferite</t>
  </si>
  <si>
    <t>Soin des blessures</t>
  </si>
  <si>
    <t>Curar heridas</t>
  </si>
  <si>
    <t>恢復魔法</t>
  </si>
  <si>
    <t>恢复魔法</t>
  </si>
  <si>
    <t>回復魔法</t>
  </si>
  <si>
    <t>Holy Light</t>
  </si>
  <si>
    <t>Luce sacra</t>
  </si>
  <si>
    <t>Lumière sacrée</t>
  </si>
  <si>
    <t>Luz sagrada</t>
  </si>
  <si>
    <t>聖光</t>
  </si>
  <si>
    <t>圣光</t>
  </si>
  <si>
    <t>聖なる光</t>
  </si>
  <si>
    <t>Sheltering Veil</t>
  </si>
  <si>
    <t>Velo difensivo</t>
  </si>
  <si>
    <t>Voile protecteur</t>
  </si>
  <si>
    <t>Velo protector</t>
  </si>
  <si>
    <t>守護輕紗</t>
  </si>
  <si>
    <t>守护轻纱</t>
  </si>
  <si>
    <t>守護のヴェール</t>
  </si>
  <si>
    <t>Luminescence</t>
  </si>
  <si>
    <t>Luminescenza</t>
  </si>
  <si>
    <t>Luminiscencia</t>
  </si>
  <si>
    <t>光明魔法</t>
  </si>
  <si>
    <t>Heal More</t>
  </si>
  <si>
    <t>Cura aggiunta</t>
  </si>
  <si>
    <t>Soins supérieurs</t>
  </si>
  <si>
    <t>Curar más</t>
  </si>
  <si>
    <t>大恢復魔法</t>
  </si>
  <si>
    <t>大恢复魔法</t>
  </si>
  <si>
    <t>大回復魔法</t>
  </si>
  <si>
    <t>Reflective Veil</t>
  </si>
  <si>
    <t>Velo riflettente</t>
  </si>
  <si>
    <t>Voile de renvoi</t>
  </si>
  <si>
    <t>Velo reflector</t>
  </si>
  <si>
    <t>反射輕紗</t>
  </si>
  <si>
    <t>反射轻纱</t>
  </si>
  <si>
    <t>反射のヴェール</t>
  </si>
  <si>
    <t>Revive</t>
  </si>
  <si>
    <t>Rianima</t>
  </si>
  <si>
    <t>Résurrection</t>
  </si>
  <si>
    <t>Revivir</t>
  </si>
  <si>
    <t>復活魔法</t>
  </si>
  <si>
    <t>复活魔法</t>
  </si>
  <si>
    <t>Aelfric's Auspices</t>
  </si>
  <si>
    <t>Auspici di Aelfric</t>
  </si>
  <si>
    <t>Auspices d'Aelfric</t>
  </si>
  <si>
    <t>Favor de Aelfric</t>
  </si>
  <si>
    <t>聖火神愛爾福林克的指引</t>
  </si>
  <si>
    <t>圣火神爱尔福林克的指引</t>
  </si>
  <si>
    <t>聖火神エルフリックの導き</t>
  </si>
  <si>
    <t>Fireball</t>
  </si>
  <si>
    <t>Palla di fuoco</t>
  </si>
  <si>
    <t>Boule de feu</t>
  </si>
  <si>
    <t>Bola de fuego</t>
  </si>
  <si>
    <t>火焰魔法</t>
  </si>
  <si>
    <t>火炎魔法</t>
  </si>
  <si>
    <t>Icewind</t>
  </si>
  <si>
    <t>Vento gelido</t>
  </si>
  <si>
    <t>Vent glacial</t>
  </si>
  <si>
    <t>Viento de hielo</t>
  </si>
  <si>
    <t>冰凍魔法</t>
  </si>
  <si>
    <t>冰冻魔法</t>
  </si>
  <si>
    <t>氷結魔法</t>
  </si>
  <si>
    <t>Lightning Bolt</t>
  </si>
  <si>
    <t>Saetta</t>
  </si>
  <si>
    <t>Éclair</t>
  </si>
  <si>
    <t>Relámpago</t>
  </si>
  <si>
    <t>雷擊魔法</t>
  </si>
  <si>
    <t>雷击魔法</t>
  </si>
  <si>
    <t>雷撃魔法</t>
  </si>
  <si>
    <t>Analyse</t>
  </si>
  <si>
    <t>Analizza</t>
  </si>
  <si>
    <t>Analizar</t>
  </si>
  <si>
    <t>調查</t>
  </si>
  <si>
    <t>调查</t>
  </si>
  <si>
    <t>しらべる</t>
  </si>
  <si>
    <t>Fire Storm</t>
  </si>
  <si>
    <t>Furore di fuoco</t>
  </si>
  <si>
    <t>Tempête de feu</t>
  </si>
  <si>
    <t>Tormenta ígnea</t>
  </si>
  <si>
    <t>大火焰魔法</t>
  </si>
  <si>
    <t>大火炎魔法</t>
  </si>
  <si>
    <t>Blizzard</t>
  </si>
  <si>
    <t>Tormenta</t>
  </si>
  <si>
    <t>Ventisca</t>
  </si>
  <si>
    <t>大冰凍魔法</t>
  </si>
  <si>
    <t>大冰冻魔法</t>
  </si>
  <si>
    <t>大氷結魔法</t>
  </si>
  <si>
    <t>Lightning Blast</t>
  </si>
  <si>
    <t>Boato di fulmine</t>
  </si>
  <si>
    <t>Fulguration</t>
  </si>
  <si>
    <t>Rayo explosivo</t>
  </si>
  <si>
    <t>大雷擊魔法</t>
  </si>
  <si>
    <t>大雷击魔法</t>
  </si>
  <si>
    <t>大雷撃魔法</t>
  </si>
  <si>
    <t>Alephan's Enlightenment</t>
  </si>
  <si>
    <t>Luce di Alephan</t>
  </si>
  <si>
    <t>Révélation d'Aléphan</t>
  </si>
  <si>
    <t>Luz de Alephan</t>
  </si>
  <si>
    <t>碩學王阿雷芬的知識</t>
  </si>
  <si>
    <t>硕学王阿雷芬的知识</t>
  </si>
  <si>
    <t>碩学王アレファンの知識</t>
  </si>
  <si>
    <t>Collect</t>
  </si>
  <si>
    <t>Raccolta</t>
  </si>
  <si>
    <t>Recoger</t>
  </si>
  <si>
    <t>收錢</t>
  </si>
  <si>
    <t>收钱</t>
  </si>
  <si>
    <t>集金</t>
  </si>
  <si>
    <t>Tradewinds</t>
  </si>
  <si>
    <t>Alisei</t>
  </si>
  <si>
    <t>Souffle mercantile</t>
  </si>
  <si>
    <t>Alisios</t>
  </si>
  <si>
    <t>呼風</t>
  </si>
  <si>
    <t>呼风</t>
  </si>
  <si>
    <t>風よび</t>
  </si>
  <si>
    <t>Rest</t>
  </si>
  <si>
    <t>Riposa</t>
  </si>
  <si>
    <t>Repos</t>
  </si>
  <si>
    <t>Descanso</t>
  </si>
  <si>
    <t>稍作休息</t>
  </si>
  <si>
    <t>ひと休み</t>
  </si>
  <si>
    <t>Trade Tempest</t>
  </si>
  <si>
    <t>Alisei furenti</t>
  </si>
  <si>
    <t>Tornade mercantile</t>
  </si>
  <si>
    <t>Furia comercial</t>
  </si>
  <si>
    <t>大呼風</t>
  </si>
  <si>
    <t>大呼风</t>
  </si>
  <si>
    <t>大風よび</t>
  </si>
  <si>
    <t>Donate BP</t>
  </si>
  <si>
    <t>Dona PP</t>
  </si>
  <si>
    <t>Don de PE</t>
  </si>
  <si>
    <t>Donar PI</t>
  </si>
  <si>
    <t>ＢＰ傳遞</t>
  </si>
  <si>
    <t>ＢＰ传递</t>
  </si>
  <si>
    <t>ＢＰパサー</t>
  </si>
  <si>
    <t>Sidestep</t>
  </si>
  <si>
    <t>Passo laterale</t>
  </si>
  <si>
    <t>Feinte</t>
  </si>
  <si>
    <t>Esquivar</t>
  </si>
  <si>
    <t>緊急迴避</t>
  </si>
  <si>
    <t>紧急回避</t>
  </si>
  <si>
    <t>緊急回避</t>
  </si>
  <si>
    <t>Hired Help</t>
  </si>
  <si>
    <t>Supporto</t>
  </si>
  <si>
    <t>Acolyte</t>
  </si>
  <si>
    <t>Ayuda pagada</t>
  </si>
  <si>
    <t>召喚傭兵</t>
  </si>
  <si>
    <t>召唤佣兵</t>
  </si>
  <si>
    <t>傭兵よび</t>
  </si>
  <si>
    <t>Bifelgan's Bounty</t>
  </si>
  <si>
    <t>Dono di Bifelgan</t>
  </si>
  <si>
    <t>Largesse de Bifelgan</t>
  </si>
  <si>
    <t>Botín de Bifelgan</t>
  </si>
  <si>
    <t>紳商伯比菲爾根的心眼</t>
  </si>
  <si>
    <t>绅商伯比菲尔根的心眼</t>
  </si>
  <si>
    <t>神商伯ビフェルガンの心眼</t>
  </si>
  <si>
    <t>Level Slash</t>
  </si>
  <si>
    <t>Equo fendente</t>
  </si>
  <si>
    <t>Taillade horizontale</t>
  </si>
  <si>
    <t>Tajo de nivel</t>
  </si>
  <si>
    <t>橫一字斬</t>
  </si>
  <si>
    <t>横一字斩</t>
  </si>
  <si>
    <t>横一万字斬り</t>
  </si>
  <si>
    <t>Abide</t>
  </si>
  <si>
    <t>Risolutezza</t>
  </si>
  <si>
    <t>Insoumission</t>
  </si>
  <si>
    <t>Aguante</t>
  </si>
  <si>
    <t>聚蓄</t>
  </si>
  <si>
    <t>积攒</t>
  </si>
  <si>
    <t>ためる</t>
  </si>
  <si>
    <t>Spearhead</t>
  </si>
  <si>
    <t>Avanguardia</t>
  </si>
  <si>
    <t>Fer de lance</t>
  </si>
  <si>
    <t>Cabeza de lanza</t>
  </si>
  <si>
    <t>一番槍</t>
  </si>
  <si>
    <t>一番枪</t>
  </si>
  <si>
    <t>Incite</t>
  </si>
  <si>
    <t>Incita</t>
  </si>
  <si>
    <t>Incitation</t>
  </si>
  <si>
    <t>Incitar</t>
  </si>
  <si>
    <t>挑釁</t>
  </si>
  <si>
    <t>挑衅</t>
  </si>
  <si>
    <t>挑発</t>
  </si>
  <si>
    <t>Cross Strike</t>
  </si>
  <si>
    <t>Colpo d'incrocio</t>
  </si>
  <si>
    <t>Frappe croisée</t>
  </si>
  <si>
    <t>Golpe de cruzado</t>
  </si>
  <si>
    <t>十字斬</t>
  </si>
  <si>
    <t>十字斩</t>
  </si>
  <si>
    <t>十文字斬り</t>
  </si>
  <si>
    <t>Stout Wall</t>
  </si>
  <si>
    <t>Muro incrollabile</t>
  </si>
  <si>
    <t>Rempart</t>
  </si>
  <si>
    <t>Muro férreo</t>
  </si>
  <si>
    <t>鐵壁</t>
  </si>
  <si>
    <t>铁壁</t>
  </si>
  <si>
    <t>鉄壁</t>
  </si>
  <si>
    <t>Thousand Spears</t>
  </si>
  <si>
    <t>Mille lance</t>
  </si>
  <si>
    <t>Volée de lances</t>
  </si>
  <si>
    <t>Mil lanzas</t>
  </si>
  <si>
    <t>千枝槍</t>
  </si>
  <si>
    <t>千枝枪</t>
  </si>
  <si>
    <t>千本槍</t>
  </si>
  <si>
    <t>Brand's Thunder</t>
  </si>
  <si>
    <t>Tuono di Brand</t>
  </si>
  <si>
    <t>Tonnerre de Brand</t>
  </si>
  <si>
    <t>Trueno Brand</t>
  </si>
  <si>
    <t>雷劍將布蘭德的剛擊</t>
  </si>
  <si>
    <t>雷剑将布兰德的刚击</t>
  </si>
  <si>
    <t>雷剣将ブランドの剛撃</t>
  </si>
  <si>
    <t>Lion Dance</t>
  </si>
  <si>
    <t>Danza del leone</t>
  </si>
  <si>
    <t>Danse du lion</t>
  </si>
  <si>
    <t>Danza de león</t>
  </si>
  <si>
    <t>獅子之舞</t>
  </si>
  <si>
    <t>狮子之舞</t>
  </si>
  <si>
    <t>獅子の舞</t>
  </si>
  <si>
    <t>Moonlight Waltz</t>
  </si>
  <si>
    <t>Valzer di mezzanotte</t>
  </si>
  <si>
    <t>Valse nocturne</t>
  </si>
  <si>
    <t>Vals de la luna</t>
  </si>
  <si>
    <t>月夜之詩</t>
  </si>
  <si>
    <t>月夜之诗</t>
  </si>
  <si>
    <t>月夜の詩</t>
  </si>
  <si>
    <t>Peacock Strut</t>
  </si>
  <si>
    <t>Gloria del pavone</t>
  </si>
  <si>
    <t>Parade du paon</t>
  </si>
  <si>
    <t>Pavoneo</t>
  </si>
  <si>
    <t>孔雀之舞</t>
  </si>
  <si>
    <t>孔雀の舞</t>
  </si>
  <si>
    <t>Mole Dance</t>
  </si>
  <si>
    <t>Danza della talpa</t>
  </si>
  <si>
    <t>Danse de la taupe</t>
  </si>
  <si>
    <t>Danza de topo</t>
  </si>
  <si>
    <t>土龍之舞</t>
  </si>
  <si>
    <t>土龙之舞</t>
  </si>
  <si>
    <t>土竜の舞</t>
  </si>
  <si>
    <t>Night Ode</t>
  </si>
  <si>
    <t>Ode notturna</t>
  </si>
  <si>
    <t>Ode de minuit</t>
  </si>
  <si>
    <t>Oda nocturna</t>
  </si>
  <si>
    <t>闇夜之詩</t>
  </si>
  <si>
    <t>暗夜之诗</t>
  </si>
  <si>
    <t>闇夜の詩</t>
  </si>
  <si>
    <t>Panther Dance</t>
  </si>
  <si>
    <t>Danza della pantera</t>
  </si>
  <si>
    <t>Danse de la panthère</t>
  </si>
  <si>
    <t>Danza de pantera</t>
  </si>
  <si>
    <t>黑豹之舞</t>
  </si>
  <si>
    <t>黒豹の舞</t>
  </si>
  <si>
    <t>Bewildering Grace</t>
  </si>
  <si>
    <t>Grazia eccelsa</t>
  </si>
  <si>
    <t>Grâce déroutante</t>
  </si>
  <si>
    <t>Gracia confusa</t>
  </si>
  <si>
    <t>百思不解之舞</t>
  </si>
  <si>
    <t>摩訶不思議の舞</t>
  </si>
  <si>
    <t>Sealticge's Seduction</t>
  </si>
  <si>
    <t>Malia di Sealticge</t>
  </si>
  <si>
    <t>Charme de Sealticge</t>
  </si>
  <si>
    <t>Pasión Sealticge</t>
  </si>
  <si>
    <t>舞姬希爾緹吉的耳語</t>
  </si>
  <si>
    <t>舞姬希尔缇吉的耳语</t>
  </si>
  <si>
    <t>舞踏姫シルティージの囁き</t>
  </si>
  <si>
    <t>First Aid</t>
  </si>
  <si>
    <t>Primo soccorso</t>
  </si>
  <si>
    <t>Premiers secours</t>
  </si>
  <si>
    <t>Primer auxilio</t>
  </si>
  <si>
    <t>應急處理</t>
  </si>
  <si>
    <t>应急处理</t>
  </si>
  <si>
    <t>応急手当</t>
  </si>
  <si>
    <t>Icicle</t>
  </si>
  <si>
    <t>Ghiacciolo</t>
  </si>
  <si>
    <t>Glaçon</t>
  </si>
  <si>
    <t>Carámbano</t>
  </si>
  <si>
    <t>冰柱</t>
  </si>
  <si>
    <t>氷柱</t>
  </si>
  <si>
    <t>Rehabilitate</t>
  </si>
  <si>
    <t>Riabilita</t>
  </si>
  <si>
    <t>Thérapie</t>
  </si>
  <si>
    <t>Rehabilitar</t>
  </si>
  <si>
    <t>健全化</t>
  </si>
  <si>
    <t>Amputation</t>
  </si>
  <si>
    <t>Amputazione</t>
  </si>
  <si>
    <t>Amputación</t>
  </si>
  <si>
    <t>大切斷</t>
  </si>
  <si>
    <t>大切断</t>
  </si>
  <si>
    <t>Empoison</t>
  </si>
  <si>
    <t>Avvelenamento</t>
  </si>
  <si>
    <t>Infection</t>
  </si>
  <si>
    <t>Envenenar</t>
  </si>
  <si>
    <t>毒處方</t>
  </si>
  <si>
    <t>毒处方</t>
  </si>
  <si>
    <t>毒処方</t>
  </si>
  <si>
    <t>Vivify</t>
  </si>
  <si>
    <t>Infondi vita</t>
  </si>
  <si>
    <t>Tonification</t>
  </si>
  <si>
    <t>Revitalizar</t>
  </si>
  <si>
    <t>復活處理</t>
  </si>
  <si>
    <t>复活处理</t>
  </si>
  <si>
    <t>復活手当</t>
  </si>
  <si>
    <t>Last Stand</t>
  </si>
  <si>
    <t>Ultimo baluardo</t>
  </si>
  <si>
    <t>Imbattable</t>
  </si>
  <si>
    <t>Última batalla</t>
  </si>
  <si>
    <t>死裡求生斬</t>
  </si>
  <si>
    <t>死里求生斩</t>
  </si>
  <si>
    <t>死中活撃断</t>
  </si>
  <si>
    <t>Dohter's Charity</t>
  </si>
  <si>
    <t>Carità di Dohter</t>
  </si>
  <si>
    <t>Charité de Dohter</t>
  </si>
  <si>
    <t>Don de Dohter</t>
  </si>
  <si>
    <t>靈藥公德塔的恩惠</t>
  </si>
  <si>
    <t>灵药公德塔的恩惠</t>
  </si>
  <si>
    <t>霊薬公ドーターの恩恵</t>
  </si>
  <si>
    <t>Vol</t>
  </si>
  <si>
    <t>Robo</t>
  </si>
  <si>
    <t>Wildfire</t>
  </si>
  <si>
    <t>Incendio</t>
  </si>
  <si>
    <t>Embrasement</t>
  </si>
  <si>
    <t>Fuego salvaje</t>
  </si>
  <si>
    <t>鬼火</t>
  </si>
  <si>
    <t>HP Thief</t>
  </si>
  <si>
    <t>Ladro di PV</t>
  </si>
  <si>
    <t>Vol de PV</t>
  </si>
  <si>
    <t>Ladrón de PV</t>
  </si>
  <si>
    <t>吸血匕首</t>
  </si>
  <si>
    <t>ライフスティールダガー</t>
  </si>
  <si>
    <t>Shackle Foe</t>
  </si>
  <si>
    <t>Vincolo vampiro</t>
  </si>
  <si>
    <t>Piège de la noctule</t>
  </si>
  <si>
    <t>Bridas vampiro</t>
  </si>
  <si>
    <t>蝙蝠</t>
  </si>
  <si>
    <t>コウモリ</t>
  </si>
  <si>
    <t>Armor Corrosive</t>
  </si>
  <si>
    <t>Acido di gufo</t>
  </si>
  <si>
    <t>Vitriol du hibou</t>
  </si>
  <si>
    <t>Ácido de búho</t>
  </si>
  <si>
    <t>貓頭鷹</t>
  </si>
  <si>
    <t>猫头鹰</t>
  </si>
  <si>
    <t>フクロウ</t>
  </si>
  <si>
    <t>Steal SP</t>
  </si>
  <si>
    <t>Ruba PA</t>
  </si>
  <si>
    <t>Vol de PT</t>
  </si>
  <si>
    <t>Robo de PH</t>
  </si>
  <si>
    <t>吸魔匕首</t>
  </si>
  <si>
    <t>マジックスティールダガー</t>
  </si>
  <si>
    <t>Share SP</t>
  </si>
  <si>
    <t>Condividi PA</t>
  </si>
  <si>
    <t>Partage de PT</t>
  </si>
  <si>
    <t>Compartir PH</t>
  </si>
  <si>
    <t>ＳＰ傳遞</t>
  </si>
  <si>
    <t>ＳＰ传递</t>
  </si>
  <si>
    <t>ＳＰパサー</t>
  </si>
  <si>
    <t>Aeber's Reckoning</t>
  </si>
  <si>
    <t>Faida di Aeber</t>
  </si>
  <si>
    <t>Jugement d'Aeber</t>
  </si>
  <si>
    <t>Ajuste de Aeber</t>
  </si>
  <si>
    <t>盜公子埃伯爾的鉤爪</t>
  </si>
  <si>
    <t>盗公子埃伯尔的钩爪</t>
  </si>
  <si>
    <t>盗公子エベルの鉤爪</t>
  </si>
  <si>
    <t>Rain of Arrows</t>
  </si>
  <si>
    <t>Nube di frecce</t>
  </si>
  <si>
    <t>Pluie de flèches</t>
  </si>
  <si>
    <t>Lluvia flechada</t>
  </si>
  <si>
    <t>五月雨箭</t>
  </si>
  <si>
    <t>さみだれ矢</t>
  </si>
  <si>
    <t>True Strike</t>
  </si>
  <si>
    <t>Attacco reale</t>
  </si>
  <si>
    <t>Tir infaillible</t>
  </si>
  <si>
    <t>Golpe real</t>
  </si>
  <si>
    <t>會心之箭</t>
  </si>
  <si>
    <t>会心之箭</t>
  </si>
  <si>
    <t>会心の矢</t>
  </si>
  <si>
    <t>Thunderbird</t>
  </si>
  <si>
    <t>Ali di tuono</t>
  </si>
  <si>
    <t>Oiseau de foudre</t>
  </si>
  <si>
    <t>Ave de trueno</t>
  </si>
  <si>
    <t>雷鳥</t>
  </si>
  <si>
    <t>雷鸟</t>
  </si>
  <si>
    <t>Leghold Trap</t>
  </si>
  <si>
    <t>Trappola a tenaglia</t>
  </si>
  <si>
    <t>Piège immobilisant</t>
  </si>
  <si>
    <t>Trampa atrapapiernas</t>
  </si>
  <si>
    <t>黏著捕網</t>
  </si>
  <si>
    <t>黏着捕网</t>
  </si>
  <si>
    <t>ねんちゃく糸</t>
  </si>
  <si>
    <t>Mercy Strike</t>
  </si>
  <si>
    <t>Colpo di grazia</t>
  </si>
  <si>
    <t>Coup de grâce</t>
  </si>
  <si>
    <t>Golpe de gracia</t>
  </si>
  <si>
    <t>點到為止</t>
  </si>
  <si>
    <t>点到为止</t>
  </si>
  <si>
    <t>すん止め</t>
  </si>
  <si>
    <t>Arrowstorm</t>
  </si>
  <si>
    <t>Pioggia di dardi</t>
  </si>
  <si>
    <t>Déluge de flèches</t>
  </si>
  <si>
    <t>Furia de flechas</t>
  </si>
  <si>
    <t>箭雨</t>
  </si>
  <si>
    <t>どしゃぶり矢</t>
  </si>
  <si>
    <t>Take Aim</t>
  </si>
  <si>
    <t>Mira</t>
  </si>
  <si>
    <t>Ciblage</t>
  </si>
  <si>
    <t>Apuntar</t>
  </si>
  <si>
    <t>瞄準目標</t>
  </si>
  <si>
    <t>瞄准目标</t>
  </si>
  <si>
    <t>ターゲット</t>
  </si>
  <si>
    <t>Draefendi's Rage</t>
  </si>
  <si>
    <t>Ira di Draefendi</t>
  </si>
  <si>
    <t>Rage de Draefendi</t>
  </si>
  <si>
    <t>Ira de Draefendi</t>
  </si>
  <si>
    <t>狩獵女王德雷芳朵的猛追</t>
  </si>
  <si>
    <t>狩猎女王德雷芳朵的猛追</t>
  </si>
  <si>
    <t>狩王女ドレファンドの猛追</t>
  </si>
  <si>
    <t>Shooting Stars</t>
  </si>
  <si>
    <t>Stelle cadenti</t>
  </si>
  <si>
    <t>Étoiles filantes</t>
  </si>
  <si>
    <t>Fugaces</t>
  </si>
  <si>
    <t>流星</t>
  </si>
  <si>
    <t>BP Boost</t>
  </si>
  <si>
    <t>Incremento PP</t>
  </si>
  <si>
    <t>PE décuplés</t>
  </si>
  <si>
    <t>Impulso PI</t>
  </si>
  <si>
    <t>ＢＰ增幅循環</t>
  </si>
  <si>
    <t>ＢＰ增幅循环</t>
  </si>
  <si>
    <t>BPブーストのめぐり</t>
  </si>
  <si>
    <t>Divination</t>
  </si>
  <si>
    <t>Divinazione</t>
  </si>
  <si>
    <t>Adivinación</t>
  </si>
  <si>
    <t>會心循環</t>
  </si>
  <si>
    <t>会心循环</t>
  </si>
  <si>
    <t>会心のめぐり</t>
  </si>
  <si>
    <t>Starsong</t>
  </si>
  <si>
    <t>Note astrali</t>
  </si>
  <si>
    <t>Chant stellaire</t>
  </si>
  <si>
    <t>Canto astral</t>
  </si>
  <si>
    <t>星詠之歌</t>
  </si>
  <si>
    <t>星咏之歌</t>
  </si>
  <si>
    <t>星詠みの唄</t>
  </si>
  <si>
    <t>Celestial Intervention</t>
  </si>
  <si>
    <t>Influsso celeste</t>
  </si>
  <si>
    <t>Intervention céleste</t>
  </si>
  <si>
    <t>Influjo celestial</t>
  </si>
  <si>
    <t>消除循環</t>
  </si>
  <si>
    <t>消除循环</t>
  </si>
  <si>
    <t>打ち消しのめぐり</t>
  </si>
  <si>
    <t>Ethereal Healing</t>
  </si>
  <si>
    <t>Cura eterea</t>
  </si>
  <si>
    <t>Soins éthérés</t>
  </si>
  <si>
    <t>Curación etérea</t>
  </si>
  <si>
    <t>持續恢復魔法</t>
  </si>
  <si>
    <t>持续恢复魔法</t>
  </si>
  <si>
    <t>継続回復魔法</t>
  </si>
  <si>
    <t>Moon's Reflection</t>
  </si>
  <si>
    <t>Riflesso lunare</t>
  </si>
  <si>
    <t>Reflet lunaire</t>
  </si>
  <si>
    <t>Reflejo de luna</t>
  </si>
  <si>
    <t>反擊循環</t>
  </si>
  <si>
    <t>反击循环</t>
  </si>
  <si>
    <t>お返しのめぐり</t>
  </si>
  <si>
    <t>Steorra's Prophecy</t>
  </si>
  <si>
    <t>Profezia di Steorra</t>
  </si>
  <si>
    <t>Prophétie de Stéorra</t>
  </si>
  <si>
    <t>Augurio Steorra</t>
  </si>
  <si>
    <t>占星師史黛歐拉的預言</t>
  </si>
  <si>
    <t>占星师史黛欧拉的预言</t>
  </si>
  <si>
    <t>星占師ステオーラの予言</t>
  </si>
  <si>
    <t>Fire Rune</t>
  </si>
  <si>
    <t>Runa di fuoco</t>
  </si>
  <si>
    <t>Rune de feu</t>
  </si>
  <si>
    <t>Runa de fuego</t>
  </si>
  <si>
    <t>火之符文</t>
  </si>
  <si>
    <t>火のルーン</t>
  </si>
  <si>
    <t>Ice Rune</t>
  </si>
  <si>
    <t>Runa di ghiaccio</t>
  </si>
  <si>
    <t>Rune de glace</t>
  </si>
  <si>
    <t>Runa de hielo</t>
  </si>
  <si>
    <t>冰之符文</t>
  </si>
  <si>
    <t>氷のルーン</t>
  </si>
  <si>
    <t>Thunder Rune</t>
  </si>
  <si>
    <t>Runa di tuono</t>
  </si>
  <si>
    <t>Rune de foudre</t>
  </si>
  <si>
    <t>Runa de trueno</t>
  </si>
  <si>
    <t>雷之符文</t>
  </si>
  <si>
    <t>雷のルーン</t>
  </si>
  <si>
    <t>Wind Rune</t>
  </si>
  <si>
    <t>Runa di vento</t>
  </si>
  <si>
    <t>Rune de vent</t>
  </si>
  <si>
    <t>Runa de viento</t>
  </si>
  <si>
    <t>風之符文</t>
  </si>
  <si>
    <t>风之符文</t>
  </si>
  <si>
    <t>風のルーン</t>
  </si>
  <si>
    <t>Dark Rune</t>
  </si>
  <si>
    <t>Runa di tenebra</t>
  </si>
  <si>
    <t>Rune d'ombre</t>
  </si>
  <si>
    <t>Runa oscura</t>
  </si>
  <si>
    <t>闇之符文</t>
  </si>
  <si>
    <t>暗之符文</t>
  </si>
  <si>
    <t>闇のルーン</t>
  </si>
  <si>
    <t>Light Rune</t>
  </si>
  <si>
    <t>Runa di luce</t>
  </si>
  <si>
    <t>Rune de lumière</t>
  </si>
  <si>
    <t>Runa luminosa</t>
  </si>
  <si>
    <t>光之符文</t>
  </si>
  <si>
    <t>光のルーン</t>
  </si>
  <si>
    <t>Transfer Rune</t>
  </si>
  <si>
    <t>Trasla runa</t>
  </si>
  <si>
    <t>Rune de transfert</t>
  </si>
  <si>
    <t>Runa de viaje</t>
  </si>
  <si>
    <t>擴散之符文</t>
  </si>
  <si>
    <t>扩散之符文</t>
  </si>
  <si>
    <t>拡散のルーン</t>
  </si>
  <si>
    <t>Balogar's Blade</t>
  </si>
  <si>
    <t>Lama di Balogar</t>
  </si>
  <si>
    <t>Lame de Balogar</t>
  </si>
  <si>
    <t>Espada Balogar</t>
  </si>
  <si>
    <t>魔劍士巴羅格的霸氣</t>
  </si>
  <si>
    <t>魔剑士巴罗格的霸气</t>
  </si>
  <si>
    <t>魔剣士バロガーの覇気</t>
  </si>
  <si>
    <t>Guardian Liondog</t>
  </si>
  <si>
    <t>Guardia leonina</t>
  </si>
  <si>
    <t>Léocanin de garde</t>
  </si>
  <si>
    <t>León guardián</t>
  </si>
  <si>
    <t>劍之武藝：高麗犬</t>
  </si>
  <si>
    <t>剑之武艺：高丽犬</t>
  </si>
  <si>
    <t>剣の武芸：狛犬</t>
  </si>
  <si>
    <t>Tiger Rage</t>
  </si>
  <si>
    <t>Ira di tigre</t>
  </si>
  <si>
    <t>Rage du tigre</t>
  </si>
  <si>
    <t>Furia de tigre</t>
  </si>
  <si>
    <t>斧之武藝：猛虎</t>
  </si>
  <si>
    <t>斧之武艺：猛虎</t>
  </si>
  <si>
    <t>斧の武芸：猛虎</t>
  </si>
  <si>
    <t>Qilin's Horn</t>
  </si>
  <si>
    <t>Corno di Qilin</t>
  </si>
  <si>
    <t>Corne de Qilin</t>
  </si>
  <si>
    <t>Cuerno de qilin</t>
  </si>
  <si>
    <t>槍之武藝：麒麟</t>
  </si>
  <si>
    <t>枪之武艺：麒麟</t>
  </si>
  <si>
    <t>槍の武芸：麒麟</t>
  </si>
  <si>
    <t>Yatagarasu</t>
  </si>
  <si>
    <t>短劍之武藝：八咫鳥</t>
  </si>
  <si>
    <t>短剑之武艺：八咫鸟</t>
  </si>
  <si>
    <t>短剣の武芸：八咫烏</t>
  </si>
  <si>
    <t>Fox Spirit</t>
  </si>
  <si>
    <t>Spirito di volpe</t>
  </si>
  <si>
    <t>Esprit du renard</t>
  </si>
  <si>
    <t>Alma de zorro</t>
  </si>
  <si>
    <t>杖之武藝：妖狐</t>
  </si>
  <si>
    <t>杖之武艺：妖狐</t>
  </si>
  <si>
    <t>杖の武芸：妖狐</t>
  </si>
  <si>
    <t>Phoenix Storm</t>
  </si>
  <si>
    <t>Vento di fenice</t>
  </si>
  <si>
    <t>Tempête du phénix</t>
  </si>
  <si>
    <t>Tormenta fénix</t>
  </si>
  <si>
    <t>弓之武藝：鳳凰</t>
  </si>
  <si>
    <t>弓之武艺：凤凰</t>
  </si>
  <si>
    <t>弓の武芸：鳳凰</t>
  </si>
  <si>
    <t>Nightmare Chimera</t>
  </si>
  <si>
    <t>Chimera oscura</t>
  </si>
  <si>
    <t>Chimère infernale</t>
  </si>
  <si>
    <t>Quimera onírica</t>
  </si>
  <si>
    <t>破壞之武藝：貘</t>
  </si>
  <si>
    <t>破坏之武艺：貘</t>
  </si>
  <si>
    <t>破壊の武芸：獏</t>
  </si>
  <si>
    <t>Winnehild's Battle Cry</t>
  </si>
  <si>
    <t>Urlo di Winnehild</t>
  </si>
  <si>
    <t>Pugnacité de Winnehild</t>
  </si>
  <si>
    <t>Grito de guerra Winnehild</t>
  </si>
  <si>
    <t>豪武匠溫希德的咆哮</t>
  </si>
  <si>
    <t>豪武匠温希德的咆哮</t>
  </si>
  <si>
    <t>豪武匠ウィンヒルドの咆哮</t>
  </si>
  <si>
    <t>Ignis Ardere</t>
  </si>
  <si>
    <t>Ignis ardere</t>
  </si>
  <si>
    <t>特大火焰魔法</t>
  </si>
  <si>
    <t>特大火炎魔法</t>
  </si>
  <si>
    <t>Glacies Claudere</t>
  </si>
  <si>
    <t>Glacies claudere</t>
  </si>
  <si>
    <t>特大冰凍魔法</t>
  </si>
  <si>
    <t>特大冰冻魔法</t>
  </si>
  <si>
    <t>特大氷結魔法</t>
  </si>
  <si>
    <t>Tonitrus Canere</t>
  </si>
  <si>
    <t>Tonitrus canere</t>
  </si>
  <si>
    <t>特大雷擊魔法</t>
  </si>
  <si>
    <t>特大雷击魔法</t>
  </si>
  <si>
    <t>特大雷撃魔法</t>
  </si>
  <si>
    <t>Ventus Saltare</t>
  </si>
  <si>
    <t>Ventus saltare</t>
  </si>
  <si>
    <t>特大風塵魔法</t>
  </si>
  <si>
    <t>特大风尘魔法</t>
  </si>
  <si>
    <t>Lux Congerere</t>
  </si>
  <si>
    <t>Lux congerere</t>
  </si>
  <si>
    <t>特大光明魔法</t>
  </si>
  <si>
    <t>Tenebrae Operire</t>
  </si>
  <si>
    <t>Tenebrae operire</t>
  </si>
  <si>
    <t>特大暗闇魔法</t>
  </si>
  <si>
    <t>特大暗黑魔法</t>
  </si>
  <si>
    <t>Elemental Break</t>
  </si>
  <si>
    <t>Ira elementale</t>
  </si>
  <si>
    <t>Affaiblissement élémentaire</t>
  </si>
  <si>
    <t>Fisura elemental</t>
  </si>
  <si>
    <t>屬性防禦破壞打擊</t>
  </si>
  <si>
    <t>属性防御破坏打击</t>
  </si>
  <si>
    <t>属性防御破壊打ち</t>
  </si>
  <si>
    <t>Dreisang's Spell</t>
  </si>
  <si>
    <t>Magia di Dreisang</t>
  </si>
  <si>
    <t>Sortilège de Drysang</t>
  </si>
  <si>
    <t>Magia Dreisang</t>
  </si>
  <si>
    <t>魔大公德雷閃克的秘術</t>
  </si>
  <si>
    <t>魔大公德雷闪克的秘术</t>
  </si>
  <si>
    <t>魔大公ドライサングの秘術</t>
  </si>
  <si>
    <t>Support</t>
  </si>
  <si>
    <t>Abilità di supporto</t>
  </si>
  <si>
    <t>Aptitudes de soutien</t>
  </si>
  <si>
    <t>輔助技能</t>
  </si>
  <si>
    <t>辅助技能</t>
  </si>
  <si>
    <t>サポートアビリティ</t>
  </si>
  <si>
    <t>Persistenza</t>
  </si>
  <si>
    <t>Persistance</t>
  </si>
  <si>
    <t>Persistencia</t>
  </si>
  <si>
    <t>強化回合數增加（受）</t>
  </si>
  <si>
    <t>强化回合数增加（受）</t>
  </si>
  <si>
    <t>強化ターン数増加（受）</t>
  </si>
  <si>
    <t>Inner Strength</t>
  </si>
  <si>
    <t>Forza interiore</t>
  </si>
  <si>
    <t>Force intérieure</t>
  </si>
  <si>
    <t>Fuerza interior</t>
  </si>
  <si>
    <t>最大ＳＰ＋５０</t>
  </si>
  <si>
    <t>Evil Ward</t>
  </si>
  <si>
    <t>Egida divina</t>
  </si>
  <si>
    <t>Divine égide</t>
  </si>
  <si>
    <t>Guardia maligna</t>
  </si>
  <si>
    <t>逃脫成功機率上升</t>
  </si>
  <si>
    <t>逃脱成功机率上升</t>
  </si>
  <si>
    <t>逃げる成功確率アップ</t>
  </si>
  <si>
    <t>Saving Grace</t>
  </si>
  <si>
    <t>Grazia salvifica</t>
  </si>
  <si>
    <t>Grâce salvatrice</t>
  </si>
  <si>
    <t>Gracia salvífica</t>
  </si>
  <si>
    <t>突破恢復界限</t>
  </si>
  <si>
    <t>突破恢复界限</t>
  </si>
  <si>
    <t>回復限界突破</t>
  </si>
  <si>
    <t>Evasive Maneuvers</t>
  </si>
  <si>
    <t>Manovre evasive</t>
  </si>
  <si>
    <t>Manoeuvre d'évitement</t>
  </si>
  <si>
    <t>Maniobras evasivas</t>
  </si>
  <si>
    <t>遇敵機率減半</t>
  </si>
  <si>
    <t>遇敌机率减半</t>
  </si>
  <si>
    <t>エンカウント半減</t>
  </si>
  <si>
    <t>Elemental Augmentation</t>
  </si>
  <si>
    <t>Evoluzione elementale</t>
  </si>
  <si>
    <t>Augmentation élémentaire</t>
  </si>
  <si>
    <t>Aumento elemental</t>
  </si>
  <si>
    <t>屬性攻擊力＋５０</t>
  </si>
  <si>
    <t>属性攻击力＋５０</t>
  </si>
  <si>
    <t>属性攻撃力＋５０</t>
  </si>
  <si>
    <t>Percipience</t>
  </si>
  <si>
    <t>Percettività</t>
  </si>
  <si>
    <t>Perspicacité</t>
  </si>
  <si>
    <t>Perspicacia</t>
  </si>
  <si>
    <t>迴避偷襲</t>
  </si>
  <si>
    <t>回避偷袭</t>
  </si>
  <si>
    <t>不意打ち回避</t>
  </si>
  <si>
    <t>Vim and Vigor</t>
  </si>
  <si>
    <t>Forza e vigore</t>
  </si>
  <si>
    <t>Vitalité</t>
  </si>
  <si>
    <t>Energía y vigor</t>
  </si>
  <si>
    <t>ＨＰ自動恢復</t>
  </si>
  <si>
    <t>ＨＰ自动恢复</t>
  </si>
  <si>
    <t>ＨＰ自動回復</t>
  </si>
  <si>
    <t>Endless Items</t>
  </si>
  <si>
    <t>Oggetti infiniti</t>
  </si>
  <si>
    <t>Objets infinis</t>
  </si>
  <si>
    <t>Objetos sin fin</t>
  </si>
  <si>
    <t>未消耗道具</t>
  </si>
  <si>
    <t>アイテム消費なし</t>
  </si>
  <si>
    <t>Grows on Trees</t>
  </si>
  <si>
    <t>Crescono sugli alberi</t>
  </si>
  <si>
    <t>Gratification</t>
  </si>
  <si>
    <t>Crece en los árboles</t>
  </si>
  <si>
    <t>獲取金額上升</t>
  </si>
  <si>
    <t>获取金额上升</t>
  </si>
  <si>
    <t>入手金額アップ</t>
  </si>
  <si>
    <t>Hang Tough</t>
  </si>
  <si>
    <t>Mai mollare</t>
  </si>
  <si>
    <t>Résilience</t>
  </si>
  <si>
    <t>Resistir</t>
  </si>
  <si>
    <t>堅持到底</t>
  </si>
  <si>
    <t>坚持到底</t>
  </si>
  <si>
    <t>ふんばる</t>
  </si>
  <si>
    <t>SP Saver</t>
  </si>
  <si>
    <t>Risparmia PA</t>
  </si>
  <si>
    <t>Économie de PT</t>
  </si>
  <si>
    <t>Ahorro de PH</t>
  </si>
  <si>
    <t>消耗ＳＰ下降</t>
  </si>
  <si>
    <t>消費ＳＰダウン</t>
  </si>
  <si>
    <t>Cover</t>
  </si>
  <si>
    <t>Copertura</t>
  </si>
  <si>
    <t>Couverture</t>
  </si>
  <si>
    <t>Cubrir</t>
  </si>
  <si>
    <t>掩護</t>
  </si>
  <si>
    <t>掩护</t>
  </si>
  <si>
    <t>かばう</t>
  </si>
  <si>
    <t>Summon Strength</t>
  </si>
  <si>
    <t>Evoca forza</t>
  </si>
  <si>
    <t>Poussée de force</t>
  </si>
  <si>
    <t>Invocar fuerza</t>
  </si>
  <si>
    <t>物理攻擊力＋５０</t>
  </si>
  <si>
    <t>物理攻击力＋５０</t>
  </si>
  <si>
    <t>物理攻撃力＋５０</t>
  </si>
  <si>
    <t>Endure</t>
  </si>
  <si>
    <t>Sopportazione</t>
  </si>
  <si>
    <t>Ténacité</t>
  </si>
  <si>
    <t>Soportar</t>
  </si>
  <si>
    <t>狀態異常時防禦強化</t>
  </si>
  <si>
    <t>状态异常时防御强化</t>
  </si>
  <si>
    <t>状態異常で防御強化</t>
  </si>
  <si>
    <t>Surpassing Power</t>
  </si>
  <si>
    <t>Potere supremo</t>
  </si>
  <si>
    <t>Puissance supérieure</t>
  </si>
  <si>
    <t>Poder superior</t>
  </si>
  <si>
    <t>突破傷害界限</t>
  </si>
  <si>
    <t>突破伤害界限</t>
  </si>
  <si>
    <t>ダメージ限界突破</t>
  </si>
  <si>
    <t>Doppio turno</t>
  </si>
  <si>
    <t>Persévérance</t>
  </si>
  <si>
    <t>Esto no acaba</t>
  </si>
  <si>
    <t>強化回合數增加（予）</t>
  </si>
  <si>
    <t>强化回合数增加（予）</t>
  </si>
  <si>
    <t>強化ターン数増加（与）</t>
  </si>
  <si>
    <t>Eye for an Eye</t>
  </si>
  <si>
    <t>Contrappasso</t>
  </si>
  <si>
    <t>OEil pour oeil</t>
  </si>
  <si>
    <t>Ojo por ojo</t>
  </si>
  <si>
    <t>反擊</t>
  </si>
  <si>
    <t>反击</t>
  </si>
  <si>
    <t>反撃</t>
  </si>
  <si>
    <t>Second Wind</t>
  </si>
  <si>
    <t>Forza ritrovata</t>
  </si>
  <si>
    <t>Second souffle</t>
  </si>
  <si>
    <t>Viento segundo</t>
  </si>
  <si>
    <t>ＳＰ自動恢復</t>
  </si>
  <si>
    <t>ＳＰ自动恢复</t>
  </si>
  <si>
    <t>ＳＰ自動回復</t>
  </si>
  <si>
    <t>Encore</t>
  </si>
  <si>
    <t>Bis</t>
  </si>
  <si>
    <t>自動復活</t>
  </si>
  <si>
    <t>自动复活</t>
  </si>
  <si>
    <t>Inspiration</t>
  </si>
  <si>
    <t>Ispirazione</t>
  </si>
  <si>
    <t>Inspiración</t>
  </si>
  <si>
    <t>用「戰鬥」攻擊恢復ＳＰ</t>
  </si>
  <si>
    <t>用 “战斗” 攻击恢复ＳＰ</t>
  </si>
  <si>
    <t>たたかうでＳＰ回復</t>
  </si>
  <si>
    <t>Hale and Hearty</t>
  </si>
  <si>
    <t>Smagliante</t>
  </si>
  <si>
    <t>Pleine santé</t>
  </si>
  <si>
    <t>Fuerte y sano</t>
  </si>
  <si>
    <t>最大ＨＰ＋５００</t>
  </si>
  <si>
    <t>Resist Ailments</t>
  </si>
  <si>
    <t>Resisti al male</t>
  </si>
  <si>
    <t>Vaccination</t>
  </si>
  <si>
    <t>Resistir males</t>
  </si>
  <si>
    <t>狀態異常迴避上升</t>
  </si>
  <si>
    <t>状态异常回避上升</t>
  </si>
  <si>
    <t>状態異常回避アップ</t>
  </si>
  <si>
    <t>Heightened Healing</t>
  </si>
  <si>
    <t>Cura acuita</t>
  </si>
  <si>
    <t>Soins accrus</t>
  </si>
  <si>
    <t>Cura aumentada</t>
  </si>
  <si>
    <t>恢復效果上升</t>
  </si>
  <si>
    <t>恢复效果上升</t>
  </si>
  <si>
    <t>回復効果アップ</t>
  </si>
  <si>
    <t>Incidental Attack</t>
  </si>
  <si>
    <t>Colpo incidentale</t>
  </si>
  <si>
    <t>Attaque fortuite</t>
  </si>
  <si>
    <t>Ataque adicional</t>
  </si>
  <si>
    <t>順便戰鬥</t>
  </si>
  <si>
    <t>顺便战斗</t>
  </si>
  <si>
    <t>ついでにたたかう</t>
  </si>
  <si>
    <t>Fleetfoot</t>
  </si>
  <si>
    <t>Piè veloce</t>
  </si>
  <si>
    <t>Pied léger</t>
  </si>
  <si>
    <t>Pies ligeros</t>
  </si>
  <si>
    <t>行動速度＋５０</t>
  </si>
  <si>
    <t>行动速度＋５０</t>
  </si>
  <si>
    <t>Snatch</t>
  </si>
  <si>
    <t>Mano lesta</t>
  </si>
  <si>
    <t>Chapardage</t>
  </si>
  <si>
    <t>Arrebatar</t>
  </si>
  <si>
    <t>連偷帶搶</t>
  </si>
  <si>
    <t>连偷带抢</t>
  </si>
  <si>
    <t>もっと盗む</t>
  </si>
  <si>
    <t>Insult to Injury</t>
  </si>
  <si>
    <t>Danno e beffa</t>
  </si>
  <si>
    <t>Exacerbation</t>
  </si>
  <si>
    <t>Leña al fuego</t>
  </si>
  <si>
    <t>弱體效果回合數增加</t>
  </si>
  <si>
    <t>弱体效果回合数增加</t>
  </si>
  <si>
    <t>弱体効果ターン数増加</t>
  </si>
  <si>
    <t>Heighten Senses</t>
  </si>
  <si>
    <t>Sensi acuiti</t>
  </si>
  <si>
    <t>Sens en éveil</t>
  </si>
  <si>
    <t>Afinar sentidos</t>
  </si>
  <si>
    <t>先制攻擊的機率上升</t>
  </si>
  <si>
    <t>先制攻击的机率上升</t>
  </si>
  <si>
    <t>先制攻撃確率アップ</t>
  </si>
  <si>
    <t>Eagle Eye</t>
  </si>
  <si>
    <t>Occhio d'aquila</t>
  </si>
  <si>
    <t>Ojo de águila</t>
  </si>
  <si>
    <t>暴擊＋５０</t>
  </si>
  <si>
    <t>暴击＋５０</t>
  </si>
  <si>
    <t>クリティカル＋５０</t>
  </si>
  <si>
    <t>Second Serving</t>
  </si>
  <si>
    <t>Doppio servizio</t>
  </si>
  <si>
    <t>Double frappe</t>
  </si>
  <si>
    <t>Golpe doble</t>
  </si>
  <si>
    <t>二次攻擊</t>
  </si>
  <si>
    <t>再次攻击</t>
  </si>
  <si>
    <t>おかわり</t>
  </si>
  <si>
    <t>Patience</t>
  </si>
  <si>
    <t>Pazienza</t>
  </si>
  <si>
    <t>Paciencia</t>
  </si>
  <si>
    <t>最後行動</t>
  </si>
  <si>
    <t>最后行动</t>
  </si>
  <si>
    <t>ラストアクト</t>
  </si>
  <si>
    <t>Hard Worker</t>
  </si>
  <si>
    <t>Infaticabile</t>
  </si>
  <si>
    <t>Diligence</t>
  </si>
  <si>
    <t>Currante</t>
  </si>
  <si>
    <t>提高獲得ＪＰ</t>
  </si>
  <si>
    <t>提高获得ＪＰ</t>
  </si>
  <si>
    <t>獲得ＪＰアップ</t>
  </si>
  <si>
    <t>Boost-Start</t>
  </si>
  <si>
    <t>Avvio lanciato</t>
  </si>
  <si>
    <t>Stimulation</t>
  </si>
  <si>
    <t>Impulso inicial</t>
  </si>
  <si>
    <t>ＢＰ強化</t>
  </si>
  <si>
    <t>ＢＰ强化</t>
  </si>
  <si>
    <t>ＢＰプラス</t>
  </si>
  <si>
    <t>BP Eater</t>
  </si>
  <si>
    <t>Consumo PP</t>
  </si>
  <si>
    <t>Festin de PE</t>
  </si>
  <si>
    <t>Comedor de PI</t>
  </si>
  <si>
    <t>ＢＰ吞噬者</t>
  </si>
  <si>
    <t>ＢＰイーター</t>
  </si>
  <si>
    <t>Divine Aura</t>
  </si>
  <si>
    <t>Aura divina</t>
  </si>
  <si>
    <t>Aura divine</t>
  </si>
  <si>
    <t>天使的加護</t>
  </si>
  <si>
    <t>天使的加护</t>
  </si>
  <si>
    <t>天使の加護</t>
  </si>
  <si>
    <t>Stat Swap</t>
  </si>
  <si>
    <t>Scambia valori</t>
  </si>
  <si>
    <t>Échange d'attributs</t>
  </si>
  <si>
    <t>Cambiar estadísticas</t>
  </si>
  <si>
    <t>物屬交換</t>
  </si>
  <si>
    <t>物属交换</t>
  </si>
  <si>
    <t>物属交換</t>
  </si>
  <si>
    <t>SP Recovery</t>
  </si>
  <si>
    <t>Recupero PA</t>
  </si>
  <si>
    <t>Regain de PT</t>
  </si>
  <si>
    <t>Recuperación PH</t>
  </si>
  <si>
    <t>魔力還原</t>
  </si>
  <si>
    <t>魔力还原</t>
  </si>
  <si>
    <t>魔力還元</t>
  </si>
  <si>
    <t>Dauntless</t>
  </si>
  <si>
    <t>Audacia</t>
  </si>
  <si>
    <t>Témérité</t>
  </si>
  <si>
    <t>狀態異常時攻擊強化</t>
  </si>
  <si>
    <t>状态异常时攻击强化</t>
  </si>
  <si>
    <t>状態異常で攻撃強化</t>
  </si>
  <si>
    <t>Elemental Edge</t>
  </si>
  <si>
    <t>Lama elementale</t>
  </si>
  <si>
    <t>Lame élémentaire</t>
  </si>
  <si>
    <t>Filo elemental</t>
  </si>
  <si>
    <t>永續元素提升</t>
  </si>
  <si>
    <t>永续元素提升</t>
  </si>
  <si>
    <t>永続エレメントアップ</t>
  </si>
  <si>
    <t>Extra Experience</t>
  </si>
  <si>
    <t>Esperienza extra</t>
  </si>
  <si>
    <t>Bonus d'expérience</t>
  </si>
  <si>
    <t>Más experiencia</t>
  </si>
  <si>
    <t>提高獲得ＥＸＰ</t>
  </si>
  <si>
    <t>提高获得ＥＸＰ</t>
  </si>
  <si>
    <t>獲得EXPアップ</t>
  </si>
  <si>
    <t>Stalwart Defense</t>
  </si>
  <si>
    <t>Strenua difesa</t>
  </si>
  <si>
    <t>Défense inébranlable</t>
  </si>
  <si>
    <t>Defensa férrea</t>
  </si>
  <si>
    <t>物理防禦力＋５０</t>
  </si>
  <si>
    <t>物理防御力＋５０</t>
  </si>
  <si>
    <t>Fortitude</t>
  </si>
  <si>
    <t>Forza d'animo</t>
  </si>
  <si>
    <t>Force d'âme</t>
  </si>
  <si>
    <t>Fortaleza</t>
  </si>
  <si>
    <t>火場怪力</t>
  </si>
  <si>
    <t>火场怪力</t>
  </si>
  <si>
    <t>火事場の馬鹿力</t>
  </si>
  <si>
    <t>Physical Prowess</t>
  </si>
  <si>
    <t>Prestanza fisica</t>
  </si>
  <si>
    <t>Performance physique</t>
  </si>
  <si>
    <t>Destreza física</t>
  </si>
  <si>
    <t>永續物理提升</t>
  </si>
  <si>
    <t>永续物理提升</t>
  </si>
  <si>
    <t>永続フィジカルアップ</t>
  </si>
  <si>
    <t>Intimidation</t>
  </si>
  <si>
    <t>Intimidazione</t>
  </si>
  <si>
    <t>Intimidación</t>
  </si>
  <si>
    <t>威嚇</t>
  </si>
  <si>
    <t>威慑</t>
  </si>
  <si>
    <t>威圧</t>
  </si>
  <si>
    <t>Stronger Strikes</t>
  </si>
  <si>
    <t>Colpi potenziati</t>
  </si>
  <si>
    <t>Frappe renforcée</t>
  </si>
  <si>
    <t>Golpes mejores</t>
  </si>
  <si>
    <t>特攻強化</t>
  </si>
  <si>
    <t>特攻强化</t>
  </si>
  <si>
    <t>Elemental Aid</t>
  </si>
  <si>
    <t>Dono elementale</t>
  </si>
  <si>
    <t>Soutien élémentaire</t>
  </si>
  <si>
    <t>Ayuda elemental</t>
  </si>
  <si>
    <t>屬性攻擊強化</t>
  </si>
  <si>
    <t>属性攻击强化</t>
  </si>
  <si>
    <t>属性攻撃強化</t>
  </si>
  <si>
    <t>Augmented Elements</t>
  </si>
  <si>
    <t>Elementi evoluti</t>
  </si>
  <si>
    <t>Éléments augmentés</t>
  </si>
  <si>
    <t>Elementos aumentados</t>
  </si>
  <si>
    <t>屬性熟練化</t>
  </si>
  <si>
    <t>属性熟练化</t>
  </si>
  <si>
    <t>属性熟練化</t>
  </si>
  <si>
    <t>Quests</t>
  </si>
  <si>
    <t>Quête</t>
  </si>
  <si>
    <t>支線故事</t>
  </si>
  <si>
    <t>支线故事</t>
  </si>
  <si>
    <t>サブストーリ</t>
  </si>
  <si>
    <t>Kit, the Traveler</t>
  </si>
  <si>
    <t>Kit il viaggiatore</t>
  </si>
  <si>
    <t>Kit le voyageur</t>
  </si>
  <si>
    <t>Kit, el viajero</t>
  </si>
  <si>
    <t>旅行青年</t>
  </si>
  <si>
    <t>旅をする青年</t>
  </si>
  <si>
    <t>Sir Miles, Servant of the Flame (I)</t>
  </si>
  <si>
    <t>Sir Miles dei Guardiafamma (I)</t>
  </si>
  <si>
    <t>Miles, serviteur de la Flamme (I)</t>
  </si>
  <si>
    <t>Sir Miles, siervo de la Llama (I)</t>
  </si>
  <si>
    <t>聖火騎士邁爾斯（１）</t>
  </si>
  <si>
    <t>圣火骑士迈尔斯（１）</t>
  </si>
  <si>
    <t>聖火マイルズ（１）</t>
  </si>
  <si>
    <t>The Innocent Inmate</t>
  </si>
  <si>
    <t>Il prigioniero innocente</t>
  </si>
  <si>
    <t>Accusé à tort</t>
  </si>
  <si>
    <t>El recluso inocente</t>
  </si>
  <si>
    <t>被冤枉的囚犯</t>
  </si>
  <si>
    <t>罪なき囚人</t>
  </si>
  <si>
    <t>The Slumbering Giant</t>
  </si>
  <si>
    <t>Il gigante dormiente</t>
  </si>
  <si>
    <t>Le géant endormi</t>
  </si>
  <si>
    <t>El gigante dormido</t>
  </si>
  <si>
    <t>沉睡在凍土中的巨人</t>
  </si>
  <si>
    <t>沉睡在冻土的巨人</t>
  </si>
  <si>
    <t>凍土に眠る巨人</t>
  </si>
  <si>
    <t>Lianna and Eliza</t>
  </si>
  <si>
    <t>Lianna e Eliza</t>
  </si>
  <si>
    <t>Lianna et Éliza</t>
  </si>
  <si>
    <t>Lianna y Eliza</t>
  </si>
  <si>
    <t>莉安娜和愛麗莎，在那之後</t>
  </si>
  <si>
    <t>莉安娜和爱丽莎，在那之后</t>
  </si>
  <si>
    <t>リアナとエリザ、その後</t>
  </si>
  <si>
    <t>Sir Miles, Servant of the Flame (II)</t>
  </si>
  <si>
    <t>Sir Miles dei Guardiafamma (II)</t>
  </si>
  <si>
    <t>Miles, serviteur de la Flamme (II)</t>
  </si>
  <si>
    <t>Sir Miles, siervo de la Llama (II)</t>
  </si>
  <si>
    <t>聖火騎士邁爾斯（２）</t>
  </si>
  <si>
    <t>圣火骑士迈尔斯（２）</t>
  </si>
  <si>
    <t>聖火騎士マイルズ（２）</t>
  </si>
  <si>
    <t>Let There Be Warmth</t>
  </si>
  <si>
    <t>Que la chaleur soit</t>
  </si>
  <si>
    <t>La chispa de la vida</t>
  </si>
  <si>
    <t>溫暖的發明</t>
  </si>
  <si>
    <t>暖心的发明</t>
  </si>
  <si>
    <t>暖かい発明</t>
  </si>
  <si>
    <t>Setting Out</t>
  </si>
  <si>
    <t>Vers de nouveaux horizons</t>
  </si>
  <si>
    <t>El punto de partida</t>
  </si>
  <si>
    <t>年輕人的旅途</t>
  </si>
  <si>
    <t>年轻人的旅途</t>
  </si>
  <si>
    <t>若者の旅立ち</t>
  </si>
  <si>
    <t>Arianna Again (I)</t>
  </si>
  <si>
    <t>Une nouvelle vie (I)</t>
  </si>
  <si>
    <t>Arianna, de nuevo (I)</t>
  </si>
  <si>
    <t>亞莉安娜，在那之後（１）</t>
  </si>
  <si>
    <t>亚莉安娜，在那之后（１）</t>
  </si>
  <si>
    <t>アリアナ、その後（１）</t>
  </si>
  <si>
    <t>Arianna Again (II)</t>
  </si>
  <si>
    <t>Une nouvelle vie (II)</t>
  </si>
  <si>
    <t>Arianna, de nuevo (II)</t>
  </si>
  <si>
    <t>亞莉安娜，在那之後（２）</t>
  </si>
  <si>
    <t>亚莉安娜，在那之后（２）</t>
  </si>
  <si>
    <t>アリアナ、その後（２）</t>
  </si>
  <si>
    <t>Sir Miles, Servant of the Flame (III)</t>
  </si>
  <si>
    <t>Sir Miles dei Guardiafamma (III)</t>
  </si>
  <si>
    <t>Miles, serviteur de la Flamme (III)</t>
  </si>
  <si>
    <t>Sir Miles, siervo de la Llama (III)</t>
  </si>
  <si>
    <t>聖火騎士邁爾斯（３）</t>
  </si>
  <si>
    <t>圣火骑士迈尔斯（３）</t>
  </si>
  <si>
    <t>聖火騎士マイルズ（３）</t>
  </si>
  <si>
    <t>Heirloom of a High House</t>
  </si>
  <si>
    <t>Noblesse déchue</t>
  </si>
  <si>
    <t>La caída de la casa Baylon</t>
  </si>
  <si>
    <t>名門的遺產</t>
  </si>
  <si>
    <t>名门的遗产</t>
  </si>
  <si>
    <t>Here Be Dragons</t>
  </si>
  <si>
    <t>Chasse aux dragons</t>
  </si>
  <si>
    <t>Historias de dragones</t>
  </si>
  <si>
    <t>世界之龍</t>
  </si>
  <si>
    <t>世界之龙</t>
  </si>
  <si>
    <t>世界のドラゴン</t>
  </si>
  <si>
    <t>Ogen's Epilogue</t>
  </si>
  <si>
    <t>L'épilogue d'Ogen</t>
  </si>
  <si>
    <t>El epílogo de Ogen</t>
  </si>
  <si>
    <t>藥師歐根，在那之後</t>
  </si>
  <si>
    <t>药师欧根，在那之后</t>
  </si>
  <si>
    <t>薬師オーゲン、その後</t>
  </si>
  <si>
    <t>Theracio's Tutelage (I)</t>
  </si>
  <si>
    <t>Gli insegnamenti di Theracio (I)</t>
  </si>
  <si>
    <t>Les leçons de Theracio (I)</t>
  </si>
  <si>
    <t>El tutelaje de Theracio (I)</t>
  </si>
  <si>
    <t>教師提拉奇亞（１）</t>
  </si>
  <si>
    <t>教师提拉奇亚（１）</t>
  </si>
  <si>
    <t>教師テラキア（１）</t>
  </si>
  <si>
    <t>Fit for a King</t>
  </si>
  <si>
    <t>Degno di un re</t>
  </si>
  <si>
    <t>Un festin de roi</t>
  </si>
  <si>
    <t>Digno de un rey</t>
  </si>
  <si>
    <t>獻給國王的珍品</t>
  </si>
  <si>
    <t>献给国王的珍品</t>
  </si>
  <si>
    <t>国王への献上品</t>
  </si>
  <si>
    <t>City of Gold</t>
  </si>
  <si>
    <t>Città d'oro</t>
  </si>
  <si>
    <t>La cité d'or</t>
  </si>
  <si>
    <t>La ciudad del oro</t>
  </si>
  <si>
    <t>黃金的世外桃源</t>
  </si>
  <si>
    <t>黄金的世外桃源</t>
  </si>
  <si>
    <t>黄金の理想郷</t>
  </si>
  <si>
    <t>The Prodigious Painting</t>
  </si>
  <si>
    <t>Il dipinto prodigioso</t>
  </si>
  <si>
    <t>Une ombre au tableau</t>
  </si>
  <si>
    <t>El cuadro asombroso</t>
  </si>
  <si>
    <t>絕佳的畫作</t>
  </si>
  <si>
    <t>绝佳的画作</t>
  </si>
  <si>
    <t>素晴らしき絵画</t>
  </si>
  <si>
    <t>Theracio's Tutelage (II)</t>
  </si>
  <si>
    <t>Gli insegnamenti di Theracio (II)</t>
  </si>
  <si>
    <t>Les leçons de Theracio (II)</t>
  </si>
  <si>
    <t>El tutelaje de Theracio (II)</t>
  </si>
  <si>
    <t>教師提拉奇亞（２）</t>
  </si>
  <si>
    <t>教师提拉奇亚（２）</t>
  </si>
  <si>
    <t>教師テラキア（２）</t>
  </si>
  <si>
    <t>In Search of Father (I)</t>
  </si>
  <si>
    <t>In cerca del padre (I)</t>
  </si>
  <si>
    <t>Sur les traces de son père (I)</t>
  </si>
  <si>
    <t>En busca de un padre (I)</t>
  </si>
  <si>
    <t>尋找父親的旅人克里斯（１）</t>
  </si>
  <si>
    <t>寻找父亲的旅行者克里斯（１）</t>
  </si>
  <si>
    <t>父を捜す旅人クリス（１）</t>
  </si>
  <si>
    <t>The Price of Vengeance</t>
  </si>
  <si>
    <t>Le prix de la vengeance</t>
  </si>
  <si>
    <t>El precio de la venganza</t>
  </si>
  <si>
    <t>代為報復</t>
  </si>
  <si>
    <t>代为报复</t>
  </si>
  <si>
    <t>復讐代行</t>
  </si>
  <si>
    <t>The Gravekeeper's Grief</t>
  </si>
  <si>
    <t>Les malheurs du fossoyeur</t>
  </si>
  <si>
    <t>La aflicción del enterrador</t>
  </si>
  <si>
    <t>守墓的工作</t>
  </si>
  <si>
    <t>墓守の仕事</t>
  </si>
  <si>
    <t>Mikk and Makk Make Good</t>
  </si>
  <si>
    <t>Les micmacs de Mikk et Makk</t>
  </si>
  <si>
    <t>Mikk y Makk, honrados hasta el final</t>
  </si>
  <si>
    <t>米克與馬克，在那之後</t>
  </si>
  <si>
    <t>米克与马克，在那之后</t>
  </si>
  <si>
    <t>ミックとマック、その後</t>
  </si>
  <si>
    <t>Theracio's Tutelage (III)</t>
  </si>
  <si>
    <t>Gli insegnamenti di Theracio (III)</t>
  </si>
  <si>
    <t>Les leçons de Theracio (III)</t>
  </si>
  <si>
    <t>El tutelaje de Theracio (III)</t>
  </si>
  <si>
    <t>教師提拉奇亞（３）</t>
  </si>
  <si>
    <t>教师提拉奇亚（３）</t>
  </si>
  <si>
    <t>教師テラキア（３）</t>
  </si>
  <si>
    <t>Tilting at Windmills</t>
  </si>
  <si>
    <t>Extorsion</t>
  </si>
  <si>
    <t>No son molinos...</t>
  </si>
  <si>
    <t>村里的風車</t>
  </si>
  <si>
    <t>村里的风车</t>
  </si>
  <si>
    <t>村の風車</t>
  </si>
  <si>
    <t>Scaredy Sheep</t>
  </si>
  <si>
    <t>Moutons menacés</t>
  </si>
  <si>
    <t>Terror en el rebaño</t>
  </si>
  <si>
    <t>害怕的羊</t>
  </si>
  <si>
    <t>怯えた羊</t>
  </si>
  <si>
    <t>Le Mann, Explorer Extraordinaire (I)</t>
  </si>
  <si>
    <t>Lemann, esploratore straordinario (I)</t>
  </si>
  <si>
    <t>Lemann, explorateur en puissance (I)</t>
  </si>
  <si>
    <t>Lemann, explorador extraordinario (I)</t>
  </si>
  <si>
    <t>冒險家盧．曼（１）</t>
  </si>
  <si>
    <t>冒险家卢・曼（１）</t>
  </si>
  <si>
    <t>冒険家ル・マン（１）</t>
  </si>
  <si>
    <t>Love Unrequited</t>
  </si>
  <si>
    <t>Amore non corrisposto</t>
  </si>
  <si>
    <t>Amour à sens unique</t>
  </si>
  <si>
    <t>Amor no correspondido</t>
  </si>
  <si>
    <t>難纏的男子</t>
  </si>
  <si>
    <t>难缠的男子</t>
  </si>
  <si>
    <t>しつこい男</t>
  </si>
  <si>
    <t>Princess Mary, Redux</t>
  </si>
  <si>
    <t>La princesse érudite</t>
  </si>
  <si>
    <t>El regreso de la princesa Mary</t>
  </si>
  <si>
    <t>瑪莉公主，在那之後</t>
  </si>
  <si>
    <t>玛莉公主，在那之后</t>
  </si>
  <si>
    <t>メアリー王女、その後</t>
  </si>
  <si>
    <t>Le Mann, Explorer Extraordinaire (II)</t>
  </si>
  <si>
    <t>Lemann, esploratore straordinario (II)</t>
  </si>
  <si>
    <t>Lemann, explorateur en puissance (II)</t>
  </si>
  <si>
    <t>Lemann, explorador extraordinario (II)</t>
  </si>
  <si>
    <t>冒險家盧．曼（２）</t>
  </si>
  <si>
    <t>冒险家卢・曼（２）</t>
  </si>
  <si>
    <t>冒険家ル・マン（２）</t>
  </si>
  <si>
    <t>Left Behind</t>
  </si>
  <si>
    <t>Disparu en mer</t>
  </si>
  <si>
    <t>Abandonado</t>
  </si>
  <si>
    <t>被拋棄的男子</t>
  </si>
  <si>
    <t>被抛弃的男子</t>
  </si>
  <si>
    <t>取り残された男</t>
  </si>
  <si>
    <t>The Merchant's Path</t>
  </si>
  <si>
    <t>La voie des marchands</t>
  </si>
  <si>
    <t>El camino del mercader</t>
  </si>
  <si>
    <t>商人的道路</t>
  </si>
  <si>
    <t>商人の道行き</t>
  </si>
  <si>
    <t>Scourge of the Seas</t>
  </si>
  <si>
    <t>Le fléau des mers</t>
  </si>
  <si>
    <t>El azote de los mares</t>
  </si>
  <si>
    <t>凶暴的海獸</t>
  </si>
  <si>
    <t>凶暴的海兽</t>
  </si>
  <si>
    <t>凶暴な海獣</t>
  </si>
  <si>
    <t>In Search of Father (II)</t>
  </si>
  <si>
    <t>In cerca del padre (II)</t>
  </si>
  <si>
    <t>Sur les traces de son père (II)</t>
  </si>
  <si>
    <t>En busca de un padre (II)</t>
  </si>
  <si>
    <t>尋找父親的旅人克里斯（２）</t>
  </si>
  <si>
    <t>寻找父亲的旅行者克里斯（２）</t>
  </si>
  <si>
    <t>父を捜す旅人クリス（２）</t>
  </si>
  <si>
    <t>Le Mann, Explorer Extraordinaire (III)</t>
  </si>
  <si>
    <t>Lemann, esploratore straordinario (III)</t>
  </si>
  <si>
    <t>Lemann, explorador extraordinario (III)</t>
  </si>
  <si>
    <t>冒險家盧．曼（３）</t>
  </si>
  <si>
    <t>冒险家卢・曼（３）</t>
  </si>
  <si>
    <t>冒険家ル・マン（３）</t>
  </si>
  <si>
    <t>An Exotic Aroma</t>
  </si>
  <si>
    <t>Parfum exotique</t>
  </si>
  <si>
    <t>Un aroma exótico</t>
  </si>
  <si>
    <t>異國的香氛</t>
  </si>
  <si>
    <t>异国的香氛</t>
  </si>
  <si>
    <t>異国の香り</t>
  </si>
  <si>
    <t>The Diarist's Desire</t>
  </si>
  <si>
    <t>En quête d'inspiration</t>
  </si>
  <si>
    <t>Una hazaña para la posteridad</t>
  </si>
  <si>
    <t>日記伯伯尋找的東西</t>
  </si>
  <si>
    <t>日记伯伯寻找的东西</t>
  </si>
  <si>
    <t>日記おじさんの探し物</t>
  </si>
  <si>
    <t>Keeping Up with the Wyndhams</t>
  </si>
  <si>
    <t>Correspondance interrompue</t>
  </si>
  <si>
    <t>Correspondencia con los Wyndham</t>
  </si>
  <si>
    <t>寇蒂莉亞與諾雅，在那之後</t>
  </si>
  <si>
    <t>寇蒂莉亚与诺雅，在那之后</t>
  </si>
  <si>
    <t>コーデリアとノーア、その後</t>
  </si>
  <si>
    <t>Noelle, Seeker of Knowledge (I)</t>
  </si>
  <si>
    <t>Noelle l'historienne (I)</t>
  </si>
  <si>
    <t>Noelle y la búsqueda del saber (I)</t>
  </si>
  <si>
    <t>歷史研究家諾艾爾（１）</t>
  </si>
  <si>
    <t>历史研究家诺艾尔（１）</t>
  </si>
  <si>
    <t>歴史研究家ノエル（１）</t>
  </si>
  <si>
    <t>Fertile Fields</t>
  </si>
  <si>
    <t>Mauvaises graines</t>
  </si>
  <si>
    <t>Campos fértiles</t>
  </si>
  <si>
    <t>農田的肥料</t>
  </si>
  <si>
    <t>农田的肥料</t>
  </si>
  <si>
    <t>畑の肥やし</t>
  </si>
  <si>
    <t>Never Forget</t>
  </si>
  <si>
    <t>Souvenir éternel</t>
  </si>
  <si>
    <t>Para el recuerdo</t>
  </si>
  <si>
    <t>無法忘懷的回憶</t>
  </si>
  <si>
    <t>无法忘怀的回忆</t>
  </si>
  <si>
    <t>忘れ得ぬ想い</t>
  </si>
  <si>
    <t>Noelle, Seeker of Knowledge (II)</t>
  </si>
  <si>
    <t>Noelle l'historienne (II)</t>
  </si>
  <si>
    <t>Noelle y la búsqueda del saber (II)</t>
  </si>
  <si>
    <t>歷史研究家諾艾爾（２）</t>
  </si>
  <si>
    <t>历史研究家诺艾尔（２）</t>
  </si>
  <si>
    <t>歴史研究家ノエル（２）</t>
  </si>
  <si>
    <t>Up to No Good</t>
  </si>
  <si>
    <t>Fauteurs de troubles</t>
  </si>
  <si>
    <t>Nada de provecho</t>
  </si>
  <si>
    <t>流氓</t>
  </si>
  <si>
    <t>无赖</t>
  </si>
  <si>
    <t>ならず者</t>
  </si>
  <si>
    <t>Lost in Translation</t>
  </si>
  <si>
    <t>Traduttore cercasi</t>
  </si>
  <si>
    <t>La barrière de la langue</t>
  </si>
  <si>
    <t>Perdido en la traducción</t>
  </si>
  <si>
    <t>異國的話語</t>
  </si>
  <si>
    <t>异国的语言</t>
  </si>
  <si>
    <t>異国の言葉</t>
  </si>
  <si>
    <t>A Royal Secret</t>
  </si>
  <si>
    <t>Un secret royal</t>
  </si>
  <si>
    <t>Secretos palaciegos</t>
  </si>
  <si>
    <t>王家的秘密</t>
  </si>
  <si>
    <t>王家の秘密</t>
  </si>
  <si>
    <t>Russell's Repentance</t>
  </si>
  <si>
    <t>La pénitence de Russell</t>
  </si>
  <si>
    <t>El lamento de Russell</t>
  </si>
  <si>
    <t>學者拉塞爾，在那之後</t>
  </si>
  <si>
    <t>学者拉塞尔，在那之后</t>
  </si>
  <si>
    <t>学者ラッセル、その後</t>
  </si>
  <si>
    <t>Noelle, Seeker of Knowledge (III)</t>
  </si>
  <si>
    <t>Noelle l'historienne (III)</t>
  </si>
  <si>
    <t>Noelle y la búsqueda del saber (III)</t>
  </si>
  <si>
    <t>歷史研究家諾艾爾（３）</t>
  </si>
  <si>
    <t>历史研究家诺艾尔（３）</t>
  </si>
  <si>
    <t>歴史研究家ノエル（３）</t>
  </si>
  <si>
    <t>Performance Art</t>
  </si>
  <si>
    <t>Dans la peau du personnage</t>
  </si>
  <si>
    <t>Actor de método</t>
  </si>
  <si>
    <t>演員必備的</t>
  </si>
  <si>
    <t>所谓演员</t>
  </si>
  <si>
    <t>Star of the Stage</t>
  </si>
  <si>
    <t>La vedette du spectacle</t>
  </si>
  <si>
    <t>La estrella del espectáculo</t>
  </si>
  <si>
    <t>舞台的主角</t>
  </si>
  <si>
    <t>舞台の主役</t>
  </si>
  <si>
    <t>At Journey's End</t>
  </si>
  <si>
    <t>La fin du voyage</t>
  </si>
  <si>
    <t>Al final del viaje</t>
  </si>
  <si>
    <t>旅途的最後</t>
  </si>
  <si>
    <t>旅途的最后</t>
  </si>
  <si>
    <t>旅の果て</t>
  </si>
  <si>
    <t>Ria, Born to Roam (I)</t>
  </si>
  <si>
    <t>Ria, nata per viaggiare (I)</t>
  </si>
  <si>
    <t>Ria, avide de liberté (I)</t>
  </si>
  <si>
    <t>Ria, un mundo que recorrer (I)</t>
  </si>
  <si>
    <t>巡遊少女莉亞（１）</t>
  </si>
  <si>
    <t>巡游少女莉亚（１）</t>
  </si>
  <si>
    <t>巡遊少女リア（１）</t>
  </si>
  <si>
    <t>Her Time to Shine</t>
  </si>
  <si>
    <t>Luci della ribalta</t>
  </si>
  <si>
    <t>Heure de gloire</t>
  </si>
  <si>
    <t>Su momento de gloria</t>
  </si>
  <si>
    <t>最後的舞台</t>
  </si>
  <si>
    <t>最后的演出</t>
  </si>
  <si>
    <t>最後の舞台</t>
  </si>
  <si>
    <t>The Bouncer</t>
  </si>
  <si>
    <t>Il fannullone</t>
  </si>
  <si>
    <t>Le tire-au-flanc</t>
  </si>
  <si>
    <t>El portero</t>
  </si>
  <si>
    <t>酒館的保鑣</t>
  </si>
  <si>
    <t>酒馆的保镖</t>
  </si>
  <si>
    <t>酒場の用心棒</t>
  </si>
  <si>
    <t>The Adventures of Ali</t>
  </si>
  <si>
    <t>Le avventure di Ali</t>
  </si>
  <si>
    <t>Les aventures d'Ali</t>
  </si>
  <si>
    <t>Las aventuras de Ali</t>
  </si>
  <si>
    <t>商人阿里，在那之後</t>
  </si>
  <si>
    <t>商人阿里，在那之后</t>
  </si>
  <si>
    <t>商人アリー、その後</t>
  </si>
  <si>
    <t>Ria, Born to Roam (II)</t>
  </si>
  <si>
    <t>Ria, nata per viaggiare (II)</t>
  </si>
  <si>
    <t>Ria, avide de liberté (II)</t>
  </si>
  <si>
    <t>Ria, un mundo que recorrer (II)</t>
  </si>
  <si>
    <t>巡遊少女莉亞（２）</t>
  </si>
  <si>
    <t>巡游少女莉亚（２）</t>
  </si>
  <si>
    <t>巡遊少女リア（２）</t>
  </si>
  <si>
    <t>In Search of Sweets</t>
  </si>
  <si>
    <t>Une affaire degoût</t>
  </si>
  <si>
    <t>Una delicia para el paladar</t>
  </si>
  <si>
    <t>甜味的探索</t>
  </si>
  <si>
    <t>探索甜味</t>
  </si>
  <si>
    <t>甘味の探求</t>
  </si>
  <si>
    <t>Shadow over the Sands</t>
  </si>
  <si>
    <t>Une ombre sur le sable</t>
  </si>
  <si>
    <t>La sombra sobre la arena</t>
  </si>
  <si>
    <t>潛伏在沙漠中的身影</t>
  </si>
  <si>
    <t>潜伏在沙漠中的身影</t>
  </si>
  <si>
    <t>砂漠に潜む影</t>
  </si>
  <si>
    <t>Back with Bale</t>
  </si>
  <si>
    <t>Sans nouvelles</t>
  </si>
  <si>
    <t>Otra vez Bale</t>
  </si>
  <si>
    <t>守衛隊長貝爾，在那之後</t>
  </si>
  <si>
    <t>守卫队长贝尔，在那之后</t>
  </si>
  <si>
    <t>守衛隊長ベイル、その後</t>
  </si>
  <si>
    <t>Ria, Born to Roam (III)</t>
  </si>
  <si>
    <t>Ria, nata per viaggiare (III)</t>
  </si>
  <si>
    <t>Ria, avide de liberté (III)</t>
  </si>
  <si>
    <t>Ria, un mundo que recorrer (III)</t>
  </si>
  <si>
    <t>巡遊少女莉亞（３）</t>
  </si>
  <si>
    <t>巡游少女莉亚（３）</t>
  </si>
  <si>
    <t>巡遊少女リア（３）</t>
  </si>
  <si>
    <t>In Search of the Unknown</t>
  </si>
  <si>
    <t>La soif de l'inconnu</t>
  </si>
  <si>
    <t>En busca de lo desconocido</t>
  </si>
  <si>
    <t>從未見過的東西</t>
  </si>
  <si>
    <t>从未见过的东西</t>
  </si>
  <si>
    <t>見たことのないもの</t>
  </si>
  <si>
    <t>The Prisoner's Plea</t>
  </si>
  <si>
    <t>La supplique du prisonnier</t>
  </si>
  <si>
    <t>La súplica del prisionero</t>
  </si>
  <si>
    <t>罪人的願望</t>
  </si>
  <si>
    <t>罪人的愿望</t>
  </si>
  <si>
    <t>罪人の願い</t>
  </si>
  <si>
    <t>King Khalim's Conundrum</t>
  </si>
  <si>
    <t>Le projet du roi Khalim</t>
  </si>
  <si>
    <t>El dilema del rey Khalim</t>
  </si>
  <si>
    <t>克林姆王，在那之後</t>
  </si>
  <si>
    <t>克林姆王，在那之后</t>
  </si>
  <si>
    <t>カリム王、その後</t>
  </si>
  <si>
    <t>Meryl, Lost then Found (I)</t>
  </si>
  <si>
    <t>Meryl, chi cerca trova (I)</t>
  </si>
  <si>
    <t>Méryl, perdue puis retrouvée (I)</t>
  </si>
  <si>
    <t>Meryl, perdida y hallada (I)</t>
  </si>
  <si>
    <t>孤兒梅莉兒（１）</t>
  </si>
  <si>
    <t>孤儿梅莉儿（１）</t>
  </si>
  <si>
    <t>拾われた子メリル（１）</t>
  </si>
  <si>
    <t>For Want of Fish</t>
  </si>
  <si>
    <t>Carpe diem</t>
  </si>
  <si>
    <t>Pénurie de poissons</t>
  </si>
  <si>
    <t>Penuria de peces</t>
  </si>
  <si>
    <t>消失的魚</t>
  </si>
  <si>
    <t>消失的鱼</t>
  </si>
  <si>
    <t>消えた魚</t>
  </si>
  <si>
    <t>A Sweet Reunion</t>
  </si>
  <si>
    <t>Retrouvailles familiales</t>
  </si>
  <si>
    <t>Un dulce reencuentro</t>
  </si>
  <si>
    <t>與孫子重逢</t>
  </si>
  <si>
    <t>与孙子重逢</t>
  </si>
  <si>
    <t>孫との再会</t>
  </si>
  <si>
    <t>Zeph and Mercedes (I)</t>
  </si>
  <si>
    <t>Zeph et Mercedes (I)</t>
  </si>
  <si>
    <t>Zeph y Mercedes (I)</t>
  </si>
  <si>
    <t>藥師傑夫，在那之後（１）</t>
  </si>
  <si>
    <t>药师杰夫，在那之后（１）</t>
  </si>
  <si>
    <t>薬師ゼフ、その後（１）</t>
  </si>
  <si>
    <t>Zeph and Mercedes (II)</t>
  </si>
  <si>
    <t>Zeph et Mercedes (II)</t>
  </si>
  <si>
    <t>Zeph y Mercedes (II)</t>
  </si>
  <si>
    <t>藥師傑夫，在那之後（２）</t>
  </si>
  <si>
    <t>药师杰夫，在那之后（２）</t>
  </si>
  <si>
    <t>薬師ゼフ、その後（２）</t>
  </si>
  <si>
    <t>Meryl, Lost then Found (II)</t>
  </si>
  <si>
    <t>Meryl, chi cerca trova (II)</t>
  </si>
  <si>
    <t>Méryl, perdue puis retrouvée (II)</t>
  </si>
  <si>
    <t>Meryl, perdida y hallada (II)</t>
  </si>
  <si>
    <t>孤兒梅莉兒（２）</t>
  </si>
  <si>
    <t>孤儿梅莉儿（２）</t>
  </si>
  <si>
    <t>拾われた子メリル（２）</t>
  </si>
  <si>
    <t>Daughter of the Dark God (II)</t>
  </si>
  <si>
    <t>La fille du dieu malveillant (II)</t>
  </si>
  <si>
    <t>Hija de un Dios Oscuro (II)</t>
  </si>
  <si>
    <t>命中注定之人（２）</t>
  </si>
  <si>
    <t>運命の人（２）</t>
  </si>
  <si>
    <t>The Worrywart</t>
  </si>
  <si>
    <t>L'éternel angoissé</t>
  </si>
  <si>
    <t>A perro flaco, todo son pulgas</t>
  </si>
  <si>
    <t>愛擔心的男子</t>
  </si>
  <si>
    <t>爱担心的男子</t>
  </si>
  <si>
    <t>心配性の男</t>
  </si>
  <si>
    <t>The Pilgrim's Plight</t>
  </si>
  <si>
    <t>Pèlerins en détresse</t>
  </si>
  <si>
    <t>La petición del peregrino</t>
  </si>
  <si>
    <t>以巡禮者為目標的無恥之人</t>
  </si>
  <si>
    <t>盯上巡礼者的无耻之人</t>
  </si>
  <si>
    <t>巡礼者を狙う卑怯者</t>
  </si>
  <si>
    <t>A Corpse with No Name</t>
  </si>
  <si>
    <t>Un corpo senza nome</t>
  </si>
  <si>
    <t>Un corps sans nom</t>
  </si>
  <si>
    <t>Un cuerpo sin nombre</t>
  </si>
  <si>
    <t>隨著川流而來的遺體</t>
  </si>
  <si>
    <t>随着川流而来的尸体</t>
  </si>
  <si>
    <t>流れ着いた死体</t>
  </si>
  <si>
    <t>Friends Again</t>
  </si>
  <si>
    <t>Les meilleurs amis</t>
  </si>
  <si>
    <t>El poder de la amistad</t>
  </si>
  <si>
    <t>好友３人組，在那之後</t>
  </si>
  <si>
    <t>好友３人组，在那之后</t>
  </si>
  <si>
    <t>仲良し3人組、その後</t>
  </si>
  <si>
    <t>Meryl, Lost then Found (III)</t>
  </si>
  <si>
    <t>Meryl, chi cerca trova (III)</t>
  </si>
  <si>
    <t>Méryl, perdue puis retrouvée (III)</t>
  </si>
  <si>
    <t>Meryl, perdida y hallada (III)</t>
  </si>
  <si>
    <t>孤兒梅莉兒（３）</t>
  </si>
  <si>
    <t>孤儿梅莉儿（３）</t>
  </si>
  <si>
    <t>拾われた子メリル</t>
  </si>
  <si>
    <t>The Adventuring Life</t>
  </si>
  <si>
    <t>Une vie d'aventure</t>
  </si>
  <si>
    <t>Una vida de aventuras</t>
  </si>
  <si>
    <t>夢想家貴族</t>
  </si>
  <si>
    <t>梦想家贵族</t>
  </si>
  <si>
    <t>夢見る貴族</t>
  </si>
  <si>
    <t>The Hidden Hoard</t>
  </si>
  <si>
    <t>Trésor caché</t>
  </si>
  <si>
    <t>El tesoro escondido</t>
  </si>
  <si>
    <t>貴族隱藏的財產</t>
  </si>
  <si>
    <t>贵族的藏宝</t>
  </si>
  <si>
    <t>Hello Again, Harald</t>
  </si>
  <si>
    <t>Bijou de famille</t>
  </si>
  <si>
    <t>Hola de nuevo, Harald</t>
  </si>
  <si>
    <t>哈洛德，在那之後</t>
  </si>
  <si>
    <t>哈洛德，在那之后后续</t>
  </si>
  <si>
    <t>ハロルド、その後</t>
  </si>
  <si>
    <t>Kaia, Mother of Dragon (I)</t>
  </si>
  <si>
    <t>Kaia, la madre dei draghi (I)</t>
  </si>
  <si>
    <t>Kaia, la mère des dragons (I)</t>
  </si>
  <si>
    <t>Kaia, madre de dragones (I)</t>
  </si>
  <si>
    <t>託付龍蛋的少女艾蜜莉（１）</t>
  </si>
  <si>
    <t>托付龙蛋的少女艾蜜莉（１）</t>
  </si>
  <si>
    <t>卵を託された少女アメリ（１）</t>
  </si>
  <si>
    <t>Daughter of the Dark God (I)</t>
  </si>
  <si>
    <t>La fille du dieu malveillant (I)</t>
  </si>
  <si>
    <t>Hija de un Dios Oscuro (I)</t>
  </si>
  <si>
    <t>命中注定之人（１）</t>
  </si>
  <si>
    <t>運命の人（１）</t>
  </si>
  <si>
    <t>Sparks of Revolution</t>
  </si>
  <si>
    <t>Avvisaglie di rivoluzione</t>
  </si>
  <si>
    <t>Les étincelles de la révolution</t>
  </si>
  <si>
    <t>En pie de guerra</t>
  </si>
  <si>
    <t>謀反的火種</t>
  </si>
  <si>
    <t>谋反的火种</t>
  </si>
  <si>
    <t>謀反の火種</t>
  </si>
  <si>
    <t>The Bandits' Code</t>
  </si>
  <si>
    <t>Le code des bandits</t>
  </si>
  <si>
    <t>El código de los bandidos</t>
  </si>
  <si>
    <t>盜賊的教條</t>
  </si>
  <si>
    <t>盗贼的规矩</t>
  </si>
  <si>
    <t>盗賊の掟</t>
  </si>
  <si>
    <t>Heathcote's High Jinks</t>
  </si>
  <si>
    <t>Le trésor d'Heathcote</t>
  </si>
  <si>
    <t>Las correrías de Heathcote</t>
  </si>
  <si>
    <t>希斯柯特，在那之後</t>
  </si>
  <si>
    <t>希斯柯特，在那之后</t>
  </si>
  <si>
    <t>ヒースコート、その後</t>
  </si>
  <si>
    <t>Kaia, Mother of Dragon (II)</t>
  </si>
  <si>
    <t>Kaia, la madre dei draghi (II)</t>
  </si>
  <si>
    <t>Kaia, la mère des dragons (II)</t>
  </si>
  <si>
    <t>Kaia, madre de dragones (II)</t>
  </si>
  <si>
    <t>託付龍蛋的少女艾蜜莉（２）</t>
  </si>
  <si>
    <t>托付龙蛋的少女艾蜜莉（２）</t>
  </si>
  <si>
    <t>卵を託された少女アメリ（２）</t>
  </si>
  <si>
    <t>The Weaver's Predicament</t>
  </si>
  <si>
    <t>Revers de fortune</t>
  </si>
  <si>
    <t>El apuro del tejedor</t>
  </si>
  <si>
    <t>紡織者的轉機</t>
  </si>
  <si>
    <t>纺织工房的转机</t>
  </si>
  <si>
    <t>織物屋の転機</t>
  </si>
  <si>
    <t>A Miner Dilemma</t>
  </si>
  <si>
    <t>Il dilemma del minatore</t>
  </si>
  <si>
    <t>Bonne pioche</t>
  </si>
  <si>
    <t>Una mina de problemas</t>
  </si>
  <si>
    <t>採掘工人的煩惱</t>
  </si>
  <si>
    <t>采掘工人的烦恼</t>
  </si>
  <si>
    <t>採掘作業者の悩み</t>
  </si>
  <si>
    <t>Revello and Odette</t>
  </si>
  <si>
    <t>Revello e Odette</t>
  </si>
  <si>
    <t>Revello et Odette</t>
  </si>
  <si>
    <t>Revello y Odette</t>
  </si>
  <si>
    <t>雷布洛與奧黛特，在那之後</t>
  </si>
  <si>
    <t>雷布洛与奥黛特，在那之后</t>
  </si>
  <si>
    <t>レブローとオデット、その後</t>
  </si>
  <si>
    <t>Kaia, Mother of Dragon (III)</t>
  </si>
  <si>
    <t>Kaia, la madre dei draghi (III)</t>
  </si>
  <si>
    <t>Kaia, la mère des dragons (III)</t>
  </si>
  <si>
    <t>Kaia, madre de dragones (III)</t>
  </si>
  <si>
    <t>託付龍蛋的少女艾蜜莉（３）</t>
  </si>
  <si>
    <t>托付龙蛋的少女艾蜜莉（３）</t>
  </si>
  <si>
    <t>卵を託された少女アメリ（３）</t>
  </si>
  <si>
    <t>The Wayward Son</t>
  </si>
  <si>
    <t>Le fils rebelle</t>
  </si>
  <si>
    <t>El hijo pródigo</t>
  </si>
  <si>
    <t>不成材的兒子</t>
  </si>
  <si>
    <t>不成器的儿子</t>
  </si>
  <si>
    <t>出来損ないの息子</t>
  </si>
  <si>
    <t>On the Precipice</t>
  </si>
  <si>
    <t>Au bord du gouffre</t>
  </si>
  <si>
    <t>Al borde del abismo</t>
  </si>
  <si>
    <t>無路可退的男子</t>
  </si>
  <si>
    <t>无路可退的男子</t>
  </si>
  <si>
    <t>崖っぷちの男</t>
  </si>
  <si>
    <t>Ashlan the Beastmaster (I)</t>
  </si>
  <si>
    <t>Ashlan il signore delle bestie (I)</t>
  </si>
  <si>
    <t>Aslyn le dompteur (I)</t>
  </si>
  <si>
    <t>Ashlan, el amo de las bestias (I)</t>
  </si>
  <si>
    <t>魔物操控人的末裔阿什蘭（１）</t>
  </si>
  <si>
    <t>魔物操控人的末裔阿什兰（１）</t>
  </si>
  <si>
    <t>魔物使いの末裔アシラン（１）</t>
  </si>
  <si>
    <t>Rite of Passage</t>
  </si>
  <si>
    <t>Rite d'initiation</t>
  </si>
  <si>
    <t>Bautismo de fuego</t>
  </si>
  <si>
    <t>成人的儀式</t>
  </si>
  <si>
    <t>成人的仪式</t>
  </si>
  <si>
    <t>成人の儀式</t>
  </si>
  <si>
    <t>Way Through the Woods</t>
  </si>
  <si>
    <t>A travers bois</t>
  </si>
  <si>
    <t>A través del bosque</t>
  </si>
  <si>
    <t>森林的道路指標</t>
  </si>
  <si>
    <t>森林的指路牌</t>
  </si>
  <si>
    <t>森の道案内</t>
  </si>
  <si>
    <t>Alphas and the Impresario</t>
  </si>
  <si>
    <t>Alphas et l'impresario</t>
  </si>
  <si>
    <t>Alphas y el promotor teatral</t>
  </si>
  <si>
    <t>團長與阿爾法絲，在那之後</t>
  </si>
  <si>
    <t>团长与阿尔法丝，在那之后</t>
  </si>
  <si>
    <t>座長とアルファス、その後</t>
  </si>
  <si>
    <t>Ashlan the Beastmaster (II)</t>
  </si>
  <si>
    <t>Ashlan il signore delle bestie (II)</t>
  </si>
  <si>
    <t>Aslyn le dompteur (II)</t>
  </si>
  <si>
    <t>Ashlan, el amo de las bestias (II)</t>
  </si>
  <si>
    <t>魔物操控人的末裔阿什蘭（２）</t>
  </si>
  <si>
    <t>魔物操控人的末裔阿什兰（２）</t>
  </si>
  <si>
    <t>魔物使いの末裔アシラン（２）</t>
  </si>
  <si>
    <t>Arena Aspirations</t>
  </si>
  <si>
    <t>Mauvais exemple</t>
  </si>
  <si>
    <t>Estrategia disuasoria</t>
  </si>
  <si>
    <t>成為劍鬥士的憧憬</t>
  </si>
  <si>
    <t>成为剑斗士的憧憬</t>
  </si>
  <si>
    <t>剣闘士への憧れ</t>
  </si>
  <si>
    <t>Into Thin Air</t>
  </si>
  <si>
    <t>Enlèvement</t>
  </si>
  <si>
    <t>Desaparecida</t>
  </si>
  <si>
    <t>綁架</t>
  </si>
  <si>
    <t>绑架</t>
  </si>
  <si>
    <t>人さらい</t>
  </si>
  <si>
    <t>A Promising Venture</t>
  </si>
  <si>
    <t>Un pari prometteur</t>
  </si>
  <si>
    <t>Sin riesgo, no hay gloria</t>
  </si>
  <si>
    <t>下注的事前準備</t>
  </si>
  <si>
    <t>下注的事前准备</t>
  </si>
  <si>
    <t>賭け下調べ</t>
  </si>
  <si>
    <t>Again with Alaic</t>
  </si>
  <si>
    <t>A l'aide d'Alaic</t>
  </si>
  <si>
    <t>Un reencuentro con Alaic</t>
  </si>
  <si>
    <t>亞雷克，在那之後</t>
  </si>
  <si>
    <t>亚雷克，在那之后</t>
  </si>
  <si>
    <t>アレーク、その後</t>
  </si>
  <si>
    <t>Ashlan the Beastmaster (III)</t>
  </si>
  <si>
    <t>Ashlan il signore delle bestie (III)</t>
  </si>
  <si>
    <t>Aslyn le dompteur (III)</t>
  </si>
  <si>
    <t>Ashlan, el amo de las bestias (III)</t>
  </si>
  <si>
    <t>魔物操控人的末裔阿什蘭（３）</t>
  </si>
  <si>
    <t>魔物操控人的末裔阿什兰（３）</t>
  </si>
  <si>
    <t>魔物使いの末裔アシラン（３）</t>
  </si>
  <si>
    <t>Looting Grave Robber</t>
  </si>
  <si>
    <t>Le profanateur de tombes</t>
  </si>
  <si>
    <t>Ladrón de tumbas</t>
  </si>
  <si>
    <t>破壞遺跡的盜挖者</t>
  </si>
  <si>
    <t>破坏遗迹的盗掘者</t>
  </si>
  <si>
    <t>遺跡荒らしの盗掘屋</t>
  </si>
  <si>
    <t>A Cub with No Name</t>
  </si>
  <si>
    <t>Un tigre sur les bras</t>
  </si>
  <si>
    <t>La bestia sin nombre</t>
  </si>
  <si>
    <t>無名的野獸</t>
  </si>
  <si>
    <t>无名野兽</t>
  </si>
  <si>
    <t>Location</t>
  </si>
  <si>
    <t>Endroit</t>
  </si>
  <si>
    <t>地點</t>
  </si>
  <si>
    <t>地点</t>
  </si>
  <si>
    <t>Tier</t>
  </si>
  <si>
    <t>Terres-de-givre</t>
  </si>
  <si>
    <t>Tierras Nevadas</t>
  </si>
  <si>
    <t>弗洛斯特蘭多地區</t>
  </si>
  <si>
    <t>弗洛斯特兰多地区</t>
  </si>
  <si>
    <t>フロストランド地方</t>
  </si>
  <si>
    <t>Flamesgrace</t>
  </si>
  <si>
    <t>Don-des-flammes</t>
  </si>
  <si>
    <t>Sacrolumia</t>
  </si>
  <si>
    <t>弗雷姆葛雷斯</t>
  </si>
  <si>
    <t>フレイムグレース</t>
  </si>
  <si>
    <t>Flamesgrace Cathedral Entrance</t>
  </si>
  <si>
    <t>Entrée de la cathédrale de Don-des-flammes</t>
  </si>
  <si>
    <t>Entrada a la catedral de Sacrolumia</t>
  </si>
  <si>
    <t>弗雷姆葛雷斯 -大聖堂前-</t>
  </si>
  <si>
    <t>弗雷姆葛雷斯 -大圣堂前-</t>
  </si>
  <si>
    <t>フレイムグレース（大聖堂前）</t>
  </si>
  <si>
    <t>Flamesgrace Cathedral</t>
  </si>
  <si>
    <t>Cathédrale de Don-des-flammes</t>
  </si>
  <si>
    <t>Catedral de Sacrolumia</t>
  </si>
  <si>
    <t>弗雷姆葛雷斯 -大聖堂-</t>
  </si>
  <si>
    <t>弗雷姆葛雷斯 -大圣堂-</t>
  </si>
  <si>
    <t>フレイムグレース（大聖堂）</t>
  </si>
  <si>
    <t>Northern Flamesgrace Wilds</t>
  </si>
  <si>
    <t>Friches nord de Don-des-flammes</t>
  </si>
  <si>
    <t>Llanuras septentrionales de Sacrolumia</t>
  </si>
  <si>
    <t>北弗雷姆葛雷斯雪道</t>
  </si>
  <si>
    <t>北フレイムグレース雪道</t>
  </si>
  <si>
    <t>Western Flamesgrace Wilds</t>
  </si>
  <si>
    <t>Friches ouest de Don-des-flammes</t>
  </si>
  <si>
    <t>Llanuras occidentales de Sacrolumia</t>
  </si>
  <si>
    <t>西弗雷姆葛雷斯雪道</t>
  </si>
  <si>
    <t>西フレイムグレース雪道</t>
  </si>
  <si>
    <t>Hoarfrost Grotto</t>
  </si>
  <si>
    <t>Grotta di brina</t>
  </si>
  <si>
    <t>Caverne des frimas</t>
  </si>
  <si>
    <t>Gruta de la Escarcha</t>
  </si>
  <si>
    <t>冰之洞窟</t>
  </si>
  <si>
    <t>氷の洞窟</t>
  </si>
  <si>
    <t>Path to Cave of Origin</t>
  </si>
  <si>
    <t>Sentiero per la Caverna delle Origini</t>
  </si>
  <si>
    <t>Voie de la Grotte des origines</t>
  </si>
  <si>
    <t>Camino a la Cueva del Origen</t>
  </si>
  <si>
    <t>通往原初洞窟的道路</t>
  </si>
  <si>
    <t>原初の洞窟への道</t>
  </si>
  <si>
    <t>Cave of Origin</t>
  </si>
  <si>
    <t>Caverna delle Origini</t>
  </si>
  <si>
    <t>Grotte des origines</t>
  </si>
  <si>
    <t>Cueva del Origen</t>
  </si>
  <si>
    <t>原初洞窟</t>
  </si>
  <si>
    <t>原初の洞窟</t>
  </si>
  <si>
    <t>Stillsnow</t>
  </si>
  <si>
    <t>Sourdeneige</t>
  </si>
  <si>
    <t>Nieveterna</t>
  </si>
  <si>
    <t>史迪爾斯諾</t>
  </si>
  <si>
    <t>史迪尔斯诺</t>
  </si>
  <si>
    <t>スティルスノウ</t>
  </si>
  <si>
    <t>Western Stillsnow Wilds</t>
  </si>
  <si>
    <t>Friches ouest de Sourdeneige</t>
  </si>
  <si>
    <t>Llanuras occidentales de Nieveterna</t>
  </si>
  <si>
    <t>西史迪爾斯諾雪道</t>
  </si>
  <si>
    <t>西史迪尔斯诺雪道</t>
  </si>
  <si>
    <t>西スティルスノウ雪道</t>
  </si>
  <si>
    <t>Tomb of the Imperator</t>
  </si>
  <si>
    <t>Tomba dell'imperatore</t>
  </si>
  <si>
    <t>Tombeau de l'imperator</t>
  </si>
  <si>
    <t>Tumba del emperador</t>
  </si>
  <si>
    <t>巨王靈廟</t>
  </si>
  <si>
    <t>巨王灵庙</t>
  </si>
  <si>
    <t>巨王の霊廟</t>
  </si>
  <si>
    <t>Road to the Obsidian Parlor</t>
  </si>
  <si>
    <t>Route du Boudoir d'obsidienne</t>
  </si>
  <si>
    <t>Camino a la Sala de Obsidiana</t>
  </si>
  <si>
    <t>通往黑曜館的道路</t>
  </si>
  <si>
    <t>通往黑曜馆的道路</t>
  </si>
  <si>
    <t>黒曜館への道</t>
  </si>
  <si>
    <t>Secret Path</t>
  </si>
  <si>
    <t>Sentier secret</t>
  </si>
  <si>
    <t>Camino secreto</t>
  </si>
  <si>
    <t>通往黑曜館的密道</t>
  </si>
  <si>
    <t>通往黑曜馆的密道</t>
  </si>
  <si>
    <t>黒曜館への隠し道</t>
  </si>
  <si>
    <t>Trail to the Whitewood</t>
  </si>
  <si>
    <t>Sente du Bois opalin</t>
  </si>
  <si>
    <t>Senda de Bosqueblanco</t>
  </si>
  <si>
    <t xml:space="preserve">通往白色森林的道路 </t>
  </si>
  <si>
    <t>通往白色森林的道路</t>
  </si>
  <si>
    <t>白き森への道</t>
  </si>
  <si>
    <t>The Whitewood</t>
  </si>
  <si>
    <t>Le Bois opalin</t>
  </si>
  <si>
    <t>Bosqueblanco</t>
  </si>
  <si>
    <t>白色森林</t>
  </si>
  <si>
    <t>白き森</t>
  </si>
  <si>
    <t>Northreach</t>
  </si>
  <si>
    <t>Nordbief</t>
  </si>
  <si>
    <t>Nortalia</t>
  </si>
  <si>
    <t>諾斯利奇</t>
  </si>
  <si>
    <t>诺斯利奇</t>
  </si>
  <si>
    <t>ノースリーチ</t>
  </si>
  <si>
    <t>Northreach: Lorn Cathedral</t>
  </si>
  <si>
    <t>Nordbief: cathédrale de Lorn</t>
  </si>
  <si>
    <t>Nortalia: catedral abandonada</t>
  </si>
  <si>
    <t>諾斯利奇 -廢教會前-</t>
  </si>
  <si>
    <t>诺斯利奇 -废教会前-</t>
  </si>
  <si>
    <t>ノースリーチ（廃教会前）</t>
  </si>
  <si>
    <t>Southern Northreach Wilds</t>
  </si>
  <si>
    <t>Friches sud de Nordbief</t>
  </si>
  <si>
    <t>Llanuras meridionales de Nortalia</t>
  </si>
  <si>
    <t>南諾斯利奇雪道</t>
  </si>
  <si>
    <t>南诺斯利奇雪道</t>
  </si>
  <si>
    <t>南ノースリーチ雪道</t>
  </si>
  <si>
    <t>Maw of the Ice Dragon</t>
  </si>
  <si>
    <t>Gueule du dragon de glace</t>
  </si>
  <si>
    <t>Fauces del Dragón de Hielo</t>
  </si>
  <si>
    <t>冰龍口</t>
  </si>
  <si>
    <t>冰龙口</t>
  </si>
  <si>
    <t>氷竜の口</t>
  </si>
  <si>
    <t>Lorn Cathedral: Cellars</t>
  </si>
  <si>
    <t>Cathédrale de Lorn: sous-sol</t>
  </si>
  <si>
    <t>Catedral abandonada: bodega</t>
  </si>
  <si>
    <t>廢教會地下</t>
  </si>
  <si>
    <t>废教会地下</t>
  </si>
  <si>
    <t>廃教会地下</t>
  </si>
  <si>
    <t>Pianure</t>
  </si>
  <si>
    <t>Basses plaines</t>
  </si>
  <si>
    <t>Llanuras</t>
  </si>
  <si>
    <t>芙拉特蘭多地區</t>
  </si>
  <si>
    <t>芙拉特兰多地区</t>
  </si>
  <si>
    <t>フラットランド地方</t>
  </si>
  <si>
    <t>Atlasdam</t>
  </si>
  <si>
    <t>Atlante</t>
  </si>
  <si>
    <t>Diguedin</t>
  </si>
  <si>
    <t>Átlasdam</t>
  </si>
  <si>
    <t>阿特拉斯達姆</t>
  </si>
  <si>
    <t>阿特拉斯达姆</t>
  </si>
  <si>
    <t>アトラスダム</t>
  </si>
  <si>
    <t>Atlasdam Palace Gate</t>
  </si>
  <si>
    <t>Porte du palais de Diguedin</t>
  </si>
  <si>
    <t>Puerta del palacio de Átlasdam</t>
  </si>
  <si>
    <t>阿特拉斯達姆 -王城前-</t>
  </si>
  <si>
    <t>阿特拉斯达姆 -王城前-</t>
  </si>
  <si>
    <t>アトラスダム（王城前）</t>
  </si>
  <si>
    <t>Royal Academy of Atlasdam</t>
  </si>
  <si>
    <t>Accademia reale di Atlante</t>
  </si>
  <si>
    <t>Académie royale de Diguedin</t>
  </si>
  <si>
    <t>Academia Real de Átlasdam</t>
  </si>
  <si>
    <t>阿特拉斯達姆 -王立學院-</t>
  </si>
  <si>
    <t>阿特拉斯达姆 -王立学院-</t>
  </si>
  <si>
    <t>アトラスダム（王立学院）</t>
  </si>
  <si>
    <t>Atlasdam Palace</t>
  </si>
  <si>
    <t>Palazzo di Atlante</t>
  </si>
  <si>
    <t>Palais de Diguedin</t>
  </si>
  <si>
    <t>Palacio de Átlasdam</t>
  </si>
  <si>
    <t>阿特拉斯達姆 -王城-</t>
  </si>
  <si>
    <t>阿特拉斯达姆 -王城-</t>
  </si>
  <si>
    <t>アトラスダム（王城）</t>
  </si>
  <si>
    <t>East Atlasdam Flats</t>
  </si>
  <si>
    <t>Pianure orientali di Atlante</t>
  </si>
  <si>
    <t>Plaines est de Diguedin</t>
  </si>
  <si>
    <t>Llanuras orientales de Átlasdam</t>
  </si>
  <si>
    <t>東阿特拉斯達姆平原</t>
  </si>
  <si>
    <t>东阿特拉斯达姆平原</t>
  </si>
  <si>
    <t>東アトラスダム平原</t>
  </si>
  <si>
    <t>North Atlasdam Flats</t>
  </si>
  <si>
    <t>Pianure settentrionali di Atlante</t>
  </si>
  <si>
    <t>Plaines nord de Diguedin</t>
  </si>
  <si>
    <t>Llanuras septentrionales de Átlasdam</t>
  </si>
  <si>
    <t>北阿特拉斯達姆平原</t>
  </si>
  <si>
    <t>北阿特拉斯达姆平原</t>
  </si>
  <si>
    <t>北アトラスダム平原</t>
  </si>
  <si>
    <t>The Whistlewood</t>
  </si>
  <si>
    <t>Le Bois sifflant</t>
  </si>
  <si>
    <t>Bósque del Silbido</t>
  </si>
  <si>
    <t>夜啼之森</t>
  </si>
  <si>
    <t>夜啼きの森</t>
  </si>
  <si>
    <t>Subterranean Study</t>
  </si>
  <si>
    <t>Studio sotterraneo</t>
  </si>
  <si>
    <t>Étude souterraine</t>
  </si>
  <si>
    <t>Estudio subterráneo</t>
  </si>
  <si>
    <t>地下研究室</t>
  </si>
  <si>
    <t>Noblecourt</t>
  </si>
  <si>
    <t>Altacorte</t>
  </si>
  <si>
    <t>Noblecour</t>
  </si>
  <si>
    <t>Nobiliaria</t>
  </si>
  <si>
    <t>諾布爾寇德</t>
  </si>
  <si>
    <t>诺布尔寇德</t>
  </si>
  <si>
    <t>ノーブルコート</t>
  </si>
  <si>
    <t>East Noblecourt</t>
  </si>
  <si>
    <t>Altacorte est</t>
  </si>
  <si>
    <t>Noblecour est</t>
  </si>
  <si>
    <t>Nobiliaria oriental</t>
  </si>
  <si>
    <t>諾布爾寇德 -東地區-</t>
  </si>
  <si>
    <t>诺布尔寇德 -东地区-</t>
  </si>
  <si>
    <t>ノーブルコート（東地区）</t>
  </si>
  <si>
    <t>Western Noblecourt Flats</t>
  </si>
  <si>
    <t>Plaines ouest de Noblecour</t>
  </si>
  <si>
    <t>Llanuras occidentales de Nobiliaria</t>
  </si>
  <si>
    <t>西諾布爾寇德平原</t>
  </si>
  <si>
    <t>西诺布尔寇德平原</t>
  </si>
  <si>
    <t>西ノーブルコート平原</t>
  </si>
  <si>
    <t>The Hollow Throne</t>
  </si>
  <si>
    <t>Le Trône vide</t>
  </si>
  <si>
    <t>El Trono Hueco</t>
  </si>
  <si>
    <t>虛無的王座</t>
  </si>
  <si>
    <t>虚无的王座</t>
  </si>
  <si>
    <t>虚無の玉座</t>
  </si>
  <si>
    <t>Orlick's Manse</t>
  </si>
  <si>
    <t>Demeure d'Orlick</t>
  </si>
  <si>
    <t>Casa de Orlick</t>
  </si>
  <si>
    <t>奧立克的宅邸</t>
  </si>
  <si>
    <t>奥立克的宅邸</t>
  </si>
  <si>
    <t>オルリックの屋敷</t>
  </si>
  <si>
    <t>Obsidian Manse</t>
  </si>
  <si>
    <t>Demeure d'obsidienne</t>
  </si>
  <si>
    <t>Casa Obsidiana</t>
  </si>
  <si>
    <t>黑曜會之館</t>
  </si>
  <si>
    <t>黑曜会之馆</t>
  </si>
  <si>
    <t>黒曜会の館</t>
  </si>
  <si>
    <t>Wispermill</t>
  </si>
  <si>
    <t>Murmoulin</t>
  </si>
  <si>
    <t>Eolino</t>
  </si>
  <si>
    <t>維斯帕米爾</t>
  </si>
  <si>
    <t>维斯帕米尔</t>
  </si>
  <si>
    <t>ウィスパーミル</t>
  </si>
  <si>
    <t>Western Wispermill Flats</t>
  </si>
  <si>
    <t>Plaines ouest de Murmoulin</t>
  </si>
  <si>
    <t>Llanuras occidentales de Eolino</t>
  </si>
  <si>
    <t>西維斯帕米爾平原</t>
  </si>
  <si>
    <t>西维斯帕米尔平原</t>
  </si>
  <si>
    <t>西ウィスパーミル平原</t>
  </si>
  <si>
    <t>Forest of Purgation</t>
  </si>
  <si>
    <t>Forêt d'expiation</t>
  </si>
  <si>
    <t>Bosque de la Purga</t>
  </si>
  <si>
    <t>淨化之森</t>
  </si>
  <si>
    <t>净化之森</t>
  </si>
  <si>
    <t>浄化の森</t>
  </si>
  <si>
    <t>Shrine of the Starseer</t>
  </si>
  <si>
    <t>Temple de l'augure</t>
  </si>
  <si>
    <t>Santuario de la Vidente de Estrellas</t>
  </si>
  <si>
    <t>占星師的祠堂</t>
  </si>
  <si>
    <t>占星师的祠堂</t>
  </si>
  <si>
    <t>星占師の祠</t>
  </si>
  <si>
    <t>Ebony Grotto</t>
  </si>
  <si>
    <t>Grotte d'ébène</t>
  </si>
  <si>
    <t>Gruta de ébano</t>
  </si>
  <si>
    <t>漆黑洞窟</t>
  </si>
  <si>
    <t>漆黒の洞窟</t>
  </si>
  <si>
    <t>Territori costieri</t>
  </si>
  <si>
    <t>Littoral</t>
  </si>
  <si>
    <t>Costa</t>
  </si>
  <si>
    <t>寇斯特蘭多地區</t>
  </si>
  <si>
    <t>寇斯特兰多地区</t>
  </si>
  <si>
    <t>コーストランド地方</t>
  </si>
  <si>
    <t>Rippletide</t>
  </si>
  <si>
    <t>Cresponda</t>
  </si>
  <si>
    <t>Raz-de-remous</t>
  </si>
  <si>
    <t>Aguascalmas</t>
  </si>
  <si>
    <t>利布爾泰德</t>
  </si>
  <si>
    <t>利布尔泰德</t>
  </si>
  <si>
    <t>リプルタイド</t>
  </si>
  <si>
    <t>East Rippletide Coast</t>
  </si>
  <si>
    <t>Costa di Cresponda est</t>
  </si>
  <si>
    <t>Côte est de Raz-de-remous</t>
  </si>
  <si>
    <t>Costa oriental de Aguascalmas</t>
  </si>
  <si>
    <t>東利布爾泰德海道</t>
  </si>
  <si>
    <t>东利布尔泰德海道</t>
  </si>
  <si>
    <t>東リプルタイド海道</t>
  </si>
  <si>
    <t>North Rippletide Coast</t>
  </si>
  <si>
    <t>Costa di Cresponda nord</t>
  </si>
  <si>
    <t>Côte nord de Raz-de-remous</t>
  </si>
  <si>
    <t>Costa septentrional de Aguascalmas</t>
  </si>
  <si>
    <t>北利布爾泰德海道</t>
  </si>
  <si>
    <t>北利布尔泰德海道</t>
  </si>
  <si>
    <t>北リプルタイド海道</t>
  </si>
  <si>
    <t>Undertow Cove</t>
  </si>
  <si>
    <t>Crique de la Déferlante</t>
  </si>
  <si>
    <t>Cala de la Resaca</t>
  </si>
  <si>
    <t>波隱岩窟</t>
  </si>
  <si>
    <t>波隐岩窟</t>
  </si>
  <si>
    <t>波隠れの岩窟</t>
  </si>
  <si>
    <t>Path to the Caves of Maiya</t>
  </si>
  <si>
    <t>Sentiero per la cava di Maiya</t>
  </si>
  <si>
    <t>Voie de la caverne de Maiya</t>
  </si>
  <si>
    <t>Camino a las Minas de Maiya</t>
  </si>
  <si>
    <t>通往麥亞洞窟的道路</t>
  </si>
  <si>
    <t>通往麦亚洞窟的道路</t>
  </si>
  <si>
    <t>マイヤ洞窟への道</t>
  </si>
  <si>
    <t>Caves of Maiya</t>
  </si>
  <si>
    <t>Cava di Maiya</t>
  </si>
  <si>
    <t>Caverne de Maiya</t>
  </si>
  <si>
    <t>Minas de Maiya</t>
  </si>
  <si>
    <t>麥亞洞窟</t>
  </si>
  <si>
    <t>麦亚洞窟</t>
  </si>
  <si>
    <t>マイヤ洞窟</t>
  </si>
  <si>
    <t>Goldshore</t>
  </si>
  <si>
    <t>Auriva</t>
  </si>
  <si>
    <t>Havre d'or</t>
  </si>
  <si>
    <t>Doradia</t>
  </si>
  <si>
    <t>葛魯德修亞</t>
  </si>
  <si>
    <t>葛鲁德修亚</t>
  </si>
  <si>
    <t>ゴールドショア</t>
  </si>
  <si>
    <t>Goldshore Manor District</t>
  </si>
  <si>
    <t>Quartier noble de Havre d'or</t>
  </si>
  <si>
    <t>Barrio noble de Doradia</t>
  </si>
  <si>
    <t>葛魯德修亞 -貴族街-</t>
  </si>
  <si>
    <t>葛鲁德修亚 -贵族街-</t>
  </si>
  <si>
    <t>ゴールドショア（貴族街）</t>
  </si>
  <si>
    <t>Goldshore Cathedral</t>
  </si>
  <si>
    <t>Cattedrale di Auriva</t>
  </si>
  <si>
    <t>Cathédrale de Havre d'or</t>
  </si>
  <si>
    <t>Catedral de Doradia</t>
  </si>
  <si>
    <t>葛魯德修亞 -大聖堂-</t>
  </si>
  <si>
    <t>葛鲁德修亚 -大圣堂-</t>
  </si>
  <si>
    <t>ゴールドショア（大聖堂）</t>
  </si>
  <si>
    <t>Moonstruck Coast</t>
  </si>
  <si>
    <t>Costa del chiardiluna</t>
  </si>
  <si>
    <t>Côte sélène</t>
  </si>
  <si>
    <t>Costa Soñadora</t>
  </si>
  <si>
    <t>月隱海道</t>
  </si>
  <si>
    <t>月隐海道</t>
  </si>
  <si>
    <t>月隠れの海道</t>
  </si>
  <si>
    <t>West Goldshore Coast</t>
  </si>
  <si>
    <t>Côte ouest de Havre d'or</t>
  </si>
  <si>
    <t>Costa occidental de Doradia</t>
  </si>
  <si>
    <t>西葛魯德修亞海道</t>
  </si>
  <si>
    <t>西葛鲁德修亚海道</t>
  </si>
  <si>
    <t>西ゴールドショア海道</t>
  </si>
  <si>
    <t>Captains' Bane</t>
  </si>
  <si>
    <t>Fléau des capitaines</t>
  </si>
  <si>
    <t>La perdición del capitán</t>
  </si>
  <si>
    <t>噬船海穴</t>
  </si>
  <si>
    <t>船喰みの穴</t>
  </si>
  <si>
    <t>Road to the Caves of Azure</t>
  </si>
  <si>
    <t>Route des Cavernes azurées</t>
  </si>
  <si>
    <t>Camino a las Cuevas Cerúleas</t>
  </si>
  <si>
    <t>通往青碧洞窟的道路</t>
  </si>
  <si>
    <t>青碧の洞窟への道</t>
  </si>
  <si>
    <t>Caves of Azure</t>
  </si>
  <si>
    <t>Cavernes azurées</t>
  </si>
  <si>
    <t>Cuevas Cerúleas</t>
  </si>
  <si>
    <t>青碧洞窟</t>
  </si>
  <si>
    <t>青碧の洞窟</t>
  </si>
  <si>
    <t>Road to the Seaside Grotto</t>
  </si>
  <si>
    <t>Route de la Grotte littorale</t>
  </si>
  <si>
    <t>Camino a la gruta junto al mar</t>
  </si>
  <si>
    <t>通往海邊洞窟的道路</t>
  </si>
  <si>
    <t>通往海边洞窟的道路</t>
  </si>
  <si>
    <t>海辺の洞窟への道</t>
  </si>
  <si>
    <t>Seaside Grotto</t>
  </si>
  <si>
    <t>Grotte littorale</t>
  </si>
  <si>
    <t>Gruta junto al mar</t>
  </si>
  <si>
    <t>海邊洞窟</t>
  </si>
  <si>
    <t>海边洞窟</t>
  </si>
  <si>
    <t>海辺の洞窟</t>
  </si>
  <si>
    <t>Grandport</t>
  </si>
  <si>
    <t>Granporto</t>
  </si>
  <si>
    <t>Grand-port</t>
  </si>
  <si>
    <t>Puertogrande</t>
  </si>
  <si>
    <t>格蘭波特</t>
  </si>
  <si>
    <t>格兰波特</t>
  </si>
  <si>
    <t>グランポート</t>
  </si>
  <si>
    <t>Grandport Markets</t>
  </si>
  <si>
    <t>Mercato di Granporto</t>
  </si>
  <si>
    <t>Marchés de Grand-port</t>
  </si>
  <si>
    <t>Mercados de Puertogrande</t>
  </si>
  <si>
    <t>格蘭波特 -攤販街-</t>
  </si>
  <si>
    <t>格兰波特 -摊贩街-</t>
  </si>
  <si>
    <t>グランポート（露店街）</t>
  </si>
  <si>
    <t>Grandport Bazaar</t>
  </si>
  <si>
    <t>Bazar de Grand-port</t>
  </si>
  <si>
    <t>Bazar de Puertogrande</t>
  </si>
  <si>
    <t>格蘭波特 -大拍賣會場-</t>
  </si>
  <si>
    <t>格兰波特 -大拍卖会场-</t>
  </si>
  <si>
    <t>グランポート（大競売場）</t>
  </si>
  <si>
    <t>West Grandport Coast</t>
  </si>
  <si>
    <t>Côte ouest de Grand-port</t>
  </si>
  <si>
    <t>Costa occidental de Puertogrande</t>
  </si>
  <si>
    <t>西格蘭波特海道</t>
  </si>
  <si>
    <t>西格兰波特海道</t>
  </si>
  <si>
    <t>西グランポート海道</t>
  </si>
  <si>
    <t>Loch of the Lost King</t>
  </si>
  <si>
    <t>Lac du roi perdu</t>
  </si>
  <si>
    <t>Legado del Rey Perdido</t>
  </si>
  <si>
    <t>腐王入江口</t>
  </si>
  <si>
    <t>腐王の入り江</t>
  </si>
  <si>
    <t>Grandport Sewers</t>
  </si>
  <si>
    <t>Égouts de Grand-port</t>
  </si>
  <si>
    <t>Alcantarillas de Puertogrande</t>
  </si>
  <si>
    <t>格蘭波特地下水道</t>
  </si>
  <si>
    <t>格兰波特地下水道</t>
  </si>
  <si>
    <t>グランポート地下水道</t>
  </si>
  <si>
    <t>Altopiani</t>
  </si>
  <si>
    <t>Hautes terres</t>
  </si>
  <si>
    <t>Tierras Altas</t>
  </si>
  <si>
    <t>哈伊蘭多地區</t>
  </si>
  <si>
    <t>哈伊兰多地区</t>
  </si>
  <si>
    <t>ハイランド地方</t>
  </si>
  <si>
    <t>Cobbleston</t>
  </si>
  <si>
    <t>Pletruvia</t>
  </si>
  <si>
    <t>Paveton</t>
  </si>
  <si>
    <t>Adoquinia</t>
  </si>
  <si>
    <t>鵝卵石村</t>
  </si>
  <si>
    <t>鹅卵石村</t>
  </si>
  <si>
    <t>コブルストン</t>
  </si>
  <si>
    <t>South Cobbleston Gap</t>
  </si>
  <si>
    <t>Ravin de Paveton sud</t>
  </si>
  <si>
    <t>Barranco sur de Adoquinia</t>
  </si>
  <si>
    <t>南鵝卵石村山道</t>
  </si>
  <si>
    <t>南鹅卵石村山道</t>
  </si>
  <si>
    <t>南コブルストン山道</t>
  </si>
  <si>
    <t>North Cobbleston Gap</t>
  </si>
  <si>
    <t>Ravin de Paveton nord</t>
  </si>
  <si>
    <t>Brranco norte de Adoquinia</t>
  </si>
  <si>
    <t>北鵝卵石村山道</t>
  </si>
  <si>
    <t>北鹅卵石村山道</t>
  </si>
  <si>
    <t>北コブルストン山道</t>
  </si>
  <si>
    <t>Untouched Sanctum</t>
  </si>
  <si>
    <t>Santuario inviolato</t>
  </si>
  <si>
    <t>Sanctuaire vierge</t>
  </si>
  <si>
    <t>Santuario Puro</t>
  </si>
  <si>
    <t>無垢巢穴</t>
  </si>
  <si>
    <t>无垢巢穴</t>
  </si>
  <si>
    <t>無垢の巣窟</t>
  </si>
  <si>
    <t>Mountain Pass</t>
  </si>
  <si>
    <t>Passo di montagna</t>
  </si>
  <si>
    <t>Col de montagne</t>
  </si>
  <si>
    <t>Paso de la montaña</t>
  </si>
  <si>
    <t>通往山賊大本營的道路</t>
  </si>
  <si>
    <t>通往山贼大本营的道路</t>
  </si>
  <si>
    <t>山賊たちの根城への道</t>
  </si>
  <si>
    <t>Brigands' Den</t>
  </si>
  <si>
    <t>Repaire de brigands</t>
  </si>
  <si>
    <t>Guarida de forajidos</t>
  </si>
  <si>
    <t>山賊大本營</t>
  </si>
  <si>
    <t>山贼大本营</t>
  </si>
  <si>
    <t>山賊たちの根城</t>
  </si>
  <si>
    <t>Stonegard</t>
  </si>
  <si>
    <t>Pietregidia</t>
  </si>
  <si>
    <t>Guet-des-rocs</t>
  </si>
  <si>
    <t>Petrófico</t>
  </si>
  <si>
    <t>斯托岡德</t>
  </si>
  <si>
    <t>斯托冈德</t>
  </si>
  <si>
    <t>ストーンガード</t>
  </si>
  <si>
    <t>Stonegard Valleys</t>
  </si>
  <si>
    <t>Combes de Guet-des-rocs</t>
  </si>
  <si>
    <t>Valles de Petrófico</t>
  </si>
  <si>
    <t>斯托岡德 -下街-</t>
  </si>
  <si>
    <t>斯托冈德 -下街-</t>
  </si>
  <si>
    <t>ストーンガード下街</t>
  </si>
  <si>
    <t>Stonegard Heights</t>
  </si>
  <si>
    <t>Hauts de Guet-des-rocs</t>
  </si>
  <si>
    <t>Cumbres de Petrófico</t>
  </si>
  <si>
    <t>斯托岡德 -上街-</t>
  </si>
  <si>
    <t>斯托冈德 -上街-</t>
  </si>
  <si>
    <t>ストーンガード上街</t>
  </si>
  <si>
    <t>North Stonegard Pass</t>
  </si>
  <si>
    <t>Col nord de Guet-des-rocs</t>
  </si>
  <si>
    <t>Paso norte de Petrófico</t>
  </si>
  <si>
    <t>北斯托岡德山道</t>
  </si>
  <si>
    <t>北斯托冈德山道</t>
  </si>
  <si>
    <t>北ストーンガード山道</t>
  </si>
  <si>
    <t>West Stonegard Pass</t>
  </si>
  <si>
    <t>Col ouest de Guet-des-rocs</t>
  </si>
  <si>
    <t>Paso oeste de Petrófico</t>
  </si>
  <si>
    <t>西斯托岡德山道</t>
  </si>
  <si>
    <t>西斯托冈德山道</t>
  </si>
  <si>
    <t>西ストーンガード山道</t>
  </si>
  <si>
    <t>Tomb of Kings</t>
  </si>
  <si>
    <t>Tomba dei re</t>
  </si>
  <si>
    <t>Tombeau des rois</t>
  </si>
  <si>
    <t>Tumba de reyes</t>
  </si>
  <si>
    <t>王家之墓</t>
  </si>
  <si>
    <t>王家の墓</t>
  </si>
  <si>
    <t>Spectrewood Path</t>
  </si>
  <si>
    <t>Sentier du Bois spectral</t>
  </si>
  <si>
    <t>Senda del Bosque Espectral</t>
  </si>
  <si>
    <t>通往幻影之森的道路</t>
  </si>
  <si>
    <t>幻影の森への道</t>
  </si>
  <si>
    <t>The Spectrewood</t>
  </si>
  <si>
    <t>Le Bois spectral</t>
  </si>
  <si>
    <t>Bosque Espectral</t>
  </si>
  <si>
    <t>幻影之森</t>
  </si>
  <si>
    <t>幻影の森</t>
  </si>
  <si>
    <t>Yvon's Birthplace &amp; Cellar</t>
  </si>
  <si>
    <t>Lieu de naissance d'Yvon</t>
  </si>
  <si>
    <t>Lugar de nacimiento de Yvon</t>
  </si>
  <si>
    <t>伊馮的老家</t>
  </si>
  <si>
    <t>伊冯的老家</t>
  </si>
  <si>
    <t>イヴォンの王家（と地下）</t>
  </si>
  <si>
    <t>Everhold</t>
  </si>
  <si>
    <t>Citadelle éternelle</t>
  </si>
  <si>
    <t>Eternalia</t>
  </si>
  <si>
    <t>艾巴霍多</t>
  </si>
  <si>
    <t>エバーホルド</t>
  </si>
  <si>
    <t>Everhold Amphitheatre</t>
  </si>
  <si>
    <t>Amphithéâtre de la Citadelle éternelle</t>
  </si>
  <si>
    <t>Anfiteatro de Eternalia</t>
  </si>
  <si>
    <t>艾巴霍多 -大劇場-</t>
  </si>
  <si>
    <t>艾巴霍多 -大剧场-</t>
  </si>
  <si>
    <t>エバーホルド（大劇場）</t>
  </si>
  <si>
    <t>West Everhold Pass</t>
  </si>
  <si>
    <t>Col ouest de la Citadelle éternelle</t>
  </si>
  <si>
    <t>Paso oeste de Eternalia</t>
  </si>
  <si>
    <t>西艾巴霍多山道</t>
  </si>
  <si>
    <t>西エバーホルド山道</t>
  </si>
  <si>
    <t>Everhold Tunnels</t>
  </si>
  <si>
    <t>Tunnels de la Citadelle éternelle</t>
  </si>
  <si>
    <t>Túneles de Eternalia</t>
  </si>
  <si>
    <t>艾巴霍多地下坑道遺跡</t>
  </si>
  <si>
    <t>艾巴霍多地下坑道遗迹</t>
  </si>
  <si>
    <t>エバーホルド地下坑道跡</t>
  </si>
  <si>
    <t>Shrine of the Runeblade</t>
  </si>
  <si>
    <t>Temple du maître des runes</t>
  </si>
  <si>
    <t>Santuario de la Hoja Rúnica</t>
  </si>
  <si>
    <t>魔劍士的祠堂</t>
  </si>
  <si>
    <t>魔剑士的祠堂</t>
  </si>
  <si>
    <t>魔剣士の祠</t>
  </si>
  <si>
    <t>Amphitheater</t>
  </si>
  <si>
    <t>Anfiteatro</t>
  </si>
  <si>
    <t>Amphithéâtre</t>
  </si>
  <si>
    <t>大劇場</t>
  </si>
  <si>
    <t>大剧场</t>
  </si>
  <si>
    <t>Amphitheater: Arena</t>
  </si>
  <si>
    <t>Anfiteatro: Arena</t>
  </si>
  <si>
    <t>Amphithéâtre: arène</t>
  </si>
  <si>
    <t>Anfiteatro: arena</t>
  </si>
  <si>
    <t>大劇場 -下層-</t>
  </si>
  <si>
    <t>大剧场 -下层-</t>
  </si>
  <si>
    <t>大劇場（下層）</t>
  </si>
  <si>
    <t>Amphitheater: Balcony</t>
  </si>
  <si>
    <t>Anfiteatro: Galleria</t>
  </si>
  <si>
    <t>Amphithéâtre: balcon</t>
  </si>
  <si>
    <t>Anfiteatro: galería</t>
  </si>
  <si>
    <t>大劇場 -上層-</t>
  </si>
  <si>
    <t>大剧场 -上层-</t>
  </si>
  <si>
    <t>大劇場（上層）</t>
  </si>
  <si>
    <t>The Gate of Finis</t>
  </si>
  <si>
    <t>Le Portail de Finis</t>
  </si>
  <si>
    <t>La Puerta de Finis</t>
  </si>
  <si>
    <t>終結之門</t>
  </si>
  <si>
    <t>终结之门</t>
  </si>
  <si>
    <t>Terre del sole</t>
  </si>
  <si>
    <t>Terres radieuses</t>
  </si>
  <si>
    <t>Solealia</t>
  </si>
  <si>
    <t>桑蘭多地區</t>
  </si>
  <si>
    <t>桑兰多地区</t>
  </si>
  <si>
    <t>サンランド地方</t>
  </si>
  <si>
    <t>Sunshade</t>
  </si>
  <si>
    <t>Solvelato</t>
  </si>
  <si>
    <t>Ombrelle</t>
  </si>
  <si>
    <t>Nocturnia</t>
  </si>
  <si>
    <t>桑謝德</t>
  </si>
  <si>
    <t>桑谢德</t>
  </si>
  <si>
    <t>サンシェイド</t>
  </si>
  <si>
    <t>Sunshade Tavern</t>
  </si>
  <si>
    <t>Taverna di Solvelato</t>
  </si>
  <si>
    <t>Taverne d'Ombrelle</t>
  </si>
  <si>
    <t>Taberna de Nocturnia</t>
  </si>
  <si>
    <t>桑謝德 -酒館-</t>
  </si>
  <si>
    <t>桑谢德 -酒馆-</t>
  </si>
  <si>
    <t>サンシェイド（酒場）</t>
  </si>
  <si>
    <t>Southern Sunshade Sands</t>
  </si>
  <si>
    <t>Deserto meridionale di Solvelato</t>
  </si>
  <si>
    <t>Désert sud d'Ombrelle</t>
  </si>
  <si>
    <t>Arenas meridionales de Nocturnia</t>
  </si>
  <si>
    <t>南桑謝德沙道</t>
  </si>
  <si>
    <t>南桑谢德沙道</t>
  </si>
  <si>
    <t>南サンシェイド砂道</t>
  </si>
  <si>
    <t>Eastern Sunshade Sands</t>
  </si>
  <si>
    <t>Deserto orientale di Solvelato</t>
  </si>
  <si>
    <t>Désert d'Ombrelle est</t>
  </si>
  <si>
    <t>Arenas orientales de Nocturnia</t>
  </si>
  <si>
    <t>東桑謝德沙道</t>
  </si>
  <si>
    <t>东桑谢德沙道</t>
  </si>
  <si>
    <t>東サンシェイド砂道</t>
  </si>
  <si>
    <t>Whistling Cavern</t>
  </si>
  <si>
    <t>Grotte sifflante</t>
  </si>
  <si>
    <t>Caverna Silbante</t>
  </si>
  <si>
    <t>砂笛洞窟</t>
  </si>
  <si>
    <t>砂笛の洞窟</t>
  </si>
  <si>
    <t>Sunshade Catacombs</t>
  </si>
  <si>
    <t>Catacombe di Solvelato</t>
  </si>
  <si>
    <t>Catacombes d'Ombrelle</t>
  </si>
  <si>
    <t>Catacumbas de Nocturnia</t>
  </si>
  <si>
    <t>桑謝德地下道</t>
  </si>
  <si>
    <t>桑谢德地下道</t>
  </si>
  <si>
    <t>サンシェイド地下道</t>
  </si>
  <si>
    <t>Wellspring</t>
  </si>
  <si>
    <t>Bonne-source</t>
  </si>
  <si>
    <t>Termalia</t>
  </si>
  <si>
    <t>威爾斯賓克</t>
  </si>
  <si>
    <t>威尔斯宾克</t>
  </si>
  <si>
    <t>ウェルスプリング</t>
  </si>
  <si>
    <t>Northern Wellspring Sands</t>
  </si>
  <si>
    <t>Désert nord de Bonne-source</t>
  </si>
  <si>
    <t>Arenas septentrionales de Termalia</t>
  </si>
  <si>
    <t>北威爾斯賓克沙道</t>
  </si>
  <si>
    <t>北威尔斯宾克沙道</t>
  </si>
  <si>
    <t>北ウェルスプリング砂道</t>
  </si>
  <si>
    <t>Eastern Wellspring Sands</t>
  </si>
  <si>
    <t>Désert est de Bonne-source</t>
  </si>
  <si>
    <t>Arenas orientales de Termalia</t>
  </si>
  <si>
    <t>東威爾斯賓克沙道</t>
  </si>
  <si>
    <t>东威尔斯宾克沙道</t>
  </si>
  <si>
    <t>東ウェルスプリング砂道</t>
  </si>
  <si>
    <t>Quicksand Caves</t>
  </si>
  <si>
    <t>Grottes aux sables mouvants</t>
  </si>
  <si>
    <t>Cuevas de Arenas Movedizas</t>
  </si>
  <si>
    <t>流沙洞窟</t>
  </si>
  <si>
    <t>流砂の洞窟</t>
  </si>
  <si>
    <t>Southern Wellspring Sands</t>
  </si>
  <si>
    <t>Désert sud de Bonne-source</t>
  </si>
  <si>
    <t>Arenas meridionales de Termalia</t>
  </si>
  <si>
    <t>南威爾斯賓克廢道</t>
  </si>
  <si>
    <t>南威尔斯宾克废道</t>
  </si>
  <si>
    <t>南ウェルスプリング砂道</t>
  </si>
  <si>
    <t>Black Market</t>
  </si>
  <si>
    <t>Marché noir</t>
  </si>
  <si>
    <t>Mercado negro</t>
  </si>
  <si>
    <t>黑市</t>
  </si>
  <si>
    <t>闇市場</t>
  </si>
  <si>
    <t>Western Wellspring Sands</t>
  </si>
  <si>
    <t>Désert ouest de Bonne-source</t>
  </si>
  <si>
    <t>Arenas occidentales de Termalia</t>
  </si>
  <si>
    <t>西威爾斯賓克沙道</t>
  </si>
  <si>
    <t>西威尔斯宾克沙道</t>
  </si>
  <si>
    <t>西ウェルスプリング砂道</t>
  </si>
  <si>
    <t>Lizardmen's Den</t>
  </si>
  <si>
    <t>Antre des hommes-lézards</t>
  </si>
  <si>
    <t>Guarida de los hombres lagarto</t>
  </si>
  <si>
    <t>蜥蜴人的巢穴</t>
  </si>
  <si>
    <t>リザードマンの巣窟</t>
  </si>
  <si>
    <t>Marsalim</t>
  </si>
  <si>
    <t>Marsálima</t>
  </si>
  <si>
    <t>馬爾沙利姆</t>
  </si>
  <si>
    <t>马尔沙利姆</t>
  </si>
  <si>
    <t>マルサリム</t>
  </si>
  <si>
    <t>Marsalim Palace</t>
  </si>
  <si>
    <t>Palais de Marsalim</t>
  </si>
  <si>
    <t>Palacio de Marsálima</t>
  </si>
  <si>
    <t>馬爾沙利姆 -王宮-</t>
  </si>
  <si>
    <t>马尔沙利姆 -王宫-</t>
  </si>
  <si>
    <t>マルサリム（王宮）</t>
  </si>
  <si>
    <t>Eastern Marsalim Sand</t>
  </si>
  <si>
    <t>Désert est de Marsalim</t>
  </si>
  <si>
    <t>Arenas orientales de Marsálima</t>
  </si>
  <si>
    <t>東馬爾沙利姆沙道</t>
  </si>
  <si>
    <t>东马尔沙利姆沙道</t>
  </si>
  <si>
    <t>東マルサリム砂道</t>
  </si>
  <si>
    <t>Marsalim Catacombs</t>
  </si>
  <si>
    <t>Catacombe di Marsalim</t>
  </si>
  <si>
    <t>Catacombes de Marsalim</t>
  </si>
  <si>
    <t>Catacumbas de Marsálima</t>
  </si>
  <si>
    <t>馬爾沙利姆地下墓地</t>
  </si>
  <si>
    <t>马尔沙利姆地下墓地</t>
  </si>
  <si>
    <t>マルサリム地下墓地</t>
  </si>
  <si>
    <t>Grimsand Road</t>
  </si>
  <si>
    <t>Route de Maussable</t>
  </si>
  <si>
    <t>Camino de Arenas Lúgubres</t>
  </si>
  <si>
    <t>通往灰色沙丘遺跡的道路</t>
  </si>
  <si>
    <t>通往灰色沙丘遗迹的道路</t>
  </si>
  <si>
    <t>グレイサンド遺跡への道</t>
  </si>
  <si>
    <t>Grimsand Ruins</t>
  </si>
  <si>
    <t>Ruines de Maussable</t>
  </si>
  <si>
    <t>Ruinas de Arenas Lúgubres</t>
  </si>
  <si>
    <t>灰色沙丘遺跡</t>
  </si>
  <si>
    <t>灰色沙丘遗迹</t>
  </si>
  <si>
    <t>グレイサンド遺跡</t>
  </si>
  <si>
    <t>Terre di fiume</t>
  </si>
  <si>
    <t>Ruisselande</t>
  </si>
  <si>
    <t>Riviera</t>
  </si>
  <si>
    <t>利維蘭多地區</t>
  </si>
  <si>
    <t>利维兰多地区</t>
  </si>
  <si>
    <t>リバーランド地方</t>
  </si>
  <si>
    <t>Clearbrook</t>
  </si>
  <si>
    <t>Rivoletto</t>
  </si>
  <si>
    <t>Ruisseclair</t>
  </si>
  <si>
    <t>Arroyoclaro</t>
  </si>
  <si>
    <t>庫利亞布魯克</t>
  </si>
  <si>
    <t>库利亚布鲁克</t>
  </si>
  <si>
    <t>クリアブルック</t>
  </si>
  <si>
    <t>West Clearbrook Traverse</t>
  </si>
  <si>
    <t>Passaggio Rivoletto ovest</t>
  </si>
  <si>
    <t>Gué ouest de Ruisseclair</t>
  </si>
  <si>
    <t>Transversal occidental de Arroyoclaro</t>
  </si>
  <si>
    <t>西庫利亞布魯克川道</t>
  </si>
  <si>
    <t>西库利亚布鲁克川道</t>
  </si>
  <si>
    <t>西クリアブルック川道</t>
  </si>
  <si>
    <t>South Clearbrook Traverse</t>
  </si>
  <si>
    <t>Passaggio Rivoletto sud</t>
  </si>
  <si>
    <t>Gué sud de Ruisseclair</t>
  </si>
  <si>
    <t>Transversal meridional de Arroyoclaro</t>
  </si>
  <si>
    <t>南庫利亞布魯克川道</t>
  </si>
  <si>
    <t>南库利亚布鲁克川道</t>
  </si>
  <si>
    <t>南クリアブルック川道</t>
  </si>
  <si>
    <t>Twin Falls</t>
  </si>
  <si>
    <t>Chutes jumelles</t>
  </si>
  <si>
    <t>Cascadas gemelas</t>
  </si>
  <si>
    <t>雙子瀑布</t>
  </si>
  <si>
    <t>双子瀑布</t>
  </si>
  <si>
    <t>双子滝</t>
  </si>
  <si>
    <t>Path of Rhiyo</t>
  </si>
  <si>
    <t>Sentiero di Rhiyo</t>
  </si>
  <si>
    <t>Voie de Rhiyo</t>
  </si>
  <si>
    <t>Senda de Rhiyo</t>
  </si>
  <si>
    <t>通往里歐洞窟的道路</t>
  </si>
  <si>
    <t>通往里欧洞窟的道路</t>
  </si>
  <si>
    <t>リーオ洞窟への道</t>
  </si>
  <si>
    <t>Cave of Rhiyo</t>
  </si>
  <si>
    <t>Caverna di Rhiyo</t>
  </si>
  <si>
    <t>Grotte de Rhiyo</t>
  </si>
  <si>
    <t>Cueva de Rhiyo</t>
  </si>
  <si>
    <t>里歐洞窟</t>
  </si>
  <si>
    <t>里欧洞窟</t>
  </si>
  <si>
    <t>リーオ洞窟</t>
  </si>
  <si>
    <t>Saintsbridge</t>
  </si>
  <si>
    <t>Pont-aux-saints</t>
  </si>
  <si>
    <t>Puente Santo</t>
  </si>
  <si>
    <t>聖特布里吉</t>
  </si>
  <si>
    <t>圣特布里吉</t>
  </si>
  <si>
    <t>セントブリッジ</t>
  </si>
  <si>
    <t>Saintsbridge: Upstream</t>
  </si>
  <si>
    <t>Pont-aux-saints: amont</t>
  </si>
  <si>
    <t>Puente Santo: río arriba</t>
  </si>
  <si>
    <t>聖特布里吉 -上游-</t>
  </si>
  <si>
    <t>圣特布里吉 -上游-</t>
  </si>
  <si>
    <t>セントブリッジ（上流）</t>
  </si>
  <si>
    <t>Saintsbridge Cathedral</t>
  </si>
  <si>
    <t>Cathédrale de Pont-aux-saints</t>
  </si>
  <si>
    <t>Catedral de Puente Santo</t>
  </si>
  <si>
    <t>聖特布里吉 -大聖堂-</t>
  </si>
  <si>
    <t>圣特布里吉 -大圣堂-</t>
  </si>
  <si>
    <t>セントブリッジ（大聖堂）</t>
  </si>
  <si>
    <t>East Saintsbridge Traverse</t>
  </si>
  <si>
    <t>Gué est de Pont-aux-saints</t>
  </si>
  <si>
    <t>Transversal oriental de Puente Santo</t>
  </si>
  <si>
    <t>東聖特布里吉川道</t>
  </si>
  <si>
    <t>东圣特布里吉川道</t>
  </si>
  <si>
    <t>東セントブリッジ川道</t>
  </si>
  <si>
    <t>Farshore</t>
  </si>
  <si>
    <t>Rive-fosse</t>
  </si>
  <si>
    <t>Litoral Lejano</t>
  </si>
  <si>
    <t>邊境河岸</t>
  </si>
  <si>
    <t>边境河岸</t>
  </si>
  <si>
    <t>果ての河岸</t>
  </si>
  <si>
    <t>Murkwood Trail</t>
  </si>
  <si>
    <t>Sentier du Noirbois</t>
  </si>
  <si>
    <t>Senda del Bosque Lóbrego</t>
  </si>
  <si>
    <t>通往黑暗之森的道路</t>
  </si>
  <si>
    <t>暗がりの森への道</t>
  </si>
  <si>
    <t>The Murkwood</t>
  </si>
  <si>
    <t>Noirbois</t>
  </si>
  <si>
    <t>Bosque Lóbrego</t>
  </si>
  <si>
    <t>黑暗之森</t>
  </si>
  <si>
    <t>暗がりの森</t>
  </si>
  <si>
    <t>Rivira Woods</t>
  </si>
  <si>
    <t>Bois de Rivira</t>
  </si>
  <si>
    <t>Bosque de Rivira</t>
  </si>
  <si>
    <t>利維耶拉之森</t>
  </si>
  <si>
    <t>利维耶拉之森</t>
  </si>
  <si>
    <t>リヴィエラの森</t>
  </si>
  <si>
    <t>Riverford</t>
  </si>
  <si>
    <t>Grand-gué</t>
  </si>
  <si>
    <t>Vadorriviera</t>
  </si>
  <si>
    <t>利維福德</t>
  </si>
  <si>
    <t>利维福德</t>
  </si>
  <si>
    <t>リバーフォード</t>
  </si>
  <si>
    <t>Lower Riverford</t>
  </si>
  <si>
    <t>Grand-gué inférieur</t>
  </si>
  <si>
    <t>Vadorriviera de abajo</t>
  </si>
  <si>
    <t>利維福德 -下層-</t>
  </si>
  <si>
    <t>利维福德 -下层-</t>
  </si>
  <si>
    <t>リバーフォード（下層）</t>
  </si>
  <si>
    <t>North Riverford Traverse</t>
  </si>
  <si>
    <t>Gué nord de Grand-gué</t>
  </si>
  <si>
    <t>Transversal septentrional de Vadorriviera</t>
  </si>
  <si>
    <t>北利維福德川道</t>
  </si>
  <si>
    <t>北利维福德川道</t>
  </si>
  <si>
    <t>北リバーフォード川道</t>
  </si>
  <si>
    <t>Refuge Ruins</t>
  </si>
  <si>
    <t>Ruines du refuge</t>
  </si>
  <si>
    <t>Refugio en las ruinas</t>
  </si>
  <si>
    <t>貴族的藏身處遺跡</t>
  </si>
  <si>
    <t>贵族的藏身处遗迹</t>
  </si>
  <si>
    <t>貴族の隠れ家跡</t>
  </si>
  <si>
    <t>Shrine of the Warbringer</t>
  </si>
  <si>
    <t>Temple de la guerrière</t>
  </si>
  <si>
    <t>Santuario de la Portadora de Guerras</t>
  </si>
  <si>
    <t>豪武匠的祠堂</t>
  </si>
  <si>
    <t>豪武匠の祠</t>
  </si>
  <si>
    <t>Hidden Path</t>
  </si>
  <si>
    <t>Sentier caché</t>
  </si>
  <si>
    <t>Camino oculto</t>
  </si>
  <si>
    <t>通往領主宅邸的密道</t>
  </si>
  <si>
    <t>通往领主宅邸的密道</t>
  </si>
  <si>
    <t>領主の屋敷への隠し道</t>
  </si>
  <si>
    <t>Lord's Manse</t>
  </si>
  <si>
    <t>Demeure seigneuriale</t>
  </si>
  <si>
    <t>Casa del Señor</t>
  </si>
  <si>
    <t>領主的宅邸</t>
  </si>
  <si>
    <t>领主的宅邸</t>
  </si>
  <si>
    <t>領主の屋敷</t>
  </si>
  <si>
    <t>Regioni montane</t>
  </si>
  <si>
    <t>Belvédère</t>
  </si>
  <si>
    <t>Acantilado</t>
  </si>
  <si>
    <t>克里夫蘭多地區</t>
  </si>
  <si>
    <t>克里夫兰多地区</t>
  </si>
  <si>
    <t>クリフランド地方</t>
  </si>
  <si>
    <t>Bolderfall</t>
  </si>
  <si>
    <t>Granmasso</t>
  </si>
  <si>
    <t>Graben</t>
  </si>
  <si>
    <t>Rocaudaz</t>
  </si>
  <si>
    <t>柏達弗爾</t>
  </si>
  <si>
    <t>柏达弗尔</t>
  </si>
  <si>
    <t>ボルダーフォール</t>
  </si>
  <si>
    <t>Lower Bolderfall</t>
  </si>
  <si>
    <t>Granmasso inferiore</t>
  </si>
  <si>
    <t>Graben inférieur</t>
  </si>
  <si>
    <t>Rocaudaz de abajo</t>
  </si>
  <si>
    <t>柏達弗爾 -下層-</t>
  </si>
  <si>
    <t>柏达弗尔 -下层-</t>
  </si>
  <si>
    <t>ボルダーフォール（下層）</t>
  </si>
  <si>
    <t>Ravus Manor Gate</t>
  </si>
  <si>
    <t>Cancello di villa Ravus</t>
  </si>
  <si>
    <t>Porte du manoir des Ravus</t>
  </si>
  <si>
    <t>Puertas de la mansión Ravus</t>
  </si>
  <si>
    <t>柏達弗爾 -宅邸前-</t>
  </si>
  <si>
    <t>柏达弗尔 -宅邸前-</t>
  </si>
  <si>
    <t>ボルダーフォール（屋敷前）</t>
  </si>
  <si>
    <t>North Bolderfall Pass</t>
  </si>
  <si>
    <t>Valico di Granmasso nord</t>
  </si>
  <si>
    <t>Col nord de Graben</t>
  </si>
  <si>
    <t>Paso norte de Rocaudaz</t>
  </si>
  <si>
    <t>北柏達弗爾崖道</t>
  </si>
  <si>
    <t>北柏达弗尔崖道</t>
  </si>
  <si>
    <t>北ボルダーフォール崖道</t>
  </si>
  <si>
    <t>South Bolderfall Pass</t>
  </si>
  <si>
    <t>Valico di Granmasso sud</t>
  </si>
  <si>
    <t>Col sud de Graben</t>
  </si>
  <si>
    <t>Paso sur de Rocaudaz</t>
  </si>
  <si>
    <t>南柏達弗爾崖道</t>
  </si>
  <si>
    <t>南柏达弗尔崖道</t>
  </si>
  <si>
    <t>南ボルダーフォール崖道</t>
  </si>
  <si>
    <t>Carrion Caves</t>
  </si>
  <si>
    <t>Grottes aux charognes</t>
  </si>
  <si>
    <t>Cuevas de la Carroña</t>
  </si>
  <si>
    <t>鳥葬洞窟</t>
  </si>
  <si>
    <t>鸟葬洞窟</t>
  </si>
  <si>
    <t>鳥葬の洞窟</t>
  </si>
  <si>
    <t>Ravus Manor</t>
  </si>
  <si>
    <t>Villa Ravus</t>
  </si>
  <si>
    <t>Manoir des Ravus</t>
  </si>
  <si>
    <t>Mansión Ravus</t>
  </si>
  <si>
    <t>瑞布斯的宅邸</t>
  </si>
  <si>
    <t>レイヴァースの屋敷</t>
  </si>
  <si>
    <t>Quarrycrest</t>
  </si>
  <si>
    <t>Puntacava</t>
  </si>
  <si>
    <t>Creuse-pic</t>
  </si>
  <si>
    <t>Cumbrecantal</t>
  </si>
  <si>
    <t>庫歐利克雷斯特</t>
  </si>
  <si>
    <t>库欧利克雷斯特</t>
  </si>
  <si>
    <t>クオリークレスト</t>
  </si>
  <si>
    <t>Quarrycrest Mines</t>
  </si>
  <si>
    <t>Miniere di Puntacava</t>
  </si>
  <si>
    <t>Mines de Creuse-pic</t>
  </si>
  <si>
    <t>Minas de Cumbrecantal</t>
  </si>
  <si>
    <t>庫歐利克雷斯特 -礦山-</t>
  </si>
  <si>
    <t>库欧利克雷斯特 -矿山-</t>
  </si>
  <si>
    <t>クオリークレスト（鉱山）</t>
  </si>
  <si>
    <t>South Quarrycrest Pass</t>
  </si>
  <si>
    <t>Col sud de Creuse-pic</t>
  </si>
  <si>
    <t>Paso sur de Cumbrecantal</t>
  </si>
  <si>
    <t>南庫歐利克雷斯特崖道</t>
  </si>
  <si>
    <t>南库欧利克雷斯特崖道</t>
  </si>
  <si>
    <t>南クオリークレスト崖道</t>
  </si>
  <si>
    <t>Derelict Mine</t>
  </si>
  <si>
    <t>Miniera abbandonata</t>
  </si>
  <si>
    <t>Mine abandonnée</t>
  </si>
  <si>
    <t>Mina abandonada</t>
  </si>
  <si>
    <t>腐朽的採掘所</t>
  </si>
  <si>
    <t>腐朽的开采所</t>
  </si>
  <si>
    <t>朽ちた採掘所</t>
  </si>
  <si>
    <t>Road to Morlock's Manse</t>
  </si>
  <si>
    <t>Strada per la magione di Morlock</t>
  </si>
  <si>
    <t>Route de la demeure de Morlock</t>
  </si>
  <si>
    <t>Camino de la casa de Morlock</t>
  </si>
  <si>
    <t>通往莫洛克宅邸的道路</t>
  </si>
  <si>
    <t>通往莫洛克的宅邸的道路</t>
  </si>
  <si>
    <t>モーロックの屋敷への道</t>
  </si>
  <si>
    <t>Morlock's Manse</t>
  </si>
  <si>
    <t>Magione di Morlock</t>
  </si>
  <si>
    <t>Demeure de Morlock</t>
  </si>
  <si>
    <t>Casa de Morlock</t>
  </si>
  <si>
    <t>莫洛克的宅邸</t>
  </si>
  <si>
    <t>モーロックの屋敷</t>
  </si>
  <si>
    <t>The Sewers</t>
  </si>
  <si>
    <t>Fogne</t>
  </si>
  <si>
    <t>Les égouts</t>
  </si>
  <si>
    <t>Las cloacas</t>
  </si>
  <si>
    <t>下水道</t>
  </si>
  <si>
    <t>Orewell</t>
  </si>
  <si>
    <t>Mineralia</t>
  </si>
  <si>
    <t>Rochaven</t>
  </si>
  <si>
    <t>歐亞威爾</t>
  </si>
  <si>
    <t>欧亚威尔</t>
  </si>
  <si>
    <t>オアウェル</t>
  </si>
  <si>
    <t>South Orewell Pass</t>
  </si>
  <si>
    <t>Col sud de Rochaven</t>
  </si>
  <si>
    <t>Paso sur de Mineralia</t>
  </si>
  <si>
    <t>南歐亞威爾崖道</t>
  </si>
  <si>
    <t>南欧亚威尔崖道</t>
  </si>
  <si>
    <t>南オアウェル崖道</t>
  </si>
  <si>
    <t>Dragonsong Fane</t>
  </si>
  <si>
    <t>Grotte draconique</t>
  </si>
  <si>
    <t>Templo Cantodragón</t>
  </si>
  <si>
    <t>龍詠神殿</t>
  </si>
  <si>
    <t>龙咏神殿</t>
  </si>
  <si>
    <t>竜詠みの神殿</t>
  </si>
  <si>
    <t>Trail to the Forest of Rubeh</t>
  </si>
  <si>
    <t>Sentiero della foresta di Rubeh</t>
  </si>
  <si>
    <t>Sentier de la forêt de Rubeh</t>
  </si>
  <si>
    <t>Senda del bosque de Rubeh</t>
  </si>
  <si>
    <t>通往盧貝之森的道路</t>
  </si>
  <si>
    <t>通往卢贝之森的道路</t>
  </si>
  <si>
    <t>ルーベの森への道</t>
  </si>
  <si>
    <t>Forest of Rubeh</t>
  </si>
  <si>
    <t>Foresta di Rubeh</t>
  </si>
  <si>
    <t>Forêt de Rubeh</t>
  </si>
  <si>
    <t>Bosque de Rubeh</t>
  </si>
  <si>
    <t>盧貝之森</t>
  </si>
  <si>
    <t>卢贝之森</t>
  </si>
  <si>
    <t>ルーベの森</t>
  </si>
  <si>
    <t>Terre boschive</t>
  </si>
  <si>
    <t>Sylve-terres</t>
  </si>
  <si>
    <t>Bosque</t>
  </si>
  <si>
    <t>伍多蘭多地區</t>
  </si>
  <si>
    <t>伍多兰多地区</t>
  </si>
  <si>
    <t>ウッドランド地方</t>
  </si>
  <si>
    <t>S'warkii</t>
  </si>
  <si>
    <t>希．沃爾基</t>
  </si>
  <si>
    <t>希・沃尔基</t>
  </si>
  <si>
    <t>シ・ワルキ</t>
  </si>
  <si>
    <t>North S'warkii Trail</t>
  </si>
  <si>
    <t>Sentiero di S'warkii nord</t>
  </si>
  <si>
    <t>Sentier nord de S'warkii</t>
  </si>
  <si>
    <t>Senda septentrional de S'warkii</t>
  </si>
  <si>
    <t>北希．沃爾基森道</t>
  </si>
  <si>
    <t>北希・沃尔基森道</t>
  </si>
  <si>
    <t>北シ・ワルキ森道</t>
  </si>
  <si>
    <t>West S'warkii Trail</t>
  </si>
  <si>
    <t>Sentiero di S'warkii ovest</t>
  </si>
  <si>
    <t>Sentier ouest de S'warkii</t>
  </si>
  <si>
    <t>Senda occidental de S'warkii</t>
  </si>
  <si>
    <t>西希．沃爾基森道</t>
  </si>
  <si>
    <t>西希・沃尔基森道</t>
  </si>
  <si>
    <t>西シ・ワルキ森道</t>
  </si>
  <si>
    <t>Path of Beasts</t>
  </si>
  <si>
    <t>Voie des bêtes</t>
  </si>
  <si>
    <t>Senda de las Bestias</t>
  </si>
  <si>
    <t>獸徑</t>
  </si>
  <si>
    <t>兽径</t>
  </si>
  <si>
    <t>獣道</t>
  </si>
  <si>
    <t>Path to the Wisperwood</t>
  </si>
  <si>
    <t>Sentiero verso Selva dei sussurri</t>
  </si>
  <si>
    <t>Voie du Bois bruissant</t>
  </si>
  <si>
    <t>Camino a Bosquesusurro</t>
  </si>
  <si>
    <t>通往耳語之森的道路</t>
  </si>
  <si>
    <t>通往耳语之森的道路</t>
  </si>
  <si>
    <t>ささやきの森への道</t>
  </si>
  <si>
    <t>The Wisperwood</t>
  </si>
  <si>
    <t>Selva dei sussurri</t>
  </si>
  <si>
    <t>Le Bois bruissant</t>
  </si>
  <si>
    <t>Bosquesusurro</t>
  </si>
  <si>
    <t>耳語之森</t>
  </si>
  <si>
    <t>耳语之森</t>
  </si>
  <si>
    <t>ささやきの森</t>
  </si>
  <si>
    <t>Victors Hollow</t>
  </si>
  <si>
    <t>Vincifossa</t>
  </si>
  <si>
    <t>Vainc-perchis</t>
  </si>
  <si>
    <t>Bastión del Vencedor</t>
  </si>
  <si>
    <t>維克塔霍洛</t>
  </si>
  <si>
    <t>维克塔霍洛</t>
  </si>
  <si>
    <t>ヴィクターホロウ</t>
  </si>
  <si>
    <t>Victors Hollow: Arena Gate</t>
  </si>
  <si>
    <t>Vincifossa: porte dell'arena</t>
  </si>
  <si>
    <t>Vainc-perchis: porte de l'arène</t>
  </si>
  <si>
    <t>Bastión del Vencedor: puerta de la arena</t>
  </si>
  <si>
    <t>維克塔霍洛 -鬥技場前-</t>
  </si>
  <si>
    <t>维克塔霍洛 -斗技场前-</t>
  </si>
  <si>
    <t>ヴィクターホロウ（闘技場前）</t>
  </si>
  <si>
    <t>Victors Hollow: The Arena</t>
  </si>
  <si>
    <t>Vincifossa: Arena</t>
  </si>
  <si>
    <t>Vainc-perchis: arène</t>
  </si>
  <si>
    <t>Bastión del Vencedor: arena</t>
  </si>
  <si>
    <t>維克塔霍洛 -鬥技場-</t>
  </si>
  <si>
    <t>维克塔霍洛 -斗技场-</t>
  </si>
  <si>
    <t>ヴィクターホロウ（闘技場）</t>
  </si>
  <si>
    <t>East Victors Hollow Trail</t>
  </si>
  <si>
    <t>Sentier est de Vainc-perchis</t>
  </si>
  <si>
    <t>Senda oriental de Bastión del Vencedor</t>
  </si>
  <si>
    <t>東維克塔霍洛森道</t>
  </si>
  <si>
    <t>东维克塔霍洛森道</t>
  </si>
  <si>
    <t>東ヴィクターホロウ森道</t>
  </si>
  <si>
    <t>Shrine of the Huntress</t>
  </si>
  <si>
    <t>Santuario della cacciatrice</t>
  </si>
  <si>
    <t>Temple de la chasseresse</t>
  </si>
  <si>
    <t>Santuario de la Cazadora</t>
  </si>
  <si>
    <t>狩獵女王的祠堂</t>
  </si>
  <si>
    <t>狩猎女王的祠堂</t>
  </si>
  <si>
    <t>狩王女の祠</t>
  </si>
  <si>
    <t>Forest of No Return</t>
  </si>
  <si>
    <t>La Forêt sans retour</t>
  </si>
  <si>
    <t>Bosque Sin retorno</t>
  </si>
  <si>
    <t>不歸之森</t>
  </si>
  <si>
    <t>不归之森</t>
  </si>
  <si>
    <t>還らずの森</t>
  </si>
  <si>
    <t>Path to the Forgotten Grotto</t>
  </si>
  <si>
    <t>Voie de la Grotte oubliée</t>
  </si>
  <si>
    <t>Camino a la Gruta Olvidada</t>
  </si>
  <si>
    <t>通往被遺忘的洞窟的道路</t>
  </si>
  <si>
    <t>通往被遗忘的洞窟的道路</t>
  </si>
  <si>
    <t>忘れ去られた洞窟への道</t>
  </si>
  <si>
    <t>The Forgotten Grotto</t>
  </si>
  <si>
    <t>La Grotte oubliée</t>
  </si>
  <si>
    <t>Gruta Olvidada</t>
  </si>
  <si>
    <t>被遺忘的洞窟</t>
  </si>
  <si>
    <t>被遗忘的洞窟</t>
  </si>
  <si>
    <t>忘れ去られた洞窟</t>
  </si>
  <si>
    <t>Duskbarrow</t>
  </si>
  <si>
    <t>Butte-aux-vêpres</t>
  </si>
  <si>
    <t>Crepuscolina</t>
  </si>
  <si>
    <t>達斯克瓦羅</t>
  </si>
  <si>
    <t>达斯克瓦罗</t>
  </si>
  <si>
    <t>ダスクバロウ</t>
  </si>
  <si>
    <t>East Duskbarrow Trail</t>
  </si>
  <si>
    <t>Sentier est de la Butte-aux-vêpres</t>
  </si>
  <si>
    <t>Senda oriental de Crepuscolina</t>
  </si>
  <si>
    <t>東達斯克瓦羅森道</t>
  </si>
  <si>
    <t>东达斯克瓦罗森道</t>
  </si>
  <si>
    <t>東ダスクバロウ森道</t>
  </si>
  <si>
    <t>Moldering Ruins</t>
  </si>
  <si>
    <t>Ruines décrépites</t>
  </si>
  <si>
    <t>Ruinas en mal estado</t>
  </si>
  <si>
    <t>失落的遺跡</t>
  </si>
  <si>
    <t>失落的遗迹</t>
  </si>
  <si>
    <t>朽ち果てた遺跡</t>
  </si>
  <si>
    <t>Shrine of the Archmagus</t>
  </si>
  <si>
    <t>Temple du mage-lige</t>
  </si>
  <si>
    <t>Santuario del Archimago</t>
  </si>
  <si>
    <t>魔大公的祠堂</t>
  </si>
  <si>
    <t>魔大公の祠</t>
  </si>
  <si>
    <t>Ruin of Eld</t>
  </si>
  <si>
    <t>Ruines d'Eld</t>
  </si>
  <si>
    <t>Ruinas de Eld</t>
  </si>
  <si>
    <t>古代遺跡</t>
  </si>
  <si>
    <t>古代的遗迹</t>
  </si>
  <si>
    <t>古の遺跡</t>
  </si>
  <si>
    <t>Items</t>
  </si>
  <si>
    <t>Materiali</t>
  </si>
  <si>
    <t>Objets</t>
  </si>
  <si>
    <t>道具</t>
  </si>
  <si>
    <t>アイテム</t>
  </si>
  <si>
    <t>Healing Grape</t>
  </si>
  <si>
    <t>Nettare curativo</t>
  </si>
  <si>
    <t>Raisin curatif</t>
  </si>
  <si>
    <t>Uva curativa</t>
  </si>
  <si>
    <t>ＨＰ恢復的葡萄</t>
  </si>
  <si>
    <t>ＨＰ恢复的葡萄</t>
  </si>
  <si>
    <t>ＨＰ回復のブドウ</t>
  </si>
  <si>
    <t>Healing Grape (M)</t>
  </si>
  <si>
    <t>Nettare curativo (M)</t>
  </si>
  <si>
    <t>Raisin curatif (M)</t>
  </si>
  <si>
    <t>Uva curativa (M)</t>
  </si>
  <si>
    <t>ＨＰ恢復的葡萄（大）</t>
  </si>
  <si>
    <t>ＨＰ恢复的葡萄（大）</t>
  </si>
  <si>
    <t>ＨＰ回復のブドウ（大）</t>
  </si>
  <si>
    <t>Healing Grape Bunch</t>
  </si>
  <si>
    <t>Nettare curativo (G)</t>
  </si>
  <si>
    <t>Grappe de raisin curatif</t>
  </si>
  <si>
    <t>Racimo de uvas curativas</t>
  </si>
  <si>
    <t>ＨＰ全體恢復的葡萄</t>
  </si>
  <si>
    <t>ＨＰ全体恢复的葡萄</t>
  </si>
  <si>
    <t>ＨＰ全体回復のブドウ</t>
  </si>
  <si>
    <t>Inspiriting Plum</t>
  </si>
  <si>
    <t>Prugnola spirituale</t>
  </si>
  <si>
    <t>Prune stimulante</t>
  </si>
  <si>
    <t>Ciruela vigorizante</t>
  </si>
  <si>
    <t>ＳＰ恢復的李子</t>
  </si>
  <si>
    <t>ＳＰ恢复的李子</t>
  </si>
  <si>
    <t>ＳＰ回復のプラム</t>
  </si>
  <si>
    <t>Inspiriting Plum (M)</t>
  </si>
  <si>
    <t>Prugnola spirituale (M)</t>
  </si>
  <si>
    <t>Prune stimulante (M)</t>
  </si>
  <si>
    <t>Ciruela vigorizante (M)</t>
  </si>
  <si>
    <t>ＳＰ恢復的李子（大）</t>
  </si>
  <si>
    <t>ＳＰ恢复的李子（大）</t>
  </si>
  <si>
    <t>ＳＰ回復のプラム（大）</t>
  </si>
  <si>
    <t>Inspiriting Plum Basket</t>
  </si>
  <si>
    <t>Cestino di prugnole spirituali</t>
  </si>
  <si>
    <t>Panier de prunes stimulantes</t>
  </si>
  <si>
    <t>Cesta de ciruelas vigorizantes</t>
  </si>
  <si>
    <t>ＳＰ全體恢復的李子</t>
  </si>
  <si>
    <t>ＳＰ全体恢复的李子</t>
  </si>
  <si>
    <t>ＳＰ全体回復のプラム</t>
  </si>
  <si>
    <t>Energizing Pomegranate</t>
  </si>
  <si>
    <t>Melagrana energizzante</t>
  </si>
  <si>
    <t>Grenade tonifiante</t>
  </si>
  <si>
    <t>Granada energética</t>
  </si>
  <si>
    <t>ＢＰ恢復的石榴</t>
  </si>
  <si>
    <t>ＢＰ恢复的石榴</t>
  </si>
  <si>
    <t>ＢＰ回復のザクロ</t>
  </si>
  <si>
    <t>Energizing Pomegranate (M)</t>
  </si>
  <si>
    <t>Melagrana energizzante (M)</t>
  </si>
  <si>
    <t>Grenade tonifiante (M)</t>
  </si>
  <si>
    <t>Granada energética (M)</t>
  </si>
  <si>
    <t>ＢＰ恢復的石榴（大）</t>
  </si>
  <si>
    <t>ＢＰ恢复的石榴（大）</t>
  </si>
  <si>
    <t>ＢＰ回復のザクロ（大）</t>
  </si>
  <si>
    <t>Energizing Pomegranate (L)</t>
  </si>
  <si>
    <t>Melagrana energizzante (L)</t>
  </si>
  <si>
    <t>Grenade tonifiante (G)</t>
  </si>
  <si>
    <t>Granada energética (G)</t>
  </si>
  <si>
    <t>ＢＰ恢復的石榴（特大）</t>
  </si>
  <si>
    <t>ＢＰ恢复的石榴（特大）</t>
  </si>
  <si>
    <t>ＢＰ回復のザクロ（特大）</t>
  </si>
  <si>
    <t>Refreshing Jam</t>
  </si>
  <si>
    <t>Confettura rinfrescante</t>
  </si>
  <si>
    <t>Confiture vivifiante</t>
  </si>
  <si>
    <t>Mermelada refrescante</t>
  </si>
  <si>
    <t>ＨＰ／ＳＰ恢復的果醬</t>
  </si>
  <si>
    <t>ＨＰ／ＳＰ恢复的果酱</t>
  </si>
  <si>
    <t>ＨＰ/ＳＰ回復のジャム</t>
  </si>
  <si>
    <t>Revitalizing Jam</t>
  </si>
  <si>
    <t>Confettura rivitalizzante</t>
  </si>
  <si>
    <t>Confiture revitalisante</t>
  </si>
  <si>
    <t>Mermelada revitalizante</t>
  </si>
  <si>
    <t>ＨＰ／ＳＰ／ＢＰ恢復的果醬</t>
  </si>
  <si>
    <t>ＨＰ／ＳＰ／ＢＰ恢复的果酱</t>
  </si>
  <si>
    <t>全回復のジャム</t>
  </si>
  <si>
    <t>Olive of Life</t>
  </si>
  <si>
    <t>Oliva della vita</t>
  </si>
  <si>
    <t>Olive vitale</t>
  </si>
  <si>
    <t>Aceituna de la vida</t>
  </si>
  <si>
    <t>復活的橄欖</t>
  </si>
  <si>
    <t>复活的橄榄</t>
  </si>
  <si>
    <t>復活のオリーブ</t>
  </si>
  <si>
    <t>Olive of Life (M)</t>
  </si>
  <si>
    <t>Oliva della vita (M)</t>
  </si>
  <si>
    <t>Olive vitale (M)</t>
  </si>
  <si>
    <t>Aceituna de la vida (M)</t>
  </si>
  <si>
    <t>復活的橄欖（大）</t>
  </si>
  <si>
    <t>复活的橄榄（大）</t>
  </si>
  <si>
    <t>復活のオリーブ（大）</t>
  </si>
  <si>
    <t>Olive of Life (L)</t>
  </si>
  <si>
    <t>Oliva della vita (L)</t>
  </si>
  <si>
    <t>Olive vitale (G)</t>
  </si>
  <si>
    <t>Aceituna de la vida (G)</t>
  </si>
  <si>
    <t>復活的橄欖（特大）</t>
  </si>
  <si>
    <t>复活的橄榄（特大）</t>
  </si>
  <si>
    <t>復活のオリーブ（特大）</t>
  </si>
  <si>
    <t>Herb of Healing</t>
  </si>
  <si>
    <t>Erba della cura</t>
  </si>
  <si>
    <t>Herbe de guérison</t>
  </si>
  <si>
    <t>Hierba de curación</t>
  </si>
  <si>
    <t>毒治療藥草</t>
  </si>
  <si>
    <t>毒治疗药草</t>
  </si>
  <si>
    <t>毒の治療ハーブ</t>
  </si>
  <si>
    <t>Herb of Clamor</t>
  </si>
  <si>
    <t>Erba del clamore</t>
  </si>
  <si>
    <t>Herbe de clameur</t>
  </si>
  <si>
    <t>Hierba de clamor</t>
  </si>
  <si>
    <t>沉默治療藥草</t>
  </si>
  <si>
    <t>沉默治疗药草</t>
  </si>
  <si>
    <t>沈黙の治療ハーブ</t>
  </si>
  <si>
    <t>Herb of Light</t>
  </si>
  <si>
    <t>Erba della luce</t>
  </si>
  <si>
    <t>Herbe de lumière</t>
  </si>
  <si>
    <t>Hierba de luz</t>
  </si>
  <si>
    <t>暗闇治療藥草</t>
  </si>
  <si>
    <t>黑暗治疗药草</t>
  </si>
  <si>
    <t>暗闇の治療ハーブ</t>
  </si>
  <si>
    <t>Herb of Clarity</t>
  </si>
  <si>
    <t>Erba della chiarezza</t>
  </si>
  <si>
    <t>Herbe de clarté</t>
  </si>
  <si>
    <t>Hierba de claridad</t>
  </si>
  <si>
    <t>混亂治療藥草</t>
  </si>
  <si>
    <t>混乱治疗药草</t>
  </si>
  <si>
    <t>混乱の治療ハーブ</t>
  </si>
  <si>
    <t>Herb of Awakening</t>
  </si>
  <si>
    <t>Erba del risveglio</t>
  </si>
  <si>
    <t>Herbe d'éveil</t>
  </si>
  <si>
    <t>Hierba de despertar</t>
  </si>
  <si>
    <t>睡眠治療藥草</t>
  </si>
  <si>
    <t>睡眠治疗药草</t>
  </si>
  <si>
    <t>睡眠の治療ハーブ</t>
  </si>
  <si>
    <t>Herb of Valor</t>
  </si>
  <si>
    <t>Erba della virtù</t>
  </si>
  <si>
    <t>Herbe de valeur</t>
  </si>
  <si>
    <t>Hierba de valor</t>
  </si>
  <si>
    <t>恐怖治療藥草</t>
  </si>
  <si>
    <t>恐怖治疗药草</t>
  </si>
  <si>
    <t>恐怖の治療ハーブ</t>
  </si>
  <si>
    <t>Herb of Revival</t>
  </si>
  <si>
    <t>Erba della rinascita</t>
  </si>
  <si>
    <t>Herbe d'impulsion</t>
  </si>
  <si>
    <t>Hierba de resurgir</t>
  </si>
  <si>
    <t>昏迷治療藥草</t>
  </si>
  <si>
    <t>昏迷治疗药草</t>
  </si>
  <si>
    <t>気絶の治療ハーブ</t>
  </si>
  <si>
    <t>Bottle of Poison Dust</t>
  </si>
  <si>
    <t>Fiala di polvere velenosa</t>
  </si>
  <si>
    <t>Fiole de poudre empois.</t>
  </si>
  <si>
    <t>Botella de polvo venenoso</t>
  </si>
  <si>
    <t>毒瓶</t>
  </si>
  <si>
    <t>毒の瓶詰</t>
  </si>
  <si>
    <t>Bottle of Blinding Dust</t>
  </si>
  <si>
    <t>Fiala di polvere accecante</t>
  </si>
  <si>
    <t>Fiole de poudre aveuglante</t>
  </si>
  <si>
    <t>Botella de polvo cegador</t>
  </si>
  <si>
    <t>暗闇瓶</t>
  </si>
  <si>
    <t>暗黑瓶</t>
  </si>
  <si>
    <t>暗闇の瓶詰</t>
  </si>
  <si>
    <t>Bottle of Befuddling Dust</t>
  </si>
  <si>
    <t>Fiole de poudre troublante</t>
  </si>
  <si>
    <t>Frasco de polvo aturdidor</t>
  </si>
  <si>
    <t>混亂瓶</t>
  </si>
  <si>
    <t>混乱瓶</t>
  </si>
  <si>
    <t>混乱の瓶詰</t>
  </si>
  <si>
    <t>Bottle of Sleeping Dust</t>
  </si>
  <si>
    <t>Fiole de poudre narcotique</t>
  </si>
  <si>
    <t>Frasco de polvo somnífero</t>
  </si>
  <si>
    <t>睡眠瓶</t>
  </si>
  <si>
    <t>睡眠の瓶詰</t>
  </si>
  <si>
    <t>Fire Soulstone</t>
  </si>
  <si>
    <t>Pietranima di fuoco</t>
  </si>
  <si>
    <t>Pierre de feu</t>
  </si>
  <si>
    <t xml:space="preserve">Piedra alma de fuego </t>
  </si>
  <si>
    <t>火之精靈石</t>
  </si>
  <si>
    <t>火之精灵石</t>
  </si>
  <si>
    <t>火の精霊石</t>
  </si>
  <si>
    <t>Fire Soulstone (M)</t>
  </si>
  <si>
    <t>Pietranima di fuoco (M)</t>
  </si>
  <si>
    <t>Pierre de feu (M)</t>
  </si>
  <si>
    <t>Piedra alma de fuego (M)</t>
  </si>
  <si>
    <t>火之精靈石（大）</t>
  </si>
  <si>
    <t>火之精灵石（大）</t>
  </si>
  <si>
    <t>火の精霊石（大）</t>
  </si>
  <si>
    <t>Fire Soulstone (L)</t>
  </si>
  <si>
    <t>Pietranima di fuoco (G)</t>
  </si>
  <si>
    <t>Pierre de feu (G)</t>
  </si>
  <si>
    <t>Piedra alma de fuego (G)</t>
  </si>
  <si>
    <t>火之精靈石（特大）</t>
  </si>
  <si>
    <t>火之精灵石（特大）</t>
  </si>
  <si>
    <t>火の精霊石（特大）</t>
  </si>
  <si>
    <t>Ice Soulstone</t>
  </si>
  <si>
    <t>Pietranima di ghiaccio</t>
  </si>
  <si>
    <t>Pierre de glace</t>
  </si>
  <si>
    <t>Piedra alma de hielo</t>
  </si>
  <si>
    <t>冰之精靈石</t>
  </si>
  <si>
    <t>冰之精灵石</t>
  </si>
  <si>
    <t>氷の精霊石</t>
  </si>
  <si>
    <t>Ice Soulstone (M)</t>
  </si>
  <si>
    <t xml:space="preserve">Pietranima di ghiaccio (M) </t>
  </si>
  <si>
    <t>Pierre de glace (M)</t>
  </si>
  <si>
    <t>Piedra alma de hielo (M)</t>
  </si>
  <si>
    <t>冰之精靈石（大）</t>
  </si>
  <si>
    <t>冰之精灵石（大）</t>
  </si>
  <si>
    <t>氷の精霊石（大）</t>
  </si>
  <si>
    <t>Ice Soulstone (L)</t>
  </si>
  <si>
    <t>Pietranima di ghiaccio (G)</t>
  </si>
  <si>
    <t>Pierre de glace (G)</t>
  </si>
  <si>
    <t>Piedra alma de hielo (G)</t>
  </si>
  <si>
    <t>冰之精靈石（特大）</t>
  </si>
  <si>
    <t>冰之精灵石（特大）</t>
  </si>
  <si>
    <t>氷の精霊石（特大）</t>
  </si>
  <si>
    <t>Thunder Soulstone</t>
  </si>
  <si>
    <t xml:space="preserve">Pietranima del tuono </t>
  </si>
  <si>
    <t>Pierre de foudre</t>
  </si>
  <si>
    <t>Piedra alma de trueno</t>
  </si>
  <si>
    <t>雷之精靈石</t>
  </si>
  <si>
    <t>雷之精灵石</t>
  </si>
  <si>
    <t>雷の精霊石</t>
  </si>
  <si>
    <t>Thunder Soulstone (M)</t>
  </si>
  <si>
    <t>Pietranima del tuono (M)</t>
  </si>
  <si>
    <t>Pierre de foudre (M)</t>
  </si>
  <si>
    <t>Piedra alma de trueno (M)</t>
  </si>
  <si>
    <t>雷之精靈石（大）</t>
  </si>
  <si>
    <t>雷之精灵石（大）</t>
  </si>
  <si>
    <t>雷の精霊石（大）</t>
  </si>
  <si>
    <t>Thunder Soulstone (L)</t>
  </si>
  <si>
    <t>Pietranima del tuono (G)</t>
  </si>
  <si>
    <t>Pierre de foudre (G)</t>
  </si>
  <si>
    <t>Piedra alma de trueno (G)</t>
  </si>
  <si>
    <t>雷之精靈石（特大）</t>
  </si>
  <si>
    <t>雷之精灵石（特大）</t>
  </si>
  <si>
    <t>雷の精霊石（特大）</t>
  </si>
  <si>
    <t>Wind Soulstone</t>
  </si>
  <si>
    <t xml:space="preserve">Pietranima del vento </t>
  </si>
  <si>
    <t>Pierre de vent</t>
  </si>
  <si>
    <t>Piedra alma de viento</t>
  </si>
  <si>
    <t>風之精靈石</t>
  </si>
  <si>
    <t>风之精灵石</t>
  </si>
  <si>
    <t>風の精霊石</t>
  </si>
  <si>
    <t>Wind Soulstone (M)</t>
  </si>
  <si>
    <t>Pietranima del vento (M)</t>
  </si>
  <si>
    <t>Pierre de vent (M)</t>
  </si>
  <si>
    <t>Piedra alma de viento (M)</t>
  </si>
  <si>
    <t>風之精靈石（大）</t>
  </si>
  <si>
    <t>风之精灵石（大）</t>
  </si>
  <si>
    <t>風の精霊石（大）</t>
  </si>
  <si>
    <t>Wind Soulstone (L)</t>
  </si>
  <si>
    <t>Pietranima del vento (G)</t>
  </si>
  <si>
    <t>Pierre de vent (G)</t>
  </si>
  <si>
    <t>Piedra alma de viento (G)</t>
  </si>
  <si>
    <t>風之精靈石（特大）</t>
  </si>
  <si>
    <t>风之精灵石（特大）</t>
  </si>
  <si>
    <t>風の精霊石（特大）</t>
  </si>
  <si>
    <t>Light Soulstone</t>
  </si>
  <si>
    <t>Pietranima della luce</t>
  </si>
  <si>
    <t>Pierre de lumière</t>
  </si>
  <si>
    <t>Piedra alma de luz</t>
  </si>
  <si>
    <t>光之精靈石</t>
  </si>
  <si>
    <t>光之精灵石</t>
  </si>
  <si>
    <t>光の精霊石</t>
  </si>
  <si>
    <t>Light Soulstone (M)</t>
  </si>
  <si>
    <t>Pietranima della luce (M)</t>
  </si>
  <si>
    <t>Pierre de lumière (M)</t>
  </si>
  <si>
    <t>Piedra alma de luz (M)</t>
  </si>
  <si>
    <t>光之精靈石（大）</t>
  </si>
  <si>
    <t>光之精灵石（大）</t>
  </si>
  <si>
    <t>光の精霊石（大）</t>
  </si>
  <si>
    <t>Light Soulstone (L)</t>
  </si>
  <si>
    <t>Pietranima della luce (G)</t>
  </si>
  <si>
    <t>Pierre de lumière (G)</t>
  </si>
  <si>
    <t>Piedra alma de luz (G)</t>
  </si>
  <si>
    <t>光之精靈石（特大）</t>
  </si>
  <si>
    <t>光之精灵石（特大）</t>
  </si>
  <si>
    <t>光の精霊石（特大）</t>
  </si>
  <si>
    <t>Shadow Soulstone</t>
  </si>
  <si>
    <t>Pietranima delle tenebre</t>
  </si>
  <si>
    <t>Pierre d'ombre</t>
  </si>
  <si>
    <t>Piedra alma de sombra</t>
  </si>
  <si>
    <t>闇之精靈石</t>
  </si>
  <si>
    <t>暗之精灵石</t>
  </si>
  <si>
    <t>闇の精霊石</t>
  </si>
  <si>
    <t>Shadow Soulstone (M)</t>
  </si>
  <si>
    <t>Pietranima delle tenebre (M)</t>
  </si>
  <si>
    <t>Pierre d'ombre (M)</t>
  </si>
  <si>
    <t>Piedra alma sombra (M)</t>
  </si>
  <si>
    <t>闇之精靈石（大）</t>
  </si>
  <si>
    <t>暗之精灵石（大）</t>
  </si>
  <si>
    <t>闇の精霊石（大）</t>
  </si>
  <si>
    <t>Shadow Soulstone (L)</t>
  </si>
  <si>
    <t>Pietranima delle tenebre (G)</t>
  </si>
  <si>
    <t>Pierre d'ombre (G)</t>
  </si>
  <si>
    <t>Piedra alma de sombra (G)</t>
  </si>
  <si>
    <t>闇之精靈石（特大）</t>
  </si>
  <si>
    <t>暗之精灵石（特大）</t>
  </si>
  <si>
    <t>闇の精霊石（特大）</t>
  </si>
  <si>
    <t>Nourishing Nut</t>
  </si>
  <si>
    <t>Noce nutriente</t>
  </si>
  <si>
    <t>Noix nourrissante</t>
  </si>
  <si>
    <t>Frutos nutritivos</t>
  </si>
  <si>
    <t>增強ＨＰ的堅果</t>
  </si>
  <si>
    <t>增强ＨＰ的坚果</t>
  </si>
  <si>
    <t>HP増強のナッツ</t>
  </si>
  <si>
    <t>Nourishing Nut (M)</t>
  </si>
  <si>
    <t>Noce nutriente (M)</t>
  </si>
  <si>
    <t>Noix nourrissante (M)</t>
  </si>
  <si>
    <t>Frutos nutritivos (M)</t>
  </si>
  <si>
    <t>增強ＨＰ的堅果（大）</t>
  </si>
  <si>
    <t>增强ＨＰ的坚果（大）</t>
  </si>
  <si>
    <t>HP増強のナッツ（大）</t>
  </si>
  <si>
    <t>Nourishing Nut (L)</t>
  </si>
  <si>
    <t>Noce nutriente (G)</t>
  </si>
  <si>
    <t>Noix nourrissante (G)</t>
  </si>
  <si>
    <t>Frutos nutritivos (G)</t>
  </si>
  <si>
    <t>增強ＨＰ的堅果（特大）</t>
  </si>
  <si>
    <t>增强ＨＰ的坚果（特大）</t>
  </si>
  <si>
    <t>HP増強のナッツ（特大）</t>
  </si>
  <si>
    <t>Invigorating Nut</t>
  </si>
  <si>
    <t>Noce rinvigorente</t>
  </si>
  <si>
    <t>Noix tonique</t>
  </si>
  <si>
    <t>Frutos tonificantes</t>
  </si>
  <si>
    <t>增強ＳＰ的堅果</t>
  </si>
  <si>
    <t>增强ＳＰ的坚果</t>
  </si>
  <si>
    <t>SP増強のナッツ</t>
  </si>
  <si>
    <t>Invigorating Nut (M)</t>
  </si>
  <si>
    <t>Noce rinvigorente (M)</t>
  </si>
  <si>
    <t>Noix tonique (M)</t>
  </si>
  <si>
    <t>Frutos tonificantes (M)</t>
  </si>
  <si>
    <t>增強ＳＰ的堅果（大）</t>
  </si>
  <si>
    <t>增强ＳＰ的坚果（大）</t>
  </si>
  <si>
    <t>SP増強のナッツ（大）</t>
  </si>
  <si>
    <t>Invigorating Nut (L)</t>
  </si>
  <si>
    <t>Noce rinvigorente (G)</t>
  </si>
  <si>
    <t>Noix tonique (G)</t>
  </si>
  <si>
    <t>Frutos tonificantes (G)</t>
  </si>
  <si>
    <t>增強ＳＰ的堅果（特大）</t>
  </si>
  <si>
    <t>增强ＳＰ的坚果（特大）</t>
  </si>
  <si>
    <t>SP増強のナッツ（特大）</t>
  </si>
  <si>
    <t>Fortifying Nut</t>
  </si>
  <si>
    <t>Noce fortificante</t>
  </si>
  <si>
    <t>Noix fortifiante</t>
  </si>
  <si>
    <t>Frutos fortificantes</t>
  </si>
  <si>
    <t>增強物攻的堅果</t>
  </si>
  <si>
    <t>增强物攻的坚果</t>
  </si>
  <si>
    <t>物攻増強のナッツ</t>
  </si>
  <si>
    <t>Fortifying Nut (M)</t>
  </si>
  <si>
    <t>Noce fortificante (M)</t>
  </si>
  <si>
    <t>Noix fortifiante (M)</t>
  </si>
  <si>
    <t>Frutos fortificantes (M)</t>
  </si>
  <si>
    <t>增強物攻的堅果（大）</t>
  </si>
  <si>
    <t>增强物攻的坚果（大）</t>
  </si>
  <si>
    <t>物攻増強のナッツ（大）</t>
  </si>
  <si>
    <t>Fortifying Nut (L)</t>
  </si>
  <si>
    <t>Noce fortificante (G)</t>
  </si>
  <si>
    <t>Noix fortifiante (G)</t>
  </si>
  <si>
    <t>Frutos fortificantes (G)</t>
  </si>
  <si>
    <t>增強物攻的堅果（特大）</t>
  </si>
  <si>
    <t>增强物攻的坚果（特大）</t>
  </si>
  <si>
    <t>物攻増強のナッツ（特大）</t>
  </si>
  <si>
    <t>Tough Nut</t>
  </si>
  <si>
    <t>Noce corazzata</t>
  </si>
  <si>
    <t>Noix coriace</t>
  </si>
  <si>
    <t>Frutos duros</t>
  </si>
  <si>
    <t>增強物防的堅果</t>
  </si>
  <si>
    <t>增强物防的坚果</t>
  </si>
  <si>
    <t>物防増強のナッツ</t>
  </si>
  <si>
    <t>Tough Nut (M)</t>
  </si>
  <si>
    <t>Noce corazzata (M)</t>
  </si>
  <si>
    <t>Noix coriace (M)</t>
  </si>
  <si>
    <t>Frutos duros (M)</t>
  </si>
  <si>
    <t>增強物防的堅果（大）</t>
  </si>
  <si>
    <t>增强物防的坚果（大）</t>
  </si>
  <si>
    <t>物防増強のナッツ（大）</t>
  </si>
  <si>
    <t>Tough Nut (L)</t>
  </si>
  <si>
    <t>Noce corazzata (G)</t>
  </si>
  <si>
    <t>Noix coriace (G)</t>
  </si>
  <si>
    <t>Frutos duros (G)</t>
  </si>
  <si>
    <t>增強物防的堅果（特大）</t>
  </si>
  <si>
    <t>增强物防的坚果（特大）</t>
  </si>
  <si>
    <t>物防増強のナッツ（特大）</t>
  </si>
  <si>
    <t>Magic Nut</t>
  </si>
  <si>
    <t>Noce magica</t>
  </si>
  <si>
    <t>Noix magique</t>
  </si>
  <si>
    <t>Frutos mágicos</t>
  </si>
  <si>
    <t>增強屬攻的堅果</t>
  </si>
  <si>
    <t>增强属攻的坚果</t>
  </si>
  <si>
    <t>属攻増強のナッツ</t>
  </si>
  <si>
    <t>Magic Nut (M)</t>
  </si>
  <si>
    <t>Noce magica (M)</t>
  </si>
  <si>
    <t>Noix magique (M)</t>
  </si>
  <si>
    <t>Frutos mágicos (M)</t>
  </si>
  <si>
    <t>增強屬攻的堅果（大）</t>
  </si>
  <si>
    <t>增强属攻的坚果（大）</t>
  </si>
  <si>
    <t>属攻増強のナッツ（大）</t>
  </si>
  <si>
    <t>Magic Nut (L)</t>
  </si>
  <si>
    <t>Noce magica (G)</t>
  </si>
  <si>
    <t>Noix magique (G)</t>
  </si>
  <si>
    <t>Frutos mágicos (G)</t>
  </si>
  <si>
    <t>增強屬攻的堅果（特大）</t>
  </si>
  <si>
    <t>增强属攻的坚果（特大）</t>
  </si>
  <si>
    <t>属攻増強のナッツ（特大）</t>
  </si>
  <si>
    <t>Resistant Nut</t>
  </si>
  <si>
    <t>Noce resistente</t>
  </si>
  <si>
    <t>Noix résistante</t>
  </si>
  <si>
    <t>Frutos resistentes</t>
  </si>
  <si>
    <t>增強屬防的堅果</t>
  </si>
  <si>
    <t>增强属防的坚果</t>
  </si>
  <si>
    <t>属防増強のナッツ</t>
  </si>
  <si>
    <t>Resistant Nut (M)</t>
  </si>
  <si>
    <t>Noce resistente (M)</t>
  </si>
  <si>
    <t>Noix résistante (M)</t>
  </si>
  <si>
    <t>Frutos resistentes (M)</t>
  </si>
  <si>
    <t>增強屬防的堅果（大）</t>
  </si>
  <si>
    <t>增强属防的坚果（大）</t>
  </si>
  <si>
    <t>属防増強のナッツ（大）</t>
  </si>
  <si>
    <t>Resistant Nut (L)</t>
  </si>
  <si>
    <t>Noce resistente (G)</t>
  </si>
  <si>
    <t>Noix résistante (G)</t>
  </si>
  <si>
    <t>Frutos resistentes (G)</t>
  </si>
  <si>
    <t>增強屬防的堅果（特大）</t>
  </si>
  <si>
    <t>增强属防的坚果（特大）</t>
  </si>
  <si>
    <t>属防増強のナッツ（特大）</t>
  </si>
  <si>
    <t>Sharp Nut</t>
  </si>
  <si>
    <t>Noix acérée</t>
  </si>
  <si>
    <t>Frutos afilados</t>
  </si>
  <si>
    <t>增強命中的堅果</t>
  </si>
  <si>
    <t>增强命中的坚果</t>
  </si>
  <si>
    <t>命中増強のナッツ</t>
  </si>
  <si>
    <t>Sharp Nut (M)</t>
  </si>
  <si>
    <t>Noix acérée (M)</t>
  </si>
  <si>
    <t>Frutos afilados (M)</t>
  </si>
  <si>
    <t>增強命中的堅果（大）</t>
  </si>
  <si>
    <t>增强命中的坚果（大）</t>
  </si>
  <si>
    <t>命中増強のナッツ（大）</t>
  </si>
  <si>
    <t>Sharp Nut (L)</t>
  </si>
  <si>
    <t>Noix acérée (G)</t>
  </si>
  <si>
    <t>Frutos afilados (G)</t>
  </si>
  <si>
    <t>增強命中的堅果（特大）</t>
  </si>
  <si>
    <t>增强命中的坚果（特大）</t>
  </si>
  <si>
    <t>命中増強のナッツ（特大）</t>
  </si>
  <si>
    <t>Slippery Nut</t>
  </si>
  <si>
    <t>Noix glissante</t>
  </si>
  <si>
    <t>Frutos resbaladizos</t>
  </si>
  <si>
    <t>增強迴避的堅果</t>
  </si>
  <si>
    <t>增强回避的坚果</t>
  </si>
  <si>
    <t>回避増強のナッツ</t>
  </si>
  <si>
    <t>Slippery Nut (M)</t>
  </si>
  <si>
    <t>Noix glissante (M)</t>
  </si>
  <si>
    <t>Frutos resbaladizos (M)</t>
  </si>
  <si>
    <t>增強迴避的堅果（大）</t>
  </si>
  <si>
    <t>增强回避的坚果（大）</t>
  </si>
  <si>
    <t>回避増強のナッツ（大）</t>
  </si>
  <si>
    <t>Slippery Nut (L)</t>
  </si>
  <si>
    <t>Noix glissante (G)</t>
  </si>
  <si>
    <t>Frutos resbaladizos (G)</t>
  </si>
  <si>
    <t>增強迴避的堅果（特大）</t>
  </si>
  <si>
    <t>增强回避的坚果（特大）</t>
  </si>
  <si>
    <t>回避増強のナッツ（特大）</t>
  </si>
  <si>
    <t>Critical Nut</t>
  </si>
  <si>
    <t>Noce critica</t>
  </si>
  <si>
    <t>Noix critique</t>
  </si>
  <si>
    <t>Frutos críticos</t>
  </si>
  <si>
    <t>增強會心的堅果</t>
  </si>
  <si>
    <t>增强会心的坚果</t>
  </si>
  <si>
    <t>会心増強のナッツ</t>
  </si>
  <si>
    <t>Critical Nut (M)</t>
  </si>
  <si>
    <t>Noce critica (M)</t>
  </si>
  <si>
    <t>Noix critique (M)</t>
  </si>
  <si>
    <t>Frutos críticos (M)</t>
  </si>
  <si>
    <t>增強會心的堅果（大）</t>
  </si>
  <si>
    <t>增强会心的坚果（大）</t>
  </si>
  <si>
    <t>会心増強のナッツ（大）</t>
  </si>
  <si>
    <t>Critical Nut (L)</t>
  </si>
  <si>
    <t>Noce critica (G)</t>
  </si>
  <si>
    <t>Noix critique (G)</t>
  </si>
  <si>
    <t>Frutos críticos (G)</t>
  </si>
  <si>
    <t>增強會心的堅果（特大）</t>
  </si>
  <si>
    <t>增强会心的坚果（特大）</t>
  </si>
  <si>
    <t>会心増強のナッツ（特大）</t>
  </si>
  <si>
    <t>Light Nut</t>
  </si>
  <si>
    <t>Noix légère</t>
  </si>
  <si>
    <t>Frutos ligeros</t>
  </si>
  <si>
    <t>增強速度的堅果</t>
  </si>
  <si>
    <t>增强速度的坚果</t>
  </si>
  <si>
    <t>速度増強のナッツ</t>
  </si>
  <si>
    <t>Light Nut (M)</t>
  </si>
  <si>
    <t>Noix légère (M)</t>
  </si>
  <si>
    <t>Frutos ligeros (M)</t>
  </si>
  <si>
    <t>增強速度的堅果（大）</t>
  </si>
  <si>
    <t>增强速度的坚果（大）</t>
  </si>
  <si>
    <t>速度増強のナッツ（大）</t>
  </si>
  <si>
    <t>Light Nut (L)</t>
  </si>
  <si>
    <t>Noix légère (G)</t>
  </si>
  <si>
    <t>Frutos ligeros (G)</t>
  </si>
  <si>
    <t>增強速度的堅果（特大）</t>
  </si>
  <si>
    <t>增强速度的坚果（特大）</t>
  </si>
  <si>
    <t>速度増強のナッツ（特大）</t>
  </si>
  <si>
    <t>Scrap of Rope</t>
  </si>
  <si>
    <t>Morceau de corde</t>
  </si>
  <si>
    <t>Trozo de cuerda</t>
  </si>
  <si>
    <t>一段麻繩</t>
  </si>
  <si>
    <t>一段麻绳</t>
  </si>
  <si>
    <t>麻紐の切れ端</t>
  </si>
  <si>
    <t>Stuffed Toy</t>
  </si>
  <si>
    <t>Peluche</t>
  </si>
  <si>
    <t>絨毛娃娃</t>
  </si>
  <si>
    <t>绒毛娃娃</t>
  </si>
  <si>
    <t>ぬいぐるみ</t>
  </si>
  <si>
    <t>Candy</t>
  </si>
  <si>
    <t>Caramella</t>
  </si>
  <si>
    <t>Bonbon</t>
  </si>
  <si>
    <t>Caramelo</t>
  </si>
  <si>
    <t>糖果</t>
  </si>
  <si>
    <t>キャンディ</t>
  </si>
  <si>
    <t>Glass Marble</t>
  </si>
  <si>
    <t>Bille de verre</t>
  </si>
  <si>
    <t>Canica de cristal</t>
  </si>
  <si>
    <t>玻璃珠</t>
  </si>
  <si>
    <t>硝子玉</t>
  </si>
  <si>
    <t>Handkerchief</t>
  </si>
  <si>
    <t>Fazzoletto</t>
  </si>
  <si>
    <t>Mouchoir</t>
  </si>
  <si>
    <t>Pañuelo</t>
  </si>
  <si>
    <t>手帕</t>
  </si>
  <si>
    <t>ハンカチーフ</t>
  </si>
  <si>
    <t>Hip Flask</t>
  </si>
  <si>
    <t>Borraccia da cintura</t>
  </si>
  <si>
    <t>Flasque</t>
  </si>
  <si>
    <t>Petaca</t>
  </si>
  <si>
    <t>小酒壺</t>
  </si>
  <si>
    <t>小酒壶</t>
  </si>
  <si>
    <t>Mysterious Seed</t>
  </si>
  <si>
    <t>Graine mystérieuse</t>
  </si>
  <si>
    <t>Semilla misteriosa</t>
  </si>
  <si>
    <t>不明種子</t>
  </si>
  <si>
    <t>种子</t>
  </si>
  <si>
    <t>何かの種</t>
  </si>
  <si>
    <t>Fish Tooth</t>
  </si>
  <si>
    <t>Dent de poisson</t>
  </si>
  <si>
    <t>Diente de pez</t>
  </si>
  <si>
    <t>魚齒</t>
  </si>
  <si>
    <t>鱼齿</t>
  </si>
  <si>
    <t>魚の歯</t>
  </si>
  <si>
    <t>Mysterious Ore</t>
  </si>
  <si>
    <t>Minerale misterioso</t>
  </si>
  <si>
    <t>Minerai mystérieux</t>
  </si>
  <si>
    <t>Mineral misterioso</t>
  </si>
  <si>
    <t>不明原石</t>
  </si>
  <si>
    <t>原石</t>
  </si>
  <si>
    <t>何かの原石</t>
  </si>
  <si>
    <t>Tree Nut</t>
  </si>
  <si>
    <t>Noci</t>
  </si>
  <si>
    <t>Noix</t>
  </si>
  <si>
    <t>Nuez</t>
  </si>
  <si>
    <t>樹木果實</t>
  </si>
  <si>
    <t>树木果实</t>
  </si>
  <si>
    <t>木の実</t>
  </si>
  <si>
    <t>Hairbrush</t>
  </si>
  <si>
    <t>Brosse à cheveux</t>
  </si>
  <si>
    <t>Cepillo del pelo</t>
  </si>
  <si>
    <t>髮梳</t>
  </si>
  <si>
    <t>发梳</t>
  </si>
  <si>
    <t>ヘアブラシ</t>
  </si>
  <si>
    <t>Empty Coin Pouch</t>
  </si>
  <si>
    <t>Portamonete vuoto</t>
  </si>
  <si>
    <t>Bourse vide</t>
  </si>
  <si>
    <t>Monedero vacío</t>
  </si>
  <si>
    <t>空空的錢包</t>
  </si>
  <si>
    <t>空空的钱包</t>
  </si>
  <si>
    <t>さびしい財布</t>
  </si>
  <si>
    <t>Coin Pouch</t>
  </si>
  <si>
    <t>Bourse</t>
  </si>
  <si>
    <t>Monedero</t>
  </si>
  <si>
    <t>錢包</t>
  </si>
  <si>
    <t>钱包</t>
  </si>
  <si>
    <t>財布</t>
  </si>
  <si>
    <t>Odds and Ends</t>
  </si>
  <si>
    <t>Babioles</t>
  </si>
  <si>
    <t>Revoltijo</t>
  </si>
  <si>
    <t>裝了垃圾的小袋子</t>
  </si>
  <si>
    <t>装了破烂儿的小袋子</t>
  </si>
  <si>
    <t>ガラクタの入った小袋</t>
  </si>
  <si>
    <t>Large Feather</t>
  </si>
  <si>
    <t>Piuma grande</t>
  </si>
  <si>
    <t>Grande plume</t>
  </si>
  <si>
    <t>Pluma grande</t>
  </si>
  <si>
    <t>大鳥的羽毛</t>
  </si>
  <si>
    <t>大鸟的羽毛</t>
  </si>
  <si>
    <t>大きな鳥の羽</t>
  </si>
  <si>
    <t>Dubious Gold Ore</t>
  </si>
  <si>
    <t>Minerai d'or douteux</t>
  </si>
  <si>
    <t>Mineral de oro dudoso</t>
  </si>
  <si>
    <t>近似金礦石的東西</t>
  </si>
  <si>
    <t>貌似金矿石的东西</t>
  </si>
  <si>
    <t>金鉱石っぽいもの</t>
  </si>
  <si>
    <t>Pseudo Gold Ore</t>
  </si>
  <si>
    <t>Pseudo oro</t>
  </si>
  <si>
    <t>Pseudo-minerai d'or</t>
  </si>
  <si>
    <t>Mineral de oro falso</t>
  </si>
  <si>
    <t>金礦石般的東西</t>
  </si>
  <si>
    <t>金矿石般的东西</t>
  </si>
  <si>
    <t>金鉱石のようなもの</t>
  </si>
  <si>
    <t>Fool's Gold Ore</t>
  </si>
  <si>
    <t>Minerai d'or des fous</t>
  </si>
  <si>
    <t>Mineral de oro engañoso</t>
  </si>
  <si>
    <t>看起來像金礦石的東西</t>
  </si>
  <si>
    <t>看起来像金矿石的东西</t>
  </si>
  <si>
    <t>金鉱石にみえるもの</t>
  </si>
  <si>
    <t>Copper Lantern</t>
  </si>
  <si>
    <t>Lanterna di rame</t>
  </si>
  <si>
    <t>Lanterne de cuivre</t>
  </si>
  <si>
    <t>Farol de cobre</t>
  </si>
  <si>
    <t>銅製提燈</t>
  </si>
  <si>
    <t>铜制提灯</t>
  </si>
  <si>
    <t>Bone</t>
  </si>
  <si>
    <t>Osso</t>
  </si>
  <si>
    <t>Os</t>
  </si>
  <si>
    <t>Hueso</t>
  </si>
  <si>
    <t>骨頭</t>
  </si>
  <si>
    <t>骨头</t>
  </si>
  <si>
    <t>骨</t>
  </si>
  <si>
    <t>Weathered Boots</t>
  </si>
  <si>
    <t>Stivali usati</t>
  </si>
  <si>
    <t>Bottes usée</t>
  </si>
  <si>
    <t>Botas gastadas</t>
  </si>
  <si>
    <t>磨損的鞋子</t>
  </si>
  <si>
    <t>磨损的鞋子</t>
  </si>
  <si>
    <t>擦り切れた靴</t>
  </si>
  <si>
    <t>Dirty Ball of Cloth</t>
  </si>
  <si>
    <t>Boule de tissu sale</t>
  </si>
  <si>
    <t>Pelota de trapo sucia</t>
  </si>
  <si>
    <t>髒髒的布球</t>
  </si>
  <si>
    <t>脏脏的布球</t>
  </si>
  <si>
    <t>薄汚れた布の球</t>
  </si>
  <si>
    <t>Necklace</t>
  </si>
  <si>
    <t>Collier</t>
  </si>
  <si>
    <t>Collar</t>
  </si>
  <si>
    <t>項圈</t>
  </si>
  <si>
    <t>项圈</t>
  </si>
  <si>
    <t>首輪</t>
  </si>
  <si>
    <t>Poysenberry</t>
  </si>
  <si>
    <t>Mortille</t>
  </si>
  <si>
    <t>Venebaya</t>
  </si>
  <si>
    <t>會中毒果實</t>
  </si>
  <si>
    <t>会中毒果实</t>
  </si>
  <si>
    <t>ルーナニクドの実</t>
  </si>
  <si>
    <t>Pseudo Cider</t>
  </si>
  <si>
    <t>Pseudo-cidre</t>
  </si>
  <si>
    <t>Pseudosidra</t>
  </si>
  <si>
    <t>失神飲料</t>
  </si>
  <si>
    <t>失神饮料</t>
  </si>
  <si>
    <t>ハイバードリンク</t>
  </si>
  <si>
    <t>Red Apple</t>
  </si>
  <si>
    <t>Mela rossa</t>
  </si>
  <si>
    <t>Pomme rouge</t>
  </si>
  <si>
    <t>Manzana roja</t>
  </si>
  <si>
    <t>鮮紅的蘋果</t>
  </si>
  <si>
    <t>鲜红的苹果</t>
  </si>
  <si>
    <t>真っ赤なリンゴ</t>
  </si>
  <si>
    <t>Bottled Breath</t>
  </si>
  <si>
    <t>Souffle en bouteille</t>
  </si>
  <si>
    <t>Aliento embotellado</t>
  </si>
  <si>
    <t>吐息瓶</t>
  </si>
  <si>
    <t>吐息の瓶詰</t>
  </si>
  <si>
    <t>Monster Perfume</t>
  </si>
  <si>
    <t>Parfum monstrueux</t>
  </si>
  <si>
    <t>Perfume monstruoso</t>
  </si>
  <si>
    <t>魔物香水</t>
  </si>
  <si>
    <t>魔物の香水</t>
  </si>
  <si>
    <t>Small Cup</t>
  </si>
  <si>
    <t>Petit gobelet</t>
  </si>
  <si>
    <t>Pocillo</t>
  </si>
  <si>
    <t>小杯子</t>
  </si>
  <si>
    <t>小さな杯</t>
  </si>
  <si>
    <t>Silver Clock</t>
  </si>
  <si>
    <t>Miroir scintillant</t>
  </si>
  <si>
    <t>Espejo reluciente</t>
  </si>
  <si>
    <t>擦得亮晶晶的銀錶</t>
  </si>
  <si>
    <t>擦得亮晶晶的银手表</t>
  </si>
  <si>
    <t>磨かれた銀時計</t>
  </si>
  <si>
    <t>Portrait with a Kiss</t>
  </si>
  <si>
    <t>Ritratto con bacio</t>
  </si>
  <si>
    <t>Portrait au baiser</t>
  </si>
  <si>
    <t>Retrato con beso</t>
  </si>
  <si>
    <t>附唇印的肖像畫</t>
  </si>
  <si>
    <t>带吻痕的肖像画</t>
  </si>
  <si>
    <t>キスマーク付きの似顔絵</t>
  </si>
  <si>
    <t>Introduction to Adventuring</t>
  </si>
  <si>
    <t>Les bases de l'aventure</t>
  </si>
  <si>
    <t>Introducción a la aventura</t>
  </si>
  <si>
    <t>簡單！冒險者入門</t>
  </si>
  <si>
    <t>简单！冒险者入门</t>
  </si>
  <si>
    <t>簡単！冒険者入門</t>
  </si>
  <si>
    <t>Rare Stone</t>
  </si>
  <si>
    <t>Pierre rare</t>
  </si>
  <si>
    <t>Piedra rara</t>
  </si>
  <si>
    <t>稀奇的石頭</t>
  </si>
  <si>
    <t>稀奇的石头</t>
  </si>
  <si>
    <t>めずらしい石</t>
  </si>
  <si>
    <t>Heavy Coin Pouch</t>
  </si>
  <si>
    <t>Portamonete pesante</t>
  </si>
  <si>
    <t>Bourse lourde</t>
  </si>
  <si>
    <t>Monedero pesado</t>
  </si>
  <si>
    <t>鼓脹的錢包</t>
  </si>
  <si>
    <t>鼓胀的钱包</t>
  </si>
  <si>
    <t>ふくらんだ財布</t>
  </si>
  <si>
    <t>Commemorative Coin</t>
  </si>
  <si>
    <t>Pièce commémorative</t>
  </si>
  <si>
    <t>Moneda conmemorativa</t>
  </si>
  <si>
    <t>紀念金幣</t>
  </si>
  <si>
    <t>纪念金币</t>
  </si>
  <si>
    <t>記念金貨</t>
  </si>
  <si>
    <t>Silver-filled Pouch</t>
  </si>
  <si>
    <t>Bourse remplie d'argent</t>
  </si>
  <si>
    <t>Monedero lleno de plata</t>
  </si>
  <si>
    <t>放了銀塊的皮袋</t>
  </si>
  <si>
    <t>放了银块的皮袋</t>
  </si>
  <si>
    <t>銀の入った革袋</t>
  </si>
  <si>
    <t>Feather Duster</t>
  </si>
  <si>
    <t>Plumeau</t>
  </si>
  <si>
    <t>Plumero</t>
  </si>
  <si>
    <t>雞毛撢子</t>
  </si>
  <si>
    <t>鸡毛掸子</t>
  </si>
  <si>
    <t>Ali's Bread</t>
  </si>
  <si>
    <t>Pane di Alì</t>
  </si>
  <si>
    <t>Pain d'Ali</t>
  </si>
  <si>
    <t>Pan de Ali</t>
  </si>
  <si>
    <t>阿里的麵包</t>
  </si>
  <si>
    <t>阿里的面包</t>
  </si>
  <si>
    <t>アリーのパン</t>
  </si>
  <si>
    <t>Joshua's Poem</t>
  </si>
  <si>
    <t>Poema di Joshua</t>
  </si>
  <si>
    <t>Poème de Joshua</t>
  </si>
  <si>
    <t>Poema de Joshua</t>
  </si>
  <si>
    <t>約書亞的詩</t>
  </si>
  <si>
    <t>约书亚的诗</t>
  </si>
  <si>
    <t>ジョシュアのポエム</t>
  </si>
  <si>
    <t>Cat's Eye</t>
  </si>
  <si>
    <t>OEil-de-chat</t>
  </si>
  <si>
    <t>Ojo de gato</t>
  </si>
  <si>
    <t>貓眼石</t>
  </si>
  <si>
    <t>猫眼石</t>
  </si>
  <si>
    <t>猫目石</t>
  </si>
  <si>
    <t>Tagged Collar</t>
  </si>
  <si>
    <t>Collier à médaille</t>
  </si>
  <si>
    <t>Colgante con chapa</t>
  </si>
  <si>
    <t>有名牌的項圈</t>
  </si>
  <si>
    <t>带钱的项圈</t>
  </si>
  <si>
    <t>札の付いた首輪</t>
  </si>
  <si>
    <t>Old Coin</t>
  </si>
  <si>
    <t>Vecchia moneta</t>
  </si>
  <si>
    <t>Vieille pièce</t>
  </si>
  <si>
    <t>Moneda antigua</t>
  </si>
  <si>
    <t>舊硬幣</t>
  </si>
  <si>
    <t>旧硬币</t>
  </si>
  <si>
    <t>古びたコイン</t>
  </si>
  <si>
    <t>Copper-filled Pouch</t>
  </si>
  <si>
    <t>Portamonete con rame</t>
  </si>
  <si>
    <t>Bourse remplie de cuivre</t>
  </si>
  <si>
    <t>Monedero lleno de cobre</t>
  </si>
  <si>
    <t>放了銅塊的麻袋</t>
  </si>
  <si>
    <t>放了铜块的麻袋</t>
  </si>
  <si>
    <t>銅の入った麻袋</t>
  </si>
  <si>
    <t>Herb-of-grace Potion</t>
  </si>
  <si>
    <t>Baume des saints</t>
  </si>
  <si>
    <t>Gentilherba</t>
  </si>
  <si>
    <t>芸香藥</t>
  </si>
  <si>
    <t>芸香药</t>
  </si>
  <si>
    <t>ヘンルーダ薬</t>
  </si>
  <si>
    <t>Curious Antique</t>
  </si>
  <si>
    <t>Étrange antiquité</t>
  </si>
  <si>
    <t>Antigüedad curiosa</t>
  </si>
  <si>
    <t>奇特的骨董</t>
  </si>
  <si>
    <t>奇特的古董</t>
  </si>
  <si>
    <t>奇抜な骨董品</t>
  </si>
  <si>
    <t>Dazzling Artwork</t>
  </si>
  <si>
    <t>OEuvre magistrale</t>
  </si>
  <si>
    <t>Obra impresionante</t>
  </si>
  <si>
    <t>目眩神迷的美術品</t>
  </si>
  <si>
    <t>目眩神迷的美术品</t>
  </si>
  <si>
    <t>目が眩む美術品</t>
  </si>
  <si>
    <t>Rusty Cup</t>
  </si>
  <si>
    <t>Gobelet rouillé</t>
  </si>
  <si>
    <t>Recipiente oxidado</t>
  </si>
  <si>
    <t>鏽蝕腐朽的杯子</t>
  </si>
  <si>
    <t>锈蚀腐朽的杯子</t>
  </si>
  <si>
    <t>錆びて朽ちた杯</t>
  </si>
  <si>
    <t>Glossy Gold Coin</t>
  </si>
  <si>
    <t>Pièce d'or brillante</t>
  </si>
  <si>
    <t>Moneda de oro brillante</t>
  </si>
  <si>
    <t>光澤不自然的金幣</t>
  </si>
  <si>
    <t>光泽不自然的金币</t>
  </si>
  <si>
    <t>Cloth Map</t>
  </si>
  <si>
    <t>Carte en tissu</t>
  </si>
  <si>
    <t>Mapa de tela</t>
  </si>
  <si>
    <t>畫了地圖的布片</t>
  </si>
  <si>
    <t>画了地图的布片</t>
  </si>
  <si>
    <t>Swords</t>
  </si>
  <si>
    <t>Spade</t>
  </si>
  <si>
    <t>Épées</t>
  </si>
  <si>
    <t>劍</t>
  </si>
  <si>
    <t>剑</t>
  </si>
  <si>
    <t>剣</t>
  </si>
  <si>
    <t>Battle-tested Blade</t>
  </si>
  <si>
    <t>Lame de combattant</t>
  </si>
  <si>
    <t>Espada para combate</t>
  </si>
  <si>
    <t>歷戰之劍</t>
  </si>
  <si>
    <t>历战之剑</t>
  </si>
  <si>
    <t>歴戦の剣</t>
  </si>
  <si>
    <t>Harald's Sword</t>
  </si>
  <si>
    <t>Spada di Harald</t>
  </si>
  <si>
    <t>Épée d'Harald</t>
  </si>
  <si>
    <t>Espada de Harald</t>
  </si>
  <si>
    <t>哈洛德之劍</t>
  </si>
  <si>
    <t>哈洛德之剑</t>
  </si>
  <si>
    <t>ハロルドの剣</t>
  </si>
  <si>
    <t>Enchanted Sword</t>
  </si>
  <si>
    <t>Épée enchantée</t>
  </si>
  <si>
    <t>Espada encantada</t>
  </si>
  <si>
    <t>魔力之劍</t>
  </si>
  <si>
    <t>魔力之剑</t>
  </si>
  <si>
    <t>魔力の剣</t>
  </si>
  <si>
    <t>Forbidden Blade</t>
  </si>
  <si>
    <t>Lame interdite</t>
  </si>
  <si>
    <t>Espada prohibida</t>
  </si>
  <si>
    <t>禁忌之劍</t>
  </si>
  <si>
    <t>禁忌之剑</t>
  </si>
  <si>
    <t>禁断の剣</t>
  </si>
  <si>
    <t>Werner's Sword</t>
  </si>
  <si>
    <t>Spada di Werner</t>
  </si>
  <si>
    <t>Épée de Werner</t>
  </si>
  <si>
    <t>Espada de Werner</t>
  </si>
  <si>
    <t>維爾納之劍</t>
  </si>
  <si>
    <t>维尔纳之剑</t>
  </si>
  <si>
    <t>ヴェルナーの剣</t>
  </si>
  <si>
    <t>Dragon Saber</t>
  </si>
  <si>
    <t>Sciabola del drago</t>
  </si>
  <si>
    <t>Sabre du dragon</t>
  </si>
  <si>
    <t>Sable de dragón</t>
  </si>
  <si>
    <t>龍之軍刀</t>
  </si>
  <si>
    <t>龙之军刀</t>
  </si>
  <si>
    <t>ドラゴンセイバー</t>
  </si>
  <si>
    <t>Emperor's Blade</t>
  </si>
  <si>
    <t>Lame de l'empereur</t>
  </si>
  <si>
    <t>Espada de emperador</t>
  </si>
  <si>
    <t>皇帝之刃</t>
  </si>
  <si>
    <t>エンペラーブレイド</t>
  </si>
  <si>
    <t>Unseen Saber</t>
  </si>
  <si>
    <t>Sabre mystérieux</t>
  </si>
  <si>
    <t>Sable invisible</t>
  </si>
  <si>
    <t>透明軍刀</t>
  </si>
  <si>
    <t>透明军刀</t>
  </si>
  <si>
    <t>インビジブルセイバー</t>
  </si>
  <si>
    <t>Deathly Blade</t>
  </si>
  <si>
    <t>Lame mortelle</t>
  </si>
  <si>
    <t>Espada mortal</t>
  </si>
  <si>
    <t>召喚死亡之劍</t>
  </si>
  <si>
    <t>召唤死亡之剑</t>
  </si>
  <si>
    <t>死を招く剣</t>
  </si>
  <si>
    <t>Trinity Sword</t>
  </si>
  <si>
    <t>Épée de la trinité</t>
  </si>
  <si>
    <t>Espada trinidad</t>
  </si>
  <si>
    <t>三位一體劍</t>
  </si>
  <si>
    <t>三位一体剑</t>
  </si>
  <si>
    <t>トリニティソード</t>
  </si>
  <si>
    <t>Great Blade</t>
  </si>
  <si>
    <t>Grande lame</t>
  </si>
  <si>
    <t>Gran espada</t>
  </si>
  <si>
    <t>顯赫之刃</t>
  </si>
  <si>
    <t>显赫之刃</t>
  </si>
  <si>
    <t>グランドブレイド</t>
  </si>
  <si>
    <t>Blade of Bravery</t>
  </si>
  <si>
    <t>Lame de bracoure</t>
  </si>
  <si>
    <t>Espada de valor</t>
  </si>
  <si>
    <t>勇氣之刃</t>
  </si>
  <si>
    <t>勇气之刃</t>
  </si>
  <si>
    <t>ブレイブブレイド</t>
  </si>
  <si>
    <t>Angel Saber</t>
  </si>
  <si>
    <t>Sabre de l'ange</t>
  </si>
  <si>
    <t>Sable angelical</t>
  </si>
  <si>
    <t>天使軍刀</t>
  </si>
  <si>
    <t>天使军刀</t>
  </si>
  <si>
    <t>エンジェルセイバー</t>
  </si>
  <si>
    <t>Platinum Sword</t>
  </si>
  <si>
    <t>Épée de platine</t>
  </si>
  <si>
    <t>Espada de platino</t>
  </si>
  <si>
    <t>白金劍</t>
  </si>
  <si>
    <t>白金剑</t>
  </si>
  <si>
    <t>プラチナソード</t>
  </si>
  <si>
    <t>Divine Blade</t>
  </si>
  <si>
    <t>Spada divina</t>
  </si>
  <si>
    <t>Lame divine</t>
  </si>
  <si>
    <t>Espada divina</t>
  </si>
  <si>
    <t>神聖之刃</t>
  </si>
  <si>
    <t>神圣之刃</t>
  </si>
  <si>
    <t>ディバインブレイド</t>
  </si>
  <si>
    <t>Carnage Blade</t>
  </si>
  <si>
    <t>Lame de carnage</t>
  </si>
  <si>
    <t>Espada carnicera</t>
  </si>
  <si>
    <t>暴力之劍</t>
  </si>
  <si>
    <t>暴力之剑</t>
  </si>
  <si>
    <t>暴力の剣</t>
  </si>
  <si>
    <t>Knight's Sword</t>
  </si>
  <si>
    <t>Épée de chevalier</t>
  </si>
  <si>
    <t>Espada de caballero</t>
  </si>
  <si>
    <t>騎士劍</t>
  </si>
  <si>
    <t>骑士剑</t>
  </si>
  <si>
    <t>ナイトソード</t>
  </si>
  <si>
    <t>Refined Sword</t>
  </si>
  <si>
    <t>Spada raffinata</t>
  </si>
  <si>
    <t>Épée élégante</t>
  </si>
  <si>
    <t>Espada refinada</t>
  </si>
  <si>
    <t>強化劍</t>
  </si>
  <si>
    <t>强化剑</t>
  </si>
  <si>
    <t>エンハンスソード</t>
  </si>
  <si>
    <t>Snipe Saber</t>
  </si>
  <si>
    <t>Sabre de l'échassier</t>
  </si>
  <si>
    <t>Sable de gallinago</t>
  </si>
  <si>
    <t>狙擊軍刀</t>
  </si>
  <si>
    <t>狙击军刀</t>
  </si>
  <si>
    <t>スナイプセイバー</t>
  </si>
  <si>
    <t>Moonblade</t>
  </si>
  <si>
    <t>Lame de la lune</t>
  </si>
  <si>
    <t>Espada lunar</t>
  </si>
  <si>
    <t>月之刃</t>
  </si>
  <si>
    <t>ムーンブレイド</t>
  </si>
  <si>
    <t>Mirage Blade</t>
  </si>
  <si>
    <t>Lame de mirage</t>
  </si>
  <si>
    <t>Espada ilusoria</t>
  </si>
  <si>
    <t>幻象之刃</t>
  </si>
  <si>
    <t>ミラージュブレイド</t>
  </si>
  <si>
    <t>Eagle Saber</t>
  </si>
  <si>
    <t>Sciabola dell'aquila</t>
  </si>
  <si>
    <t>Sabre de l'aigle</t>
  </si>
  <si>
    <t>Sable de águila</t>
  </si>
  <si>
    <t>老鷹軍刀</t>
  </si>
  <si>
    <t>老鹰军刀</t>
  </si>
  <si>
    <t>イーグルセイバー</t>
  </si>
  <si>
    <t>Bastard Sword</t>
  </si>
  <si>
    <t>Épée bâtarde</t>
  </si>
  <si>
    <t>Espada bastarda</t>
  </si>
  <si>
    <t>混用劍</t>
  </si>
  <si>
    <t>混用剑</t>
  </si>
  <si>
    <t>バスタードソード</t>
  </si>
  <si>
    <t>Heavy Blade</t>
  </si>
  <si>
    <t>Lame lourde</t>
  </si>
  <si>
    <t>Espada pesada</t>
  </si>
  <si>
    <t>重刃</t>
  </si>
  <si>
    <t>ヘヴィブレイド</t>
  </si>
  <si>
    <t>Falcon Saber</t>
  </si>
  <si>
    <t>Sciabola del falco</t>
  </si>
  <si>
    <t>Sabre du faucon</t>
  </si>
  <si>
    <t>Sable de halcón</t>
  </si>
  <si>
    <t>獵鷹軍刀</t>
  </si>
  <si>
    <t>猎鹰军刀</t>
  </si>
  <si>
    <t>ファルコンセイバー</t>
  </si>
  <si>
    <t>Spirit Sword</t>
  </si>
  <si>
    <t>Épée spirituelle</t>
  </si>
  <si>
    <t>Espada espiritual</t>
  </si>
  <si>
    <t>精神劍</t>
  </si>
  <si>
    <t>精神剑</t>
  </si>
  <si>
    <t>スピリットソード</t>
  </si>
  <si>
    <t>Captain's Sword</t>
  </si>
  <si>
    <t>Épée du capitaine</t>
  </si>
  <si>
    <t>Espada de capitán</t>
  </si>
  <si>
    <t>團長之劍</t>
  </si>
  <si>
    <t>团长之剑</t>
  </si>
  <si>
    <t>団長の剣</t>
  </si>
  <si>
    <t>Greatsword</t>
  </si>
  <si>
    <t>Granspada</t>
  </si>
  <si>
    <t>Estramaçon</t>
  </si>
  <si>
    <t>Espadón</t>
  </si>
  <si>
    <t>巨劍</t>
  </si>
  <si>
    <t>巨剑</t>
  </si>
  <si>
    <t>グレートソード</t>
  </si>
  <si>
    <t>Silver Sword</t>
  </si>
  <si>
    <t>Épée d'argent</t>
  </si>
  <si>
    <t>Espada de plata</t>
  </si>
  <si>
    <t>銀製劍</t>
  </si>
  <si>
    <t>银制剑</t>
  </si>
  <si>
    <t>シルバーソード</t>
  </si>
  <si>
    <t>Feather Saber</t>
  </si>
  <si>
    <t>Sciabola piuma</t>
  </si>
  <si>
    <t>Sabre-plume</t>
  </si>
  <si>
    <t>Sable de plumas</t>
  </si>
  <si>
    <t>羽毛軍刀</t>
  </si>
  <si>
    <t>羽毛军刀</t>
  </si>
  <si>
    <t>フェザーセイバー</t>
  </si>
  <si>
    <t>Broadsword</t>
  </si>
  <si>
    <t>Spadone</t>
  </si>
  <si>
    <t>Espadon</t>
  </si>
  <si>
    <t>Sable</t>
  </si>
  <si>
    <t>闊劍</t>
  </si>
  <si>
    <t>阔剑</t>
  </si>
  <si>
    <t>ブロードソード</t>
  </si>
  <si>
    <t>Iron Sword</t>
  </si>
  <si>
    <t>Spada di ferro</t>
  </si>
  <si>
    <t>Épée de fer</t>
  </si>
  <si>
    <t>Espada de hierro</t>
  </si>
  <si>
    <t>鐵劍</t>
  </si>
  <si>
    <t>铁剑</t>
  </si>
  <si>
    <t>アイアンソード</t>
  </si>
  <si>
    <t>Long Sword</t>
  </si>
  <si>
    <t>Spada lunga</t>
  </si>
  <si>
    <t>Épée longue</t>
  </si>
  <si>
    <t>Espada larga</t>
  </si>
  <si>
    <t>長劍</t>
  </si>
  <si>
    <t>长剑</t>
  </si>
  <si>
    <t>ロングソード</t>
  </si>
  <si>
    <t>Polearms</t>
  </si>
  <si>
    <t>Lance</t>
  </si>
  <si>
    <t>Lances</t>
  </si>
  <si>
    <t>槍</t>
  </si>
  <si>
    <t>枪</t>
  </si>
  <si>
    <t>Battle-tested Spear</t>
  </si>
  <si>
    <t>Lancia testata in battaglia</t>
  </si>
  <si>
    <t>Lance de combattant</t>
  </si>
  <si>
    <t>Lanza para combate</t>
  </si>
  <si>
    <t>歷戰之槍</t>
  </si>
  <si>
    <t>历战之枪</t>
  </si>
  <si>
    <t>歴戦の槍</t>
  </si>
  <si>
    <t>Tradewinds Spear</t>
  </si>
  <si>
    <t>Lance de l'alizé</t>
  </si>
  <si>
    <t>Lanza de los alisios</t>
  </si>
  <si>
    <t>貿易風之槍</t>
  </si>
  <si>
    <t>贸易风之枪</t>
  </si>
  <si>
    <t>貿易風の槍</t>
  </si>
  <si>
    <t>Master's Spear</t>
  </si>
  <si>
    <t>Lancia del maestro</t>
  </si>
  <si>
    <t>Lance du maître</t>
  </si>
  <si>
    <t>Lanza de maestro</t>
  </si>
  <si>
    <t>名手之槍</t>
  </si>
  <si>
    <t>名手之枪</t>
  </si>
  <si>
    <t>名手の槍</t>
  </si>
  <si>
    <t>Rune Glaive</t>
  </si>
  <si>
    <t>Glaive runique</t>
  </si>
  <si>
    <t>Guja rúnica</t>
  </si>
  <si>
    <t>符文長柄刀</t>
  </si>
  <si>
    <t>符文长柄刀</t>
  </si>
  <si>
    <t>ルーングレイヴ</t>
  </si>
  <si>
    <t>Forbidden Spear</t>
  </si>
  <si>
    <t>Lance interdite</t>
  </si>
  <si>
    <t>Lanza prohibida</t>
  </si>
  <si>
    <t>禁忌之槍</t>
  </si>
  <si>
    <t>禁忌之枪</t>
  </si>
  <si>
    <t>禁断の槍</t>
  </si>
  <si>
    <t>Seraphim Spear</t>
  </si>
  <si>
    <t>Lancia del serafino</t>
  </si>
  <si>
    <t>Lance séraphique</t>
  </si>
  <si>
    <t>Lanza de serafín</t>
  </si>
  <si>
    <t>熾天使長槍</t>
  </si>
  <si>
    <t>炽天使长枪</t>
  </si>
  <si>
    <t>セラフィムスピア</t>
  </si>
  <si>
    <t>Scourge Lance</t>
  </si>
  <si>
    <t>Javelot du fléau</t>
  </si>
  <si>
    <t>Lanza de aflicción</t>
  </si>
  <si>
    <t>災厄騎槍</t>
  </si>
  <si>
    <t>灾厄骑枪</t>
  </si>
  <si>
    <t>ディザスターランス</t>
  </si>
  <si>
    <t>Soul Glaive</t>
  </si>
  <si>
    <t>Glaive d'âme</t>
  </si>
  <si>
    <t>Guja del alma</t>
  </si>
  <si>
    <t>靈魂長柄刀</t>
  </si>
  <si>
    <t>灵魂长柄刀</t>
  </si>
  <si>
    <t>ソウルグレイブ</t>
  </si>
  <si>
    <t>Jade Lance</t>
  </si>
  <si>
    <t>Javelot de jade</t>
  </si>
  <si>
    <t>Lanza de jade</t>
  </si>
  <si>
    <t>翡翠騎槍</t>
  </si>
  <si>
    <t>翡翠骑枪</t>
  </si>
  <si>
    <t>ジェイダイトランス</t>
  </si>
  <si>
    <t>Victor's Spear</t>
  </si>
  <si>
    <t>Lance du vainqueur</t>
  </si>
  <si>
    <t>Lanza victoriosa</t>
  </si>
  <si>
    <t>勝利長槍</t>
  </si>
  <si>
    <t>胜利长枪</t>
  </si>
  <si>
    <t>ヴィクタースピア</t>
  </si>
  <si>
    <t>Platinum Spear</t>
  </si>
  <si>
    <t>Lance de platine</t>
  </si>
  <si>
    <t>Lanza de platino</t>
  </si>
  <si>
    <t>白金長槍</t>
  </si>
  <si>
    <t>白金长枪</t>
  </si>
  <si>
    <t>プラチナスピア</t>
  </si>
  <si>
    <t>Miguel's Spear</t>
  </si>
  <si>
    <t>Lancia di Miguel</t>
  </si>
  <si>
    <t>Lance de Miguel</t>
  </si>
  <si>
    <t>Lanza de Miguel</t>
  </si>
  <si>
    <t>米格爾之槍</t>
  </si>
  <si>
    <t>米格尔之枪</t>
  </si>
  <si>
    <t>ミゲルの槍</t>
  </si>
  <si>
    <t>Imperial Lance</t>
  </si>
  <si>
    <t>Javelot impérial</t>
  </si>
  <si>
    <t>Lanza imperial</t>
  </si>
  <si>
    <t>帝國騎槍</t>
  </si>
  <si>
    <t>帝国骑枪</t>
  </si>
  <si>
    <t>インペリアルランス</t>
  </si>
  <si>
    <t>Magus Glaive</t>
  </si>
  <si>
    <t>Glaive de magus</t>
  </si>
  <si>
    <t>Guja de mago</t>
  </si>
  <si>
    <t>魔法長柄刀</t>
  </si>
  <si>
    <t>魔法长柄刀</t>
  </si>
  <si>
    <t>マギアグレイブ</t>
  </si>
  <si>
    <t>Hedgehog Spear</t>
  </si>
  <si>
    <t>Lance-hérisson</t>
  </si>
  <si>
    <t>Lanza de erizo</t>
  </si>
  <si>
    <t>刺蝟長槍</t>
  </si>
  <si>
    <t>刺猬长枪</t>
  </si>
  <si>
    <t>ヘッジホッグスピア</t>
  </si>
  <si>
    <t>Bridge Lance</t>
  </si>
  <si>
    <t>Javelot du viaduc</t>
  </si>
  <si>
    <t>Lanza puente</t>
  </si>
  <si>
    <t>大橋騎槍</t>
  </si>
  <si>
    <t>大桥骑枪</t>
  </si>
  <si>
    <t>ブリッジランス</t>
  </si>
  <si>
    <t>Elemental Glaive</t>
  </si>
  <si>
    <t>Glaive élémentaire</t>
  </si>
  <si>
    <t>Guja elemental</t>
  </si>
  <si>
    <t>元素長柄刀</t>
  </si>
  <si>
    <t>元素长柄刀</t>
  </si>
  <si>
    <t>エレメントグレイブ</t>
  </si>
  <si>
    <t>Jaguar Lance</t>
  </si>
  <si>
    <t>Javelot-jaguar</t>
  </si>
  <si>
    <t>Lanza de jaguar</t>
  </si>
  <si>
    <t>豹騎槍</t>
  </si>
  <si>
    <t>豹骑枪</t>
  </si>
  <si>
    <t>ジャガーランス</t>
  </si>
  <si>
    <t>Heavy Lance</t>
  </si>
  <si>
    <t>Lancia pesante</t>
  </si>
  <si>
    <t>Jevelot lourd</t>
  </si>
  <si>
    <t>Lanza pesada</t>
  </si>
  <si>
    <t>重騎槍</t>
  </si>
  <si>
    <t>重骑枪</t>
  </si>
  <si>
    <t>ヘヴィランス</t>
  </si>
  <si>
    <t>Calamity Spear</t>
  </si>
  <si>
    <t>Lance de calamité</t>
  </si>
  <si>
    <t>Lanza funesta</t>
  </si>
  <si>
    <t>災禍之槍</t>
  </si>
  <si>
    <t>灾祸之枪</t>
  </si>
  <si>
    <t>災いの槍</t>
  </si>
  <si>
    <t>Bandit's Spear</t>
  </si>
  <si>
    <t>Lancia del bandito</t>
  </si>
  <si>
    <t>Lance de bandit</t>
  </si>
  <si>
    <t>Lanza de bandido</t>
  </si>
  <si>
    <t>強盜長槍</t>
  </si>
  <si>
    <t>强盗长枪</t>
  </si>
  <si>
    <t>バンディットスピア</t>
  </si>
  <si>
    <t>Sunlands Spear</t>
  </si>
  <si>
    <t>Lancia delle terre del sole</t>
  </si>
  <si>
    <t>Lance des Terres radieuses</t>
  </si>
  <si>
    <t>Lanza de Solealia</t>
  </si>
  <si>
    <t>沙漠長槍</t>
  </si>
  <si>
    <t>沙漠长枪</t>
  </si>
  <si>
    <t>デザートスピア</t>
  </si>
  <si>
    <t>War Lance</t>
  </si>
  <si>
    <t>Javelot de guerre</t>
  </si>
  <si>
    <t>Lanza de guerra</t>
  </si>
  <si>
    <t>戰爭騎槍</t>
  </si>
  <si>
    <t>战争骑枪</t>
  </si>
  <si>
    <t>ウォーランス</t>
  </si>
  <si>
    <t>Silver Spear</t>
  </si>
  <si>
    <t>Lance d'argent</t>
  </si>
  <si>
    <t>Lanza de plata</t>
  </si>
  <si>
    <t>銀製長槍</t>
  </si>
  <si>
    <t>银制长枪</t>
  </si>
  <si>
    <t>シルバースピア</t>
  </si>
  <si>
    <t>Arcane Glaive</t>
  </si>
  <si>
    <t>Glaive occulte</t>
  </si>
  <si>
    <t>Guja arcana</t>
  </si>
  <si>
    <t>魔咒長柄刀</t>
  </si>
  <si>
    <t>魔咒长柄刀</t>
  </si>
  <si>
    <t>スペルグレイブ</t>
  </si>
  <si>
    <t>War Spear</t>
  </si>
  <si>
    <t>Lancia da guerra</t>
  </si>
  <si>
    <t>Lance de guerre</t>
  </si>
  <si>
    <t>Lanza bélica</t>
  </si>
  <si>
    <t>戰爭長槍</t>
  </si>
  <si>
    <t>战争长枪</t>
  </si>
  <si>
    <t>ウォースピア</t>
  </si>
  <si>
    <t>Memorial Harpoon</t>
  </si>
  <si>
    <t>Arpione commemorativo</t>
  </si>
  <si>
    <t>Harpon commémoratif</t>
  </si>
  <si>
    <t>Arpón conmemorativo</t>
  </si>
  <si>
    <t>紀念魚叉</t>
  </si>
  <si>
    <t>纪念鱼叉</t>
  </si>
  <si>
    <t>形見のモリ</t>
  </si>
  <si>
    <t>Iron Spear</t>
  </si>
  <si>
    <t>Lancia di ferro</t>
  </si>
  <si>
    <t>Lance de fer</t>
  </si>
  <si>
    <t>Lanza de hierro</t>
  </si>
  <si>
    <t>鐵製長槍</t>
  </si>
  <si>
    <t>铁制长枪</t>
  </si>
  <si>
    <t>アイアンスピア</t>
  </si>
  <si>
    <t>Spear</t>
  </si>
  <si>
    <t>Lancia</t>
  </si>
  <si>
    <t xml:space="preserve">Lanza </t>
  </si>
  <si>
    <t>長槍</t>
  </si>
  <si>
    <t>长枪</t>
  </si>
  <si>
    <t>スピア</t>
  </si>
  <si>
    <t>Daggers</t>
  </si>
  <si>
    <t>Pugnali</t>
  </si>
  <si>
    <t>Dagues</t>
  </si>
  <si>
    <t>短劍</t>
  </si>
  <si>
    <t>短剑</t>
  </si>
  <si>
    <t>短剣</t>
  </si>
  <si>
    <t>Battle-tested Dagger</t>
  </si>
  <si>
    <t>Dague de combattant</t>
  </si>
  <si>
    <t>Daga para combate</t>
  </si>
  <si>
    <t>歷戰短劍</t>
  </si>
  <si>
    <t>历战短剑</t>
  </si>
  <si>
    <t>歴戦の短剣</t>
  </si>
  <si>
    <t>Heathcote's Dagger</t>
  </si>
  <si>
    <t>Dague d'Heathcote</t>
  </si>
  <si>
    <t>Daga de Heathcote</t>
  </si>
  <si>
    <t>希斯柯特的短劍</t>
  </si>
  <si>
    <t>希斯柯特的短剑</t>
  </si>
  <si>
    <t>ヒースコートの短剣</t>
  </si>
  <si>
    <t>Viper Dagger</t>
  </si>
  <si>
    <t>Pugnale di vipera</t>
  </si>
  <si>
    <t>Dague vipérine</t>
  </si>
  <si>
    <t>Daga serpentina</t>
  </si>
  <si>
    <t>大蛇短劍</t>
  </si>
  <si>
    <t>大蛇短剑</t>
  </si>
  <si>
    <t>大蛇の短剣</t>
  </si>
  <si>
    <t>Adamantine Dagger</t>
  </si>
  <si>
    <t>Dague adamantine</t>
  </si>
  <si>
    <t>Daga adamantina</t>
  </si>
  <si>
    <t>金鋼合金短刀</t>
  </si>
  <si>
    <t>金钢合金短刀</t>
  </si>
  <si>
    <t>アダマンナイフ</t>
  </si>
  <si>
    <t>Forbidden Dagger</t>
  </si>
  <si>
    <t>Pugnale proibito</t>
  </si>
  <si>
    <t>Dague interdite</t>
  </si>
  <si>
    <t>Daga prohibida</t>
  </si>
  <si>
    <t>禁忌短劍</t>
  </si>
  <si>
    <t>禁忌短剑</t>
  </si>
  <si>
    <t>禁断の短剣</t>
  </si>
  <si>
    <t>Legion Dagger</t>
  </si>
  <si>
    <t>Dague de la légion</t>
  </si>
  <si>
    <t>Daga de legionario</t>
  </si>
  <si>
    <t>萬速匕首</t>
  </si>
  <si>
    <t>万速匕首</t>
  </si>
  <si>
    <t>ミリオンダガー</t>
  </si>
  <si>
    <t>Rune Knife</t>
  </si>
  <si>
    <t>Couteau runique</t>
  </si>
  <si>
    <t>Cuchillo rúnico</t>
  </si>
  <si>
    <t>符文短刀</t>
  </si>
  <si>
    <t>ルーンナイフ</t>
  </si>
  <si>
    <t>Ultimate Breaker</t>
  </si>
  <si>
    <t>Destructeur ultime</t>
  </si>
  <si>
    <t>Ultrarruptura</t>
  </si>
  <si>
    <t>終極破壞者</t>
  </si>
  <si>
    <t>终极破坏者</t>
  </si>
  <si>
    <t>アルティメットブレイカー</t>
  </si>
  <si>
    <t>Doombreaker</t>
  </si>
  <si>
    <t>Bienfaiteur</t>
  </si>
  <si>
    <t>Rompecondena</t>
  </si>
  <si>
    <t>毀滅破壞者</t>
  </si>
  <si>
    <t>毁灭破坏者</t>
  </si>
  <si>
    <t>ドゥームズブレイカー</t>
  </si>
  <si>
    <t>Assassin's Dagger</t>
  </si>
  <si>
    <t>Dague d'assassin</t>
  </si>
  <si>
    <t>Daga de asesino</t>
  </si>
  <si>
    <t>刺客匕首</t>
  </si>
  <si>
    <t>アサシンダガー</t>
  </si>
  <si>
    <t>Soul Knife</t>
  </si>
  <si>
    <t>Couteau d'âme</t>
  </si>
  <si>
    <t>Cuchillo del alma</t>
  </si>
  <si>
    <t>靈魂匕首</t>
  </si>
  <si>
    <t>灵魂匕首</t>
  </si>
  <si>
    <t>ソウルナイフ</t>
  </si>
  <si>
    <t>Crimson Dagger</t>
  </si>
  <si>
    <t>Dague pourpre</t>
  </si>
  <si>
    <t>Daga carmesí</t>
  </si>
  <si>
    <t>腥紅匕首</t>
  </si>
  <si>
    <t>腥红匕首</t>
  </si>
  <si>
    <t>クリムゾンダガー</t>
  </si>
  <si>
    <t>Justice Breaker</t>
  </si>
  <si>
    <t>Oppresseur</t>
  </si>
  <si>
    <t>Rompejusticia</t>
  </si>
  <si>
    <t>正義破壞者</t>
  </si>
  <si>
    <t>正义破坏者</t>
  </si>
  <si>
    <t>ジャスティスブレイカー</t>
  </si>
  <si>
    <t>Skybreaker</t>
  </si>
  <si>
    <t>Rédempteur</t>
  </si>
  <si>
    <t>Rompecielos</t>
  </si>
  <si>
    <t>破天者</t>
  </si>
  <si>
    <t>スカイブレイカー</t>
  </si>
  <si>
    <t>Magus Knife</t>
  </si>
  <si>
    <t>Couteau de magus</t>
  </si>
  <si>
    <t>Cuchillo de mago</t>
  </si>
  <si>
    <t>魔法匕首</t>
  </si>
  <si>
    <t>マギアナイフ</t>
  </si>
  <si>
    <t>Gaolbreaker</t>
  </si>
  <si>
    <t>Libérateur</t>
  </si>
  <si>
    <t>Rompeceldas</t>
  </si>
  <si>
    <t>越獄者</t>
  </si>
  <si>
    <t>越狱者</t>
  </si>
  <si>
    <t>ジェイルブレイカー</t>
  </si>
  <si>
    <t>Gideon's Dagger</t>
  </si>
  <si>
    <t>Dague de Gidéon</t>
  </si>
  <si>
    <t>Daga de Gideon</t>
  </si>
  <si>
    <t>基甸的短劍</t>
  </si>
  <si>
    <t>基甸的短剑</t>
  </si>
  <si>
    <t>ギデオンの短剣</t>
  </si>
  <si>
    <t>Trickster's Dagger</t>
  </si>
  <si>
    <t>Dague d'escroc</t>
  </si>
  <si>
    <t>Daga de timador</t>
  </si>
  <si>
    <t>妖精匕首</t>
  </si>
  <si>
    <t>トリックスターダガー</t>
  </si>
  <si>
    <t>Crescent Dagger</t>
  </si>
  <si>
    <t>Dague courbée</t>
  </si>
  <si>
    <t>Daga curva</t>
  </si>
  <si>
    <t>新月匕首</t>
  </si>
  <si>
    <t>クレセントダガー</t>
  </si>
  <si>
    <t>Chainbreaker</t>
  </si>
  <si>
    <t>Affranchisseur</t>
  </si>
  <si>
    <t>Rompecadenas</t>
  </si>
  <si>
    <t>斷鏈者</t>
  </si>
  <si>
    <t>断链者</t>
  </si>
  <si>
    <t>チェインブレイカー</t>
  </si>
  <si>
    <t>Swordbreaker</t>
  </si>
  <si>
    <t>Fracasseur</t>
  </si>
  <si>
    <t>Rompespadas</t>
  </si>
  <si>
    <t>破劍者</t>
  </si>
  <si>
    <t>破剑者</t>
  </si>
  <si>
    <t>ソードブレイカー</t>
  </si>
  <si>
    <t>Silver Dagger</t>
  </si>
  <si>
    <t>Dague d'argent</t>
  </si>
  <si>
    <t>Daga de plata</t>
  </si>
  <si>
    <t>銀製匕首</t>
  </si>
  <si>
    <t>银制匕首</t>
  </si>
  <si>
    <t>シルバーダガー</t>
  </si>
  <si>
    <t>Piercing Dagger</t>
  </si>
  <si>
    <t>Pugnale perforante</t>
  </si>
  <si>
    <t>Dague perforante</t>
  </si>
  <si>
    <t>Daga lacerante</t>
  </si>
  <si>
    <t>穿孔匕首</t>
  </si>
  <si>
    <t>ピアシングダガー</t>
  </si>
  <si>
    <t>Falcon Dagger</t>
  </si>
  <si>
    <t>Dague-faucon</t>
  </si>
  <si>
    <t>Daga de halcón</t>
  </si>
  <si>
    <t>獵鷹匕首</t>
  </si>
  <si>
    <t>猎鹰匕首</t>
  </si>
  <si>
    <t>ファルコンダガー</t>
  </si>
  <si>
    <t>Befuddling Dagger</t>
  </si>
  <si>
    <t>Dague abrutissante</t>
  </si>
  <si>
    <t>Daga aturdidora</t>
  </si>
  <si>
    <t>迷惑短劍</t>
  </si>
  <si>
    <t>迷惑短剑</t>
  </si>
  <si>
    <t>惑わしの短剣</t>
  </si>
  <si>
    <t>Arcane Knife</t>
  </si>
  <si>
    <t>Coltello arcano</t>
  </si>
  <si>
    <t>Couteau occulte</t>
  </si>
  <si>
    <t>Cuchillo arcano</t>
  </si>
  <si>
    <t>魔咒匕首</t>
  </si>
  <si>
    <t>スペルナイフ</t>
  </si>
  <si>
    <t>Stinging Dagger</t>
  </si>
  <si>
    <t>Pugnale pungente</t>
  </si>
  <si>
    <t>Dague effilée</t>
  </si>
  <si>
    <t>Daga punzante</t>
  </si>
  <si>
    <t>刺擊匕首</t>
  </si>
  <si>
    <t>刺击匕首</t>
  </si>
  <si>
    <t>スティングダガー</t>
  </si>
  <si>
    <t>Iron Dagger</t>
  </si>
  <si>
    <t>Pugnale di ferro</t>
  </si>
  <si>
    <t>Dague de fer</t>
  </si>
  <si>
    <t>Daga de hierro</t>
  </si>
  <si>
    <t>鐵製匕首</t>
  </si>
  <si>
    <t>铁制匕首</t>
  </si>
  <si>
    <t>アイアンダガー</t>
  </si>
  <si>
    <t>Dagger</t>
  </si>
  <si>
    <t>Pugnale</t>
  </si>
  <si>
    <t>Dague</t>
  </si>
  <si>
    <t>Daga</t>
  </si>
  <si>
    <t>匕首</t>
  </si>
  <si>
    <t>ダガー</t>
  </si>
  <si>
    <t>Axes</t>
  </si>
  <si>
    <t>Asce</t>
  </si>
  <si>
    <t>Haches</t>
  </si>
  <si>
    <t>斧</t>
  </si>
  <si>
    <t>Battle-tested Axe</t>
  </si>
  <si>
    <t>Ascia testata in battaglia</t>
  </si>
  <si>
    <t>Hache de combattant</t>
  </si>
  <si>
    <t>Hacha para combate</t>
  </si>
  <si>
    <t>歷戰之斧</t>
  </si>
  <si>
    <t>历战之斧</t>
  </si>
  <si>
    <t>歴戦の斧</t>
  </si>
  <si>
    <t>Memorial Axe</t>
  </si>
  <si>
    <t>Ascia commemorativa</t>
  </si>
  <si>
    <t>Hache commémorative</t>
  </si>
  <si>
    <t>Hacha conmemorativa</t>
  </si>
  <si>
    <t>紀念之斧</t>
  </si>
  <si>
    <t>纪念之斧</t>
  </si>
  <si>
    <t>形見の斧</t>
  </si>
  <si>
    <t>Death Cleaver</t>
  </si>
  <si>
    <t>Mannaia della morte</t>
  </si>
  <si>
    <t>Fendoir de la mort</t>
  </si>
  <si>
    <t>Machete mortal</t>
  </si>
  <si>
    <t>死亡猛擊斧</t>
  </si>
  <si>
    <t>死亡猛击斧</t>
  </si>
  <si>
    <t>デススラッシャー</t>
  </si>
  <si>
    <t>Double Tomahawk</t>
  </si>
  <si>
    <t>Double tomahawk</t>
  </si>
  <si>
    <t>Hacha de guerra doble</t>
  </si>
  <si>
    <t>雙刃戰斧</t>
  </si>
  <si>
    <t>双刃战斧</t>
  </si>
  <si>
    <t>ダブルトマホーク</t>
  </si>
  <si>
    <t>Forbidden Axe</t>
  </si>
  <si>
    <t>Ascia proibita</t>
  </si>
  <si>
    <t>Hache interdite</t>
  </si>
  <si>
    <t>Hacha prohibida</t>
  </si>
  <si>
    <t>禁忌之斧</t>
  </si>
  <si>
    <t>禁断の斧</t>
  </si>
  <si>
    <t>Ogre Cleaver</t>
  </si>
  <si>
    <t>Fendoir d'ogre</t>
  </si>
  <si>
    <t>Machete de ogro</t>
  </si>
  <si>
    <t>食人魔猛擊斧</t>
  </si>
  <si>
    <t>食人魔猛击斧</t>
  </si>
  <si>
    <t>オーガスラッシャー</t>
  </si>
  <si>
    <t>Rune Hatchet</t>
  </si>
  <si>
    <t>Hachette runique</t>
  </si>
  <si>
    <t>Destral rúnico</t>
  </si>
  <si>
    <t>符文手斧</t>
  </si>
  <si>
    <t>ルーンハチェット</t>
  </si>
  <si>
    <t>Golden Axe</t>
  </si>
  <si>
    <t>Hache dorée</t>
  </si>
  <si>
    <t>Hacha dorada</t>
  </si>
  <si>
    <t>金斧</t>
  </si>
  <si>
    <t>金の斧</t>
  </si>
  <si>
    <t>Gargantuan Axe</t>
  </si>
  <si>
    <t>Hache colossale</t>
  </si>
  <si>
    <t>Hacha colosal</t>
  </si>
  <si>
    <t>巨大斧</t>
  </si>
  <si>
    <t>ギガンティックアクス</t>
  </si>
  <si>
    <t>Adamantine Hatchet</t>
  </si>
  <si>
    <t>Hachette adamantine</t>
  </si>
  <si>
    <t>Destral adamantino</t>
  </si>
  <si>
    <t>金鋼合金手斧</t>
  </si>
  <si>
    <t>金钢合金手斧</t>
  </si>
  <si>
    <t>アダマンハチェット</t>
  </si>
  <si>
    <t>Hill Cleaver</t>
  </si>
  <si>
    <t>Fendoir des monts</t>
  </si>
  <si>
    <t>Machete colina</t>
  </si>
  <si>
    <t>山丘猛擊斧</t>
  </si>
  <si>
    <t>山丘猛击斧</t>
  </si>
  <si>
    <t>マウントスラッシャー</t>
  </si>
  <si>
    <t>Spirit Hatchet</t>
  </si>
  <si>
    <t>Hachette spirituelle</t>
  </si>
  <si>
    <t>Destral espiritual</t>
  </si>
  <si>
    <t>精神手斧</t>
  </si>
  <si>
    <t>スピリットハチェット</t>
  </si>
  <si>
    <t>Elemental Hatchet</t>
  </si>
  <si>
    <t>Hachette élémentaire</t>
  </si>
  <si>
    <t>Destral elemental</t>
  </si>
  <si>
    <t>元素手斧</t>
  </si>
  <si>
    <t>エレメントハチェット</t>
  </si>
  <si>
    <t>Inferno Axe</t>
  </si>
  <si>
    <t>Hache infernale</t>
  </si>
  <si>
    <t>Hacha infernal</t>
  </si>
  <si>
    <t>地獄斧</t>
  </si>
  <si>
    <t>地狱斧</t>
  </si>
  <si>
    <t>インフェルノアクス</t>
  </si>
  <si>
    <t>Lizardking's Axe</t>
  </si>
  <si>
    <t>Hache de roi-lézard</t>
  </si>
  <si>
    <t>Hacha del rey lagarto</t>
  </si>
  <si>
    <t>蜥蜴王之斧</t>
  </si>
  <si>
    <t>リザード王の斧</t>
  </si>
  <si>
    <t>Graviton Axe</t>
  </si>
  <si>
    <t>Ascia gravitas</t>
  </si>
  <si>
    <t>Hache gravitationnelle</t>
  </si>
  <si>
    <t>Hacha gravitón</t>
  </si>
  <si>
    <t>重力子斧</t>
  </si>
  <si>
    <t>グラビトンアクス</t>
  </si>
  <si>
    <t>Bear Cleaver</t>
  </si>
  <si>
    <t>Fendoir d'ours</t>
  </si>
  <si>
    <t>Machete de oso</t>
  </si>
  <si>
    <t>灰熊猛擊斧</t>
  </si>
  <si>
    <t>灰熊猛击斧</t>
  </si>
  <si>
    <t>グリズリースラッシャー</t>
  </si>
  <si>
    <t>Rock Cleaver</t>
  </si>
  <si>
    <t>Fendoir de pierre</t>
  </si>
  <si>
    <t>Machete de roca</t>
  </si>
  <si>
    <t>岩石猛擊斧</t>
  </si>
  <si>
    <t>岩石猛击斧</t>
  </si>
  <si>
    <t>ロックスラッシャー</t>
  </si>
  <si>
    <t>Soul Hatchet</t>
  </si>
  <si>
    <t>Hachette d'âme</t>
  </si>
  <si>
    <t>Destral del alma</t>
  </si>
  <si>
    <t>靈魂手斧</t>
  </si>
  <si>
    <t>灵魂手斧</t>
  </si>
  <si>
    <t>ソウルハチェット</t>
  </si>
  <si>
    <t>Horn Cleaver</t>
  </si>
  <si>
    <t>Fendoir de corne</t>
  </si>
  <si>
    <t>Machete de cuernos</t>
  </si>
  <si>
    <t>尖角猛擊斧</t>
  </si>
  <si>
    <t>尖角猛击斧</t>
  </si>
  <si>
    <t>ホーンスラッシャー</t>
  </si>
  <si>
    <t>Argent Axe</t>
  </si>
  <si>
    <t>Hache de vermeil</t>
  </si>
  <si>
    <t>Hacha argenta</t>
  </si>
  <si>
    <t>銀斧</t>
  </si>
  <si>
    <t>银斧</t>
  </si>
  <si>
    <t>銀の斧</t>
  </si>
  <si>
    <t>Magus Hatchet</t>
  </si>
  <si>
    <t>Accetta del mago</t>
  </si>
  <si>
    <t>Hachette de magus</t>
  </si>
  <si>
    <t>Destral de mago</t>
  </si>
  <si>
    <t>魔法手斧</t>
  </si>
  <si>
    <t>マギアハチェット</t>
  </si>
  <si>
    <t>Viking Axe</t>
  </si>
  <si>
    <t>Hache de Viking</t>
  </si>
  <si>
    <t>Hacha vikinga</t>
  </si>
  <si>
    <t>維京斧</t>
  </si>
  <si>
    <t>维京斧</t>
  </si>
  <si>
    <t>バイキングアクス</t>
  </si>
  <si>
    <t>Omar's Axe</t>
  </si>
  <si>
    <t>Hache d'Omar</t>
  </si>
  <si>
    <t>Hacha de Omar</t>
  </si>
  <si>
    <t>奧瑪爾之斧</t>
  </si>
  <si>
    <t>奥玛尔之斧</t>
  </si>
  <si>
    <t>オマールの斧</t>
  </si>
  <si>
    <t>Steel Axe</t>
  </si>
  <si>
    <t>Ascia d'acciaio</t>
  </si>
  <si>
    <t>Hache d'acier</t>
  </si>
  <si>
    <t>Hacha de acero</t>
  </si>
  <si>
    <t>鋼斧</t>
  </si>
  <si>
    <t>钢斧</t>
  </si>
  <si>
    <t>鉄の斧</t>
  </si>
  <si>
    <t>Cleaver</t>
  </si>
  <si>
    <t>Mannaia</t>
  </si>
  <si>
    <t>Fendoir</t>
  </si>
  <si>
    <t>Machete</t>
  </si>
  <si>
    <t>猛擊斧</t>
  </si>
  <si>
    <t>猛击斧</t>
  </si>
  <si>
    <t>スラッシャー</t>
  </si>
  <si>
    <t>Enchanted Axe</t>
  </si>
  <si>
    <t>Hache enchantée</t>
  </si>
  <si>
    <t>Hacha encantada</t>
  </si>
  <si>
    <t>魔力之斧</t>
  </si>
  <si>
    <t>魔力の斧</t>
  </si>
  <si>
    <t>Heavy Axe</t>
  </si>
  <si>
    <t>Hache lourde</t>
  </si>
  <si>
    <t>Hacha pesada</t>
  </si>
  <si>
    <t>重斧</t>
  </si>
  <si>
    <t>ヘヴィアクス</t>
  </si>
  <si>
    <t>Silver Axe</t>
  </si>
  <si>
    <t>Hache d'argent</t>
  </si>
  <si>
    <t>Hacha de plata</t>
  </si>
  <si>
    <t>銀製斧</t>
  </si>
  <si>
    <t>银制斧</t>
  </si>
  <si>
    <t>シルバーアクス</t>
  </si>
  <si>
    <t>Battle Axe</t>
  </si>
  <si>
    <t>Ascia da battaglia</t>
  </si>
  <si>
    <t>Hache de bataille</t>
  </si>
  <si>
    <t>Hacha de batalla</t>
  </si>
  <si>
    <t>戰斧</t>
  </si>
  <si>
    <t>战斧</t>
  </si>
  <si>
    <t>バトルアクス</t>
  </si>
  <si>
    <t>Arcane Hatchet</t>
  </si>
  <si>
    <t>Accetta arcana</t>
  </si>
  <si>
    <t>Hachette occulte</t>
  </si>
  <si>
    <t>Destral arcano</t>
  </si>
  <si>
    <t>魔咒手斧</t>
  </si>
  <si>
    <t>スペルハチェット</t>
  </si>
  <si>
    <t>Iron Axe</t>
  </si>
  <si>
    <t>Accetta di ferro</t>
  </si>
  <si>
    <t>Hache de fer</t>
  </si>
  <si>
    <t>Hacha de hierro</t>
  </si>
  <si>
    <t>鐵斧</t>
  </si>
  <si>
    <t>铁斧</t>
  </si>
  <si>
    <t>アイアンアクス</t>
  </si>
  <si>
    <t>Handaxe</t>
  </si>
  <si>
    <t>Ascia grezza</t>
  </si>
  <si>
    <t>Hache à une main</t>
  </si>
  <si>
    <t>Hacha de mano</t>
  </si>
  <si>
    <t>手斧</t>
  </si>
  <si>
    <t>ハンドアクス</t>
  </si>
  <si>
    <t>Bows</t>
  </si>
  <si>
    <t>Archi</t>
  </si>
  <si>
    <t>Arcs</t>
  </si>
  <si>
    <t>弓</t>
  </si>
  <si>
    <t>Battle-tested Bow</t>
  </si>
  <si>
    <t>Arco testato in battaglia</t>
  </si>
  <si>
    <t>Arc de combattant</t>
  </si>
  <si>
    <t>Arco para combate</t>
  </si>
  <si>
    <t>歷戰之弓</t>
  </si>
  <si>
    <t>历战之弓</t>
  </si>
  <si>
    <t>歴戦の弓</t>
  </si>
  <si>
    <t>Primeval Bow of Storms</t>
  </si>
  <si>
    <t>Arc des tempêtes primordial</t>
  </si>
  <si>
    <t>Arco de la tormenta primitivo</t>
  </si>
  <si>
    <t>古來弓．嵐</t>
  </si>
  <si>
    <t>古来弓・岚</t>
  </si>
  <si>
    <t>古来弓・嵐</t>
  </si>
  <si>
    <t>Transcendent Bow of Shadows</t>
  </si>
  <si>
    <t>Arco trascendente delle ombre</t>
  </si>
  <si>
    <t>Arc des ombres transcendant</t>
  </si>
  <si>
    <t>Arco de sombras transcendente</t>
  </si>
  <si>
    <t>超越弓．幻</t>
  </si>
  <si>
    <t>超越弓・幻</t>
  </si>
  <si>
    <t>超極弓・幻</t>
  </si>
  <si>
    <t>Improved Bow of the Eagle</t>
  </si>
  <si>
    <t>Arco dell'aquila migliorato</t>
  </si>
  <si>
    <t>Arc de l'aigle amélioré</t>
  </si>
  <si>
    <t>Arco del águila mejorado</t>
  </si>
  <si>
    <t>進化弓．鷹</t>
  </si>
  <si>
    <t>进化弓・鹰</t>
  </si>
  <si>
    <t>進化弓・鷹</t>
  </si>
  <si>
    <t>Forbidden Bow</t>
  </si>
  <si>
    <t>Arco proibito</t>
  </si>
  <si>
    <t>Arc interdit</t>
  </si>
  <si>
    <t>Arco prohibido</t>
  </si>
  <si>
    <t>禁忌之弓</t>
  </si>
  <si>
    <t>禁断の弓</t>
  </si>
  <si>
    <t>Hyperion Bow</t>
  </si>
  <si>
    <t>Arc d'Hypérion</t>
  </si>
  <si>
    <t>Arco de Hiperión</t>
  </si>
  <si>
    <t>海伯利昂弓</t>
  </si>
  <si>
    <t>ハイペリオンボウ</t>
  </si>
  <si>
    <t>Holy Longbow</t>
  </si>
  <si>
    <t>Arc long sacré</t>
  </si>
  <si>
    <t>Arco largo sagrado</t>
  </si>
  <si>
    <t>弓聖的大弓</t>
  </si>
  <si>
    <t>弓圣的大弓</t>
  </si>
  <si>
    <t>弓聖の大弓</t>
  </si>
  <si>
    <t>Rune Bow</t>
  </si>
  <si>
    <t>Arc runique</t>
  </si>
  <si>
    <t>Arco rúnico</t>
  </si>
  <si>
    <t>符文弓</t>
  </si>
  <si>
    <t>ルーンボウ</t>
  </si>
  <si>
    <t>Yeti's Longbow</t>
  </si>
  <si>
    <t>Arc long de yéti</t>
  </si>
  <si>
    <t>Arco largo de yeti</t>
  </si>
  <si>
    <t>雪男的大弓</t>
  </si>
  <si>
    <t>雪男の大弓</t>
  </si>
  <si>
    <t>Adamantine Bow</t>
  </si>
  <si>
    <t>Arc adamantin</t>
  </si>
  <si>
    <t>Arco adamantino</t>
  </si>
  <si>
    <t>金鋼合金弓</t>
  </si>
  <si>
    <t>金钢合金弓</t>
  </si>
  <si>
    <t>アダマンボウ</t>
  </si>
  <si>
    <t>Augmented Bow of the Falcon</t>
  </si>
  <si>
    <t>Arc du faucon augmenté</t>
  </si>
  <si>
    <t>Arco del halcón aumentado</t>
  </si>
  <si>
    <t>強化弓．隼</t>
  </si>
  <si>
    <t>强化弓・隼</t>
  </si>
  <si>
    <t>強化弓・隼</t>
  </si>
  <si>
    <t>Master's Longbow</t>
  </si>
  <si>
    <t>Arc long de maître</t>
  </si>
  <si>
    <t>Arco largo de maestro</t>
  </si>
  <si>
    <t>達人的大弓</t>
  </si>
  <si>
    <t>达人的大弓</t>
  </si>
  <si>
    <t>達人の大弓</t>
  </si>
  <si>
    <t>Brilliant Bow</t>
  </si>
  <si>
    <t>Arc exceptionnel</t>
  </si>
  <si>
    <t>Arco brillante</t>
  </si>
  <si>
    <t>光輝弓</t>
  </si>
  <si>
    <t>光辉弓</t>
  </si>
  <si>
    <t>ブリリアントボウ</t>
  </si>
  <si>
    <t>Pirate's Longbow</t>
  </si>
  <si>
    <t>Arc long de pirate</t>
  </si>
  <si>
    <t>Arco largo de pirata</t>
  </si>
  <si>
    <t>海盜的大弓</t>
  </si>
  <si>
    <t>海盗的大弓</t>
  </si>
  <si>
    <t>海賊の大弓</t>
  </si>
  <si>
    <t>Spirit Bow</t>
  </si>
  <si>
    <t>Arc spirituel</t>
  </si>
  <si>
    <t>Arco espiritual</t>
  </si>
  <si>
    <t>精神弓</t>
  </si>
  <si>
    <t>スピリットボウ</t>
  </si>
  <si>
    <t>Huntress's Longbow</t>
  </si>
  <si>
    <t>Arco lungo da cacciatrice</t>
  </si>
  <si>
    <t>Arc long de chasseresse</t>
  </si>
  <si>
    <t>Arco largo de cazadora</t>
  </si>
  <si>
    <t>戰姬的大弓</t>
  </si>
  <si>
    <t>战姬的大弓</t>
  </si>
  <si>
    <t>戦姫の大弓</t>
  </si>
  <si>
    <t>Elemental Bow</t>
  </si>
  <si>
    <t>Arco elementale</t>
  </si>
  <si>
    <t>Arc élémentaire</t>
  </si>
  <si>
    <t>Arco elemental</t>
  </si>
  <si>
    <t>元素弓</t>
  </si>
  <si>
    <t>エレメントボウ</t>
  </si>
  <si>
    <t>Shadow Bow</t>
  </si>
  <si>
    <t>Arc d'ombre</t>
  </si>
  <si>
    <t>Arco sombrío</t>
  </si>
  <si>
    <t>影弓</t>
  </si>
  <si>
    <t>シャドウボウ</t>
  </si>
  <si>
    <t>Tomahawk Bow</t>
  </si>
  <si>
    <t>Arc-tomahawk</t>
  </si>
  <si>
    <t>Arco de guerra</t>
  </si>
  <si>
    <t>戰斧弓</t>
  </si>
  <si>
    <t>战斧弓</t>
  </si>
  <si>
    <t>トマホークボウ</t>
  </si>
  <si>
    <t>Marksman's Longbow</t>
  </si>
  <si>
    <t>Arc long d'archer d'élite</t>
  </si>
  <si>
    <t>Arco largo de tirador</t>
  </si>
  <si>
    <t>神射手的大弓</t>
  </si>
  <si>
    <t>名人の大弓</t>
  </si>
  <si>
    <t>Soul Bow</t>
  </si>
  <si>
    <t>Arc d'âme</t>
  </si>
  <si>
    <t>Arco del alma</t>
  </si>
  <si>
    <t>靈魂弓</t>
  </si>
  <si>
    <t>灵魂弓</t>
  </si>
  <si>
    <t>ソウルボウ</t>
  </si>
  <si>
    <t>Soldier's Longbow</t>
  </si>
  <si>
    <t>Arco lungo da fanteria</t>
  </si>
  <si>
    <t>Arc long de soldat</t>
  </si>
  <si>
    <t>Arco largo de soldado</t>
  </si>
  <si>
    <t>士兵的大弓</t>
  </si>
  <si>
    <t>兵士の大弓</t>
  </si>
  <si>
    <t>Heavy Bow</t>
  </si>
  <si>
    <t>Arc lourd</t>
  </si>
  <si>
    <t>Arco pesado</t>
  </si>
  <si>
    <t>重弓</t>
  </si>
  <si>
    <t>ヘヴィボウ</t>
  </si>
  <si>
    <t>Magus's Bow</t>
  </si>
  <si>
    <t>Arco del mago</t>
  </si>
  <si>
    <t>Arc de magus</t>
  </si>
  <si>
    <t>Arco de mago</t>
  </si>
  <si>
    <t>魔法弓</t>
  </si>
  <si>
    <t>マギアボウ</t>
  </si>
  <si>
    <t>Killer Bow</t>
  </si>
  <si>
    <t>Arc de tueur</t>
  </si>
  <si>
    <t>Arco asesino</t>
  </si>
  <si>
    <t>殺手弓</t>
  </si>
  <si>
    <t>杀手弓</t>
  </si>
  <si>
    <t>キラーボウ</t>
  </si>
  <si>
    <t>Arcane Bow</t>
  </si>
  <si>
    <t>Arco criptico</t>
  </si>
  <si>
    <t>Arc occulte</t>
  </si>
  <si>
    <t>Arco arcano</t>
  </si>
  <si>
    <t>魔咒弓</t>
  </si>
  <si>
    <t>スペルボウ</t>
  </si>
  <si>
    <t>Wolf's Bow</t>
  </si>
  <si>
    <t>Arco del lupo</t>
  </si>
  <si>
    <t>Arc du loup</t>
  </si>
  <si>
    <t>Arco de lobo</t>
  </si>
  <si>
    <t>狼弓</t>
  </si>
  <si>
    <t>ウルフボウ</t>
  </si>
  <si>
    <t>Stone Bow</t>
  </si>
  <si>
    <t>Arco di pietra</t>
  </si>
  <si>
    <t>Arc de pierre</t>
  </si>
  <si>
    <t>Arco de piedra</t>
  </si>
  <si>
    <t>石弓</t>
  </si>
  <si>
    <t>ストーンボウ</t>
  </si>
  <si>
    <t>Composite Bow</t>
  </si>
  <si>
    <t>Arco composito</t>
  </si>
  <si>
    <t>Arc de composite</t>
  </si>
  <si>
    <t>Arco compuesto</t>
  </si>
  <si>
    <t>複合弓</t>
  </si>
  <si>
    <t>复合弓</t>
  </si>
  <si>
    <t>コンポジットボウ</t>
  </si>
  <si>
    <t>Longbow</t>
  </si>
  <si>
    <t>Arco lungo</t>
  </si>
  <si>
    <t>Arc long</t>
  </si>
  <si>
    <t>Arco largo</t>
  </si>
  <si>
    <t>長弓</t>
  </si>
  <si>
    <t>长弓</t>
  </si>
  <si>
    <t>ロングボウ</t>
  </si>
  <si>
    <t>Staves</t>
  </si>
  <si>
    <t>Bastoni</t>
  </si>
  <si>
    <t>Bâtons</t>
  </si>
  <si>
    <t>杖</t>
  </si>
  <si>
    <t>Battle-tested Staff</t>
  </si>
  <si>
    <t>Bastone testato in battaglia</t>
  </si>
  <si>
    <t>Bâton de combattant</t>
  </si>
  <si>
    <t>Bastón para combate</t>
  </si>
  <si>
    <t>歷戰之杖</t>
  </si>
  <si>
    <t>历战之杖</t>
  </si>
  <si>
    <t>歴戦の杖</t>
  </si>
  <si>
    <t>Bishop's Staff</t>
  </si>
  <si>
    <t>Bâton d'évêque</t>
  </si>
  <si>
    <t>Bastón de obispo</t>
  </si>
  <si>
    <t>大主教之杖</t>
  </si>
  <si>
    <t>大司教の杖</t>
  </si>
  <si>
    <t>Knowledge Staff</t>
  </si>
  <si>
    <t>Bâton de savoir</t>
  </si>
  <si>
    <t>Bastón erudito</t>
  </si>
  <si>
    <t>鬥智之杖</t>
  </si>
  <si>
    <t>斗智之杖</t>
  </si>
  <si>
    <t>知恵比べの杖</t>
  </si>
  <si>
    <t>Wizard's Rod</t>
  </si>
  <si>
    <t>Baguette de magicien</t>
  </si>
  <si>
    <t>Vara de hechicero</t>
  </si>
  <si>
    <t>術士之杖</t>
  </si>
  <si>
    <t>术士之杖</t>
  </si>
  <si>
    <t>ウィザードロッド</t>
  </si>
  <si>
    <t>Absolute Zero Staff</t>
  </si>
  <si>
    <t>Bâton du zéro absolu</t>
  </si>
  <si>
    <t>Bastón de cero absoluto</t>
  </si>
  <si>
    <t>絕對零度之杖</t>
  </si>
  <si>
    <t>绝对零度之杖</t>
  </si>
  <si>
    <t>絶対零度の杖</t>
  </si>
  <si>
    <t>Yggdrasil Staff</t>
  </si>
  <si>
    <t>Bâton d'Yggdrasil</t>
  </si>
  <si>
    <t>Bastón de Yggdrasil</t>
  </si>
  <si>
    <t>世界樹手杖</t>
  </si>
  <si>
    <t>世界树手杖</t>
  </si>
  <si>
    <t>ユグドラシルスタッフ</t>
  </si>
  <si>
    <t>Mattias's Scepter</t>
  </si>
  <si>
    <t>Sceptre de Mattias</t>
  </si>
  <si>
    <t>Cetro de Mattias</t>
  </si>
  <si>
    <t>馬提亞斯之杖</t>
  </si>
  <si>
    <t>马提亚斯之杖</t>
  </si>
  <si>
    <t>マティアスの杖</t>
  </si>
  <si>
    <t>Forbidden Staff</t>
  </si>
  <si>
    <t>Bastone proibito</t>
  </si>
  <si>
    <t>Bâton interdit</t>
  </si>
  <si>
    <t>Bastón prohibido</t>
  </si>
  <si>
    <t>禁忌之杖</t>
  </si>
  <si>
    <t>禁断の杖</t>
  </si>
  <si>
    <t>Enchanted Rod</t>
  </si>
  <si>
    <t>Baguette enchantée</t>
  </si>
  <si>
    <t>Vara encantada</t>
  </si>
  <si>
    <t>魔法之杖</t>
  </si>
  <si>
    <t>エンシェントロッド</t>
  </si>
  <si>
    <t>Giant's Club</t>
  </si>
  <si>
    <t>Gourdin géant</t>
  </si>
  <si>
    <t>Garrote de gigante</t>
  </si>
  <si>
    <t>巨人棍棒</t>
  </si>
  <si>
    <t>巨人の棍棒</t>
  </si>
  <si>
    <t>Meteorite Rod</t>
  </si>
  <si>
    <t>Baguette météoritique</t>
  </si>
  <si>
    <t>Vara de meteorito</t>
  </si>
  <si>
    <t>隕石杖</t>
  </si>
  <si>
    <t>陨石杖</t>
  </si>
  <si>
    <t>メテオライトロッド</t>
  </si>
  <si>
    <t>Morning Star</t>
  </si>
  <si>
    <t>Stella del mattino</t>
  </si>
  <si>
    <t>Morgenstern</t>
  </si>
  <si>
    <t>Lucero del alba</t>
  </si>
  <si>
    <t>晨星錘</t>
  </si>
  <si>
    <t>晨星锤</t>
  </si>
  <si>
    <t>モーニングスター</t>
  </si>
  <si>
    <t>Wisdom Staff</t>
  </si>
  <si>
    <t>Bâton de sagesse</t>
  </si>
  <si>
    <t>Bastón sabio</t>
  </si>
  <si>
    <t>智慧手杖</t>
  </si>
  <si>
    <t>ウィズダムスタッフ</t>
  </si>
  <si>
    <t>Sturdy Sapphire Rod</t>
  </si>
  <si>
    <t>Baguette de saphir solide</t>
  </si>
  <si>
    <t>Vara de zafiro robusta</t>
  </si>
  <si>
    <t>大藍寶石杖</t>
  </si>
  <si>
    <t>大蓝宝石杖</t>
  </si>
  <si>
    <t>ラージサファイアロッド</t>
  </si>
  <si>
    <t>Sledgehammer</t>
  </si>
  <si>
    <t>Massue</t>
  </si>
  <si>
    <t>Almádena</t>
  </si>
  <si>
    <t>巨錘</t>
  </si>
  <si>
    <t>巨锤</t>
  </si>
  <si>
    <t>スリッジハンマー</t>
  </si>
  <si>
    <t>Sapphire Rod</t>
  </si>
  <si>
    <t>Baguette de saphir</t>
  </si>
  <si>
    <t>Vara de zafiro</t>
  </si>
  <si>
    <t>藍寶石杖</t>
  </si>
  <si>
    <t>蓝宝石杖</t>
  </si>
  <si>
    <t>サファイアロッド</t>
  </si>
  <si>
    <t>War Hammer</t>
  </si>
  <si>
    <t>Martello da guerra</t>
  </si>
  <si>
    <t>Marteau de guerre</t>
  </si>
  <si>
    <t>Martillo de guerra</t>
  </si>
  <si>
    <t>戰錘</t>
  </si>
  <si>
    <t>战锤</t>
  </si>
  <si>
    <t>ウォーハンマー</t>
  </si>
  <si>
    <t>Black Staff</t>
  </si>
  <si>
    <t>Bâton noir</t>
  </si>
  <si>
    <t>Bastón negro</t>
  </si>
  <si>
    <t>黑手杖</t>
  </si>
  <si>
    <t>ブラックスタッフ</t>
  </si>
  <si>
    <t>Mage's Staff</t>
  </si>
  <si>
    <t>Bâton de mage</t>
  </si>
  <si>
    <t>Bastón de mago</t>
  </si>
  <si>
    <t>法師手杖</t>
  </si>
  <si>
    <t>法师手杖</t>
  </si>
  <si>
    <t>メイジススタッフ</t>
  </si>
  <si>
    <t>Sturdy Quartz Rod</t>
  </si>
  <si>
    <t>Baguette de quartz solide</t>
  </si>
  <si>
    <t>Vara de cuarzo robusta</t>
  </si>
  <si>
    <t>大石英杖</t>
  </si>
  <si>
    <t>ラージクォーツロッド</t>
  </si>
  <si>
    <t>Staff of Wonders</t>
  </si>
  <si>
    <t>Bastone delle meraviglie</t>
  </si>
  <si>
    <t>Bâton merveilleux</t>
  </si>
  <si>
    <t>Bastón maravilloso</t>
  </si>
  <si>
    <t>奇蹟手杖</t>
  </si>
  <si>
    <t>奇迹手杖</t>
  </si>
  <si>
    <t>ワンダースタッフ</t>
  </si>
  <si>
    <t>Pole Mace</t>
  </si>
  <si>
    <t>Masse longue</t>
  </si>
  <si>
    <t>Maza larga</t>
  </si>
  <si>
    <t>長柄權杖</t>
  </si>
  <si>
    <t>长柄权杖</t>
  </si>
  <si>
    <t>ポールメイス</t>
  </si>
  <si>
    <t>Oak Staff</t>
  </si>
  <si>
    <t>Bâton de chêne</t>
  </si>
  <si>
    <t>Bastón de roble</t>
  </si>
  <si>
    <t>橡木手杖</t>
  </si>
  <si>
    <t>オークスタッフ</t>
  </si>
  <si>
    <t>Flail</t>
  </si>
  <si>
    <t>Fléau</t>
  </si>
  <si>
    <t>Mayal</t>
  </si>
  <si>
    <t>連枷</t>
  </si>
  <si>
    <t>连伽</t>
  </si>
  <si>
    <t>フレイル</t>
  </si>
  <si>
    <t>Psychic Staff</t>
  </si>
  <si>
    <t>Bâton psychique</t>
  </si>
  <si>
    <t>Bastón de vidente</t>
  </si>
  <si>
    <t>理力之杖</t>
  </si>
  <si>
    <t>理力の杖</t>
  </si>
  <si>
    <t>Mace</t>
  </si>
  <si>
    <t>Mazza</t>
  </si>
  <si>
    <t>Masse</t>
  </si>
  <si>
    <t>Maza</t>
  </si>
  <si>
    <t>權杖</t>
  </si>
  <si>
    <t>权杖</t>
  </si>
  <si>
    <t>Laurel Staff</t>
  </si>
  <si>
    <t>Bâton de laurier</t>
  </si>
  <si>
    <t>Bastón de laurel</t>
  </si>
  <si>
    <t>月桂手杖</t>
  </si>
  <si>
    <t>ローレルスタッフ</t>
  </si>
  <si>
    <t>Composite Staff</t>
  </si>
  <si>
    <t>Bâton composite</t>
  </si>
  <si>
    <t>Bastón compuesto</t>
  </si>
  <si>
    <t>複合杖</t>
  </si>
  <si>
    <t>复合杖</t>
  </si>
  <si>
    <t>コンポジットスタッフ</t>
  </si>
  <si>
    <t>Quartz Rod</t>
  </si>
  <si>
    <t>Bastone di quarzo</t>
  </si>
  <si>
    <t>Baguette de quartz</t>
  </si>
  <si>
    <t>Vara de cuarzo</t>
  </si>
  <si>
    <t>石英杖</t>
  </si>
  <si>
    <t>クォーツロッド</t>
  </si>
  <si>
    <t>Light Staff</t>
  </si>
  <si>
    <t>Bastone leggero</t>
  </si>
  <si>
    <t>Bâton léger</t>
  </si>
  <si>
    <t>Bastón ligero</t>
  </si>
  <si>
    <t>光之手杖</t>
  </si>
  <si>
    <t>ライトスタッフ</t>
  </si>
  <si>
    <t>Stone Rod</t>
  </si>
  <si>
    <t>Bastone di pietra</t>
  </si>
  <si>
    <t>Baguette de pierre</t>
  </si>
  <si>
    <t>Vara de piedra</t>
  </si>
  <si>
    <t>石杖</t>
  </si>
  <si>
    <t>ストーンロッド</t>
  </si>
  <si>
    <t>Staff</t>
  </si>
  <si>
    <t>Bastone</t>
  </si>
  <si>
    <t>Bâton</t>
  </si>
  <si>
    <t>Bastón</t>
  </si>
  <si>
    <t>手杖</t>
  </si>
  <si>
    <t>Shields</t>
  </si>
  <si>
    <t>Scudi</t>
  </si>
  <si>
    <t>Boucliers</t>
  </si>
  <si>
    <t>盾</t>
  </si>
  <si>
    <t>Battle-tested Shield</t>
  </si>
  <si>
    <t>Scudo testato in battaglia</t>
  </si>
  <si>
    <t>Bouclier de combattant</t>
  </si>
  <si>
    <t>Escudo para combate</t>
  </si>
  <si>
    <t>歷戰之盾</t>
  </si>
  <si>
    <t>历战之盾</t>
  </si>
  <si>
    <t>歴戦の盾</t>
  </si>
  <si>
    <t>Mikk and Makk's Shield</t>
  </si>
  <si>
    <t>Bouclier de Mikk et Makk</t>
  </si>
  <si>
    <t>Escudo de Mikk y Makk</t>
  </si>
  <si>
    <t>米克馬克之盾</t>
  </si>
  <si>
    <t>米克马克之盾</t>
  </si>
  <si>
    <t>ミックマックの盾</t>
  </si>
  <si>
    <t>Forbidden Shield</t>
  </si>
  <si>
    <t>Scudo proibito</t>
  </si>
  <si>
    <t>Bouclier interdit</t>
  </si>
  <si>
    <t>Escudo prohibido</t>
  </si>
  <si>
    <t>禁忌之盾</t>
  </si>
  <si>
    <t>禁断の盾</t>
  </si>
  <si>
    <t>Force Shield</t>
  </si>
  <si>
    <t>Bouclier de force</t>
  </si>
  <si>
    <t>Escudo de fuerza</t>
  </si>
  <si>
    <t>力之盾</t>
  </si>
  <si>
    <t>フォースシールド</t>
  </si>
  <si>
    <t>Gargantuan Shield</t>
  </si>
  <si>
    <t>Bouclier colossal</t>
  </si>
  <si>
    <t>Escudo colosal</t>
  </si>
  <si>
    <t>巨盾</t>
  </si>
  <si>
    <t>ギガントシールド</t>
  </si>
  <si>
    <t>Leviathan Shield</t>
  </si>
  <si>
    <t>Bouclier du Léviathan</t>
  </si>
  <si>
    <t>Escudo Leviatán</t>
  </si>
  <si>
    <t>海獸之盾</t>
  </si>
  <si>
    <t>海兽之盾</t>
  </si>
  <si>
    <t>海獣の盾</t>
  </si>
  <si>
    <t>Knight's Shield</t>
  </si>
  <si>
    <t>Bouclier de chevalier</t>
  </si>
  <si>
    <t>Escudo de caballero</t>
  </si>
  <si>
    <t>騎士盾</t>
  </si>
  <si>
    <t>骑士盾</t>
  </si>
  <si>
    <t>ナイトシールド</t>
  </si>
  <si>
    <t>Gustav's Shield</t>
  </si>
  <si>
    <t>Bouclier de Gustav</t>
  </si>
  <si>
    <t>Escudo de Gustav</t>
  </si>
  <si>
    <t>古斯塔夫之盾</t>
  </si>
  <si>
    <t>グスタフの盾</t>
  </si>
  <si>
    <t>Adamantine Shield</t>
  </si>
  <si>
    <t>Bouclier adamantin</t>
  </si>
  <si>
    <t>Escudo adamantino</t>
  </si>
  <si>
    <t>金鋼合金盾</t>
  </si>
  <si>
    <t>金钢合金盾</t>
  </si>
  <si>
    <t>アダマンシールド</t>
  </si>
  <si>
    <t>Tower Shield</t>
  </si>
  <si>
    <t>Pavois</t>
  </si>
  <si>
    <t>Estudo torre</t>
  </si>
  <si>
    <t>塔盾</t>
  </si>
  <si>
    <t>タワーシールド</t>
  </si>
  <si>
    <t>Spiked Shield</t>
  </si>
  <si>
    <t>Bouclier à pointes</t>
  </si>
  <si>
    <t>Escudo puntiagudo</t>
  </si>
  <si>
    <t>尖刺盾</t>
  </si>
  <si>
    <t>スパイクシールド</t>
  </si>
  <si>
    <t>Elemental Shield</t>
  </si>
  <si>
    <t>Scudo elementale</t>
  </si>
  <si>
    <t>Bouclier élémentaire</t>
  </si>
  <si>
    <t>Escudo elemental</t>
  </si>
  <si>
    <t>元素盾</t>
  </si>
  <si>
    <t>エレメントシールド</t>
  </si>
  <si>
    <t>Elusive Shield</t>
  </si>
  <si>
    <t>Bouclier insaisissable</t>
  </si>
  <si>
    <t>Escudo esquivo</t>
  </si>
  <si>
    <t>閃避之盾</t>
  </si>
  <si>
    <t>闪避之盾</t>
  </si>
  <si>
    <t>身かわしシールド</t>
  </si>
  <si>
    <t>Plate Shield</t>
  </si>
  <si>
    <t>Bouclier de plates</t>
  </si>
  <si>
    <t>Escudo chapado</t>
  </si>
  <si>
    <t>板盾</t>
  </si>
  <si>
    <t>プレートシールド</t>
  </si>
  <si>
    <t>Kite Shield</t>
  </si>
  <si>
    <t>Écu</t>
  </si>
  <si>
    <t>Escudo de lágrima</t>
  </si>
  <si>
    <t>鳶形盾</t>
  </si>
  <si>
    <t>鸢形盾</t>
  </si>
  <si>
    <t>カイトシールド</t>
  </si>
  <si>
    <t>Sturdy Shield</t>
  </si>
  <si>
    <t>Scudo rinforzato</t>
  </si>
  <si>
    <t>Bouclier solide</t>
  </si>
  <si>
    <t>Escudo robusto</t>
  </si>
  <si>
    <t>大盾</t>
  </si>
  <si>
    <t>ラージシールド</t>
  </si>
  <si>
    <t>Round Shield</t>
  </si>
  <si>
    <t>Scudo tondo</t>
  </si>
  <si>
    <t>Bouclier rond</t>
  </si>
  <si>
    <t>Escudo oval</t>
  </si>
  <si>
    <t>圓盾</t>
  </si>
  <si>
    <t>圆盾</t>
  </si>
  <si>
    <t>ラウンドシールド</t>
  </si>
  <si>
    <t>Buckler</t>
  </si>
  <si>
    <t>Brocchiere</t>
  </si>
  <si>
    <t>Rondache</t>
  </si>
  <si>
    <t>Rodela</t>
  </si>
  <si>
    <t>小圓盾</t>
  </si>
  <si>
    <t>小圆盾</t>
  </si>
  <si>
    <t>バックラー</t>
  </si>
  <si>
    <t>Head</t>
  </si>
  <si>
    <t>Copricapi</t>
  </si>
  <si>
    <t>Tête</t>
  </si>
  <si>
    <t>防具 頭</t>
  </si>
  <si>
    <t>防具 头</t>
  </si>
  <si>
    <t>頭</t>
  </si>
  <si>
    <t>Crystal Helm</t>
  </si>
  <si>
    <t>Casque de cristal</t>
  </si>
  <si>
    <t>Casco de cristal</t>
  </si>
  <si>
    <t>水晶頭盔</t>
  </si>
  <si>
    <t>水晶头盔</t>
  </si>
  <si>
    <t>クリスタルヘルム</t>
  </si>
  <si>
    <t>Hypnos Crown</t>
  </si>
  <si>
    <t>Couronne d'Hypnos</t>
  </si>
  <si>
    <t>Corona de Hipno</t>
  </si>
  <si>
    <t>睡神寶冠</t>
  </si>
  <si>
    <t>睡神宝冠</t>
  </si>
  <si>
    <t>ヒュプノクラウン</t>
  </si>
  <si>
    <t>Adamantine Hat</t>
  </si>
  <si>
    <t>Chapeau adamantin</t>
  </si>
  <si>
    <t>Sombrero adamantino</t>
  </si>
  <si>
    <t>金鋼合金帽</t>
  </si>
  <si>
    <t>金钢合金帽</t>
  </si>
  <si>
    <t>アダマン帽</t>
  </si>
  <si>
    <t>Dragon's Helm</t>
  </si>
  <si>
    <t>Casque draconique</t>
  </si>
  <si>
    <t>Casco de dragón</t>
  </si>
  <si>
    <t>龍之頭盔</t>
  </si>
  <si>
    <t>龙之头盔</t>
  </si>
  <si>
    <t>ドラゴンヘルム</t>
  </si>
  <si>
    <t>Monster Trainer's Hat</t>
  </si>
  <si>
    <t>Chapeau de dresseur</t>
  </si>
  <si>
    <t>Sombrero de domador</t>
  </si>
  <si>
    <t>魔物操控人的帽子</t>
  </si>
  <si>
    <t>魔物使いの帽子</t>
  </si>
  <si>
    <t>Teacher's Hat</t>
  </si>
  <si>
    <t>Chapeau de professeur</t>
  </si>
  <si>
    <t>Sombrero de profesor</t>
  </si>
  <si>
    <t>教師的帽子</t>
  </si>
  <si>
    <t>教师的帽子</t>
  </si>
  <si>
    <t>教師の帽子</t>
  </si>
  <si>
    <t>Adventurer's Hat</t>
  </si>
  <si>
    <t>Chapeau d'aventurier</t>
  </si>
  <si>
    <t>Sombrero de aventurero</t>
  </si>
  <si>
    <t>冒險家的帽子</t>
  </si>
  <si>
    <t>冒险家的帽子</t>
  </si>
  <si>
    <t>冒険家の帽子</t>
  </si>
  <si>
    <t>Platinum Helm</t>
  </si>
  <si>
    <t>Casque de platine</t>
  </si>
  <si>
    <t>Casco de platino</t>
  </si>
  <si>
    <t>白金頭盔</t>
  </si>
  <si>
    <t>白金头盔</t>
  </si>
  <si>
    <t>プラチナヘルム</t>
  </si>
  <si>
    <t>Historian's Hat</t>
  </si>
  <si>
    <t>Chapeau d'historien</t>
  </si>
  <si>
    <t>Sombrero de historiador</t>
  </si>
  <si>
    <t>歷史研究家的帽子</t>
  </si>
  <si>
    <t>历史研究家的帽子</t>
  </si>
  <si>
    <t>歴史研究家の帽子</t>
  </si>
  <si>
    <t>Oasis Hat</t>
  </si>
  <si>
    <t>Cappello dell'oasi</t>
  </si>
  <si>
    <t>Chapeau de nomade</t>
  </si>
  <si>
    <t>Sombrero de oasis</t>
  </si>
  <si>
    <t>海市蜃樓帽子</t>
  </si>
  <si>
    <t>海市蜃楼帽子</t>
  </si>
  <si>
    <t>蜃気楼の帽子</t>
  </si>
  <si>
    <t>Revello's Helm</t>
  </si>
  <si>
    <t>Elmo di Revello</t>
  </si>
  <si>
    <t>Casque de Revello</t>
  </si>
  <si>
    <t>Casco de Revello</t>
  </si>
  <si>
    <t>雷布洛的頭盔</t>
  </si>
  <si>
    <t>雷布洛的头盔</t>
  </si>
  <si>
    <t>レブローの兜</t>
  </si>
  <si>
    <t>Imperial Helm</t>
  </si>
  <si>
    <t>Casque impérial</t>
  </si>
  <si>
    <t>Casco imperial</t>
  </si>
  <si>
    <t>帝國頭盔</t>
  </si>
  <si>
    <t>帝国头盔</t>
  </si>
  <si>
    <t>インペリアルヘルム</t>
  </si>
  <si>
    <t>Silent Bandana</t>
  </si>
  <si>
    <t>Bandana de silence</t>
  </si>
  <si>
    <t>Pañuelo silencioso</t>
  </si>
  <si>
    <t>靜寂頭巾</t>
  </si>
  <si>
    <t>静寂头巾</t>
  </si>
  <si>
    <t>静寂のバンダナ</t>
  </si>
  <si>
    <t>Fur Cap</t>
  </si>
  <si>
    <t>Casquette fourrée</t>
  </si>
  <si>
    <t>Gorra de piel</t>
  </si>
  <si>
    <t>毛皮帽子</t>
  </si>
  <si>
    <t>毛皮の帽子</t>
  </si>
  <si>
    <t>Enchanted Circlet</t>
  </si>
  <si>
    <t>Diadème enchanté</t>
  </si>
  <si>
    <t>Diadema encantada</t>
  </si>
  <si>
    <t>魔法飾環</t>
  </si>
  <si>
    <t>魔法饰环</t>
  </si>
  <si>
    <t>エンシェントサークレット</t>
  </si>
  <si>
    <t>Elemental Hat</t>
  </si>
  <si>
    <t>Cappello elementale</t>
  </si>
  <si>
    <t>Chapeau élémentaire</t>
  </si>
  <si>
    <t>Sombrero elemental</t>
  </si>
  <si>
    <t>元素帽</t>
  </si>
  <si>
    <t>エレメントハット</t>
  </si>
  <si>
    <t>Veteran's Helm</t>
  </si>
  <si>
    <t>Casque de vétéran</t>
  </si>
  <si>
    <t>Casco de veterano</t>
  </si>
  <si>
    <t>老兵的頭盔</t>
  </si>
  <si>
    <t>老兵的头盔</t>
  </si>
  <si>
    <t>老兵の兜</t>
  </si>
  <si>
    <t>Gareth's Helm</t>
  </si>
  <si>
    <t>Elmo di Gareth</t>
  </si>
  <si>
    <t>Casque de Gareth</t>
  </si>
  <si>
    <t>Casco de Gareth</t>
  </si>
  <si>
    <t>蓋雷斯的頭盔</t>
  </si>
  <si>
    <t>盖雷斯的头盔</t>
  </si>
  <si>
    <t>ガーレスの兜</t>
  </si>
  <si>
    <t>Grand Helm</t>
  </si>
  <si>
    <t>Grand casque</t>
  </si>
  <si>
    <t>Gran casco</t>
  </si>
  <si>
    <t>顯赫頭盔</t>
  </si>
  <si>
    <t>显赫头盔</t>
  </si>
  <si>
    <t>グランドヘルム</t>
  </si>
  <si>
    <t>Horned Helm</t>
  </si>
  <si>
    <t>Casque à cornes</t>
  </si>
  <si>
    <t>Casco vikingo</t>
  </si>
  <si>
    <t>犄角頭盔</t>
  </si>
  <si>
    <t>犄角头盔</t>
  </si>
  <si>
    <t>ホーンドヘルム</t>
  </si>
  <si>
    <t>Starlight Hat</t>
  </si>
  <si>
    <t>Chapeau stellaire</t>
  </si>
  <si>
    <t>Sombrero estelar</t>
  </si>
  <si>
    <t>星屑帽子</t>
  </si>
  <si>
    <t>星屑の帽子</t>
  </si>
  <si>
    <t>Hasty Helm</t>
  </si>
  <si>
    <t>Casque de hâte</t>
  </si>
  <si>
    <t>Casco veloz</t>
  </si>
  <si>
    <t>高速頭盔</t>
  </si>
  <si>
    <t>高速头盔</t>
  </si>
  <si>
    <t>スピードヘルム</t>
  </si>
  <si>
    <t>Falcon Hat</t>
  </si>
  <si>
    <t>Cappello del falco</t>
  </si>
  <si>
    <t>Chapeau faucon</t>
  </si>
  <si>
    <t>Sombrero de halcón</t>
  </si>
  <si>
    <t>獵鷹的帽子</t>
  </si>
  <si>
    <t>猎鹰的帽子</t>
  </si>
  <si>
    <t>ハヤブサの帽子</t>
  </si>
  <si>
    <t>Bishop's Hat</t>
  </si>
  <si>
    <t>Mitre</t>
  </si>
  <si>
    <t>Gorro de obispo</t>
  </si>
  <si>
    <t>祭司之帽</t>
  </si>
  <si>
    <t>司祭の帽子</t>
  </si>
  <si>
    <t>Golden Hairpiece</t>
  </si>
  <si>
    <t>Perruque dorée</t>
  </si>
  <si>
    <t>Tocado dorado</t>
  </si>
  <si>
    <t>黃金髮飾</t>
  </si>
  <si>
    <t>黄金发饰</t>
  </si>
  <si>
    <t>黄金のかみかざり</t>
  </si>
  <si>
    <t>Silver Helm</t>
  </si>
  <si>
    <t>Elmo d'argento</t>
  </si>
  <si>
    <t>Casque d'argent</t>
  </si>
  <si>
    <t>Casco de plata</t>
  </si>
  <si>
    <t>銀製頭盔</t>
  </si>
  <si>
    <t>银制头盔</t>
  </si>
  <si>
    <t>シルバーヘルム</t>
  </si>
  <si>
    <t>Snowy Hood</t>
  </si>
  <si>
    <t>Cappuccio da neve</t>
  </si>
  <si>
    <t>Capuchon des neiges</t>
  </si>
  <si>
    <t>Capucha nevada</t>
  </si>
  <si>
    <t>雪隱兜帽</t>
  </si>
  <si>
    <t>雪隐兜帽</t>
  </si>
  <si>
    <t>雪隠れのフード</t>
  </si>
  <si>
    <t>Saintly Tiara</t>
  </si>
  <si>
    <t>Tiara sacra</t>
  </si>
  <si>
    <t>Tiare sacrée</t>
  </si>
  <si>
    <t>Tiara sagrada</t>
  </si>
  <si>
    <t>神聖頭冠</t>
  </si>
  <si>
    <t>神圣头盔</t>
  </si>
  <si>
    <t>セイントティアラ</t>
  </si>
  <si>
    <t>Chakra Band</t>
  </si>
  <si>
    <t>Bandeau des chakras</t>
  </si>
  <si>
    <t>Toca chakra</t>
  </si>
  <si>
    <t>脈輪頭帶</t>
  </si>
  <si>
    <t>脉轮头带</t>
  </si>
  <si>
    <t>チャクラバンド</t>
  </si>
  <si>
    <t>Sturdy Helm</t>
  </si>
  <si>
    <t>Casque solide</t>
  </si>
  <si>
    <t>Casco robusto</t>
  </si>
  <si>
    <t>大頭盔</t>
  </si>
  <si>
    <t>大头盔</t>
  </si>
  <si>
    <t>ラージヘルム</t>
  </si>
  <si>
    <t>Flying Helm</t>
  </si>
  <si>
    <t>Casque de vol</t>
  </si>
  <si>
    <t>Casco alado</t>
  </si>
  <si>
    <t>飛行頭盔</t>
  </si>
  <si>
    <t>飞行头盔</t>
  </si>
  <si>
    <t>フライングヘルム</t>
  </si>
  <si>
    <t>Black Cap</t>
  </si>
  <si>
    <t>Berretto nero</t>
  </si>
  <si>
    <t>Casquette noire</t>
  </si>
  <si>
    <t>Gorra negra</t>
  </si>
  <si>
    <t>黑帽</t>
  </si>
  <si>
    <t>ブラックキャップ</t>
  </si>
  <si>
    <t>Headgear</t>
  </si>
  <si>
    <t>Coiffe</t>
  </si>
  <si>
    <t>Casquete</t>
  </si>
  <si>
    <t>帽盔</t>
  </si>
  <si>
    <t>ヘッドギア</t>
  </si>
  <si>
    <t>Circlet</t>
  </si>
  <si>
    <t>Cerchietto</t>
  </si>
  <si>
    <t>Diadème</t>
  </si>
  <si>
    <t>Diadema</t>
  </si>
  <si>
    <t>飾環</t>
  </si>
  <si>
    <t>饰环</t>
  </si>
  <si>
    <t>サークレット</t>
  </si>
  <si>
    <t>Iron Helm</t>
  </si>
  <si>
    <t>Elmo di ferro</t>
  </si>
  <si>
    <t>Casque de fer</t>
  </si>
  <si>
    <t>Casco de hierro</t>
  </si>
  <si>
    <t>鐵製頭盔</t>
  </si>
  <si>
    <t>铁制头盔</t>
  </si>
  <si>
    <t>アイアンヘルム</t>
  </si>
  <si>
    <t>Silver Hairpiece</t>
  </si>
  <si>
    <t>Toupet d'argento</t>
  </si>
  <si>
    <t>Perruque argentée</t>
  </si>
  <si>
    <t>Tocado de plata</t>
  </si>
  <si>
    <t>銀髮飾</t>
  </si>
  <si>
    <t>银发饰</t>
  </si>
  <si>
    <t>銀のかみかざり</t>
  </si>
  <si>
    <t>Bronze Helm</t>
  </si>
  <si>
    <t>Elmo di bronzo</t>
  </si>
  <si>
    <t>Casque de bronze</t>
  </si>
  <si>
    <t>Casco de bronce</t>
  </si>
  <si>
    <t>青銅頭盔</t>
  </si>
  <si>
    <t>青铜头盔</t>
  </si>
  <si>
    <t>ブロンズヘルム</t>
  </si>
  <si>
    <t>Feathered Hat</t>
  </si>
  <si>
    <t>Cappello piumato</t>
  </si>
  <si>
    <t>Chapeau à plumes</t>
  </si>
  <si>
    <t>Sombrero de plumas</t>
  </si>
  <si>
    <t>羽毛帽</t>
  </si>
  <si>
    <t>羽根つき帽子</t>
  </si>
  <si>
    <t>Pointed Hat</t>
  </si>
  <si>
    <t>Cappello a punta</t>
  </si>
  <si>
    <t>Chapeau pointu</t>
  </si>
  <si>
    <t>Sombrero puntiagudo</t>
  </si>
  <si>
    <t>尖帽子</t>
  </si>
  <si>
    <t>とんがり帽子</t>
  </si>
  <si>
    <t>Leather Helm</t>
  </si>
  <si>
    <t>Elmo di cuoio</t>
  </si>
  <si>
    <t>Casque de cuir</t>
  </si>
  <si>
    <t>Casco de cuero</t>
  </si>
  <si>
    <t>橡膠頭盔</t>
  </si>
  <si>
    <t>橡胶头盔</t>
  </si>
  <si>
    <t>ラバーヘルム</t>
  </si>
  <si>
    <t>Leather Hat</t>
  </si>
  <si>
    <t>Cappello di cuoio</t>
  </si>
  <si>
    <t>Chapeau de cuir</t>
  </si>
  <si>
    <t>Sombrero de cuero</t>
  </si>
  <si>
    <t>皮帽子</t>
  </si>
  <si>
    <t>皮の帽子</t>
  </si>
  <si>
    <t>Ordinary Hat</t>
  </si>
  <si>
    <t>Copricapo</t>
  </si>
  <si>
    <t>Chapeau ordinaire</t>
  </si>
  <si>
    <t>Sombrero corriente</t>
  </si>
  <si>
    <t>帽子</t>
  </si>
  <si>
    <t>ハット</t>
  </si>
  <si>
    <t>Body</t>
  </si>
  <si>
    <t>Vesti</t>
  </si>
  <si>
    <t>Corps</t>
  </si>
  <si>
    <t>防具 身體</t>
  </si>
  <si>
    <t>防具 身体</t>
  </si>
  <si>
    <t>体</t>
  </si>
  <si>
    <t>Crystal Armor</t>
  </si>
  <si>
    <t>Armatura di cristallo</t>
  </si>
  <si>
    <t>Armure de cristal</t>
  </si>
  <si>
    <t>Armadura de cristal</t>
  </si>
  <si>
    <t>水晶盔甲</t>
  </si>
  <si>
    <t>Crystal Vest</t>
  </si>
  <si>
    <t>Giubba di cristallo</t>
  </si>
  <si>
    <t>Gilet de cristal</t>
  </si>
  <si>
    <t>Chaleco de cristal</t>
  </si>
  <si>
    <t>水晶背心</t>
  </si>
  <si>
    <t>クリスタルベスト</t>
  </si>
  <si>
    <t>Robe of the Flame</t>
  </si>
  <si>
    <t>Robe de la Flamme</t>
  </si>
  <si>
    <t>Túnica de la Llama</t>
  </si>
  <si>
    <t>大聖火長袍</t>
  </si>
  <si>
    <t>大圣火长袍</t>
  </si>
  <si>
    <t>大聖火のローブ</t>
  </si>
  <si>
    <t>Dragonscale Armor</t>
  </si>
  <si>
    <t>Armure d'écailles de dragon</t>
  </si>
  <si>
    <t>Armadura de escamas de dragón</t>
  </si>
  <si>
    <t>龍之盔甲</t>
  </si>
  <si>
    <t>龙之盔甲</t>
  </si>
  <si>
    <t>ドラゴンアーマー</t>
  </si>
  <si>
    <t>Dragon's Vest</t>
  </si>
  <si>
    <t>Gilet draconique</t>
  </si>
  <si>
    <t>Chaleco de dragón</t>
  </si>
  <si>
    <t>龍之背心</t>
  </si>
  <si>
    <t>龙之背心</t>
  </si>
  <si>
    <t>ドラゴンベスト</t>
  </si>
  <si>
    <t>Ethereal Dancer Garb</t>
  </si>
  <si>
    <t>Tenue de danse éthérée</t>
  </si>
  <si>
    <t>Traje de baile etéreo</t>
  </si>
  <si>
    <t>精緻舞孃衣服</t>
  </si>
  <si>
    <t>精致舞娘衣服</t>
  </si>
  <si>
    <t>繊細な踊子衣装</t>
  </si>
  <si>
    <t>Sorcerer's Robe</t>
  </si>
  <si>
    <t>Robe d'enchanteur</t>
  </si>
  <si>
    <t>Túnica de hechicero</t>
  </si>
  <si>
    <t>魔術師長袍</t>
  </si>
  <si>
    <t>魔术师长袍</t>
  </si>
  <si>
    <t>魔術師のローブ</t>
  </si>
  <si>
    <t>Confessional Armor</t>
  </si>
  <si>
    <t>Armure de confession</t>
  </si>
  <si>
    <t>Armadura confesional</t>
  </si>
  <si>
    <t>告解盔甲</t>
  </si>
  <si>
    <t>コンフェッションアーマー</t>
  </si>
  <si>
    <t>High House's Armor</t>
  </si>
  <si>
    <t>Armure d'aristocrate</t>
  </si>
  <si>
    <t>Armadura nobiliaria</t>
  </si>
  <si>
    <t>名家鎧甲</t>
  </si>
  <si>
    <t>名家铠甲</t>
  </si>
  <si>
    <t>名家の鎧</t>
  </si>
  <si>
    <t>Princess's Coat</t>
  </si>
  <si>
    <t>Manteau de princesse</t>
  </si>
  <si>
    <t>Abrigo de princesa</t>
  </si>
  <si>
    <t>公主大衣</t>
  </si>
  <si>
    <t>王女のコート</t>
  </si>
  <si>
    <t>Ardante Attire</t>
  </si>
  <si>
    <t>Habits de la Chapelle ardente</t>
  </si>
  <si>
    <t>Atuendo de Ardante</t>
  </si>
  <si>
    <t>聖火騎士的禮服</t>
  </si>
  <si>
    <t>圣火骑士的礼服</t>
  </si>
  <si>
    <t>聖火騎士の礼装</t>
  </si>
  <si>
    <t>Robe of the Dragon Princess</t>
  </si>
  <si>
    <t>Robe de la princesse-dragon</t>
  </si>
  <si>
    <t>Túnica de la princesa dragón</t>
  </si>
  <si>
    <t>龍姬之衣</t>
  </si>
  <si>
    <t>龙姬之衣</t>
  </si>
  <si>
    <t>竜姫の衣</t>
  </si>
  <si>
    <t>Platinum Armor</t>
  </si>
  <si>
    <t>Armure de platine</t>
  </si>
  <si>
    <t>Armadura de platino</t>
  </si>
  <si>
    <t>白金盔甲</t>
  </si>
  <si>
    <t>プラチナアーマー</t>
  </si>
  <si>
    <t>Vendetta Coat</t>
  </si>
  <si>
    <t>Manteau de vengeance</t>
  </si>
  <si>
    <t>Abigo vengativo</t>
  </si>
  <si>
    <t>執念大衣</t>
  </si>
  <si>
    <t>执念大衣</t>
  </si>
  <si>
    <t>執念のコート</t>
  </si>
  <si>
    <t>Imperial Armor</t>
  </si>
  <si>
    <t>Armure impériale</t>
  </si>
  <si>
    <t>Armadura imperial</t>
  </si>
  <si>
    <t>帝國盔甲</t>
  </si>
  <si>
    <t>帝国盔甲</t>
  </si>
  <si>
    <t>インペリアルアーマー</t>
  </si>
  <si>
    <t>Platinum Vest</t>
  </si>
  <si>
    <t>Gilet de platine</t>
  </si>
  <si>
    <t>Chaleco de platino</t>
  </si>
  <si>
    <t>白金背心</t>
  </si>
  <si>
    <t>プラチナベスト</t>
  </si>
  <si>
    <t>Imperial Vest</t>
  </si>
  <si>
    <t>Gilet impérial</t>
  </si>
  <si>
    <t>Chaleco imperial</t>
  </si>
  <si>
    <t>帝國背心</t>
  </si>
  <si>
    <t>帝国背心</t>
  </si>
  <si>
    <t>インペリアルベスト</t>
  </si>
  <si>
    <t>Elemental Heavy Armor</t>
  </si>
  <si>
    <t>Armure élémentaire lourde</t>
  </si>
  <si>
    <t>Armadura pesada elemental</t>
  </si>
  <si>
    <t>元素重甲</t>
  </si>
  <si>
    <t>エレメンタルヘヴィアーマー</t>
  </si>
  <si>
    <t>Silent Cape</t>
  </si>
  <si>
    <t>Cape de silence</t>
  </si>
  <si>
    <t>Capa silenciosa</t>
  </si>
  <si>
    <t>靜寂斗篷</t>
  </si>
  <si>
    <t>寂静斗篷</t>
  </si>
  <si>
    <t>静寂のケープ</t>
  </si>
  <si>
    <t>Primeval Robe</t>
  </si>
  <si>
    <t>Robe primitive</t>
  </si>
  <si>
    <t>Túnica primigenia</t>
  </si>
  <si>
    <t>古老長袍</t>
  </si>
  <si>
    <t>古老长袍</t>
  </si>
  <si>
    <t>古のローブ</t>
  </si>
  <si>
    <t>Rainbow Robe</t>
  </si>
  <si>
    <t>Robe arc-en-ciel</t>
  </si>
  <si>
    <t>Túnica arcoiris</t>
  </si>
  <si>
    <t>彩虹長袍</t>
  </si>
  <si>
    <t>彩虹长袍</t>
  </si>
  <si>
    <t>レインボーローブ</t>
  </si>
  <si>
    <t>Elemental Light Armor</t>
  </si>
  <si>
    <t>Armure élémentaire légère</t>
  </si>
  <si>
    <t>Armadura ligera elemental</t>
  </si>
  <si>
    <t>元素輕甲</t>
  </si>
  <si>
    <t>元素轻甲</t>
  </si>
  <si>
    <t>エレメントライトアーマー</t>
  </si>
  <si>
    <t>Fur Coat</t>
  </si>
  <si>
    <t>Manteau de fourrure</t>
  </si>
  <si>
    <t>Abrigo de piel</t>
  </si>
  <si>
    <t>毛皮大衣</t>
  </si>
  <si>
    <t>毛皮のコート</t>
  </si>
  <si>
    <t>Exotic Garb</t>
  </si>
  <si>
    <t>Tenue exotique</t>
  </si>
  <si>
    <t>Traje exótico</t>
  </si>
  <si>
    <t>異國之服</t>
  </si>
  <si>
    <t>异国之服</t>
  </si>
  <si>
    <t>異国の装束</t>
  </si>
  <si>
    <t>Grand Armor</t>
  </si>
  <si>
    <t>Grande armure</t>
  </si>
  <si>
    <t>Gran armadura</t>
  </si>
  <si>
    <t>顯赫盔甲</t>
  </si>
  <si>
    <t>显赫盔甲</t>
  </si>
  <si>
    <t>グランドアーマー</t>
  </si>
  <si>
    <t>Obsidian Garb</t>
  </si>
  <si>
    <t>Tenue d'obsidienne</t>
  </si>
  <si>
    <t>Traje de obsidiana</t>
  </si>
  <si>
    <t>黑曜會之服</t>
  </si>
  <si>
    <t>黑曜会之服</t>
  </si>
  <si>
    <t>黒曜会の服</t>
  </si>
  <si>
    <t>Grand Vest</t>
  </si>
  <si>
    <t>Grand gilet</t>
  </si>
  <si>
    <t>Gran chaleco</t>
  </si>
  <si>
    <t>顯赫背心</t>
  </si>
  <si>
    <t>显赫背心</t>
  </si>
  <si>
    <t>グランドベスト</t>
  </si>
  <si>
    <t>Falcon Garb</t>
  </si>
  <si>
    <t>Abito del falco</t>
  </si>
  <si>
    <t>Tenue du faucon</t>
  </si>
  <si>
    <t>Traje de halcón</t>
  </si>
  <si>
    <t>獵鷹之服</t>
  </si>
  <si>
    <t>猎鹰之服</t>
  </si>
  <si>
    <t>ハヤブサの装束</t>
  </si>
  <si>
    <t>Elemental Robe</t>
  </si>
  <si>
    <t>Robe élémentaire</t>
  </si>
  <si>
    <t>Túnica elemental</t>
  </si>
  <si>
    <t>元素長袍</t>
  </si>
  <si>
    <t>元素长袍</t>
  </si>
  <si>
    <t>エレメントローブ</t>
  </si>
  <si>
    <t>Spiked Armor</t>
  </si>
  <si>
    <t>Armure à pointes</t>
  </si>
  <si>
    <t>Armadura puntiaguda</t>
  </si>
  <si>
    <t>犄角盔甲</t>
  </si>
  <si>
    <t>ホーンドアーマー</t>
  </si>
  <si>
    <t>Silver Armor</t>
  </si>
  <si>
    <t>Armatura d'argento</t>
  </si>
  <si>
    <t>Armure d'argent</t>
  </si>
  <si>
    <t>Armadura de plata</t>
  </si>
  <si>
    <t>銀製盔甲</t>
  </si>
  <si>
    <t>银制盔甲</t>
  </si>
  <si>
    <t>シルバーアーマー</t>
  </si>
  <si>
    <t>Spiked Vest</t>
  </si>
  <si>
    <t>Gilet à pointes</t>
  </si>
  <si>
    <t>Chaleco puntiagudo</t>
  </si>
  <si>
    <t>犄角背心</t>
  </si>
  <si>
    <t>ホーンドベスト</t>
  </si>
  <si>
    <t>Silver Vest</t>
  </si>
  <si>
    <t>Giubba d'argento</t>
  </si>
  <si>
    <t>Gilet argenté</t>
  </si>
  <si>
    <t>Chaleco de plata</t>
  </si>
  <si>
    <t>銀製背心</t>
  </si>
  <si>
    <t>银制背心</t>
  </si>
  <si>
    <t>シルバーベスト</t>
  </si>
  <si>
    <t>Charm Robe</t>
  </si>
  <si>
    <t>Robe de charme</t>
  </si>
  <si>
    <t>Túnica hechizada</t>
  </si>
  <si>
    <t>魔咒長袍</t>
  </si>
  <si>
    <t>魔咒长袍</t>
  </si>
  <si>
    <t>まじないのローブ</t>
  </si>
  <si>
    <t>Snowy Cape</t>
  </si>
  <si>
    <t>Cappa da neve</t>
  </si>
  <si>
    <t>Cape des neiges</t>
  </si>
  <si>
    <t>Capa nevada</t>
  </si>
  <si>
    <t>雪隱斗篷</t>
  </si>
  <si>
    <t>雪隐斗篷</t>
  </si>
  <si>
    <t>雪隠れのケープ</t>
  </si>
  <si>
    <t>Iron Armor</t>
  </si>
  <si>
    <t>Giubba di ferro</t>
  </si>
  <si>
    <t>Armure de fer</t>
  </si>
  <si>
    <t>Armadura de hierro</t>
  </si>
  <si>
    <t>鐵製盔甲</t>
  </si>
  <si>
    <t>铁制盔甲</t>
  </si>
  <si>
    <t>アイアンアーマー</t>
  </si>
  <si>
    <t>Sturdy Armor</t>
  </si>
  <si>
    <t>Armure solide</t>
  </si>
  <si>
    <t>Armadura robusta</t>
  </si>
  <si>
    <t>大盔甲</t>
  </si>
  <si>
    <t>ラージアーマー</t>
  </si>
  <si>
    <t>Iron Vest</t>
  </si>
  <si>
    <t>Gilet de fer</t>
  </si>
  <si>
    <t>Chaleco de hierro</t>
  </si>
  <si>
    <t>鐵製背心</t>
  </si>
  <si>
    <t>铁制背心</t>
  </si>
  <si>
    <t>アイアンベスト</t>
  </si>
  <si>
    <t>Peacebringer's Garb</t>
  </si>
  <si>
    <t>Tenue de pacification</t>
  </si>
  <si>
    <t>Traje de pacificador</t>
  </si>
  <si>
    <t>安寧之服</t>
  </si>
  <si>
    <t>安宁之服</t>
  </si>
  <si>
    <t>やすらぎの服</t>
  </si>
  <si>
    <t>Sturdy Vest</t>
  </si>
  <si>
    <t>Gilet solide</t>
  </si>
  <si>
    <t>Chaleco robusto</t>
  </si>
  <si>
    <t>大背心</t>
  </si>
  <si>
    <t>ラージベスト</t>
  </si>
  <si>
    <t>Fur Robe</t>
  </si>
  <si>
    <t>Veste di pelliccia</t>
  </si>
  <si>
    <t>Robe doublée de fourrure</t>
  </si>
  <si>
    <t>Túnica de piel</t>
  </si>
  <si>
    <t>毛皮長袍</t>
  </si>
  <si>
    <t>毛皮长袍</t>
  </si>
  <si>
    <t>毛皮のローブ</t>
  </si>
  <si>
    <t>Black Attire</t>
  </si>
  <si>
    <t>Completo oscuro</t>
  </si>
  <si>
    <t>Vêtements noirs</t>
  </si>
  <si>
    <t>Atuendo negro</t>
  </si>
  <si>
    <t>黑裝束</t>
  </si>
  <si>
    <t>黑装束</t>
  </si>
  <si>
    <t>黒い装束</t>
  </si>
  <si>
    <t>Wind Attire</t>
  </si>
  <si>
    <t>Completo del vento</t>
  </si>
  <si>
    <t>Habits du vent</t>
  </si>
  <si>
    <t>Atuendo eólico</t>
  </si>
  <si>
    <t>疾風之服</t>
  </si>
  <si>
    <t>疾风之服</t>
  </si>
  <si>
    <t>はやての服</t>
  </si>
  <si>
    <t>Traditional Dancer Garb</t>
  </si>
  <si>
    <t>Abito da danza tradizionale</t>
  </si>
  <si>
    <t>Tenue de danse traditionnelle</t>
  </si>
  <si>
    <t>Traje de baile tradicional</t>
  </si>
  <si>
    <t>傳統舞孃衣服</t>
  </si>
  <si>
    <t>传统舞娘衣服</t>
  </si>
  <si>
    <t>古風な踊子衣装</t>
  </si>
  <si>
    <t>Bronze Armor</t>
  </si>
  <si>
    <t>Corazza di bronzo</t>
  </si>
  <si>
    <t>Armure de bronze</t>
  </si>
  <si>
    <t>Armadura de bronce</t>
  </si>
  <si>
    <t>青銅盔甲</t>
  </si>
  <si>
    <t>青铜盔甲</t>
  </si>
  <si>
    <t>ブロンズアーマー</t>
  </si>
  <si>
    <t>Bronze Vest</t>
  </si>
  <si>
    <t>Giubba di bronzo</t>
  </si>
  <si>
    <t>Gilet de bronze</t>
  </si>
  <si>
    <t>Chaleco de bronce</t>
  </si>
  <si>
    <t>青銅背心</t>
  </si>
  <si>
    <t>青铜背心</t>
  </si>
  <si>
    <t>ブロンズベスト</t>
  </si>
  <si>
    <t>Linen Robe</t>
  </si>
  <si>
    <t>Veste di lino</t>
  </si>
  <si>
    <t>Robe de lin</t>
  </si>
  <si>
    <t>Túnica de lino</t>
  </si>
  <si>
    <t>亞麻長袍</t>
  </si>
  <si>
    <t>亚麻长袍</t>
  </si>
  <si>
    <t>リネンのローブ</t>
  </si>
  <si>
    <t>Leather Armor</t>
  </si>
  <si>
    <t>Corazza di cuoio</t>
  </si>
  <si>
    <t>Armure de cuir</t>
  </si>
  <si>
    <t>Armadura de cuero</t>
  </si>
  <si>
    <t>橡膠盔甲</t>
  </si>
  <si>
    <t>橡胶盔甲</t>
  </si>
  <si>
    <t>ラバーアーマー</t>
  </si>
  <si>
    <t>Leather Vest</t>
  </si>
  <si>
    <t>Giubba di cuoio</t>
  </si>
  <si>
    <t>Gilet de cuir</t>
  </si>
  <si>
    <t>Chaleco de cuero</t>
  </si>
  <si>
    <t>橡膠背心</t>
  </si>
  <si>
    <t>橡胶背心</t>
  </si>
  <si>
    <t>ラバーベスト</t>
  </si>
  <si>
    <t>Robe</t>
  </si>
  <si>
    <t>Veste</t>
  </si>
  <si>
    <t>Túnica</t>
  </si>
  <si>
    <t>長袍</t>
  </si>
  <si>
    <t>长袍</t>
  </si>
  <si>
    <t>ローブ</t>
  </si>
  <si>
    <t>Accessories</t>
  </si>
  <si>
    <t>Accessori</t>
  </si>
  <si>
    <t>Accessoires</t>
  </si>
  <si>
    <t>飾品</t>
  </si>
  <si>
    <t>饰品</t>
  </si>
  <si>
    <t>その他</t>
  </si>
  <si>
    <t>Spurning Ribbon</t>
  </si>
  <si>
    <t>Cinta del rechazo</t>
  </si>
  <si>
    <t>隔離緞帶</t>
  </si>
  <si>
    <t>隔离缎带</t>
  </si>
  <si>
    <t>Alluring Ribbon</t>
  </si>
  <si>
    <t>Ruban attirant</t>
  </si>
  <si>
    <t>Cinta seductora</t>
  </si>
  <si>
    <t>引誘緞帶</t>
  </si>
  <si>
    <t>引诱缎带</t>
  </si>
  <si>
    <t>引寄せのリボン</t>
  </si>
  <si>
    <t>Captain's Badge</t>
  </si>
  <si>
    <t>Badge de capitaine</t>
  </si>
  <si>
    <t>Insignia de capitán</t>
  </si>
  <si>
    <t>隊長的徽章</t>
  </si>
  <si>
    <t>队长的徽章</t>
  </si>
  <si>
    <t>隊長のバッジ</t>
  </si>
  <si>
    <t>Badge of Friendship</t>
  </si>
  <si>
    <t>Badge d'amitié</t>
  </si>
  <si>
    <t>Insignia de la amistad</t>
  </si>
  <si>
    <t>友情的徽章</t>
  </si>
  <si>
    <t>友情のバッジ</t>
  </si>
  <si>
    <t>Dragon's Scarf</t>
  </si>
  <si>
    <t>Foulard de dragon</t>
  </si>
  <si>
    <t>Bufanda de dragón</t>
  </si>
  <si>
    <t>龍之領巾</t>
  </si>
  <si>
    <t>龙之领巾</t>
  </si>
  <si>
    <t>竜のスカーフ</t>
  </si>
  <si>
    <t>Beastly Scarf</t>
  </si>
  <si>
    <t>Foulard bestial</t>
  </si>
  <si>
    <t>Bufanda bestial</t>
  </si>
  <si>
    <t>獸之領巾</t>
  </si>
  <si>
    <t>兽之领巾</t>
  </si>
  <si>
    <t>獣のスカーフ</t>
  </si>
  <si>
    <t>Royal Crest</t>
  </si>
  <si>
    <t>Emblème royal</t>
  </si>
  <si>
    <t>Emblema real</t>
  </si>
  <si>
    <t>王家之證</t>
  </si>
  <si>
    <t>王家之证</t>
  </si>
  <si>
    <t>Gravekeeper's Mark</t>
  </si>
  <si>
    <t>Marque du gardien de cimetière</t>
  </si>
  <si>
    <t>Marca del enterrador</t>
  </si>
  <si>
    <t>守墓人之證</t>
  </si>
  <si>
    <t>守墓人之证</t>
  </si>
  <si>
    <t>墓守の証</t>
  </si>
  <si>
    <t>Physical Belt</t>
  </si>
  <si>
    <t>Ceinture de physique</t>
  </si>
  <si>
    <t>Cinto físico</t>
  </si>
  <si>
    <t>物理腰帶</t>
  </si>
  <si>
    <t>物理腰带</t>
  </si>
  <si>
    <t>フィジカルベルト</t>
  </si>
  <si>
    <t>Mental Belt</t>
  </si>
  <si>
    <t>Ceinture de mental</t>
  </si>
  <si>
    <t>Cinto mental</t>
  </si>
  <si>
    <t>精神腰帶</t>
  </si>
  <si>
    <t>精神腰带</t>
  </si>
  <si>
    <t>メンタルベルト</t>
  </si>
  <si>
    <t>Blessed Blazon</t>
  </si>
  <si>
    <t>Blason béni</t>
  </si>
  <si>
    <t>Blasón bendito</t>
  </si>
  <si>
    <t>加護的飾章</t>
  </si>
  <si>
    <t>加护的饰章</t>
  </si>
  <si>
    <t>加護の紋章</t>
  </si>
  <si>
    <t>Blazon of Protection</t>
  </si>
  <si>
    <t>Blason de protection</t>
  </si>
  <si>
    <t>Blasón de protección</t>
  </si>
  <si>
    <t>守備的飾章</t>
  </si>
  <si>
    <t>守备的饰章</t>
  </si>
  <si>
    <t>守備の紋章</t>
  </si>
  <si>
    <t>Mighty Belt</t>
  </si>
  <si>
    <t>Cintura poderosa</t>
  </si>
  <si>
    <t>Ceinture puissante</t>
  </si>
  <si>
    <t>Cinto increíble</t>
  </si>
  <si>
    <t>力量腰帶</t>
  </si>
  <si>
    <t>力量腰带</t>
  </si>
  <si>
    <t>パワーベルト</t>
  </si>
  <si>
    <t>Elemental Augmentor</t>
  </si>
  <si>
    <t>Augmenteur élémentaire</t>
  </si>
  <si>
    <t>Potenciador elemental</t>
  </si>
  <si>
    <t>元素增幅器</t>
  </si>
  <si>
    <t>エレメントブースター</t>
  </si>
  <si>
    <t>Guardian Amulet</t>
  </si>
  <si>
    <t>Amulette gardienne</t>
  </si>
  <si>
    <t>Amuleto del guardián</t>
  </si>
  <si>
    <t>守護者腰帶</t>
  </si>
  <si>
    <t>守护者腰带</t>
  </si>
  <si>
    <t>ガーディアンベルト</t>
  </si>
  <si>
    <t>Elemental Ward</t>
  </si>
  <si>
    <t>Protection élémentaire</t>
  </si>
  <si>
    <t>Protector elemental</t>
  </si>
  <si>
    <t>元素守護者</t>
  </si>
  <si>
    <t>元素守护者</t>
  </si>
  <si>
    <t>エレメントガーディアン</t>
  </si>
  <si>
    <t>Empowering Necklace</t>
  </si>
  <si>
    <t>Collier de renforcement</t>
  </si>
  <si>
    <t>Collar de poder</t>
  </si>
  <si>
    <t>體力項鍊</t>
  </si>
  <si>
    <t>体力项链</t>
  </si>
  <si>
    <t>体力のネックレス</t>
  </si>
  <si>
    <t>Stimulating Necklace</t>
  </si>
  <si>
    <t>Coillier de stimulation</t>
  </si>
  <si>
    <t>Collar estimulante</t>
  </si>
  <si>
    <t>精神項鍊</t>
  </si>
  <si>
    <t>精神项链</t>
  </si>
  <si>
    <t>精神のネックレス</t>
  </si>
  <si>
    <t>Protective Necklace</t>
  </si>
  <si>
    <t>Collier protecteur</t>
  </si>
  <si>
    <t>Collar protector</t>
  </si>
  <si>
    <t>守護項鍊</t>
  </si>
  <si>
    <t>守护项链</t>
  </si>
  <si>
    <t>守護のネックレス</t>
  </si>
  <si>
    <t>Unerring Necklace</t>
  </si>
  <si>
    <t>Collier d'infaillibilité</t>
  </si>
  <si>
    <t>Collar certero</t>
  </si>
  <si>
    <t>狙擊項鍊</t>
  </si>
  <si>
    <t>狙击项链</t>
  </si>
  <si>
    <t>狙撃のネックレス</t>
  </si>
  <si>
    <t>Enlightening Necklace</t>
  </si>
  <si>
    <t>Collier d'illumination</t>
  </si>
  <si>
    <t>Collar revelador</t>
  </si>
  <si>
    <t>察知項鍊</t>
  </si>
  <si>
    <t>察知项链</t>
  </si>
  <si>
    <t>察知のネックレス</t>
  </si>
  <si>
    <t>Sprightly Necklace</t>
  </si>
  <si>
    <t>Collier de vivacité</t>
  </si>
  <si>
    <t>Collar vivaz</t>
  </si>
  <si>
    <t>靈敏項鍊</t>
  </si>
  <si>
    <t>灵敏项链</t>
  </si>
  <si>
    <t>俊敏のネックレス</t>
  </si>
  <si>
    <t>Critical Necklace</t>
  </si>
  <si>
    <t>Collier de critique</t>
  </si>
  <si>
    <t>Collar crítico</t>
  </si>
  <si>
    <t>會心項鍊</t>
  </si>
  <si>
    <t>会心项链</t>
  </si>
  <si>
    <t>会心のネックレス</t>
  </si>
  <si>
    <t>Empowering Bracelet</t>
  </si>
  <si>
    <t>Bracelet de renforcement</t>
  </si>
  <si>
    <t>Brazalete de poder</t>
  </si>
  <si>
    <t>體力手環</t>
  </si>
  <si>
    <t>体力手环</t>
  </si>
  <si>
    <t>体力のブレスレット</t>
  </si>
  <si>
    <t>Stimulating Bracelet</t>
  </si>
  <si>
    <t>Bracelet de stimulation</t>
  </si>
  <si>
    <t>Brazalete estimulante</t>
  </si>
  <si>
    <t>精神手環</t>
  </si>
  <si>
    <t>精神手环</t>
  </si>
  <si>
    <t>精神のブレスレット</t>
  </si>
  <si>
    <t>Protective Bracelet</t>
  </si>
  <si>
    <t>Bracelet protecteur</t>
  </si>
  <si>
    <t>Brazalete protector</t>
  </si>
  <si>
    <t>守護手環</t>
  </si>
  <si>
    <t>守护手环</t>
  </si>
  <si>
    <t>守護のブレスレット</t>
  </si>
  <si>
    <t>Unerring Bracelet</t>
  </si>
  <si>
    <t>Bracelet d'infaillibilité</t>
  </si>
  <si>
    <t>Brazalete certero</t>
  </si>
  <si>
    <t>狙擊手環</t>
  </si>
  <si>
    <t>狙击手环</t>
  </si>
  <si>
    <t>狙撃のブレスレット</t>
  </si>
  <si>
    <t>Enlightening Bracelet</t>
  </si>
  <si>
    <t>Bracelet d'illumination</t>
  </si>
  <si>
    <t>Brazalete revelador</t>
  </si>
  <si>
    <t>察知手環</t>
  </si>
  <si>
    <t>察知手环</t>
  </si>
  <si>
    <t>察知のブレスレット</t>
  </si>
  <si>
    <t>Sprightly Bracelet</t>
  </si>
  <si>
    <t>Bracelet de vivacité</t>
  </si>
  <si>
    <t>Brazalete vivaz</t>
  </si>
  <si>
    <t>靈敏手環</t>
  </si>
  <si>
    <t>灵敏手环</t>
  </si>
  <si>
    <t>俊敏のブレスレット</t>
  </si>
  <si>
    <t>Critical Bracelet</t>
  </si>
  <si>
    <t>Bracelet de critique</t>
  </si>
  <si>
    <t>Brazalete crítico</t>
  </si>
  <si>
    <t>會心手環</t>
  </si>
  <si>
    <t>会心手环</t>
  </si>
  <si>
    <t>会心のブレスレット</t>
  </si>
  <si>
    <t>Empowering Ring</t>
  </si>
  <si>
    <t>Anello del potere</t>
  </si>
  <si>
    <t>Anneau de renforcement</t>
  </si>
  <si>
    <t>Anillo de poder</t>
  </si>
  <si>
    <t>體力戒指</t>
  </si>
  <si>
    <t>体力戒指</t>
  </si>
  <si>
    <t>体力のリング</t>
  </si>
  <si>
    <t>Stimulating Ring</t>
  </si>
  <si>
    <t>Anello stimolante</t>
  </si>
  <si>
    <t>Anneau de stimulation</t>
  </si>
  <si>
    <t>Anillo estimulante</t>
  </si>
  <si>
    <t>精神戒指</t>
  </si>
  <si>
    <t>精神のリング</t>
  </si>
  <si>
    <t>Protective Ring</t>
  </si>
  <si>
    <t>Anello protettivo</t>
  </si>
  <si>
    <t>Anneau protecteur</t>
  </si>
  <si>
    <t>Anillo protector</t>
  </si>
  <si>
    <t>守護戒指</t>
  </si>
  <si>
    <t>守护戒指</t>
  </si>
  <si>
    <t>守護のリング</t>
  </si>
  <si>
    <t>Unerring Ring</t>
  </si>
  <si>
    <t>Anello infallibile</t>
  </si>
  <si>
    <t>Anneau d'infaillibilité</t>
  </si>
  <si>
    <t>Anillo certero</t>
  </si>
  <si>
    <t>狙擊戒指</t>
  </si>
  <si>
    <t>狙击戒指</t>
  </si>
  <si>
    <t>狙撃のリング</t>
  </si>
  <si>
    <t>Enlightening Ring</t>
  </si>
  <si>
    <t>Anello illuminante</t>
  </si>
  <si>
    <t>Anneau d'illumination</t>
  </si>
  <si>
    <t>Anillo revelador</t>
  </si>
  <si>
    <t>察知戒指</t>
  </si>
  <si>
    <t>察知のリング</t>
  </si>
  <si>
    <t>Sprightly Ring</t>
  </si>
  <si>
    <t>Anello brioso</t>
  </si>
  <si>
    <t>Anneau de vivacité</t>
  </si>
  <si>
    <t>Anillo vivaz</t>
  </si>
  <si>
    <t>靈敏戒指</t>
  </si>
  <si>
    <t>灵敏戒指</t>
  </si>
  <si>
    <t>俊敏のリング</t>
  </si>
  <si>
    <t>Critical Ring</t>
  </si>
  <si>
    <t>Anello critico</t>
  </si>
  <si>
    <t>Anneau de critique</t>
  </si>
  <si>
    <t>Anillo crítico</t>
  </si>
  <si>
    <t>會心戒指</t>
  </si>
  <si>
    <t>会心戒指</t>
  </si>
  <si>
    <t>会心のリング</t>
  </si>
  <si>
    <t>Empowering Earring</t>
  </si>
  <si>
    <t>Orecchino del potere</t>
  </si>
  <si>
    <t>Boucle d'oreille de renforcement</t>
  </si>
  <si>
    <t>Pendiente de poder</t>
  </si>
  <si>
    <t>體力耳環</t>
  </si>
  <si>
    <t>体力耳环</t>
  </si>
  <si>
    <t>体力のピアス</t>
  </si>
  <si>
    <t>Stimulating Earring</t>
  </si>
  <si>
    <t>Orecchino stimolante</t>
  </si>
  <si>
    <t>Boucle d'oreille de stimulation</t>
  </si>
  <si>
    <t>Pendiente estimulante</t>
  </si>
  <si>
    <t>精神耳環</t>
  </si>
  <si>
    <t>精神耳环</t>
  </si>
  <si>
    <t>精神のピアス</t>
  </si>
  <si>
    <t>Protective Earring</t>
  </si>
  <si>
    <t>Orecchino protettivo</t>
  </si>
  <si>
    <t>Boucle d'oreille protectrice</t>
  </si>
  <si>
    <t>Pendiente protector</t>
  </si>
  <si>
    <t>守護耳環</t>
  </si>
  <si>
    <t>守护耳环</t>
  </si>
  <si>
    <t>守護のピアス</t>
  </si>
  <si>
    <t>Unerring Earring</t>
  </si>
  <si>
    <t>Orecchino infallibile</t>
  </si>
  <si>
    <t>Boucle d'oreille d'infaillibilité</t>
  </si>
  <si>
    <t>Pendiente certero</t>
  </si>
  <si>
    <t>狙擊耳環</t>
  </si>
  <si>
    <t>狙击耳环</t>
  </si>
  <si>
    <t>狙撃のピアス</t>
  </si>
  <si>
    <t>Enlightening Earring</t>
  </si>
  <si>
    <t>Orecchino illuminante</t>
  </si>
  <si>
    <t>Boucle d'oreille d'illumination</t>
  </si>
  <si>
    <t>Pendiente revelador</t>
  </si>
  <si>
    <t>察知耳環</t>
  </si>
  <si>
    <t>察知耳环</t>
  </si>
  <si>
    <t>察知のピアス</t>
  </si>
  <si>
    <t>Sprightly Earring</t>
  </si>
  <si>
    <t>Orecchino brioso</t>
  </si>
  <si>
    <t>boucle d'oreille de vivacité</t>
  </si>
  <si>
    <t>Pendiente vivaz</t>
  </si>
  <si>
    <t>靈敏耳環</t>
  </si>
  <si>
    <t>灵敏耳环</t>
  </si>
  <si>
    <t>俊敏のピアス</t>
  </si>
  <si>
    <t>Critical Earring</t>
  </si>
  <si>
    <t>Orecchino critico</t>
  </si>
  <si>
    <t>Boucle d'oreille de critique</t>
  </si>
  <si>
    <t>Pendiente crítico</t>
  </si>
  <si>
    <t>會心耳環</t>
  </si>
  <si>
    <t>会心耳环</t>
  </si>
  <si>
    <t>会心のピアス</t>
  </si>
  <si>
    <t>Weaver's Charm</t>
  </si>
  <si>
    <t>Charme de tisseur</t>
  </si>
  <si>
    <t>Amuleto del tejedor</t>
  </si>
  <si>
    <t>紡織者的護身符</t>
  </si>
  <si>
    <t>纺织者的护身符</t>
  </si>
  <si>
    <t>織物屋のお守り</t>
  </si>
  <si>
    <t>Gentleman's Charm</t>
  </si>
  <si>
    <t>Charme de gentilhomme</t>
  </si>
  <si>
    <t>Amuleto del caballero</t>
  </si>
  <si>
    <t>愛妻家的護身符</t>
  </si>
  <si>
    <t>爱妻家的护身符</t>
  </si>
  <si>
    <t>愛妻家のお守り</t>
  </si>
  <si>
    <t>Gourmet's Charm</t>
  </si>
  <si>
    <t>Charme de gourmet</t>
  </si>
  <si>
    <t>Amuleto del sibarita</t>
  </si>
  <si>
    <t>美食家的護身符</t>
  </si>
  <si>
    <t>美食家的护身符</t>
  </si>
  <si>
    <t>美食家のお守り</t>
  </si>
  <si>
    <t>Inferno Amulet</t>
  </si>
  <si>
    <t>Amulette de fournaise</t>
  </si>
  <si>
    <t>Amuleto infernal</t>
  </si>
  <si>
    <t>火焰避邪符</t>
  </si>
  <si>
    <t>火炎のアミュレット</t>
  </si>
  <si>
    <t>Blizzard Amulet</t>
  </si>
  <si>
    <t>Amulette de blizzard</t>
  </si>
  <si>
    <t>Amuleto de ventísca</t>
  </si>
  <si>
    <t>冰凍避邪符</t>
  </si>
  <si>
    <t>冰冻避邪符</t>
  </si>
  <si>
    <t>氷結のアミュレット</t>
  </si>
  <si>
    <t>Tempest Amulet</t>
  </si>
  <si>
    <t>Amulette de tempête</t>
  </si>
  <si>
    <t>Amuleto tempestuoso</t>
  </si>
  <si>
    <t>龍捲風避邪符</t>
  </si>
  <si>
    <t>龙卷风避邪符</t>
  </si>
  <si>
    <t>竜巻のアミュレット</t>
  </si>
  <si>
    <t>Thunderstorm Amulet</t>
  </si>
  <si>
    <t>Amulette d'orage</t>
  </si>
  <si>
    <t>Amuleto de tormenta</t>
  </si>
  <si>
    <t>雷電避邪符</t>
  </si>
  <si>
    <t>雷电避邪符</t>
  </si>
  <si>
    <t>稲妻のアミュレット</t>
  </si>
  <si>
    <t>Void Amulet</t>
  </si>
  <si>
    <t>Amulette du vide</t>
  </si>
  <si>
    <t>Amuleto de vacío</t>
  </si>
  <si>
    <t>霄闇避邪符</t>
  </si>
  <si>
    <t>霄暗避邪符</t>
  </si>
  <si>
    <t>屑闇のアミュレット</t>
  </si>
  <si>
    <t>Gleaming Amulet</t>
  </si>
  <si>
    <t>Amulette luisante</t>
  </si>
  <si>
    <t>Amuleto resplandeciente</t>
  </si>
  <si>
    <t>閃光避邪符</t>
  </si>
  <si>
    <t>闪光避邪符</t>
  </si>
  <si>
    <t>閃光のアミュレット</t>
  </si>
  <si>
    <t>Fire Amulet</t>
  </si>
  <si>
    <t>Amuleto di fuoco</t>
  </si>
  <si>
    <t>Amulette de feu</t>
  </si>
  <si>
    <t>Amuleto de fuego</t>
  </si>
  <si>
    <t>火之避邪符</t>
  </si>
  <si>
    <t>火のアミュレット</t>
  </si>
  <si>
    <t>Ice Amulet</t>
  </si>
  <si>
    <t>Amuleto di ghiaccio</t>
  </si>
  <si>
    <t>Amulette de glace</t>
  </si>
  <si>
    <t>Amuleto de hielo</t>
  </si>
  <si>
    <t>冰之避邪符</t>
  </si>
  <si>
    <t>氷のアミュレット</t>
  </si>
  <si>
    <t>Wind Amulet</t>
  </si>
  <si>
    <t>Amuleto di vento</t>
  </si>
  <si>
    <t>Amulette de vent</t>
  </si>
  <si>
    <t>Amuleto de viento</t>
  </si>
  <si>
    <t>風之避邪符</t>
  </si>
  <si>
    <t>风之避邪符</t>
  </si>
  <si>
    <t>風のアミュレット</t>
  </si>
  <si>
    <t>Lightning Amulet</t>
  </si>
  <si>
    <t>Amuleto del tuono</t>
  </si>
  <si>
    <t>Amulette de foudre</t>
  </si>
  <si>
    <t>Amuleto de rayo</t>
  </si>
  <si>
    <t>雷之避邪符</t>
  </si>
  <si>
    <t>雷のアミュレット</t>
  </si>
  <si>
    <t>Dark Amulet</t>
  </si>
  <si>
    <t>Amuleto delle tenebre</t>
  </si>
  <si>
    <t>Amulette d'ombre</t>
  </si>
  <si>
    <t>Amuleto de oscuridad</t>
  </si>
  <si>
    <t>闇之避邪符</t>
  </si>
  <si>
    <t>暗之避邪符</t>
  </si>
  <si>
    <t>闇のアミュレット</t>
  </si>
  <si>
    <t>Light Amulet</t>
  </si>
  <si>
    <t>Amuleto della luce</t>
  </si>
  <si>
    <t>Amulette de lumière</t>
  </si>
  <si>
    <t>Amuleto de luz</t>
  </si>
  <si>
    <t>光之避邪符</t>
  </si>
  <si>
    <t>光のアミュレット</t>
  </si>
  <si>
    <t>Antidote Stone</t>
  </si>
  <si>
    <t>Pierre d'antidote</t>
  </si>
  <si>
    <t>Piedra antídoto</t>
  </si>
  <si>
    <t>猛毒耐性石</t>
  </si>
  <si>
    <t>猛毒耐性ストーン</t>
  </si>
  <si>
    <t>Wakeful Stone</t>
  </si>
  <si>
    <t>Pietra della veglia</t>
  </si>
  <si>
    <t>Pierre d'éveil</t>
  </si>
  <si>
    <t>Piedra vigília</t>
  </si>
  <si>
    <t>睡眠耐性石</t>
  </si>
  <si>
    <t>睡眠耐性ストーン</t>
  </si>
  <si>
    <t>Articulate Stone</t>
  </si>
  <si>
    <t>Pietra articolata</t>
  </si>
  <si>
    <t>Pierre d'élocution</t>
  </si>
  <si>
    <t>Piedra elocuente</t>
  </si>
  <si>
    <t>沉默耐性石</t>
  </si>
  <si>
    <t>沈黙耐性ストーン</t>
  </si>
  <si>
    <t>Bright Stone</t>
  </si>
  <si>
    <t>Pierre lumineuse</t>
  </si>
  <si>
    <t xml:space="preserve">Piedra brillante </t>
  </si>
  <si>
    <t>暗闇耐性石</t>
  </si>
  <si>
    <t>暗暗耐性石</t>
  </si>
  <si>
    <t>暗闇耐性ストーン</t>
  </si>
  <si>
    <t>Calming Stone</t>
  </si>
  <si>
    <t>Pierre de calme</t>
  </si>
  <si>
    <t>Piedra tranquila</t>
  </si>
  <si>
    <t>恐怖耐性石</t>
  </si>
  <si>
    <t>恐怖耐性ストーン</t>
  </si>
  <si>
    <t>Clarity Stone</t>
  </si>
  <si>
    <t>Pierre de clarté</t>
  </si>
  <si>
    <t>Piedra clara</t>
  </si>
  <si>
    <t>混亂耐性石</t>
  </si>
  <si>
    <t>混乱耐性石</t>
  </si>
  <si>
    <t>混乱耐性ストーン</t>
  </si>
  <si>
    <t>Conscious Stone</t>
  </si>
  <si>
    <t>Pierre de conscience</t>
  </si>
  <si>
    <t>Piedra consciente</t>
  </si>
  <si>
    <t>昏迷耐性石</t>
  </si>
  <si>
    <t>気絶耐性ストーン</t>
  </si>
  <si>
    <t>Vivifying Stone</t>
  </si>
  <si>
    <t>Pierre vivifiante</t>
  </si>
  <si>
    <t>Piedra vital</t>
  </si>
  <si>
    <t>即死耐性石</t>
  </si>
  <si>
    <t>即死耐性ストーン</t>
  </si>
  <si>
    <t>Soothing Seed</t>
  </si>
  <si>
    <t>Seme lenitivo</t>
  </si>
  <si>
    <t>Graine apaisante</t>
  </si>
  <si>
    <t>Semilla calmante</t>
  </si>
  <si>
    <t>藥的素材</t>
  </si>
  <si>
    <t>药的素材</t>
  </si>
  <si>
    <t>薬の素材</t>
  </si>
  <si>
    <t>Soothing Dust</t>
  </si>
  <si>
    <t>Polvere lenitiva</t>
  </si>
  <si>
    <t>Poudre apaisante</t>
  </si>
  <si>
    <t>Polvo calmante</t>
  </si>
  <si>
    <t>藥的素材（擴散）</t>
  </si>
  <si>
    <t>药的素材（扩散）</t>
  </si>
  <si>
    <t>薬の素材（拡散）</t>
  </si>
  <si>
    <t>Purifying Seed</t>
  </si>
  <si>
    <t>Seme purificante</t>
  </si>
  <si>
    <t>Graine purifiante</t>
  </si>
  <si>
    <t>Semilla purificante</t>
  </si>
  <si>
    <t>秘藥的素材</t>
  </si>
  <si>
    <t>秘药的素材</t>
  </si>
  <si>
    <t>秘薬の素材</t>
  </si>
  <si>
    <t>Purifying Dust</t>
  </si>
  <si>
    <t>Polvere purificante</t>
  </si>
  <si>
    <t>Poudre purifiante</t>
  </si>
  <si>
    <t>Polvo purificante</t>
  </si>
  <si>
    <t>秘藥的素材（擴散）</t>
  </si>
  <si>
    <t>秘药的素材（扩散）</t>
  </si>
  <si>
    <t>秘薬の素材（拡散）</t>
  </si>
  <si>
    <t>Injurious Seed</t>
  </si>
  <si>
    <t>Seme nocivo</t>
  </si>
  <si>
    <t>Graine dangereuse</t>
  </si>
  <si>
    <t>Semilla perjudicial</t>
  </si>
  <si>
    <t>含毒的素材</t>
  </si>
  <si>
    <t>劇物の素材</t>
  </si>
  <si>
    <t>Injurious Dust</t>
  </si>
  <si>
    <t>Polvere nociva</t>
  </si>
  <si>
    <t>Poudre dangereuse</t>
  </si>
  <si>
    <t>Polvo perjudicial</t>
  </si>
  <si>
    <t>含毒的素材（擴散）</t>
  </si>
  <si>
    <t>含毒的素材（扩散）</t>
  </si>
  <si>
    <t>劇物の素材（拡散）</t>
  </si>
  <si>
    <t>Ruinous Seed</t>
  </si>
  <si>
    <t>Seme dannosa</t>
  </si>
  <si>
    <t>Graine calamiteuse</t>
  </si>
  <si>
    <t>Semilla ruinosa</t>
  </si>
  <si>
    <t>超含毒的素材</t>
  </si>
  <si>
    <t>超劇物の素材</t>
  </si>
  <si>
    <t>Ruinous Dust</t>
  </si>
  <si>
    <t>Polvere dannosa</t>
  </si>
  <si>
    <t>Poudre calamiteuse</t>
  </si>
  <si>
    <t>Polvo ruinoso</t>
  </si>
  <si>
    <t>超含毒的素材（擴散）</t>
  </si>
  <si>
    <t>超含毒的素材（扩散）</t>
  </si>
  <si>
    <t>超劇物の素材（拡散）</t>
  </si>
  <si>
    <t>Noxroot</t>
  </si>
  <si>
    <t>Necroradice</t>
  </si>
  <si>
    <t>Poisonanthe</t>
  </si>
  <si>
    <t>Raíz nociva</t>
  </si>
  <si>
    <t>毒利米樹之葉</t>
  </si>
  <si>
    <t>毒利米树之叶</t>
  </si>
  <si>
    <t>ドクリミキの薬</t>
  </si>
  <si>
    <t>Sleepweed</t>
  </si>
  <si>
    <t>Erba pisolina</t>
  </si>
  <si>
    <t>Ivraie-de-nuit</t>
  </si>
  <si>
    <t>Hierba adormidera</t>
  </si>
  <si>
    <t>睡眠花之葉</t>
  </si>
  <si>
    <t>睡眠花之叶</t>
  </si>
  <si>
    <t>スイミンカの薬</t>
  </si>
  <si>
    <t>Addlewort</t>
  </si>
  <si>
    <t>Erba matta</t>
  </si>
  <si>
    <t>Embrouillette</t>
  </si>
  <si>
    <t>Confundidera</t>
  </si>
  <si>
    <t>混亂多之葉</t>
  </si>
  <si>
    <t>混乱多之叶</t>
  </si>
  <si>
    <t>コンラントの薬</t>
  </si>
  <si>
    <t>Essence of Grape</t>
  </si>
  <si>
    <t>Essenza di nettare</t>
  </si>
  <si>
    <t>Essence de raisin</t>
  </si>
  <si>
    <t>Esencia de uva</t>
  </si>
  <si>
    <t>葡萄樹液</t>
  </si>
  <si>
    <t>葡萄树液</t>
  </si>
  <si>
    <t>ブドウの樹液</t>
  </si>
  <si>
    <t>Essence of Plum</t>
  </si>
  <si>
    <t>Essenza di prugnola</t>
  </si>
  <si>
    <t>Essence de prune</t>
  </si>
  <si>
    <t>Esencia de ciruela</t>
  </si>
  <si>
    <t>李子樹液</t>
  </si>
  <si>
    <t>李子树液</t>
  </si>
  <si>
    <t>プラムの樹液</t>
  </si>
  <si>
    <t>Essence of Pomegranate</t>
  </si>
  <si>
    <t>Essenza di melagrana</t>
  </si>
  <si>
    <t>Essence de grenade</t>
  </si>
  <si>
    <t>Esencia de granada</t>
  </si>
  <si>
    <t>石榴樹液</t>
  </si>
  <si>
    <t>石榴树液</t>
  </si>
  <si>
    <t>ザクロの樹液</t>
  </si>
  <si>
    <t>Olive Bloom</t>
  </si>
  <si>
    <t>Fiore di olivo</t>
  </si>
  <si>
    <t>Fleur d'olivier</t>
  </si>
  <si>
    <t>Flor de olivo</t>
  </si>
  <si>
    <t>橄欖花</t>
  </si>
  <si>
    <t>橄榄花</t>
  </si>
  <si>
    <t>オリーブの花</t>
  </si>
  <si>
    <t>Curious Bloom</t>
  </si>
  <si>
    <t>Fleur étrange</t>
  </si>
  <si>
    <t>Flor curiosa</t>
  </si>
  <si>
    <t>神秘之花</t>
  </si>
  <si>
    <t>ナゾの花</t>
  </si>
  <si>
    <t>Valuables</t>
  </si>
  <si>
    <t>Tesori</t>
  </si>
  <si>
    <t>Objets de valeur</t>
  </si>
  <si>
    <t>貴重物品</t>
  </si>
  <si>
    <t>贵重物品</t>
  </si>
  <si>
    <t>貴重品</t>
  </si>
  <si>
    <t>Translated Tome</t>
  </si>
  <si>
    <t>Ouvrage traduit</t>
  </si>
  <si>
    <t>Libro traducido</t>
  </si>
  <si>
    <t>《邊獄之書》的抄本</t>
  </si>
  <si>
    <t>《边狱之书》的抄本</t>
  </si>
  <si>
    <t>『辺獄の書』の写本</t>
  </si>
  <si>
    <t>Original Tome</t>
  </si>
  <si>
    <t>Ouvrage d'origine</t>
  </si>
  <si>
    <t>Libro original</t>
  </si>
  <si>
    <t>邊獄之書</t>
  </si>
  <si>
    <t>边狱之书</t>
  </si>
  <si>
    <t>辺獄の書</t>
  </si>
  <si>
    <t>Letter From Master</t>
  </si>
  <si>
    <t>Lettre du maître</t>
  </si>
  <si>
    <t>Carta del maestro</t>
  </si>
  <si>
    <t>師父的飛箭傳書</t>
  </si>
  <si>
    <t>师父的飞箭传书</t>
  </si>
  <si>
    <t>師匠の矢文</t>
  </si>
  <si>
    <t>Herb-of-grace</t>
  </si>
  <si>
    <t>芸香</t>
  </si>
  <si>
    <t>Blue Swordfish</t>
  </si>
  <si>
    <t>Pesce spada blu</t>
  </si>
  <si>
    <t>Espadon Bleu</t>
  </si>
  <si>
    <t>Pez espada azul</t>
  </si>
  <si>
    <t>藍旗魚</t>
  </si>
  <si>
    <t>蓝旗鱼</t>
  </si>
  <si>
    <t>アオカジキ</t>
  </si>
  <si>
    <t>Bottle of Wine</t>
  </si>
  <si>
    <t>Bottiglia di vino</t>
  </si>
  <si>
    <t>Bouteille de vin</t>
  </si>
  <si>
    <t>Botella de vino</t>
  </si>
  <si>
    <t>葡萄酒</t>
  </si>
  <si>
    <t>ブドウ酒</t>
  </si>
  <si>
    <t>睡眠草</t>
  </si>
  <si>
    <t>Anonymous Diary</t>
  </si>
  <si>
    <t>Diario anonimo</t>
  </si>
  <si>
    <t>Journal anonyme</t>
  </si>
  <si>
    <t>Diario anónimo</t>
  </si>
  <si>
    <t>無名手記</t>
  </si>
  <si>
    <t>无名手记</t>
  </si>
  <si>
    <t>Nondescript Stone / Skystone</t>
  </si>
  <si>
    <t>Pietra comune / Celestite</t>
  </si>
  <si>
    <t>Pierre quelconque / Célestite</t>
  </si>
  <si>
    <t>Piedra celestial</t>
  </si>
  <si>
    <t>垃圾石 / 碧閃石</t>
  </si>
  <si>
    <t>垃圾石 / 碧闪石</t>
  </si>
  <si>
    <t>Edbart's Shield</t>
  </si>
  <si>
    <t>Scudo di Edbard</t>
  </si>
  <si>
    <t>Bouclier d'Ébart</t>
  </si>
  <si>
    <t>Escudo de Edbart</t>
  </si>
  <si>
    <t>艾德哈爾特之盾</t>
  </si>
  <si>
    <t>艾德哈尔特之盾</t>
  </si>
  <si>
    <t>Ancient Map</t>
  </si>
  <si>
    <t>Carte ancienne</t>
  </si>
  <si>
    <t>Mapa antiguo</t>
  </si>
  <si>
    <t>古老地圖</t>
  </si>
  <si>
    <t>旧地图</t>
  </si>
  <si>
    <t>古地図</t>
  </si>
  <si>
    <t>Letter from Baltazar</t>
  </si>
  <si>
    <t>Lettre de Baltazar</t>
  </si>
  <si>
    <t>Carta de Baltazar</t>
  </si>
  <si>
    <t>巴爾塔扎爾的信</t>
  </si>
  <si>
    <t>巴尔塔扎尔的信</t>
  </si>
  <si>
    <t>Eldrite</t>
  </si>
  <si>
    <t>Eldrita</t>
  </si>
  <si>
    <t>艾爾多萊特</t>
  </si>
  <si>
    <t>艾尔多莱特</t>
  </si>
  <si>
    <t>エルドライト</t>
  </si>
  <si>
    <t>Aelfric's Lanthorn</t>
  </si>
  <si>
    <t>Fanal d'Aelfric</t>
  </si>
  <si>
    <t>Candil de Aelfric</t>
  </si>
  <si>
    <t>採火燈</t>
  </si>
  <si>
    <t>采火灯</t>
  </si>
  <si>
    <t>Letter of Introduction</t>
  </si>
  <si>
    <t>Lettera di presentazione</t>
  </si>
  <si>
    <t>Lettre de recommandation</t>
  </si>
  <si>
    <t>Carta de presentación</t>
  </si>
  <si>
    <t>信用證明書</t>
  </si>
  <si>
    <t>信用证明书</t>
  </si>
  <si>
    <t>信用状</t>
  </si>
  <si>
    <t>Oasis Water</t>
  </si>
  <si>
    <t>Acqua di oasi</t>
  </si>
  <si>
    <t>Eau d'oasis</t>
  </si>
  <si>
    <t>Agua de oasis</t>
  </si>
  <si>
    <t>綠洲的水</t>
  </si>
  <si>
    <t>绿洲的水</t>
  </si>
  <si>
    <t>Wyvern Scale</t>
  </si>
  <si>
    <t>Écaille de vouivre</t>
  </si>
  <si>
    <t>Escama de guiverno</t>
  </si>
  <si>
    <t>飛龍的皮膜</t>
  </si>
  <si>
    <t>飞龙的皮膜</t>
  </si>
  <si>
    <t>Crystal Ore</t>
  </si>
  <si>
    <t>Minerai de cristal</t>
  </si>
  <si>
    <t>Cristal mineral</t>
  </si>
  <si>
    <t>水晶礦石</t>
  </si>
  <si>
    <t>水晶矿石</t>
  </si>
  <si>
    <t>Crystal Key</t>
  </si>
  <si>
    <t>Clé de cristal</t>
  </si>
  <si>
    <t>Llave de cristal</t>
  </si>
  <si>
    <t>水晶鑰匙</t>
  </si>
  <si>
    <t>水晶钥匙</t>
  </si>
  <si>
    <t>Attendant's Mask</t>
  </si>
  <si>
    <t>Masque de garde</t>
  </si>
  <si>
    <t>Máscara de asistente</t>
  </si>
  <si>
    <t>工作人員面具</t>
  </si>
  <si>
    <t>工作人员面具</t>
  </si>
  <si>
    <t>スタッフの仮面</t>
  </si>
  <si>
    <t>Aristocrat's Mask</t>
  </si>
  <si>
    <t>Masque d'aristocrate</t>
  </si>
  <si>
    <t>Máscara de aristócrata</t>
  </si>
  <si>
    <t>貴族面具</t>
  </si>
  <si>
    <t>贵族面具</t>
  </si>
  <si>
    <t>Black Market Inventory</t>
  </si>
  <si>
    <t>Inventaire du marché noir</t>
  </si>
  <si>
    <t>Inventario del mercado negro</t>
  </si>
  <si>
    <t>黑市商品清單</t>
  </si>
  <si>
    <t>黑市商品清单</t>
  </si>
  <si>
    <t>Brigand's Garb</t>
  </si>
  <si>
    <t>Tenue de brigand</t>
  </si>
  <si>
    <t>Traje de forajido</t>
  </si>
  <si>
    <t>盜賊服</t>
  </si>
  <si>
    <t>盗贼服</t>
  </si>
  <si>
    <t>Brigand Leader's Garb</t>
  </si>
  <si>
    <t>Tenue du chef des brigands</t>
  </si>
  <si>
    <t>Traje de líder forajido</t>
  </si>
  <si>
    <t>盜賊幹部服</t>
  </si>
  <si>
    <t>盗贼干部服</t>
  </si>
  <si>
    <t>Alfyn's Satchel</t>
  </si>
  <si>
    <t>Sacca di Alfyn</t>
  </si>
  <si>
    <t>Sacoche d'Alfyn</t>
  </si>
  <si>
    <t>Bolsa de Alfyn</t>
  </si>
  <si>
    <t>亞芬的背包</t>
  </si>
  <si>
    <t>亚芬的背包</t>
  </si>
  <si>
    <t>Zeph's Satchel</t>
  </si>
  <si>
    <t>Sacca di Zeph</t>
  </si>
  <si>
    <t>Sacoche de Zeph</t>
  </si>
  <si>
    <t>Bolsa de Zeph</t>
  </si>
  <si>
    <t>傑夫的背包</t>
  </si>
  <si>
    <t>杰夫的背包</t>
  </si>
  <si>
    <t>ゼフの鞄</t>
  </si>
  <si>
    <t>House Azelhart Dagger</t>
  </si>
  <si>
    <t>Pugnale del casato di Azelhart</t>
  </si>
  <si>
    <t>Dague de la maison Azelhart</t>
  </si>
  <si>
    <t>Daga de la casa Azelhart</t>
  </si>
  <si>
    <t>耶捷爾亞特的短劍</t>
  </si>
  <si>
    <t>耶捷尔亚特的短剑</t>
  </si>
  <si>
    <t>エズルアートの短剣</t>
  </si>
  <si>
    <t>Yusufa's Handkerchief</t>
  </si>
  <si>
    <t>Fazzoletto di Yusufa</t>
  </si>
  <si>
    <t>Mouchoir de Iousfa</t>
  </si>
  <si>
    <t>Pañuelo de Yusufa</t>
  </si>
  <si>
    <t>優絲法的手帕</t>
  </si>
  <si>
    <t>优丝法的手帕</t>
  </si>
  <si>
    <t>ユースファのハンカチ</t>
  </si>
  <si>
    <t>Left-hand Man's Map</t>
  </si>
  <si>
    <t>Mappa uomo con marchio a sinistra</t>
  </si>
  <si>
    <t>Carte de l'aile gauche du corbeau</t>
  </si>
  <si>
    <t>Mapa de la mano izquierda</t>
  </si>
  <si>
    <t>左腕之男的地圖</t>
  </si>
  <si>
    <t>左腕之男的地图</t>
  </si>
  <si>
    <t>左腕の男の地図</t>
  </si>
  <si>
    <t>River Blossom</t>
  </si>
  <si>
    <t>Lys des rivières</t>
  </si>
  <si>
    <t>Flor fluvial</t>
  </si>
  <si>
    <t>河邊的花</t>
  </si>
  <si>
    <t>河边的花</t>
  </si>
  <si>
    <t>川辺の花</t>
  </si>
  <si>
    <t>Dungeon Key</t>
  </si>
  <si>
    <t>Clé des cachots</t>
  </si>
  <si>
    <t>Llave de mazmorra</t>
  </si>
  <si>
    <t>監獄的鑰匙</t>
  </si>
  <si>
    <t>监狱的钥匙</t>
  </si>
  <si>
    <t>牢屋の鍵</t>
  </si>
  <si>
    <t>Ambrosial Milk</t>
  </si>
  <si>
    <t>Latte d'ambrosia</t>
  </si>
  <si>
    <t>Lait exquis</t>
  </si>
  <si>
    <t>Leche de ambrosía</t>
  </si>
  <si>
    <t>頂級牛奶</t>
  </si>
  <si>
    <t>顶级牛奶</t>
  </si>
  <si>
    <t>特上の牛乳</t>
  </si>
  <si>
    <t>Emperor Crab</t>
  </si>
  <si>
    <t>Granchio imperiale</t>
  </si>
  <si>
    <t>Crabe empereur</t>
  </si>
  <si>
    <t>Cangrejo emperador</t>
  </si>
  <si>
    <t>帝王蟹</t>
  </si>
  <si>
    <t>シンクガニ</t>
  </si>
  <si>
    <t>Roc Egg</t>
  </si>
  <si>
    <t>Uovo di Roc</t>
  </si>
  <si>
    <t>OEuf de roc</t>
  </si>
  <si>
    <t>Huevo de rocho</t>
  </si>
  <si>
    <t>大雞的蛋</t>
  </si>
  <si>
    <t>大鸡的蛋</t>
  </si>
  <si>
    <t>大鶏の卵</t>
  </si>
  <si>
    <t>Final Masterpiece</t>
  </si>
  <si>
    <t>Ultime chef-d'oeuvre</t>
  </si>
  <si>
    <t>Obra maestra final</t>
  </si>
  <si>
    <t>最後的作品</t>
  </si>
  <si>
    <t>最后的作品</t>
  </si>
  <si>
    <t>最後の作品</t>
  </si>
  <si>
    <t>Cow Droppings</t>
  </si>
  <si>
    <t>Fumier</t>
  </si>
  <si>
    <t>Excrementos de vaca</t>
  </si>
  <si>
    <t>牛糞</t>
  </si>
  <si>
    <t>牛粪</t>
  </si>
  <si>
    <t>牛のフン</t>
  </si>
  <si>
    <t>Lorie's Diary</t>
  </si>
  <si>
    <t>Diario di Lorie</t>
  </si>
  <si>
    <t>Journal de Lorie</t>
  </si>
  <si>
    <t>Diario de Lorie</t>
  </si>
  <si>
    <t>蘿拉的記事本</t>
  </si>
  <si>
    <t>萝拉的记事本</t>
  </si>
  <si>
    <t>ローラの手帳</t>
  </si>
  <si>
    <t>Diva's Dress</t>
  </si>
  <si>
    <t>Abito da diva</t>
  </si>
  <si>
    <t>Robe de danseuse</t>
  </si>
  <si>
    <t>Vestido de diva</t>
  </si>
  <si>
    <t>明星的禮服</t>
  </si>
  <si>
    <t>明星的礼服</t>
  </si>
  <si>
    <t>スタアのドレス</t>
  </si>
  <si>
    <t>Saucy Prawns</t>
  </si>
  <si>
    <t>Gamberetti in salsa</t>
  </si>
  <si>
    <t>Crevettes en sauce</t>
  </si>
  <si>
    <t>Gambas en salsa</t>
  </si>
  <si>
    <t>小蝦醬</t>
  </si>
  <si>
    <t>小虾酱</t>
  </si>
  <si>
    <t>小エビのソース</t>
  </si>
  <si>
    <t>Rebel's Axe</t>
  </si>
  <si>
    <t>Ascia da ribelle</t>
  </si>
  <si>
    <t>Hache de rebelle</t>
  </si>
  <si>
    <t>Hacha de rebelde</t>
  </si>
  <si>
    <t>反亂之斧</t>
  </si>
  <si>
    <t>反乱之斧</t>
  </si>
  <si>
    <t>反乱の斧</t>
  </si>
  <si>
    <t>Revolutionary Sword</t>
  </si>
  <si>
    <t>Épée révolutionnaire</t>
  </si>
  <si>
    <t>Espada revolucionaria</t>
  </si>
  <si>
    <t>革命之劍</t>
  </si>
  <si>
    <t>革命之剑</t>
  </si>
  <si>
    <t>革命の剣</t>
  </si>
  <si>
    <t>Spear of Justice</t>
  </si>
  <si>
    <t>Lancia della giustizia</t>
  </si>
  <si>
    <t>Lance de la justice</t>
  </si>
  <si>
    <t>Lanza de justicia</t>
  </si>
  <si>
    <t>反逆之槍</t>
  </si>
  <si>
    <t>反逆之枪</t>
  </si>
  <si>
    <t>反逆の槍</t>
  </si>
  <si>
    <t>Giant Tusk</t>
  </si>
  <si>
    <t>Défense géante</t>
  </si>
  <si>
    <t>Colmillo gigante</t>
  </si>
  <si>
    <t>大牙野豬的獠牙</t>
  </si>
  <si>
    <t>大牙野猪的獠牙</t>
  </si>
  <si>
    <t>大牙猪の牙</t>
  </si>
  <si>
    <t>Satisfactory Coal</t>
  </si>
  <si>
    <t>Charbon satisfaisant</t>
  </si>
  <si>
    <t>Carbón satisfactorio</t>
  </si>
  <si>
    <t>合適的木炭</t>
  </si>
  <si>
    <t>合适的木炭</t>
  </si>
  <si>
    <t>手頃な木炭</t>
  </si>
  <si>
    <t>Adequate Flax</t>
  </si>
  <si>
    <t>Lin convenable</t>
  </si>
  <si>
    <t>Lino adecuado</t>
  </si>
  <si>
    <t>合適的麻稈</t>
  </si>
  <si>
    <t>合适的麻秆</t>
  </si>
  <si>
    <t>手頃な麻殻</t>
  </si>
  <si>
    <t>Portable Pot</t>
  </si>
  <si>
    <t>Thermos adéquat</t>
  </si>
  <si>
    <t>Olla portatil</t>
  </si>
  <si>
    <t>合適的金屬製容器</t>
  </si>
  <si>
    <t>合适的金属制容器</t>
  </si>
  <si>
    <t>手頃な金属製容器</t>
  </si>
  <si>
    <t>Codger-friendly Bow</t>
  </si>
  <si>
    <t>Arc pour personne âgée</t>
  </si>
  <si>
    <t>Arco para abuelos</t>
  </si>
  <si>
    <t>老人也能用的短弓</t>
  </si>
  <si>
    <t>老人でも扱える短弓</t>
  </si>
  <si>
    <t>Leviathan Egg</t>
  </si>
  <si>
    <t>Oeuf de léviathan</t>
  </si>
  <si>
    <t>Huevo de Leviathan</t>
  </si>
  <si>
    <t>海獸之蛋</t>
  </si>
  <si>
    <t>海兽之蛋</t>
  </si>
  <si>
    <t>海獣の卵</t>
  </si>
  <si>
    <t>Beetroot</t>
  </si>
  <si>
    <t>Betterave</t>
  </si>
  <si>
    <t>Remolacha</t>
  </si>
  <si>
    <t>甜菜根</t>
  </si>
  <si>
    <t>ビートの実</t>
  </si>
  <si>
    <t>Orewell Whetstone</t>
  </si>
  <si>
    <t>Pierre à aiguiser de Rochaven</t>
  </si>
  <si>
    <t>Piedra de afilar de Mineralia</t>
  </si>
  <si>
    <t>歐亞威爾產磨刀石</t>
  </si>
  <si>
    <t>欧亚威尔产磨刀石</t>
  </si>
  <si>
    <t>オアウェル産の砥石</t>
  </si>
  <si>
    <t>Gendy's Footcloth</t>
  </si>
  <si>
    <t>Il tappeto di Gendy</t>
  </si>
  <si>
    <t>Tapis de Gendy</t>
  </si>
  <si>
    <t>Alfombrilla de Gendy</t>
  </si>
  <si>
    <t>善治的地毯</t>
  </si>
  <si>
    <t>ゼンジの敷き物</t>
  </si>
  <si>
    <t>Byron's Ring</t>
  </si>
  <si>
    <t>Anneau des Baylon</t>
  </si>
  <si>
    <t>Anillo de Baylon</t>
  </si>
  <si>
    <t>拜倫的戒指</t>
  </si>
  <si>
    <t>拜伦的戒指</t>
  </si>
  <si>
    <t>バイロンの指輪</t>
  </si>
  <si>
    <t>Sword of Sokrath</t>
  </si>
  <si>
    <t>Épée de Socrate</t>
  </si>
  <si>
    <t>Espada de Sócrates</t>
  </si>
  <si>
    <t>索克拉斯之劍</t>
  </si>
  <si>
    <t>索克拉斯之剑</t>
  </si>
  <si>
    <t>ソクラスの剣</t>
  </si>
  <si>
    <t>Tales from a Faraway Land</t>
  </si>
  <si>
    <t>Récits du bout du monde</t>
  </si>
  <si>
    <t>Historias de una tierra lejana</t>
  </si>
  <si>
    <t>異國的冒險物語</t>
  </si>
  <si>
    <t>异国的冒险物语</t>
  </si>
  <si>
    <t>異国の冒険譚</t>
  </si>
  <si>
    <t>House Landar Records</t>
  </si>
  <si>
    <t>Registres de la maison Landar</t>
  </si>
  <si>
    <t>Registro de la Casa Landar</t>
  </si>
  <si>
    <t>藍道爾家管家的記事本</t>
  </si>
  <si>
    <t>蓝道尔家管家的记事本</t>
  </si>
  <si>
    <t>ランドール家執事の手帳</t>
  </si>
  <si>
    <t>Memorial Sword</t>
  </si>
  <si>
    <t>Épée commémorative</t>
  </si>
  <si>
    <t>Espada conmemorativa</t>
  </si>
  <si>
    <t>紀念之劍</t>
  </si>
  <si>
    <t>纪念之剑</t>
  </si>
  <si>
    <t>形見の剣</t>
  </si>
  <si>
    <t>Tools of Learning</t>
  </si>
  <si>
    <t>Ouvrages éducatifs</t>
  </si>
  <si>
    <t>Útiles de aprendizaje</t>
  </si>
  <si>
    <t>學習用具</t>
  </si>
  <si>
    <t>学习用具</t>
  </si>
  <si>
    <t>勉強道具</t>
  </si>
  <si>
    <t>Adventurer's Attire</t>
  </si>
  <si>
    <t>Équipement d'aventurier</t>
  </si>
  <si>
    <t>Atuendo de aventurero</t>
  </si>
  <si>
    <t>冒險家的裝備</t>
  </si>
  <si>
    <t>冒险家的装备</t>
  </si>
  <si>
    <t>冒険家の装備</t>
  </si>
  <si>
    <t>Timeworn Tapestry</t>
  </si>
  <si>
    <t>Tapisserie vétuste</t>
  </si>
  <si>
    <t>Tapiz ajado</t>
  </si>
  <si>
    <t>老舊的掛毯</t>
  </si>
  <si>
    <t>老旧的挂毯</t>
  </si>
  <si>
    <t>古いタペストリー</t>
  </si>
  <si>
    <t>Tightly Sealed Envelope</t>
  </si>
  <si>
    <t>Enveloppe cachetée</t>
  </si>
  <si>
    <t>Sobre bien sellado</t>
  </si>
  <si>
    <t>密封的信件</t>
  </si>
  <si>
    <t>厳重な封書</t>
  </si>
  <si>
    <t>Snakesbane</t>
  </si>
  <si>
    <t>Serpentaire</t>
  </si>
  <si>
    <t>Matasierpes</t>
  </si>
  <si>
    <t>魔劍「大蛇殺手」</t>
  </si>
  <si>
    <t>魔剑「大蛇杀手」</t>
  </si>
  <si>
    <t>魔剣『大蛇殺し』</t>
  </si>
  <si>
    <t>Letter from Zeph</t>
  </si>
  <si>
    <t>Lettera di Zeph</t>
  </si>
  <si>
    <t>Lettre de Zeph</t>
  </si>
  <si>
    <t>Carta de Zept</t>
  </si>
  <si>
    <t>傑夫的信</t>
  </si>
  <si>
    <t>杰夫的信</t>
  </si>
  <si>
    <t>Letter from Mercedes</t>
  </si>
  <si>
    <t>Lettera di Mercedes</t>
  </si>
  <si>
    <t>Lettre de Mercedes</t>
  </si>
  <si>
    <t>Carta de Mercedes</t>
  </si>
  <si>
    <t>圖書館員的信</t>
  </si>
  <si>
    <t>图书馆员的信</t>
  </si>
  <si>
    <t>Memorial Necklace</t>
  </si>
  <si>
    <t>Collier commémoratif</t>
  </si>
  <si>
    <t>Collar conmemorativo</t>
  </si>
  <si>
    <t>傳家之寶的項鍊</t>
  </si>
  <si>
    <t>传家之宝的项链</t>
  </si>
  <si>
    <t>家宝の首飾り</t>
  </si>
  <si>
    <t>Jötunn Horn</t>
  </si>
  <si>
    <t>Corne de jötunn</t>
  </si>
  <si>
    <t>Cuerno de Jotunn</t>
  </si>
  <si>
    <t>約頓之角</t>
  </si>
  <si>
    <t>约顿之角</t>
  </si>
  <si>
    <t>Giant Egg</t>
  </si>
  <si>
    <t>Uovo gigante</t>
  </si>
  <si>
    <t>OEuf géant</t>
  </si>
  <si>
    <t>Huevo gigante</t>
  </si>
  <si>
    <t>巨大的蛋</t>
  </si>
  <si>
    <t>Mercenary Crest</t>
  </si>
  <si>
    <t>Emblème de fraternité</t>
  </si>
  <si>
    <t>Blasón de mercenario</t>
  </si>
  <si>
    <t>誓約的勳章</t>
  </si>
  <si>
    <t>誓约的勋章</t>
  </si>
  <si>
    <t>契りのメダル</t>
  </si>
  <si>
    <t>Hugo's Journal</t>
  </si>
  <si>
    <t>Journal de Hugo</t>
  </si>
  <si>
    <t>Diario de Hugo</t>
  </si>
  <si>
    <t>雨果的記事本</t>
  </si>
  <si>
    <t>雨果的记事本</t>
  </si>
  <si>
    <t>フーゴの手帳</t>
  </si>
  <si>
    <t>Mind-me-always</t>
  </si>
  <si>
    <t>Pensée immortelle</t>
  </si>
  <si>
    <t>Recuerdasiempre</t>
  </si>
  <si>
    <t>回憶草</t>
  </si>
  <si>
    <t>回忆草</t>
  </si>
  <si>
    <t>ヨツジクの花</t>
  </si>
  <si>
    <t>Astonishing Object</t>
  </si>
  <si>
    <t>Objet stupéfiant</t>
  </si>
  <si>
    <t>Objeto asombroso</t>
  </si>
  <si>
    <t>想寫在日記上的逸品</t>
  </si>
  <si>
    <t>想写在日记上的逸品</t>
  </si>
  <si>
    <t>日記に書きたくなる逸品</t>
  </si>
  <si>
    <t>Incredible Item</t>
  </si>
  <si>
    <t>Merveille incroyable</t>
  </si>
  <si>
    <t>Objeto increíble</t>
  </si>
  <si>
    <t>想寫在日記上的絕品</t>
  </si>
  <si>
    <t>想写在日记上的绝品</t>
  </si>
  <si>
    <t>日記に書きたくなる絶品</t>
  </si>
  <si>
    <t>Marvelous Memento</t>
  </si>
  <si>
    <t>Souvenir extraordinaire</t>
  </si>
  <si>
    <t>Recuerdo maravilloso</t>
  </si>
  <si>
    <t>想寫在日記上的名品</t>
  </si>
  <si>
    <t>想写在日记上的名品</t>
  </si>
  <si>
    <t>日記に書きたくなる名品</t>
  </si>
  <si>
    <t>Quatrait Bloom</t>
  </si>
  <si>
    <t>Fleur de quatrait</t>
  </si>
  <si>
    <t>Flor de cuatrita</t>
  </si>
  <si>
    <t>四軸花</t>
  </si>
  <si>
    <t>四轴花</t>
  </si>
  <si>
    <t>Dragon Egg</t>
  </si>
  <si>
    <t>OEuf de dragon</t>
  </si>
  <si>
    <t>Huevo de dragón</t>
  </si>
  <si>
    <t>龍蛋</t>
  </si>
  <si>
    <t>龙蛋</t>
  </si>
  <si>
    <t>Letter from Noa</t>
  </si>
  <si>
    <t>Lettre de Noa</t>
  </si>
  <si>
    <t>Carta de Noa</t>
  </si>
  <si>
    <t>來自諾雅的信</t>
  </si>
  <si>
    <t>来自诺雅的信</t>
  </si>
  <si>
    <t>Lapis Lazuli</t>
  </si>
  <si>
    <t>Lapis-lazuli</t>
  </si>
  <si>
    <t>Lapislázuli</t>
  </si>
  <si>
    <t>青金石</t>
  </si>
  <si>
    <t>ラピスラズリ</t>
  </si>
  <si>
    <t>Direwolf Fang</t>
  </si>
  <si>
    <t>Croc de loup géant</t>
  </si>
  <si>
    <t>Colmillo de lobo gigante</t>
  </si>
  <si>
    <t>大狼的獠牙</t>
  </si>
  <si>
    <t>High Hornburgian Dictionary</t>
  </si>
  <si>
    <t>Dictionnaire de haut-cornebourgeois</t>
  </si>
  <si>
    <t>Diccionario de alto cuernés</t>
  </si>
  <si>
    <t>古代荷魯布爾古語辭典</t>
  </si>
  <si>
    <t>古代荷鲁布尔古语辞典</t>
  </si>
  <si>
    <t>古代ホルンブルグ語辞典</t>
  </si>
  <si>
    <t>Knowledge</t>
  </si>
  <si>
    <t>Conoscenza</t>
  </si>
  <si>
    <t>Savoir</t>
  </si>
  <si>
    <t>資訊</t>
  </si>
  <si>
    <t>资讯</t>
  </si>
  <si>
    <t>情報</t>
  </si>
  <si>
    <t>A Safe Route</t>
  </si>
  <si>
    <t>Rotta sicura</t>
  </si>
  <si>
    <t>Un chemin sûr</t>
  </si>
  <si>
    <t>Una ruta segura</t>
  </si>
  <si>
    <t>安全的路線</t>
  </si>
  <si>
    <t>安全的路线</t>
  </si>
  <si>
    <t>安全な経路</t>
  </si>
  <si>
    <t>A Use for Textiles</t>
  </si>
  <si>
    <t>Savoir utiliser les textiles</t>
  </si>
  <si>
    <t>Un uso para las telas</t>
  </si>
  <si>
    <t>紡織品的活用法</t>
  </si>
  <si>
    <t>纺织品的活用法</t>
  </si>
  <si>
    <t>織物の活用法</t>
  </si>
  <si>
    <t>Alphas's Poem</t>
  </si>
  <si>
    <t>Poème d'Alphas</t>
  </si>
  <si>
    <t>El poema de Alphas</t>
  </si>
  <si>
    <t>阿爾法絲之詩</t>
  </si>
  <si>
    <t>阿尔法丝之诗</t>
  </si>
  <si>
    <t>アルファスの詩</t>
  </si>
  <si>
    <t>An Eyewitness Account</t>
  </si>
  <si>
    <t>Témoignage</t>
  </si>
  <si>
    <t>El testimonio de un testigo</t>
  </si>
  <si>
    <t>殺人事件的真相</t>
  </si>
  <si>
    <t>杀人事件的真相</t>
  </si>
  <si>
    <t>殺人事件の真相</t>
  </si>
  <si>
    <t>Archibold's Weak Points</t>
  </si>
  <si>
    <t>Les faiblesses d'Archibold</t>
  </si>
  <si>
    <t>Puntos débiles de Archibold</t>
  </si>
  <si>
    <t>阿奇博德的弱點</t>
  </si>
  <si>
    <t>阿奇博德的弱点</t>
  </si>
  <si>
    <t>アーチボルトの弱点</t>
  </si>
  <si>
    <t>Byron Family Lineage</t>
  </si>
  <si>
    <t>La lignée de la famille Baylon</t>
  </si>
  <si>
    <t>El linaje de la familia Baylon</t>
  </si>
  <si>
    <t>拜倫家的祖譜</t>
  </si>
  <si>
    <t>拜伦家的祖谱</t>
  </si>
  <si>
    <t>バイロン家の系譜</t>
  </si>
  <si>
    <t>Chieftain's Schedule</t>
  </si>
  <si>
    <t>L'emploi du temps du chef</t>
  </si>
  <si>
    <t>El horario del cacique</t>
  </si>
  <si>
    <t>部族長的行程</t>
  </si>
  <si>
    <t>部族长的行程</t>
  </si>
  <si>
    <t>部族長のスケジュール</t>
  </si>
  <si>
    <t>La ciudad de oro</t>
  </si>
  <si>
    <t>黃金都市的傳說</t>
  </si>
  <si>
    <t>黄金都市的传说</t>
  </si>
  <si>
    <t>黄金都市の伝説</t>
  </si>
  <si>
    <t>Dominic's Remorse</t>
  </si>
  <si>
    <t>Les remords de Dominic</t>
  </si>
  <si>
    <t>El arrepentimiento de Dominic</t>
  </si>
  <si>
    <t>多明尼克的悔恨</t>
  </si>
  <si>
    <t>ドミニクの後悔</t>
  </si>
  <si>
    <t>Dominic's Seclusion</t>
  </si>
  <si>
    <t>L'isolement de Dominic</t>
  </si>
  <si>
    <t>El aislamiento de Dominic</t>
  </si>
  <si>
    <t>討厭人類的多明尼克</t>
  </si>
  <si>
    <t>讨厌人类的多明尼克</t>
  </si>
  <si>
    <t>人嫌いのドミニク</t>
  </si>
  <si>
    <t>Dominic's Troubles</t>
  </si>
  <si>
    <t>Les problèmes de Dominic</t>
  </si>
  <si>
    <t>Los problemas de Dominic</t>
  </si>
  <si>
    <t>多明尼克的煩惱</t>
  </si>
  <si>
    <t>多明尼克的烦恼</t>
  </si>
  <si>
    <t>ドミニクの悩み</t>
  </si>
  <si>
    <t>Donovan's Condition</t>
  </si>
  <si>
    <t>L'état de santé de Donovan</t>
  </si>
  <si>
    <t>El estado de Donovan</t>
  </si>
  <si>
    <t>唐納文的情況</t>
  </si>
  <si>
    <t>唐纳文的情况</t>
  </si>
  <si>
    <t>ドノヴァンの様子</t>
  </si>
  <si>
    <t>Dragon of the Cliflands</t>
  </si>
  <si>
    <t>Dragon du Belvédère</t>
  </si>
  <si>
    <t>El dragón del Acantilado</t>
  </si>
  <si>
    <t>克里夫蘭多的龍</t>
  </si>
  <si>
    <t>克里夫兰多的龙</t>
  </si>
  <si>
    <t>クリフランドのドラゴン</t>
  </si>
  <si>
    <t>Dragon of the Frostlands</t>
  </si>
  <si>
    <t>Dragon des Terres-de-givre</t>
  </si>
  <si>
    <t>El dragón de las Tierras Nevadas</t>
  </si>
  <si>
    <t>佛洛斯特蘭多的龍</t>
  </si>
  <si>
    <t>佛洛斯特兰多的龙</t>
  </si>
  <si>
    <t>フロストランドのドラゴン</t>
  </si>
  <si>
    <t>Dragon of the Highlands</t>
  </si>
  <si>
    <t>Dragon des Hautes terres</t>
  </si>
  <si>
    <t>El dragón de las Tierras Altas</t>
  </si>
  <si>
    <t>哈伊蘭多的龍</t>
  </si>
  <si>
    <t>哈伊兰多的龙</t>
  </si>
  <si>
    <t>ハイランドのドラゴン</t>
  </si>
  <si>
    <t>Early Ice Thawing</t>
  </si>
  <si>
    <t>Fonte anticipée</t>
  </si>
  <si>
    <t>Deshielo prematuro</t>
  </si>
  <si>
    <t>提早融雪</t>
  </si>
  <si>
    <t>早めの雪解け</t>
  </si>
  <si>
    <t>Elixir Recipe</t>
  </si>
  <si>
    <t>Recette de l'élixir</t>
  </si>
  <si>
    <t>Receta de elixir</t>
  </si>
  <si>
    <t>藥的製作法</t>
  </si>
  <si>
    <t>药的制作法</t>
  </si>
  <si>
    <t>薬のレシピ</t>
  </si>
  <si>
    <t>Estadas's Condition</t>
  </si>
  <si>
    <t>L'état d'Estadas</t>
  </si>
  <si>
    <t>El estado de Estadas</t>
  </si>
  <si>
    <t>艾斯塔達斯的況狀</t>
  </si>
  <si>
    <t>艾斯塔达斯的况状</t>
  </si>
  <si>
    <t>エスタダスの調子</t>
  </si>
  <si>
    <t>Father and Fighter</t>
  </si>
  <si>
    <t>Père combattant</t>
  </si>
  <si>
    <t>Padre y luchador</t>
  </si>
  <si>
    <t>鬥劍士的父親</t>
  </si>
  <si>
    <t>斗剑士的父亲</t>
  </si>
  <si>
    <t>剣闘士の父親</t>
  </si>
  <si>
    <t>Forbidden Gold</t>
  </si>
  <si>
    <t>L'Or interdit</t>
  </si>
  <si>
    <t>El oro prohibido</t>
  </si>
  <si>
    <t>《禁忌的黃金》</t>
  </si>
  <si>
    <t>《禁忌的黄金》</t>
  </si>
  <si>
    <t>『禁断の黄金』</t>
  </si>
  <si>
    <t>From the Far Reaches of Hell</t>
  </si>
  <si>
    <t>Au fin fond de l'enfer</t>
  </si>
  <si>
    <t>De los lejanos confines del infierno</t>
  </si>
  <si>
    <t>《邊獄之書》</t>
  </si>
  <si>
    <t>《边狱之书》</t>
  </si>
  <si>
    <t>『辺獄の書』</t>
  </si>
  <si>
    <t>Gossip of Glowworm Moss</t>
  </si>
  <si>
    <t>Rumeur sur la mousse verluisante</t>
  </si>
  <si>
    <t>Rumores sobre el musgo de gusiluz</t>
  </si>
  <si>
    <t>藍螢苔的事</t>
  </si>
  <si>
    <t>蓝萤苔的事</t>
  </si>
  <si>
    <t>アオホタル苔の話</t>
  </si>
  <si>
    <t>Gravekeeper's Information</t>
  </si>
  <si>
    <t>Informations sur le fossoyeur</t>
  </si>
  <si>
    <t>La información del enterrador</t>
  </si>
  <si>
    <t>守墓人的情報</t>
  </si>
  <si>
    <t>守墓人的情报</t>
  </si>
  <si>
    <t>墓守の情報</t>
  </si>
  <si>
    <t>Gustav's Weak Points</t>
  </si>
  <si>
    <t>Les faiblesses de Gustav</t>
  </si>
  <si>
    <t>Puntos débiles de Gustav</t>
  </si>
  <si>
    <t>古斯塔夫的弱點</t>
  </si>
  <si>
    <t>古斯塔夫的弱点</t>
  </si>
  <si>
    <t>グスタフの弱点</t>
  </si>
  <si>
    <t>History of the Cliftlands</t>
  </si>
  <si>
    <t>Histoire du Belvédère</t>
  </si>
  <si>
    <t>Historia del Acantilado</t>
  </si>
  <si>
    <t>克里夫蘭多的歷史</t>
  </si>
  <si>
    <t>克里夫兰多的历史</t>
  </si>
  <si>
    <t>クリフランドの歴史</t>
  </si>
  <si>
    <t>History of the Froslands</t>
  </si>
  <si>
    <t>Histoire des Terres-de-givre</t>
  </si>
  <si>
    <t>Historia de las Tierras Nevadas</t>
  </si>
  <si>
    <t>弗羅斯特蘭多的歷史</t>
  </si>
  <si>
    <t>弗罗斯特兰多的历史</t>
  </si>
  <si>
    <t>フロストランドの歴史</t>
  </si>
  <si>
    <t>History of the Woodlands</t>
  </si>
  <si>
    <t>Histoire des Sylve-terres</t>
  </si>
  <si>
    <t>Historia del Bosque</t>
  </si>
  <si>
    <t>伍多蘭多的歷史</t>
  </si>
  <si>
    <t>伍多兰多的历史</t>
  </si>
  <si>
    <t>ウッドランドの歴史</t>
  </si>
  <si>
    <t>How to Train a Tiger</t>
  </si>
  <si>
    <t>Comment dompter un tigre</t>
  </si>
  <si>
    <t>Cómo entrenar a tu tigre</t>
  </si>
  <si>
    <t>養虎的方法</t>
  </si>
  <si>
    <t>养虎的方法</t>
  </si>
  <si>
    <t>虎の飼い方</t>
  </si>
  <si>
    <t>Joshua's Weak Points</t>
  </si>
  <si>
    <t>Les faiblesses de Joshua</t>
  </si>
  <si>
    <t>Puntos débiles de Joshua</t>
  </si>
  <si>
    <t>約書亞的弱點</t>
  </si>
  <si>
    <t>约书亚的弱点</t>
  </si>
  <si>
    <t>ジョシュアの弱点</t>
  </si>
  <si>
    <t>Lara's New Life</t>
  </si>
  <si>
    <t>La nouvelle vie de Lara</t>
  </si>
  <si>
    <t>La nueva vida de Lara</t>
  </si>
  <si>
    <t>新生活</t>
  </si>
  <si>
    <t>新しい生活</t>
  </si>
  <si>
    <t>Librarian's Testimony</t>
  </si>
  <si>
    <t>Testimoninanza della bibliotecaria</t>
  </si>
  <si>
    <t>Témoignage de la bibliothécaire</t>
  </si>
  <si>
    <t>El testimonio de la bibliotecaria</t>
  </si>
  <si>
    <t>圖書館員的證詞</t>
  </si>
  <si>
    <t>图书馆员的证词</t>
  </si>
  <si>
    <t>司書の証言</t>
  </si>
  <si>
    <t>Marta's Gang</t>
  </si>
  <si>
    <t>La bande à Marta</t>
  </si>
  <si>
    <t>La banda de Marta</t>
  </si>
  <si>
    <t>義賊　瑪爾達盜賊團</t>
  </si>
  <si>
    <t>义贼　玛尔达盗贼团</t>
  </si>
  <si>
    <t>義賊　マルタ盗賊団</t>
  </si>
  <si>
    <t>Meryl's Past</t>
  </si>
  <si>
    <t>La storia di Meryl</t>
  </si>
  <si>
    <t>Le passé de Méryl</t>
  </si>
  <si>
    <t>El pasado de Meryl</t>
  </si>
  <si>
    <t>梅莉兒的過去</t>
  </si>
  <si>
    <t>梅莉儿的过去</t>
  </si>
  <si>
    <t>メリルの過去</t>
  </si>
  <si>
    <t>Mont d'Or's Condition</t>
  </si>
  <si>
    <t>L'état de Mont-d'Or</t>
  </si>
  <si>
    <t>El estado de Mont d'Or</t>
  </si>
  <si>
    <t>蒙德爾的況狀</t>
  </si>
  <si>
    <t>蒙德尔的况状</t>
  </si>
  <si>
    <t>もンドゥールの調子</t>
  </si>
  <si>
    <t>Nina's Secret</t>
  </si>
  <si>
    <t>Il segreto di Nina</t>
  </si>
  <si>
    <t>Le secret de Nina</t>
  </si>
  <si>
    <t>El secreto de Nina</t>
  </si>
  <si>
    <t>咬了妮娜的魔物</t>
  </si>
  <si>
    <t>ニナを咬んだ魔物</t>
  </si>
  <si>
    <t>Ogen's Mutterings</t>
  </si>
  <si>
    <t>Les marmonnements d'Ogen</t>
  </si>
  <si>
    <t>Los murmullos de Ogen</t>
  </si>
  <si>
    <t>歐根的胡言亂語</t>
  </si>
  <si>
    <t>欧根的胡言乱语</t>
  </si>
  <si>
    <t>オーゲンのうわ言</t>
  </si>
  <si>
    <t>Old Woman to the Northwest</t>
  </si>
  <si>
    <t>Vieille dame au nord-est</t>
  </si>
  <si>
    <t>Anciana al noroeste</t>
  </si>
  <si>
    <t>西北方老婆婆的病情</t>
  </si>
  <si>
    <t>北西の老婆の病状</t>
  </si>
  <si>
    <t>Old Woman to the Southeast</t>
  </si>
  <si>
    <t>Vieille dame au sud-est</t>
  </si>
  <si>
    <t>Anciana al sureste</t>
  </si>
  <si>
    <t>東南方老婆婆的病情</t>
  </si>
  <si>
    <t>东南方老婆婆的病情</t>
  </si>
  <si>
    <t>南東の老婆の病状</t>
  </si>
  <si>
    <t>Project Plans</t>
  </si>
  <si>
    <t>Plans et projets</t>
  </si>
  <si>
    <t>Planes de proyecto</t>
  </si>
  <si>
    <t>改善貧民生活計畫</t>
  </si>
  <si>
    <t>改善贫民生活计画</t>
  </si>
  <si>
    <t>貧民生活向上計画</t>
  </si>
  <si>
    <t>Rumors of a Knight Ardante</t>
  </si>
  <si>
    <t>Rumeurs sur un chevalier</t>
  </si>
  <si>
    <t>Rumores de un Caballero Ardante</t>
  </si>
  <si>
    <t>某聖火騎士的傳聞</t>
  </si>
  <si>
    <t>某圣火骑士的传闻</t>
  </si>
  <si>
    <t>ある聖火騎士の噂</t>
  </si>
  <si>
    <t>Russell's Situation</t>
  </si>
  <si>
    <t>La situazione di Russell</t>
  </si>
  <si>
    <t>La situation de Russell</t>
  </si>
  <si>
    <t>La situación de Russell</t>
  </si>
  <si>
    <t>拉塞爾的近況</t>
  </si>
  <si>
    <t>拉塞尔的近况</t>
  </si>
  <si>
    <t>ラッセルの近況</t>
  </si>
  <si>
    <t>Tale of the Beast Tamers</t>
  </si>
  <si>
    <t>Le récit des dompteurs de bêtes</t>
  </si>
  <si>
    <t>El cuento de los domadores</t>
  </si>
  <si>
    <t>魔物操控人的傳說</t>
  </si>
  <si>
    <t>魔物操控人的传说</t>
  </si>
  <si>
    <t>魔物使いの伝承</t>
  </si>
  <si>
    <t>The Book's Whereabouts</t>
  </si>
  <si>
    <t>L'emplacement du livre</t>
  </si>
  <si>
    <t>El paradero del libro</t>
  </si>
  <si>
    <t>書被賣去哪裡</t>
  </si>
  <si>
    <t>书被卖去哪里</t>
  </si>
  <si>
    <t>本の売り先</t>
  </si>
  <si>
    <t>The Fall of House Landar</t>
  </si>
  <si>
    <t>La chute de la maison Landar</t>
  </si>
  <si>
    <t>La caída de la casa Landar</t>
  </si>
  <si>
    <t>貴族蘭道爾最後的下場</t>
  </si>
  <si>
    <t>贵族兰道尔最后的下场</t>
  </si>
  <si>
    <t>貴族ランドールの最期</t>
  </si>
  <si>
    <t>The Fortress of Everhold</t>
  </si>
  <si>
    <t>La forteresse de la citadelle éternelle</t>
  </si>
  <si>
    <t>La fortaleza de Eternalia</t>
  </si>
  <si>
    <t>艾巴霍多的堡壘</t>
  </si>
  <si>
    <t>艾巴霍多的堡垒</t>
  </si>
  <si>
    <t>エバーホルドの城砦</t>
  </si>
  <si>
    <t>The Giant Serpent's Master</t>
  </si>
  <si>
    <t>Maître du serpent géant</t>
  </si>
  <si>
    <t>El amo de la serpiente gigante</t>
  </si>
  <si>
    <t>驅使大蛇的男子</t>
  </si>
  <si>
    <t>驱使大蛇的男子</t>
  </si>
  <si>
    <t>大ヘビ使いの男</t>
  </si>
  <si>
    <t>The Guard's Situation</t>
  </si>
  <si>
    <t>La situazione della guardia</t>
  </si>
  <si>
    <t>La situation du garde</t>
  </si>
  <si>
    <t>La situación del guardia</t>
  </si>
  <si>
    <t>守衛的近況</t>
  </si>
  <si>
    <t>守卫的近况</t>
  </si>
  <si>
    <t>守衛の近況</t>
  </si>
  <si>
    <t>The Headmaster's Situation</t>
  </si>
  <si>
    <t>La situazione del rettore</t>
  </si>
  <si>
    <t>La situation du directeur</t>
  </si>
  <si>
    <t>La situación del director</t>
  </si>
  <si>
    <t>校長的近況</t>
  </si>
  <si>
    <t>校长的近况</t>
  </si>
  <si>
    <t>学長の近況</t>
  </si>
  <si>
    <t>The Jellypeno</t>
  </si>
  <si>
    <t>Le gelépeno</t>
  </si>
  <si>
    <t>El gelapeño</t>
  </si>
  <si>
    <t>名為猛辣椒的植物</t>
  </si>
  <si>
    <t>名为猛辣椒的植物</t>
  </si>
  <si>
    <t>モウガラシという植物</t>
  </si>
  <si>
    <t>The Mural's Meaning</t>
  </si>
  <si>
    <t>La signification des glyphes</t>
  </si>
  <si>
    <t>El significado del mural</t>
  </si>
  <si>
    <t>壁畫的內容</t>
  </si>
  <si>
    <t>壁画的内容</t>
  </si>
  <si>
    <t>壁画の内容</t>
  </si>
  <si>
    <t>Le fogne</t>
  </si>
  <si>
    <t>下水道的情報</t>
  </si>
  <si>
    <t>下水道的情报</t>
  </si>
  <si>
    <t>下水道の情報</t>
  </si>
  <si>
    <t>The Song of Sokrath</t>
  </si>
  <si>
    <t>La chanson de Socrate</t>
  </si>
  <si>
    <t>La canción de Sócrates</t>
  </si>
  <si>
    <t>索克拉絲之詩</t>
  </si>
  <si>
    <t>索克拉丝之诗</t>
  </si>
  <si>
    <t>ソクラスの詩</t>
  </si>
  <si>
    <t>Tidings of Elderly Friends</t>
  </si>
  <si>
    <t>Nouvelles de vieilles amies</t>
  </si>
  <si>
    <t>Noticias de viejas amistades</t>
  </si>
  <si>
    <t>感情很好的老婆婆們</t>
  </si>
  <si>
    <t>感情很好的老婆婆们</t>
  </si>
  <si>
    <t>仲のいいお婆ちゃん達</t>
  </si>
  <si>
    <t>Trial of the Twelve, Volume VII</t>
  </si>
  <si>
    <t>L'épreuve des Douze, volume VII</t>
  </si>
  <si>
    <t>Prueba de los doce, volumen VII</t>
  </si>
  <si>
    <t>《十二天之書第７卷》</t>
  </si>
  <si>
    <t>《十二天之书第７卷》</t>
  </si>
  <si>
    <t>『十二天の書の7巻』</t>
  </si>
  <si>
    <t>Vanessa's Destination</t>
  </si>
  <si>
    <t>La destination de Vanessa</t>
  </si>
  <si>
    <t>El destino de Vanessa</t>
  </si>
  <si>
    <t>凡妮莎的去向</t>
  </si>
  <si>
    <t>ヴァネッサの行き先</t>
  </si>
  <si>
    <t>Where the Direwolf Prowls</t>
  </si>
  <si>
    <t>Là où rôde le loup géant</t>
  </si>
  <si>
    <t>Donde acecha el lobo gigante</t>
  </si>
  <si>
    <t>大狼出現的地方</t>
  </si>
  <si>
    <t>大狼出现的地方</t>
  </si>
  <si>
    <t>大狼の出現場所</t>
  </si>
  <si>
    <t>Where the Giant Boar Roams</t>
  </si>
  <si>
    <t>Là où erre le sanglier géant</t>
  </si>
  <si>
    <t>Donde mora el jabalí gigante</t>
  </si>
  <si>
    <t>大牙野豬的生態</t>
  </si>
  <si>
    <t>大牙野猪的生态</t>
  </si>
  <si>
    <t>大牙猪の生態</t>
  </si>
  <si>
    <t>Where the Ice Giant Sleeps</t>
  </si>
  <si>
    <t>Là où sommeille le géant de glace</t>
  </si>
  <si>
    <t>Donde duerme el gigante de hielo</t>
  </si>
  <si>
    <t>冰之巨人沉眠之處</t>
  </si>
  <si>
    <t>冰之巨人沉眠之处</t>
  </si>
  <si>
    <t>氷の巨人の眠る場所</t>
  </si>
  <si>
    <t>Where the Incident's Happened</t>
  </si>
  <si>
    <t>Le lieu des incidents</t>
  </si>
  <si>
    <t>Donde ocurrieron los incidentes</t>
  </si>
  <si>
    <t>事件的發生地點</t>
  </si>
  <si>
    <t>事件的发生地点</t>
  </si>
  <si>
    <t>事件の発生場所</t>
  </si>
  <si>
    <t>Why She Doesn't Visit Geoffrey</t>
  </si>
  <si>
    <t>Pourquoi elle ne se recueille pas</t>
  </si>
  <si>
    <t>Por qué no visita a Geoffrey</t>
  </si>
  <si>
    <t>不去掃墓的理由</t>
  </si>
  <si>
    <t>不去扫墓的理由</t>
  </si>
  <si>
    <t>墓参りへ行かない理由</t>
  </si>
  <si>
    <t>Witness Testimony</t>
  </si>
  <si>
    <t>Un rapport de témoin</t>
  </si>
  <si>
    <t>El testimonio del testigo</t>
  </si>
  <si>
    <t>目擊證詞</t>
  </si>
  <si>
    <t>目击证词</t>
  </si>
  <si>
    <t>目撃証言</t>
  </si>
  <si>
    <t>Enemies</t>
  </si>
  <si>
    <t>Nemici</t>
  </si>
  <si>
    <t>Ennemis</t>
  </si>
  <si>
    <t>敵人</t>
  </si>
  <si>
    <t>怪物</t>
  </si>
  <si>
    <t>Accursed Armor</t>
  </si>
  <si>
    <t>Armure maudite</t>
  </si>
  <si>
    <t>Armadura maldita</t>
  </si>
  <si>
    <t>冰凍的盔甲</t>
  </si>
  <si>
    <t>冰冻的盔甲</t>
  </si>
  <si>
    <t>Agressive Ant</t>
  </si>
  <si>
    <t>Fourmi agressive</t>
  </si>
  <si>
    <t>Hormiga agresiva</t>
  </si>
  <si>
    <t>斷指蟻</t>
  </si>
  <si>
    <t>断指蚁</t>
  </si>
  <si>
    <t>Albino Bat</t>
  </si>
  <si>
    <t>Pippistrello albino</t>
  </si>
  <si>
    <t>Noctule albinos</t>
  </si>
  <si>
    <t>Murciélago albino</t>
  </si>
  <si>
    <t>白蝙蝠異種</t>
  </si>
  <si>
    <t>白蝙蝠异种</t>
  </si>
  <si>
    <t>Ambling Bones</t>
  </si>
  <si>
    <t>Os ambulants</t>
  </si>
  <si>
    <t>Huesos caminantes</t>
  </si>
  <si>
    <t>行走骷髏</t>
  </si>
  <si>
    <t>行走骷髅</t>
  </si>
  <si>
    <t>Animated Armor</t>
  </si>
  <si>
    <t>Armure animée</t>
  </si>
  <si>
    <t>Armadura animada</t>
  </si>
  <si>
    <t>腐朽的盔甲</t>
  </si>
  <si>
    <t>Antagonistic Ant</t>
  </si>
  <si>
    <t>Fourmi hostile</t>
  </si>
  <si>
    <t>Hormiga hostil</t>
  </si>
  <si>
    <t>斷指蟻異種</t>
  </si>
  <si>
    <t>断指蚁异种</t>
  </si>
  <si>
    <t>Armor Eater</t>
  </si>
  <si>
    <t>Mangeur d'armure</t>
  </si>
  <si>
    <t>Comedor de armaduras</t>
  </si>
  <si>
    <t>盔甲蜥蜴</t>
  </si>
  <si>
    <t>Army Ant</t>
  </si>
  <si>
    <t>Fourmi légionnaire</t>
  </si>
  <si>
    <t>Hormiga legionaria</t>
  </si>
  <si>
    <t>咬噬蟻</t>
  </si>
  <si>
    <t>咬噬蚁</t>
  </si>
  <si>
    <t>Ash Raven</t>
  </si>
  <si>
    <t>Corbeau cendré</t>
  </si>
  <si>
    <t>Cuervo ceniciento</t>
  </si>
  <si>
    <t>高地烏鴉</t>
  </si>
  <si>
    <t>高地乌鸦</t>
  </si>
  <si>
    <t>Assassin Bug</t>
  </si>
  <si>
    <t>Insecte tueur</t>
  </si>
  <si>
    <t>Bicho mortal</t>
  </si>
  <si>
    <t>殺手蟲</t>
  </si>
  <si>
    <t>杀手虫</t>
  </si>
  <si>
    <t>Avalanche Mushroom</t>
  </si>
  <si>
    <t>Bolet d'avalanche</t>
  </si>
  <si>
    <t>Champiñón de avalancha</t>
  </si>
  <si>
    <t>大雪蘑菇</t>
  </si>
  <si>
    <t>Azure Urchin</t>
  </si>
  <si>
    <t>Oursin azuré</t>
  </si>
  <si>
    <t>Erizo celeste</t>
  </si>
  <si>
    <t>藍苔海膽</t>
  </si>
  <si>
    <t>蓝苔海胆</t>
  </si>
  <si>
    <t>Bandit Bones</t>
  </si>
  <si>
    <t>Os de bandit</t>
  </si>
  <si>
    <t>Huesos de bandido</t>
  </si>
  <si>
    <t>山賊骷髏</t>
  </si>
  <si>
    <t>山贼骷髅</t>
  </si>
  <si>
    <t>Barnacle Bat</t>
  </si>
  <si>
    <t>Noctule cirripède</t>
  </si>
  <si>
    <t>Murciélago percebe</t>
  </si>
  <si>
    <t>藍苔蝙蝠</t>
  </si>
  <si>
    <t>蓝苔蝙蝠</t>
  </si>
  <si>
    <t>Barnacle Crab</t>
  </si>
  <si>
    <t>Crabe cirripède</t>
  </si>
  <si>
    <t>Cangrejo percebe</t>
  </si>
  <si>
    <t>藍苔蟹</t>
  </si>
  <si>
    <t>蓝苔蟹</t>
  </si>
  <si>
    <t>Barnacle Tortoise</t>
  </si>
  <si>
    <t>Tortue à berniques</t>
  </si>
  <si>
    <t>Tortuga percebe</t>
  </si>
  <si>
    <t>藍苔龜</t>
  </si>
  <si>
    <t>蓝苔龟</t>
  </si>
  <si>
    <t>Believer I</t>
  </si>
  <si>
    <t>Fidèle I</t>
  </si>
  <si>
    <t>Creyente I</t>
  </si>
  <si>
    <t>黑炎教信徒 I</t>
  </si>
  <si>
    <t>Believer II</t>
  </si>
  <si>
    <t>Fidèle II</t>
  </si>
  <si>
    <t>Creyente II</t>
  </si>
  <si>
    <t>黑炎教信徒 II</t>
  </si>
  <si>
    <t>Black Bat</t>
  </si>
  <si>
    <t>Noctule noire</t>
  </si>
  <si>
    <t>Murciélago negro</t>
  </si>
  <si>
    <t>黑蝙蝠</t>
  </si>
  <si>
    <t>Black Howler</t>
  </si>
  <si>
    <t>Hurleur noir</t>
  </si>
  <si>
    <t>Aullador negro</t>
  </si>
  <si>
    <t>黑咆哮者</t>
  </si>
  <si>
    <t>Black Scissors</t>
  </si>
  <si>
    <t>Forbici nere</t>
  </si>
  <si>
    <t>Ciseaux noirs</t>
  </si>
  <si>
    <t>Tijeras negras</t>
  </si>
  <si>
    <t>黑剪蟹</t>
  </si>
  <si>
    <t>Blood Remnant</t>
  </si>
  <si>
    <t>Vestige de sang</t>
  </si>
  <si>
    <t>Remanente de sangre</t>
  </si>
  <si>
    <t>古代遺物（獸）．赤型</t>
  </si>
  <si>
    <t>古代遗物（兽）・赤型</t>
  </si>
  <si>
    <t>Blood Revenant</t>
  </si>
  <si>
    <t>Revenant de sang</t>
  </si>
  <si>
    <t>Aparición de sangre</t>
  </si>
  <si>
    <t>古代遺物．赤兵</t>
  </si>
  <si>
    <t>古代遗物・赤兵</t>
  </si>
  <si>
    <t>Blood Viper</t>
  </si>
  <si>
    <t>Vipera sanguinaria</t>
  </si>
  <si>
    <t>Vipère de sang</t>
  </si>
  <si>
    <t>Vibora sangrienta</t>
  </si>
  <si>
    <t>紅蛇</t>
  </si>
  <si>
    <t>红蛇异种</t>
  </si>
  <si>
    <t>Bloody Bull</t>
  </si>
  <si>
    <t>Taureau sanglant</t>
  </si>
  <si>
    <t>Toro sangriento</t>
  </si>
  <si>
    <t>血腥猛牛</t>
  </si>
  <si>
    <t>Bloody Rhino</t>
  </si>
  <si>
    <t>Rhino sanglant</t>
  </si>
  <si>
    <t>Rinoceronte sangriento</t>
  </si>
  <si>
    <t>紅猛角犀牛</t>
  </si>
  <si>
    <t>红猛角犀牛</t>
  </si>
  <si>
    <t>Blue Bull</t>
  </si>
  <si>
    <t>Taureau bleu</t>
  </si>
  <si>
    <t>Toro azul</t>
  </si>
  <si>
    <t>藍猛牛</t>
  </si>
  <si>
    <t>蓝猛牛</t>
  </si>
  <si>
    <t>Bodyguard I</t>
  </si>
  <si>
    <t>Garde du corps I</t>
  </si>
  <si>
    <t>Guardaespaldas I</t>
  </si>
  <si>
    <t>保鑣 I</t>
  </si>
  <si>
    <t>保镖 I</t>
  </si>
  <si>
    <t>Bodyguard II</t>
  </si>
  <si>
    <t>Garde du corps II</t>
  </si>
  <si>
    <t>Guardaespaldas II</t>
  </si>
  <si>
    <t>保鑣 II</t>
  </si>
  <si>
    <t>保镖 II</t>
  </si>
  <si>
    <t>Brawler Bones</t>
  </si>
  <si>
    <t>Os de bagarreur</t>
  </si>
  <si>
    <t>Huesos de forajido</t>
  </si>
  <si>
    <t>戰士骷髏異種</t>
  </si>
  <si>
    <t>战士骷髅异种</t>
  </si>
  <si>
    <t>Brigand I</t>
  </si>
  <si>
    <t>Brigante I</t>
  </si>
  <si>
    <t>Forajido I</t>
  </si>
  <si>
    <t>山賊 I</t>
  </si>
  <si>
    <t>山贼 I</t>
  </si>
  <si>
    <t>Brigand II</t>
  </si>
  <si>
    <t>Brigante II</t>
  </si>
  <si>
    <t>Forajido II</t>
  </si>
  <si>
    <t>山賊 II</t>
  </si>
  <si>
    <t>山贼 II</t>
  </si>
  <si>
    <t>Brigand III</t>
  </si>
  <si>
    <t>Brigante III</t>
  </si>
  <si>
    <t>Forajido III</t>
  </si>
  <si>
    <t>山賊 III</t>
  </si>
  <si>
    <t>山贼 III</t>
  </si>
  <si>
    <t>Brigand Bones</t>
  </si>
  <si>
    <t>Os de brigand</t>
  </si>
  <si>
    <t>Huesos de matón</t>
  </si>
  <si>
    <t>山賊骷髏異種</t>
  </si>
  <si>
    <t>山贼骷髅异种</t>
  </si>
  <si>
    <t>Brigand Leader I</t>
  </si>
  <si>
    <t>Chef brigand I</t>
  </si>
  <si>
    <t>Líder forajido I</t>
  </si>
  <si>
    <t>盜賊團幹部 I</t>
  </si>
  <si>
    <t>盗贼团干部 I</t>
  </si>
  <si>
    <t>Brigand Leader II</t>
  </si>
  <si>
    <t>Chef brigand II</t>
  </si>
  <si>
    <t>Líder forajido II</t>
  </si>
  <si>
    <t>盜賊團幹部 II</t>
  </si>
  <si>
    <t>盗贼团干部 II</t>
  </si>
  <si>
    <t>Brigand Leader III</t>
  </si>
  <si>
    <t>Chef brigand III</t>
  </si>
  <si>
    <t>Líder forajido III</t>
  </si>
  <si>
    <t>盜賊團幹部 III</t>
  </si>
  <si>
    <t>盗贼团干部 III</t>
  </si>
  <si>
    <t>Buccaneer I</t>
  </si>
  <si>
    <t>Bucaniere I</t>
  </si>
  <si>
    <t>Boucanier I</t>
  </si>
  <si>
    <t>Bucanero I</t>
  </si>
  <si>
    <t>海盜（曲劍） I</t>
  </si>
  <si>
    <t>海盗（曲剑） I</t>
  </si>
  <si>
    <t>Buccaneer II</t>
  </si>
  <si>
    <t>Bucaniere II</t>
  </si>
  <si>
    <t>Boucanier II</t>
  </si>
  <si>
    <t>Bucanero II</t>
  </si>
  <si>
    <t>海盜（曲劍） II</t>
  </si>
  <si>
    <t>海盗（曲剑） II</t>
  </si>
  <si>
    <t>Buccaneer III</t>
  </si>
  <si>
    <t>Bucaniere III</t>
  </si>
  <si>
    <t>Boucanier III</t>
  </si>
  <si>
    <t>Bucanero III</t>
  </si>
  <si>
    <t>海盜（曲劍） III</t>
  </si>
  <si>
    <t>海盗（曲剑） III</t>
  </si>
  <si>
    <t>Buccaneer IV</t>
  </si>
  <si>
    <t>Bucaniere IV</t>
  </si>
  <si>
    <t>Boucanier IV</t>
  </si>
  <si>
    <t>Bucanero IV</t>
  </si>
  <si>
    <t>海盜（曲劍） IV</t>
  </si>
  <si>
    <t>海盗（曲剑） IV</t>
  </si>
  <si>
    <t>Buccaneer Bones</t>
  </si>
  <si>
    <t>Ossa di bucaniere</t>
  </si>
  <si>
    <t>Os de boucanier</t>
  </si>
  <si>
    <t>Huesos de bucanero</t>
  </si>
  <si>
    <t>海盜骷髏</t>
  </si>
  <si>
    <t>海盗骷髅</t>
  </si>
  <si>
    <t>Cactus Roller</t>
  </si>
  <si>
    <t>Cactusier</t>
  </si>
  <si>
    <t>Cactus rodante</t>
  </si>
  <si>
    <t>仙人掌糞金龜</t>
  </si>
  <si>
    <t>仙人掌粪金龟</t>
  </si>
  <si>
    <t>Cait</t>
  </si>
  <si>
    <t>Félandrin</t>
  </si>
  <si>
    <t>凱特林</t>
  </si>
  <si>
    <t>凯特林</t>
  </si>
  <si>
    <t>Carmine Eagle</t>
  </si>
  <si>
    <t>Aigle carmin</t>
  </si>
  <si>
    <t>Águila carmín</t>
  </si>
  <si>
    <t>紅大鷲</t>
  </si>
  <si>
    <t>红大鹫</t>
  </si>
  <si>
    <t>Carnivorous Bat</t>
  </si>
  <si>
    <t>Noctule carnivore</t>
  </si>
  <si>
    <t>Murciélago carnívoro</t>
  </si>
  <si>
    <t>肉食蝙蝠</t>
  </si>
  <si>
    <t>Carnivorous Plant</t>
  </si>
  <si>
    <t>Plante carnivore</t>
  </si>
  <si>
    <t>Planta carnívora</t>
  </si>
  <si>
    <t>蠢動的大花</t>
  </si>
  <si>
    <t>蠢动的大花</t>
  </si>
  <si>
    <t>Cetus Maximus</t>
  </si>
  <si>
    <t>巨鯨</t>
  </si>
  <si>
    <t>巨鲸</t>
  </si>
  <si>
    <t>Chubby Cait</t>
  </si>
  <si>
    <t>Félandrin replet</t>
  </si>
  <si>
    <t>Cait regordete</t>
  </si>
  <si>
    <t>布爾喬亞凱特琳</t>
  </si>
  <si>
    <t>布尔乔亚凯特林</t>
  </si>
  <si>
    <t>Cliff Birdian I</t>
  </si>
  <si>
    <t>Oisien des falaises I</t>
  </si>
  <si>
    <t>Pajariano de acantilado I</t>
  </si>
  <si>
    <t>懸崖鳥人 I</t>
  </si>
  <si>
    <t>悬崖鸟人 I</t>
  </si>
  <si>
    <t>Cliff Birdian II</t>
  </si>
  <si>
    <t>Oisien des falaises II</t>
  </si>
  <si>
    <t>Pajariano de acantilado II</t>
  </si>
  <si>
    <t>懸崖鳥人 II</t>
  </si>
  <si>
    <t>悬崖鸟人 II</t>
  </si>
  <si>
    <t>Cliff Birdian III</t>
  </si>
  <si>
    <t>Oisien des falaises III</t>
  </si>
  <si>
    <t>Pajariano de acantilado III</t>
  </si>
  <si>
    <t>懸崖鳥人 III</t>
  </si>
  <si>
    <t>悬崖鸟人 III</t>
  </si>
  <si>
    <t>Cliff Birdian IV</t>
  </si>
  <si>
    <t>Oisien des falaises IV</t>
  </si>
  <si>
    <t>Pajariano de acantilado IV</t>
  </si>
  <si>
    <t>懸崖鳥人 IV</t>
  </si>
  <si>
    <t>悬崖鸟人 IV</t>
  </si>
  <si>
    <t>Cliff Birdian V</t>
  </si>
  <si>
    <t>Oisien des falaises V</t>
  </si>
  <si>
    <t>Pajariano de acantilado V</t>
  </si>
  <si>
    <t>懸崖鳥人 V</t>
  </si>
  <si>
    <t>悬崖鸟人 V</t>
  </si>
  <si>
    <t>Cliff Birdian VI</t>
  </si>
  <si>
    <t>Oisien des falaises VI</t>
  </si>
  <si>
    <t>Pajariano de acantilado VI</t>
  </si>
  <si>
    <t>懸崖鳥人 VI</t>
  </si>
  <si>
    <t>悬崖鸟人 VI</t>
  </si>
  <si>
    <t>Cliff Birdking I</t>
  </si>
  <si>
    <t>Roi-oisien des falaises I</t>
  </si>
  <si>
    <t xml:space="preserve">Rey pajariano de acantilado I </t>
  </si>
  <si>
    <t>懸崖大鳥人 I</t>
  </si>
  <si>
    <t>悬崖大鸟人 I</t>
  </si>
  <si>
    <t>Cliff Birdking II</t>
  </si>
  <si>
    <t>Roi-oisien des falaises II</t>
  </si>
  <si>
    <t xml:space="preserve">Rey pajariano de acantilado II </t>
  </si>
  <si>
    <t>懸崖大鳥人 II</t>
  </si>
  <si>
    <t>悬崖大鸟人 II</t>
  </si>
  <si>
    <t>Cliff Birdking III</t>
  </si>
  <si>
    <t>Roi-oisien des falaises III</t>
  </si>
  <si>
    <t>Rey pajariano de acantilado III</t>
  </si>
  <si>
    <t>懸崖大鳥人 III</t>
  </si>
  <si>
    <t>悬崖大鸟人 III</t>
  </si>
  <si>
    <t>Collared Salamander</t>
  </si>
  <si>
    <t>Salamandre à collier</t>
  </si>
  <si>
    <t>Salamandra con collar</t>
  </si>
  <si>
    <t>沙羅曼達異種</t>
  </si>
  <si>
    <t>沙罗曼达异种</t>
  </si>
  <si>
    <t>Constituent I</t>
  </si>
  <si>
    <t>Électeur I</t>
  </si>
  <si>
    <t>Votante I</t>
  </si>
  <si>
    <t>黑曜會成員 I</t>
  </si>
  <si>
    <t>黑曜会成员 I</t>
  </si>
  <si>
    <t>Constituent II</t>
  </si>
  <si>
    <t>Électeur II</t>
  </si>
  <si>
    <t>Votante II</t>
  </si>
  <si>
    <t>黑曜會成員 II</t>
  </si>
  <si>
    <t>黑曜会成员 II</t>
  </si>
  <si>
    <t>Crawly Fledgling</t>
  </si>
  <si>
    <t>Oisillon rampant</t>
  </si>
  <si>
    <t>Emplumado hormigueante</t>
  </si>
  <si>
    <t>不可思議的幼體</t>
  </si>
  <si>
    <t>不可思议的幼体</t>
  </si>
  <si>
    <t>Creeping Treant</t>
  </si>
  <si>
    <t>Tréant rampant</t>
  </si>
  <si>
    <t>Treant insidioso</t>
  </si>
  <si>
    <t>蠢動的樹木</t>
  </si>
  <si>
    <t>蠢动的树木</t>
  </si>
  <si>
    <t>Creepy Fledgling</t>
  </si>
  <si>
    <t>Oisillon effrayant</t>
  </si>
  <si>
    <t>Emplumado terrible</t>
  </si>
  <si>
    <t>詭異的幼體</t>
  </si>
  <si>
    <t>诡异的幼体</t>
  </si>
  <si>
    <t>Cultured Cait</t>
  </si>
  <si>
    <t>Cait prestante</t>
  </si>
  <si>
    <t>Félandrin cultivé</t>
  </si>
  <si>
    <t>Cait educado</t>
  </si>
  <si>
    <t>紳士凱特琳</t>
  </si>
  <si>
    <t>绅士凯特林</t>
  </si>
  <si>
    <t>Curator</t>
  </si>
  <si>
    <t>Veilleur</t>
  </si>
  <si>
    <t>Conservador</t>
  </si>
  <si>
    <t>魔導飛器</t>
  </si>
  <si>
    <t>魔导飞器</t>
  </si>
  <si>
    <t>Curator Mk.II</t>
  </si>
  <si>
    <t>Veilleur II</t>
  </si>
  <si>
    <t>Conservador v2</t>
  </si>
  <si>
    <t>魔導飛器．異型</t>
  </si>
  <si>
    <t>魔导飞器・异型</t>
  </si>
  <si>
    <t>Dark Curator</t>
  </si>
  <si>
    <t>Veilleur d'ombre</t>
  </si>
  <si>
    <t>Conservador de la oscuridad</t>
  </si>
  <si>
    <t>魔導飛器（闇）</t>
  </si>
  <si>
    <t>魔导飞器（暗）</t>
  </si>
  <si>
    <t>Dark Curator Mk.II</t>
  </si>
  <si>
    <t>Veilleur d'ombre II</t>
  </si>
  <si>
    <t>Conservador de la oscuridad v2</t>
  </si>
  <si>
    <t>魔導飛器（闇）．異型</t>
  </si>
  <si>
    <t>魔导飞器（暗）・异型</t>
  </si>
  <si>
    <t>Dark Elemental</t>
  </si>
  <si>
    <t>Elementale oscuro</t>
  </si>
  <si>
    <t>Élémentaire d'ombre</t>
  </si>
  <si>
    <t>Elemental de oscuridad</t>
  </si>
  <si>
    <t>闇元素</t>
  </si>
  <si>
    <t>暗元素</t>
  </si>
  <si>
    <t>Dark Guardian</t>
  </si>
  <si>
    <t>Gardien d'ombre</t>
  </si>
  <si>
    <t>Guardián de la oscuridad</t>
  </si>
  <si>
    <t>魔導機兵（闇）</t>
  </si>
  <si>
    <t>魔导机兵（暗）</t>
  </si>
  <si>
    <t>Dark Guardian Mk.II</t>
  </si>
  <si>
    <t>Gardien d'ombre II</t>
  </si>
  <si>
    <t>Guardián de la oscuridad v2</t>
  </si>
  <si>
    <t>魔導機兵（闇）．異型</t>
  </si>
  <si>
    <t>魔导机兵（暗）・异型</t>
  </si>
  <si>
    <t>Dark Remnant</t>
  </si>
  <si>
    <t>Vestige d'ombre</t>
  </si>
  <si>
    <t>Remanente de sombra</t>
  </si>
  <si>
    <t>古代遺物（獸）．黑型</t>
  </si>
  <si>
    <t>古代遗物（兽）・黑型</t>
  </si>
  <si>
    <t>Dark Revenant</t>
  </si>
  <si>
    <t>Revenant d'ombre</t>
  </si>
  <si>
    <t>Aparición de oscuridad</t>
  </si>
  <si>
    <t>古代遺物．黑兵</t>
  </si>
  <si>
    <t>古代遗物・黑兵</t>
  </si>
  <si>
    <t>Dark Roller</t>
  </si>
  <si>
    <t>Ombrier</t>
  </si>
  <si>
    <t>Oscuridad rodante</t>
  </si>
  <si>
    <t>黑糞金龜</t>
  </si>
  <si>
    <t>黑粪金龟</t>
  </si>
  <si>
    <t>Dark Sentinel</t>
  </si>
  <si>
    <t>Sentinelle d'ombre</t>
  </si>
  <si>
    <t>Centinela de oscuridad</t>
  </si>
  <si>
    <t>魔導機（闇）</t>
  </si>
  <si>
    <t>魔导机（暗）</t>
  </si>
  <si>
    <t>Dark Sentinel Mk.II</t>
  </si>
  <si>
    <t>Sentinelle d'ombre II</t>
  </si>
  <si>
    <t>Centinela de oscuridad v2</t>
  </si>
  <si>
    <t>魔導機（闇）．異型</t>
  </si>
  <si>
    <t>魔导机（暗）・异型</t>
  </si>
  <si>
    <t>Davy Bones</t>
  </si>
  <si>
    <t>Os de noyé</t>
  </si>
  <si>
    <t>Barbahuesos</t>
  </si>
  <si>
    <t>海盜骷髏異種</t>
  </si>
  <si>
    <t>海盗骷髅异种</t>
  </si>
  <si>
    <t>Deep One</t>
  </si>
  <si>
    <t>Abyssal</t>
  </si>
  <si>
    <t>Profundoso</t>
  </si>
  <si>
    <t>梅伊爾史多洛姆</t>
  </si>
  <si>
    <t>梅伊尔史多洛姆</t>
  </si>
  <si>
    <t>Demon Deer</t>
  </si>
  <si>
    <t>Cerf démoniaque</t>
  </si>
  <si>
    <t>Ciervo demoníaco</t>
  </si>
  <si>
    <t>邪鹿怪</t>
  </si>
  <si>
    <t>Demon Goat</t>
  </si>
  <si>
    <t>Chèvre démoniaque</t>
  </si>
  <si>
    <t>Cabra demoníaca</t>
  </si>
  <si>
    <t>狂戰羊</t>
  </si>
  <si>
    <t>狂战羊</t>
  </si>
  <si>
    <t>Desert Worm</t>
  </si>
  <si>
    <t>Verme del deserto</t>
  </si>
  <si>
    <t>Ver du désert</t>
  </si>
  <si>
    <t>Gusano del desierto</t>
  </si>
  <si>
    <t>沙蟲異種</t>
  </si>
  <si>
    <t>沙虫异种</t>
  </si>
  <si>
    <t>Devil Deer</t>
  </si>
  <si>
    <t>Cerf diabolique</t>
  </si>
  <si>
    <t>Ciervo infernal</t>
  </si>
  <si>
    <t>邪鹿怪異種</t>
  </si>
  <si>
    <t>邪鹿怪异种</t>
  </si>
  <si>
    <t>Dire Army Ant</t>
  </si>
  <si>
    <t>Fourmi menaçante</t>
  </si>
  <si>
    <t>Hormiga legionaria funesta</t>
  </si>
  <si>
    <t>咬噬蟻異種</t>
  </si>
  <si>
    <t>咬噬蚁异种</t>
  </si>
  <si>
    <t>Dire Ash Raven</t>
  </si>
  <si>
    <t>Corbeau lugubre</t>
  </si>
  <si>
    <t>Cuervo ceniciento funesto</t>
  </si>
  <si>
    <t>高地烏鴉異種</t>
  </si>
  <si>
    <t>高地乌鸦异种</t>
  </si>
  <si>
    <t>Dire Night Raven</t>
  </si>
  <si>
    <t>Corbeau sinistre</t>
  </si>
  <si>
    <t>Cuervo nocturno funesto</t>
  </si>
  <si>
    <t>黑烏鴉異種</t>
  </si>
  <si>
    <t>黑乌鸦异种</t>
  </si>
  <si>
    <t>Dire Skull Roller</t>
  </si>
  <si>
    <t>Crânier sinitre</t>
  </si>
  <si>
    <t>Calavera rodante funesta</t>
  </si>
  <si>
    <t>屍骸糞金龜異種</t>
  </si>
  <si>
    <t>尸骸粪金龟异种</t>
  </si>
  <si>
    <t>Dread Falcon</t>
  </si>
  <si>
    <t>Falcone del terrore</t>
  </si>
  <si>
    <t>Faucon de l'effroi</t>
  </si>
  <si>
    <t>Halcón temible</t>
  </si>
  <si>
    <t>大遊隼異種</t>
  </si>
  <si>
    <t>大游隼异种</t>
  </si>
  <si>
    <t>Dread Viper</t>
  </si>
  <si>
    <t>Vipère de l'effroi</t>
  </si>
  <si>
    <t>Víbora temible</t>
  </si>
  <si>
    <t>鱗蛇異種</t>
  </si>
  <si>
    <t>鳞蛇异种</t>
  </si>
  <si>
    <t>Dreadwing</t>
  </si>
  <si>
    <t>Aile d'effroi</t>
  </si>
  <si>
    <t>Ala Temíble</t>
  </si>
  <si>
    <t>詭異的鳥</t>
  </si>
  <si>
    <t>诡异的鸟</t>
  </si>
  <si>
    <t>Eggling</t>
  </si>
  <si>
    <t>Petit oeuf</t>
  </si>
  <si>
    <t>Cría</t>
  </si>
  <si>
    <t>蛋眼</t>
  </si>
  <si>
    <t>Ettin Asp</t>
  </si>
  <si>
    <t>Ettin aspic</t>
  </si>
  <si>
    <t>Áspid ettin</t>
  </si>
  <si>
    <t>雙子蛇</t>
  </si>
  <si>
    <t>双子蛇</t>
  </si>
  <si>
    <t>Ettin Ophidian</t>
  </si>
  <si>
    <t>Ettin ophidien</t>
  </si>
  <si>
    <t>Ofidia ettin</t>
  </si>
  <si>
    <t>雙子蛇異種</t>
  </si>
  <si>
    <t>双子蛇异种</t>
  </si>
  <si>
    <t>Ettin Serpent</t>
  </si>
  <si>
    <t>Ettin serpent</t>
  </si>
  <si>
    <t>Culebra ettin</t>
  </si>
  <si>
    <t>雙頭蛇</t>
  </si>
  <si>
    <t>双头蛇</t>
  </si>
  <si>
    <t>Ettin Snake</t>
  </si>
  <si>
    <t>Ettin reptilien</t>
  </si>
  <si>
    <t>Serpiente ettin</t>
  </si>
  <si>
    <t>雙頸蛇</t>
  </si>
  <si>
    <t>双颈蛇</t>
  </si>
  <si>
    <t>Fire Elemental</t>
  </si>
  <si>
    <t>Élémentaire de feu</t>
  </si>
  <si>
    <t>Elemental de fuego</t>
  </si>
  <si>
    <t>火元素</t>
  </si>
  <si>
    <t>Fire Guardian Mk.II</t>
  </si>
  <si>
    <t>Gardien de feu II</t>
  </si>
  <si>
    <t>Guardián del fuego v2</t>
  </si>
  <si>
    <t>魔導機兵（火）．異型</t>
  </si>
  <si>
    <t>魔导机兵（火）・异型</t>
  </si>
  <si>
    <t>Fire Sentinel</t>
  </si>
  <si>
    <t>Sentinelle de feu</t>
  </si>
  <si>
    <t>Centinela de fuego</t>
  </si>
  <si>
    <t>魔導機（火）</t>
  </si>
  <si>
    <t>魔导机（火）</t>
  </si>
  <si>
    <t>Fire Wisp</t>
  </si>
  <si>
    <t>Fatuo rovente</t>
  </si>
  <si>
    <t>Volute de feu</t>
  </si>
  <si>
    <t>Voluta de fuego</t>
  </si>
  <si>
    <t>火之鬼火</t>
  </si>
  <si>
    <t>Flame Curator</t>
  </si>
  <si>
    <t>Veilleur de feu</t>
  </si>
  <si>
    <t>Conservador de la llama</t>
  </si>
  <si>
    <t>魔導飛器（火）</t>
  </si>
  <si>
    <t>魔导飞器（火）</t>
  </si>
  <si>
    <t>Flame Curator Mk.II</t>
  </si>
  <si>
    <t>Veilleur de feu II</t>
  </si>
  <si>
    <t>Conservador de la llama v2</t>
  </si>
  <si>
    <t>魔導飛器（火）．異型</t>
  </si>
  <si>
    <t>魔导飞器（火）・异型</t>
  </si>
  <si>
    <t>Flame Guardian</t>
  </si>
  <si>
    <t>Gardien de  la Flamme</t>
  </si>
  <si>
    <t>Guardián del fuego</t>
  </si>
  <si>
    <t>魔導機兵（火）</t>
  </si>
  <si>
    <t>魔导机兵（火）</t>
  </si>
  <si>
    <t>Flame Remnant Mk.II</t>
  </si>
  <si>
    <t>Vestige de feu II</t>
  </si>
  <si>
    <t>Remanente de llama v2</t>
  </si>
  <si>
    <t>古代遺物（火獸）．異型</t>
  </si>
  <si>
    <t>古代遗物（火兽）・异型</t>
  </si>
  <si>
    <t>Flame Revenant</t>
  </si>
  <si>
    <t>Revenant de feu</t>
  </si>
  <si>
    <t>Aparición de llamas</t>
  </si>
  <si>
    <t>古代遺物．火兵</t>
  </si>
  <si>
    <t>古代遗物・火兵</t>
  </si>
  <si>
    <t>Flame Sentinel Mk.II</t>
  </si>
  <si>
    <t>Sentinelle de feu II</t>
  </si>
  <si>
    <t>Centinela de llama v2</t>
  </si>
  <si>
    <t>魔導機（火）．異型</t>
  </si>
  <si>
    <t>魔导机（火）・异型</t>
  </si>
  <si>
    <t>Flatlands Froggen I</t>
  </si>
  <si>
    <t>Rospide di terra I</t>
  </si>
  <si>
    <t>Croân des plaines I</t>
  </si>
  <si>
    <t>Rana de las Llanuras I</t>
  </si>
  <si>
    <t>平原巨蛙 I</t>
  </si>
  <si>
    <t>Flatlands Froggen II</t>
  </si>
  <si>
    <t>Rospide di terra II</t>
  </si>
  <si>
    <t>Croân des plaines II</t>
  </si>
  <si>
    <t>Rana de las Llanuras II</t>
  </si>
  <si>
    <t>平原巨蛙 II</t>
  </si>
  <si>
    <t>Flatlands Froggen III</t>
  </si>
  <si>
    <t>Rospide di terra III</t>
  </si>
  <si>
    <t>Croân des plaines III</t>
  </si>
  <si>
    <t>Rana de las Llanuras III</t>
  </si>
  <si>
    <t>平原巨蛙 III</t>
  </si>
  <si>
    <t>Flatlands Froggen IV</t>
  </si>
  <si>
    <t>Rospide di terra IV</t>
  </si>
  <si>
    <t>Croân des plaines IV</t>
  </si>
  <si>
    <t>Rana de las Llanuras IV</t>
  </si>
  <si>
    <t>平原巨蛙 IV</t>
  </si>
  <si>
    <t>Flatlands Froggen V</t>
  </si>
  <si>
    <t>Rospide di terra V</t>
  </si>
  <si>
    <t>Croân des plaines V</t>
  </si>
  <si>
    <t>Rana de las Llanuras V</t>
  </si>
  <si>
    <t>平原巨蛙 V</t>
  </si>
  <si>
    <t>Flatlands Froggen VI</t>
  </si>
  <si>
    <t>Rospide di terra VI</t>
  </si>
  <si>
    <t>Croân des plaines VI</t>
  </si>
  <si>
    <t>Rana de las Llanuras VI</t>
  </si>
  <si>
    <t>平原巨蛙 VI</t>
  </si>
  <si>
    <t>Flatlands Frogking I</t>
  </si>
  <si>
    <t>Roi-croân des plaines I</t>
  </si>
  <si>
    <t>Rey rana de las Llanuras I</t>
  </si>
  <si>
    <t>平原大巨蛙 I</t>
  </si>
  <si>
    <t>Flatlands Frogking II</t>
  </si>
  <si>
    <t>Roi-croân des plaines II</t>
  </si>
  <si>
    <t>Rey rana de las Llanuras II</t>
  </si>
  <si>
    <t>平原大巨蛙 II</t>
  </si>
  <si>
    <t>Flatlands Frogking III</t>
  </si>
  <si>
    <t>Roi-croân des plaines III</t>
  </si>
  <si>
    <t>Rey rana de las Llanuras III</t>
  </si>
  <si>
    <t>平原大巨蛙 III</t>
  </si>
  <si>
    <t>Flying Fish</t>
  </si>
  <si>
    <t>Poisson volant</t>
  </si>
  <si>
    <t>Pez volador</t>
  </si>
  <si>
    <t>飛魚</t>
  </si>
  <si>
    <t>飞鱼</t>
  </si>
  <si>
    <t>Forest Fox</t>
  </si>
  <si>
    <t>Renard des forêt</t>
  </si>
  <si>
    <t>Zorro del bosque</t>
  </si>
  <si>
    <t>森林狐狸</t>
  </si>
  <si>
    <t>Forest Ratkin I</t>
  </si>
  <si>
    <t>Rat des forêts I</t>
  </si>
  <si>
    <t>Rata de bosque I</t>
  </si>
  <si>
    <t>森林鼠人 I</t>
  </si>
  <si>
    <t>Forest Ratkin II</t>
  </si>
  <si>
    <t>Rat des forêts II</t>
  </si>
  <si>
    <t>Rata de bosque II</t>
  </si>
  <si>
    <t>森林鼠人 II</t>
  </si>
  <si>
    <t>Forest Ratkin III</t>
  </si>
  <si>
    <t>Rat des forêts III</t>
  </si>
  <si>
    <t>Rata de bosque III</t>
  </si>
  <si>
    <t>森林鼠人 III</t>
  </si>
  <si>
    <t>Forest Ratkin IV</t>
  </si>
  <si>
    <t>Rat des forêts IV</t>
  </si>
  <si>
    <t>Rata de bosque IV</t>
  </si>
  <si>
    <t>森林鼠人 IV</t>
  </si>
  <si>
    <t>Forest Ratkin V</t>
  </si>
  <si>
    <t>Rat des forêts V</t>
  </si>
  <si>
    <t>Rata de bosque V</t>
  </si>
  <si>
    <t>森林鼠人 V</t>
  </si>
  <si>
    <t>Forest Ratkin VI</t>
  </si>
  <si>
    <t>Rat des forêts VI</t>
  </si>
  <si>
    <t>Rata de bosque VI</t>
  </si>
  <si>
    <t>森林鼠人 VI</t>
  </si>
  <si>
    <t>Forest Ratking I</t>
  </si>
  <si>
    <t>Muridé des forêts I</t>
  </si>
  <si>
    <t>Rey de las ratas del bosque I</t>
  </si>
  <si>
    <t>森林大鼠人 I</t>
  </si>
  <si>
    <t>Forest Ratking II</t>
  </si>
  <si>
    <t>Muridé des forêts II</t>
  </si>
  <si>
    <t>Rey de las ratas del bosque II</t>
  </si>
  <si>
    <t>森林大鼠人 II</t>
  </si>
  <si>
    <t>Forest Ratking III</t>
  </si>
  <si>
    <t>Muridé des forêts III</t>
  </si>
  <si>
    <t>Rey de las ratas del bosque III</t>
  </si>
  <si>
    <t>森林大鼠人 III</t>
  </si>
  <si>
    <t>Frost Bear</t>
  </si>
  <si>
    <t>Brinorso</t>
  </si>
  <si>
    <t>Ours du givre</t>
  </si>
  <si>
    <t>Oso polar</t>
  </si>
  <si>
    <t>冰霜熊</t>
  </si>
  <si>
    <t>Frost Fox</t>
  </si>
  <si>
    <t>Renard de givre</t>
  </si>
  <si>
    <t>Zorro de escarcha</t>
  </si>
  <si>
    <t>白雪狐狸</t>
  </si>
  <si>
    <t>Frostwing Serpent</t>
  </si>
  <si>
    <t>Serpent givre-aile</t>
  </si>
  <si>
    <t>Culebra alaescarchada</t>
  </si>
  <si>
    <t>雪蛇鳥</t>
  </si>
  <si>
    <t>雪蛇鸟</t>
  </si>
  <si>
    <t>Furious Fungoid</t>
  </si>
  <si>
    <t>Fongiforme furieux</t>
  </si>
  <si>
    <t>Fungoide furioso</t>
  </si>
  <si>
    <t>狂暴菌類</t>
  </si>
  <si>
    <t>狂暴菌类</t>
  </si>
  <si>
    <t>Gabbrodillo</t>
  </si>
  <si>
    <t>Gabrodillo</t>
  </si>
  <si>
    <t>輝長岩犰狳</t>
  </si>
  <si>
    <t>辉长岩犰狳</t>
  </si>
  <si>
    <t>Gargantuan Boar</t>
  </si>
  <si>
    <t>Sanglier colossal</t>
  </si>
  <si>
    <t>Jabalí colosal</t>
  </si>
  <si>
    <t>大牙野豬異種</t>
  </si>
  <si>
    <t>大牙野猪异种</t>
  </si>
  <si>
    <t>Giant Boar</t>
  </si>
  <si>
    <t>Sanglier géant</t>
  </si>
  <si>
    <t>Jabalí salvaje</t>
  </si>
  <si>
    <t>大牙野豬</t>
  </si>
  <si>
    <t>大牙野猪</t>
  </si>
  <si>
    <t>Giant Eagle</t>
  </si>
  <si>
    <t>Aquila gigante</t>
  </si>
  <si>
    <t>Aigle géant</t>
  </si>
  <si>
    <t>Águila gigante</t>
  </si>
  <si>
    <t>大鷲</t>
  </si>
  <si>
    <t>大鹫</t>
  </si>
  <si>
    <t>Giant Falcon</t>
  </si>
  <si>
    <t>Falco gigante</t>
  </si>
  <si>
    <t>Faucon géant</t>
  </si>
  <si>
    <t>Halcón gigante</t>
  </si>
  <si>
    <t>大遊隼</t>
  </si>
  <si>
    <t>大游隼</t>
  </si>
  <si>
    <t>Giant Gator</t>
  </si>
  <si>
    <t>Alligator géant</t>
  </si>
  <si>
    <t>Cocodrilo gigante</t>
  </si>
  <si>
    <t>巨大短鼻鱷</t>
  </si>
  <si>
    <t>巨大短鼻鳄</t>
  </si>
  <si>
    <t>Giant Scorpion</t>
  </si>
  <si>
    <t>Scorpion géant</t>
  </si>
  <si>
    <t>Escorpión gigante</t>
  </si>
  <si>
    <t>大蠍子</t>
  </si>
  <si>
    <t>大蝎子</t>
  </si>
  <si>
    <t>Giant Sheep</t>
  </si>
  <si>
    <t>Pecora gigante</t>
  </si>
  <si>
    <t>Mouton géant</t>
  </si>
  <si>
    <t>Oveja gigante</t>
  </si>
  <si>
    <t>大綿羊</t>
  </si>
  <si>
    <t>大绵羊</t>
  </si>
  <si>
    <t>Giant Slug</t>
  </si>
  <si>
    <t>Limace géante</t>
  </si>
  <si>
    <t>Babosa gigante</t>
  </si>
  <si>
    <t>貝殼蝸牛</t>
  </si>
  <si>
    <t>贝壳蜗牛</t>
  </si>
  <si>
    <t>Gooey Slug</t>
  </si>
  <si>
    <t>Limace gluante</t>
  </si>
  <si>
    <t>Babosa pringosa</t>
  </si>
  <si>
    <t>蛞蝓怪異種</t>
  </si>
  <si>
    <t>蛞蝓怪异种</t>
  </si>
  <si>
    <t>Great Condor</t>
  </si>
  <si>
    <t>Grand condor</t>
  </si>
  <si>
    <t>Gran Cóndor</t>
  </si>
  <si>
    <t>大禿鷹</t>
  </si>
  <si>
    <t>大秃鹰</t>
  </si>
  <si>
    <t>Greater Kingfisher</t>
  </si>
  <si>
    <t>Alcyon</t>
  </si>
  <si>
    <t>Martín pescador mayor</t>
  </si>
  <si>
    <t>海雀異種</t>
  </si>
  <si>
    <t>海雀异种</t>
  </si>
  <si>
    <t>Green Scissors</t>
  </si>
  <si>
    <t>Ciseaux verts</t>
  </si>
  <si>
    <t>Tijeras verdes</t>
  </si>
  <si>
    <t>綠剪蟲</t>
  </si>
  <si>
    <t>绿剪虫</t>
  </si>
  <si>
    <t>Guard Dog</t>
  </si>
  <si>
    <t>Cane della guardia</t>
  </si>
  <si>
    <t>Chien de garde</t>
  </si>
  <si>
    <t>Perro guardián</t>
  </si>
  <si>
    <t>看門狗</t>
  </si>
  <si>
    <t>看门狗</t>
  </si>
  <si>
    <t>Guardian</t>
  </si>
  <si>
    <t>Gardien</t>
  </si>
  <si>
    <t>Guardián</t>
  </si>
  <si>
    <t>魔導機兵</t>
  </si>
  <si>
    <t>魔导机兵</t>
  </si>
  <si>
    <t>Guardian Mk.II</t>
  </si>
  <si>
    <t>Gardien II</t>
  </si>
  <si>
    <t>Guardián v2</t>
  </si>
  <si>
    <t>魔導機兵．異型</t>
  </si>
  <si>
    <t>魔导机兵・异型</t>
  </si>
  <si>
    <t>Hatchling</t>
  </si>
  <si>
    <t>Ovoïde</t>
  </si>
  <si>
    <t>Huevudo</t>
  </si>
  <si>
    <t>手蛋</t>
  </si>
  <si>
    <t>Hermit Conch</t>
  </si>
  <si>
    <t>Conque-ermite</t>
  </si>
  <si>
    <t>Concha ermitaña</t>
  </si>
  <si>
    <t>寄居貝</t>
  </si>
  <si>
    <t>寄居贝</t>
  </si>
  <si>
    <t>High Wolf</t>
  </si>
  <si>
    <t>Altolupo</t>
  </si>
  <si>
    <t>Haut-loup</t>
  </si>
  <si>
    <t>Alto lobo</t>
  </si>
  <si>
    <t>高地狼</t>
  </si>
  <si>
    <t>Highland Goat</t>
  </si>
  <si>
    <t>Chèvre des landes</t>
  </si>
  <si>
    <t>Cabra de las Tierras Altas</t>
  </si>
  <si>
    <t>哈伊蘭多山羊</t>
  </si>
  <si>
    <t>哈伊兰多山羊</t>
  </si>
  <si>
    <t>Highland Ratkin I</t>
  </si>
  <si>
    <t>Rat des landes I</t>
  </si>
  <si>
    <t>Rata de las Tierras Altas I</t>
  </si>
  <si>
    <t>山丘鼠人 I</t>
  </si>
  <si>
    <t>Highland Ratkin II</t>
  </si>
  <si>
    <t>Rat des landes II</t>
  </si>
  <si>
    <t>Rata de las Tierras Altas II</t>
  </si>
  <si>
    <t>山丘鼠人 II</t>
  </si>
  <si>
    <t>Highland Ratkin III</t>
  </si>
  <si>
    <t>Rat des landes III</t>
  </si>
  <si>
    <t>Rata de las Tierras Altas III</t>
  </si>
  <si>
    <t>山丘鼠人 III</t>
  </si>
  <si>
    <t>Highland Ratkin IV</t>
  </si>
  <si>
    <t>Rat des landes IV</t>
  </si>
  <si>
    <t>Rata de las Tierras Altas IV</t>
  </si>
  <si>
    <t>山丘鼠人 IV</t>
  </si>
  <si>
    <t>Highland Ratkin V</t>
  </si>
  <si>
    <t>Rat des landes V</t>
  </si>
  <si>
    <t>Rata de las Tierras Altas V</t>
  </si>
  <si>
    <t>山丘鼠人 V</t>
  </si>
  <si>
    <t>Highland Ratkin VI</t>
  </si>
  <si>
    <t>Rat des landes VI</t>
  </si>
  <si>
    <t>Rata de las Tierras Altas VI</t>
  </si>
  <si>
    <t>山丘鼠人 VI</t>
  </si>
  <si>
    <t>Highland Ratking I</t>
  </si>
  <si>
    <t>Muridé des landes I</t>
  </si>
  <si>
    <t>Rey rata de las Tierras Altas I</t>
  </si>
  <si>
    <t>山丘大鼠人 I</t>
  </si>
  <si>
    <t>Highland Ratking II</t>
  </si>
  <si>
    <t>Muridé des landes II</t>
  </si>
  <si>
    <t>Rey rata de las Tierras Altas II</t>
  </si>
  <si>
    <t>山丘大鼠人 II</t>
  </si>
  <si>
    <t>Highland Ratking III</t>
  </si>
  <si>
    <t>Muridé des landes III</t>
  </si>
  <si>
    <t>Rey rata de las Tierras Altas III</t>
  </si>
  <si>
    <t>山丘大鼠人 III</t>
  </si>
  <si>
    <t>Hoary Bear</t>
  </si>
  <si>
    <t>Ours chenu</t>
  </si>
  <si>
    <t>Oso canoso</t>
  </si>
  <si>
    <t>巨大熊</t>
  </si>
  <si>
    <t>Hoary Howler</t>
  </si>
  <si>
    <t>Hurleur chenu</t>
  </si>
  <si>
    <t>Aullador canoso</t>
  </si>
  <si>
    <t>白咆哮者異種</t>
  </si>
  <si>
    <t>白咆哮者异种</t>
  </si>
  <si>
    <t>Horned Fly</t>
  </si>
  <si>
    <t>Mouche cornue</t>
  </si>
  <si>
    <t>Mosca cornuda</t>
  </si>
  <si>
    <t>咬斷蠅</t>
  </si>
  <si>
    <t>咬断蝇</t>
  </si>
  <si>
    <t>Horned Howler</t>
  </si>
  <si>
    <t>Hurleur cornu</t>
  </si>
  <si>
    <t>Aullador cornudo</t>
  </si>
  <si>
    <t>咆嘯者異種</t>
  </si>
  <si>
    <t>咆啸者异种</t>
  </si>
  <si>
    <t>Horse Fly</t>
  </si>
  <si>
    <t>Taon</t>
  </si>
  <si>
    <t>Mosca de caballo</t>
  </si>
  <si>
    <t>河川蒼蠅異種</t>
  </si>
  <si>
    <t>河川苍蝇异种</t>
  </si>
  <si>
    <t>Howler</t>
  </si>
  <si>
    <t>Hurleur</t>
  </si>
  <si>
    <t>Aullador</t>
  </si>
  <si>
    <t>咆哮者</t>
  </si>
  <si>
    <t>Ice Curator</t>
  </si>
  <si>
    <t>Veilleur de glace</t>
  </si>
  <si>
    <t>Conservador del hielo</t>
  </si>
  <si>
    <t>魔導飛器（冰）</t>
  </si>
  <si>
    <t>魔导飞器（冰）</t>
  </si>
  <si>
    <t>Ice Curator Mk.II</t>
  </si>
  <si>
    <t>Veilleur de glace II</t>
  </si>
  <si>
    <t>Conservador del hielo v2</t>
  </si>
  <si>
    <t>魔導飛器（冰）．異型</t>
  </si>
  <si>
    <t>魔导飞器（冰）・异型</t>
  </si>
  <si>
    <t>Ice Elemental</t>
  </si>
  <si>
    <t>Elementale ghiacciato</t>
  </si>
  <si>
    <t>Élémentaire de glace</t>
  </si>
  <si>
    <t>Elemental de hielo</t>
  </si>
  <si>
    <t>冰元素</t>
  </si>
  <si>
    <t>Ice Guardian</t>
  </si>
  <si>
    <t>Gardien de glace</t>
  </si>
  <si>
    <t>Guardián del hielo</t>
  </si>
  <si>
    <t>魔導機兵（冰）</t>
  </si>
  <si>
    <t>魔导机兵（冰）</t>
  </si>
  <si>
    <t>Ice Guardian Mk.II</t>
  </si>
  <si>
    <t>Gardien de glace II</t>
  </si>
  <si>
    <t>Guardián del hielo v2</t>
  </si>
  <si>
    <t>魔導機兵（冰）．異型</t>
  </si>
  <si>
    <t>魔导机兵（冰）・异型</t>
  </si>
  <si>
    <t>Ice Lizardking I</t>
  </si>
  <si>
    <t>Roi-lézard des glaces I</t>
  </si>
  <si>
    <t>Rey lagarto del hielo I</t>
  </si>
  <si>
    <t>冰雪大蜥蜴人 I</t>
  </si>
  <si>
    <t>Ice Lizardking II</t>
  </si>
  <si>
    <t>Roi-lézard des glaces III</t>
  </si>
  <si>
    <t>Rey lagarto del hielo II</t>
  </si>
  <si>
    <t>冰雪大蜥蜴人 II</t>
  </si>
  <si>
    <t>Ice Lizardking III</t>
  </si>
  <si>
    <t>Rey lagarto del hielo III</t>
  </si>
  <si>
    <t>冰雪大蜥蜴人 III</t>
  </si>
  <si>
    <t>Ice Lizardman I</t>
  </si>
  <si>
    <t>Homme-lézard des glaces I</t>
  </si>
  <si>
    <t>Hombre lagarto del hielo I</t>
  </si>
  <si>
    <t>冰雪蜥蜴人 I</t>
  </si>
  <si>
    <t>Ice Lizardman II</t>
  </si>
  <si>
    <t>Homme-lézard des glaces II</t>
  </si>
  <si>
    <t>Hombre lagarto del hielo II</t>
  </si>
  <si>
    <t>冰雪蜥蜴人 II</t>
  </si>
  <si>
    <t>Ice Lizardman III</t>
  </si>
  <si>
    <t>Homme-lézard des glaces III</t>
  </si>
  <si>
    <t>Hombre lagarto del hielo III</t>
  </si>
  <si>
    <t>冰雪蜥蜴人 III</t>
  </si>
  <si>
    <t>Ice Lizardman IV</t>
  </si>
  <si>
    <t>Homme-lézard des glaces IV</t>
  </si>
  <si>
    <t>Hombre lagarto del hielo IV</t>
  </si>
  <si>
    <t>冰雪蜥蜴人 IV</t>
  </si>
  <si>
    <t>Ice Lizardman V</t>
  </si>
  <si>
    <t>Homme-lézard des glaces V</t>
  </si>
  <si>
    <t>Hombre lagarto del hielo V</t>
  </si>
  <si>
    <t>冰雪蜥蜴人 V</t>
  </si>
  <si>
    <t>Ice Lizardman VI</t>
  </si>
  <si>
    <t>Homme-lézard des glaces VI</t>
  </si>
  <si>
    <t>Hombre lagarto del hielo VI</t>
  </si>
  <si>
    <t>冰雪蜥蜴人 VI</t>
  </si>
  <si>
    <t>Ice Remnant</t>
  </si>
  <si>
    <t>Vestige de glace</t>
  </si>
  <si>
    <t>Remanente de hielo</t>
  </si>
  <si>
    <t>古代遺物（冰獸）</t>
  </si>
  <si>
    <t>古代遗物（冰兽）</t>
  </si>
  <si>
    <t>Ice Remnant Mk.II</t>
  </si>
  <si>
    <t>Vestige de glace II</t>
  </si>
  <si>
    <t>Remanente de hielo v2</t>
  </si>
  <si>
    <t>古代遺物（冰獸）．異型</t>
  </si>
  <si>
    <t>古代遗物（冰兽）・异型</t>
  </si>
  <si>
    <t>Ice Revenant</t>
  </si>
  <si>
    <t>Revenant de glace</t>
  </si>
  <si>
    <t>Aparición de hielo</t>
  </si>
  <si>
    <t>古代遺物．冰兵</t>
  </si>
  <si>
    <t>古代遗物・冰兵</t>
  </si>
  <si>
    <t>Ice Sentinel</t>
  </si>
  <si>
    <t>Sentinella glaciale</t>
  </si>
  <si>
    <t>Sentinelle de glace</t>
  </si>
  <si>
    <t>Centinela de hielo</t>
  </si>
  <si>
    <t>魔導機（冰）</t>
  </si>
  <si>
    <t>魔导机（冰）</t>
  </si>
  <si>
    <t>Ice Sentinel Mk.II</t>
  </si>
  <si>
    <t>Sentinella glaciale II</t>
  </si>
  <si>
    <t>Sentinelle de glace II</t>
  </si>
  <si>
    <t>Centinela de hielo v2</t>
  </si>
  <si>
    <t>魔導機（冰）．異型</t>
  </si>
  <si>
    <t>魔导机（冰）・异型</t>
  </si>
  <si>
    <t>Ice Wisp</t>
  </si>
  <si>
    <t>Fatuo glaciale</t>
  </si>
  <si>
    <t>Volute de glace</t>
  </si>
  <si>
    <t>Voluta de hielo</t>
  </si>
  <si>
    <t>冰之鬼火</t>
  </si>
  <si>
    <t>Icky Slug</t>
  </si>
  <si>
    <t>Limace dégoûtante</t>
  </si>
  <si>
    <t>Babosa asquerosa</t>
  </si>
  <si>
    <t>黑蛞蝓怪</t>
  </si>
  <si>
    <t>Kartikeya</t>
  </si>
  <si>
    <t>Kartikeia</t>
  </si>
  <si>
    <t>七色鳥</t>
  </si>
  <si>
    <t>七色鸟</t>
  </si>
  <si>
    <t>Killer Bug</t>
  </si>
  <si>
    <t>Bicho asesino</t>
  </si>
  <si>
    <t>殺手蟲異種</t>
  </si>
  <si>
    <t>杀手虫异种</t>
  </si>
  <si>
    <t>Killer Chameleon</t>
  </si>
  <si>
    <t>Caméléon tueur</t>
  </si>
  <si>
    <t>Reptileón</t>
  </si>
  <si>
    <t>雷普塔利歐爾</t>
  </si>
  <si>
    <t>雷普塔利欧尔</t>
  </si>
  <si>
    <t>King Condor</t>
  </si>
  <si>
    <t>Condor royal</t>
  </si>
  <si>
    <t>Rey Cóndor</t>
  </si>
  <si>
    <t>大禿鷹異種</t>
  </si>
  <si>
    <t>大秃鹰异种</t>
  </si>
  <si>
    <t>Kingfisher</t>
  </si>
  <si>
    <t>Martin-pêcheur</t>
  </si>
  <si>
    <t>Martín pescador</t>
  </si>
  <si>
    <t>海雀</t>
  </si>
  <si>
    <t>Laughing Hyaena</t>
  </si>
  <si>
    <t>Iena ridens</t>
  </si>
  <si>
    <t>Hyène rieuse</t>
  </si>
  <si>
    <t>Hiena desternillante</t>
  </si>
  <si>
    <t>笑鬣狗</t>
  </si>
  <si>
    <t>Light Curator</t>
  </si>
  <si>
    <t>Veilleur de lumière</t>
  </si>
  <si>
    <t>Conservador de la luz</t>
  </si>
  <si>
    <t>魔導飛器（光）</t>
  </si>
  <si>
    <t>魔导飞器（光）</t>
  </si>
  <si>
    <t>Light Curator Mk.II</t>
  </si>
  <si>
    <t>Veilleur de lumière II</t>
  </si>
  <si>
    <t>Conservador de la luz v2</t>
  </si>
  <si>
    <t>魔導飛器（光）．異型</t>
  </si>
  <si>
    <t>魔导飞器（光）・异型</t>
  </si>
  <si>
    <t>Light Elemental</t>
  </si>
  <si>
    <t>Élémentaire de lumière</t>
  </si>
  <si>
    <t>Elemental de luz</t>
  </si>
  <si>
    <t>光元素</t>
  </si>
  <si>
    <t>Light Guardian</t>
  </si>
  <si>
    <t>Gardien de lumière</t>
  </si>
  <si>
    <t>Guardián de la luz</t>
  </si>
  <si>
    <t>魔導機兵（光）</t>
  </si>
  <si>
    <t>魔导机兵（光）</t>
  </si>
  <si>
    <t>Light Guardian Mk.II</t>
  </si>
  <si>
    <t>Gardien de lumière II</t>
  </si>
  <si>
    <t>Guaridán de la luz v2</t>
  </si>
  <si>
    <t>魔導機兵（光）．異型</t>
  </si>
  <si>
    <t>魔导机兵（光）・异型</t>
  </si>
  <si>
    <t>Light Remnant</t>
  </si>
  <si>
    <t>Vestige de lumière</t>
  </si>
  <si>
    <t>Remanente de luz</t>
  </si>
  <si>
    <t>古代遺物（光獸）</t>
  </si>
  <si>
    <t>古代遗物（光兽）</t>
  </si>
  <si>
    <t>Light Remnant Mk.II</t>
  </si>
  <si>
    <t>Vestige de lumière II</t>
  </si>
  <si>
    <t>Remanente de luz v2</t>
  </si>
  <si>
    <t>古代遺物（光獸）．異型</t>
  </si>
  <si>
    <t>古代遗物（光兽）・异型</t>
  </si>
  <si>
    <t>Light Revenant</t>
  </si>
  <si>
    <t>Revenant de  lumière</t>
  </si>
  <si>
    <t>Aparición de luz</t>
  </si>
  <si>
    <t>古代遺物．光兵</t>
  </si>
  <si>
    <t>古代遗物・光兵</t>
  </si>
  <si>
    <t>Light Sentinel</t>
  </si>
  <si>
    <t>Sentinelle de lumière</t>
  </si>
  <si>
    <t>Centinela de luz</t>
  </si>
  <si>
    <t>魔導機（光）</t>
  </si>
  <si>
    <t>魔导机（光）</t>
  </si>
  <si>
    <t>Light Sentinel Mk.II</t>
  </si>
  <si>
    <t>Sentinelle de lumière II</t>
  </si>
  <si>
    <t>Centinela de luz v2</t>
  </si>
  <si>
    <t>魔導機（光）．異型</t>
  </si>
  <si>
    <t>魔导机（光）・异型</t>
  </si>
  <si>
    <t>Light Wisp</t>
  </si>
  <si>
    <t>Fatuo lucente</t>
  </si>
  <si>
    <t>Volute de lumière</t>
  </si>
  <si>
    <t>Voluta de luz</t>
  </si>
  <si>
    <t>光之鬼火</t>
  </si>
  <si>
    <t>Lightning Elemental</t>
  </si>
  <si>
    <t>Élémentaire de foudre</t>
  </si>
  <si>
    <t>Elemental de rayo</t>
  </si>
  <si>
    <t>雷元素</t>
  </si>
  <si>
    <t>Lloris</t>
  </si>
  <si>
    <t>洛里斯</t>
  </si>
  <si>
    <t>Long-eared Lloris</t>
  </si>
  <si>
    <t>Lloris oreillard</t>
  </si>
  <si>
    <t>Lloris de orejas largas</t>
  </si>
  <si>
    <t>長耳洛里斯</t>
  </si>
  <si>
    <t>长耳洛里斯</t>
  </si>
  <si>
    <t>Lord of the Flies</t>
  </si>
  <si>
    <t>Roi des mouches</t>
  </si>
  <si>
    <t>Señor de las Moscas</t>
  </si>
  <si>
    <t>巨大黑死蒼蠅</t>
  </si>
  <si>
    <t>巨大黑死苍蝇</t>
  </si>
  <si>
    <t>Mad Ratkin</t>
  </si>
  <si>
    <t>Rat fou</t>
  </si>
  <si>
    <t>Rata enfadada</t>
  </si>
  <si>
    <t>猙獰的鼠人</t>
  </si>
  <si>
    <t>狰狞的鼠人</t>
  </si>
  <si>
    <t>Majestic Marmot</t>
  </si>
  <si>
    <t>Marmotta reale</t>
  </si>
  <si>
    <t>Marmotte royale</t>
  </si>
  <si>
    <t>Marmota majestuosa</t>
  </si>
  <si>
    <t>大尾土撥鼠</t>
  </si>
  <si>
    <t>大尾土拨鼠</t>
  </si>
  <si>
    <t>Majestic Snow Marmot</t>
  </si>
  <si>
    <t>Marmotta reale delle nevi</t>
  </si>
  <si>
    <t>Marmotte des cols</t>
  </si>
  <si>
    <t>Marmota de las nieves majestuosa</t>
  </si>
  <si>
    <t>冰雪大尾土撥鼠</t>
  </si>
  <si>
    <t>冰雪大尾土拨鼠</t>
  </si>
  <si>
    <t>Mammoth Sheep</t>
  </si>
  <si>
    <t>Mouton colossal</t>
  </si>
  <si>
    <t>Oveja mamut</t>
  </si>
  <si>
    <t>大綿羊異種</t>
  </si>
  <si>
    <t>大绵羊异种</t>
  </si>
  <si>
    <t>Manticore</t>
  </si>
  <si>
    <t>Mantícora</t>
  </si>
  <si>
    <t>法爾帕斯</t>
  </si>
  <si>
    <t>法尔帕斯</t>
  </si>
  <si>
    <t>Marionette Bones</t>
  </si>
  <si>
    <t>Os de pantin</t>
  </si>
  <si>
    <t>Huesos de títere</t>
  </si>
  <si>
    <t>傀儡骷髏</t>
  </si>
  <si>
    <t>傀儡骷髅</t>
  </si>
  <si>
    <t>Marmot</t>
  </si>
  <si>
    <t>Marmotta</t>
  </si>
  <si>
    <t>Marmotte</t>
  </si>
  <si>
    <t>Marmota</t>
  </si>
  <si>
    <t>土撥鼠</t>
  </si>
  <si>
    <t>土拨鼠</t>
  </si>
  <si>
    <t>Master Thief I</t>
  </si>
  <si>
    <t>Maître voleur I</t>
  </si>
  <si>
    <t>Maestro ladrón I</t>
  </si>
  <si>
    <t>上級盜賊 I</t>
  </si>
  <si>
    <t>上级盗贼 I</t>
  </si>
  <si>
    <t>Master Thief II</t>
  </si>
  <si>
    <t>Maître voleur II</t>
  </si>
  <si>
    <t>Maestro ladrón II</t>
  </si>
  <si>
    <t>上級盜賊 II</t>
  </si>
  <si>
    <t>上级盗贼 II</t>
  </si>
  <si>
    <t>Meep</t>
  </si>
  <si>
    <t>Gorinet</t>
  </si>
  <si>
    <t>Mip</t>
  </si>
  <si>
    <t>比僕</t>
  </si>
  <si>
    <t>比仆</t>
  </si>
  <si>
    <t>Menacing Manticore</t>
  </si>
  <si>
    <t>Manticore hostile</t>
  </si>
  <si>
    <t>Mantícora amenazante</t>
  </si>
  <si>
    <t>法爾帕斯異種</t>
  </si>
  <si>
    <t>法尔帕斯异种</t>
  </si>
  <si>
    <t>Morlock's Mercenary I</t>
  </si>
  <si>
    <t>Mercenario di Morlock (I)</t>
  </si>
  <si>
    <t>Sbire de Morlock I</t>
  </si>
  <si>
    <t>Mercenario de Morlock I</t>
  </si>
  <si>
    <t>莫洛克的警備兵 I</t>
  </si>
  <si>
    <t>莫洛克的警备兵 I</t>
  </si>
  <si>
    <t>Morlock's Mercenary II</t>
  </si>
  <si>
    <t>Mercenario di Morlock (II)</t>
  </si>
  <si>
    <t>Sbire de Morlock II</t>
  </si>
  <si>
    <t>Mercenario de Morlock II</t>
  </si>
  <si>
    <t>莫洛克的警備兵 II</t>
  </si>
  <si>
    <t>莫洛克的警备兵 II</t>
  </si>
  <si>
    <t>Mortal Mushroom</t>
  </si>
  <si>
    <t>Champignon mortel</t>
  </si>
  <si>
    <t>Champiñón mortal</t>
  </si>
  <si>
    <t>猛毒菇</t>
  </si>
  <si>
    <t>Mossy Meep</t>
  </si>
  <si>
    <t>Meep muschiato</t>
  </si>
  <si>
    <t>Gorinet moussu</t>
  </si>
  <si>
    <t>Mip musgoso</t>
  </si>
  <si>
    <t>摩斯比僕</t>
  </si>
  <si>
    <t>摩斯比仆</t>
  </si>
  <si>
    <t>Mossy Tortoise</t>
  </si>
  <si>
    <t>Tortue moussue</t>
  </si>
  <si>
    <t>Tortuga musgosa</t>
  </si>
  <si>
    <t>苔龜</t>
  </si>
  <si>
    <t>苔龟</t>
  </si>
  <si>
    <t>Motley Slug</t>
  </si>
  <si>
    <t>Limace bigarrée</t>
  </si>
  <si>
    <t>Babosa variopinta</t>
  </si>
  <si>
    <t>彩色蝸牛</t>
  </si>
  <si>
    <t>彩色蜗牛</t>
  </si>
  <si>
    <t>Mountain Goat</t>
  </si>
  <si>
    <t>Bouquetin</t>
  </si>
  <si>
    <t>Cabra montesa</t>
  </si>
  <si>
    <t>山羊</t>
  </si>
  <si>
    <t>Mutant Mushroom</t>
  </si>
  <si>
    <t>Chapignon mutant</t>
  </si>
  <si>
    <t>Champiñón mutante</t>
  </si>
  <si>
    <t>怪異菇</t>
  </si>
  <si>
    <t>怪异菇</t>
  </si>
  <si>
    <t>Night Raven</t>
  </si>
  <si>
    <t>Corbeau nocturne</t>
  </si>
  <si>
    <t>Cuervo nocturno</t>
  </si>
  <si>
    <t>黑烏鴉</t>
  </si>
  <si>
    <t>黑乌鸦</t>
  </si>
  <si>
    <t>Obsidian Executive I</t>
  </si>
  <si>
    <t>Cadre d'obsidienne I</t>
  </si>
  <si>
    <t>Ejecutivo de Obsidiana I</t>
  </si>
  <si>
    <t>黑曜會幹部 I</t>
  </si>
  <si>
    <t>黑曜会干部 I</t>
  </si>
  <si>
    <t>Obsidian Executive II</t>
  </si>
  <si>
    <t>Cadre d'obsidienne II</t>
  </si>
  <si>
    <t>Ejecutivo de Obsidiana II</t>
  </si>
  <si>
    <t>黑曜會幹部 II</t>
  </si>
  <si>
    <t>黑曜会干部 II</t>
  </si>
  <si>
    <t>Peek-a-boo</t>
  </si>
  <si>
    <t>Coucou</t>
  </si>
  <si>
    <t>Cu-cu</t>
  </si>
  <si>
    <t>九命樹</t>
  </si>
  <si>
    <t>九命树</t>
  </si>
  <si>
    <t>Pirate I</t>
  </si>
  <si>
    <t>Pirata (I)</t>
  </si>
  <si>
    <t>Pirata I</t>
  </si>
  <si>
    <t>海盜（槍） I</t>
  </si>
  <si>
    <t>海盗（枪） I</t>
  </si>
  <si>
    <t>Pirate II</t>
  </si>
  <si>
    <t>Pirata (II)</t>
  </si>
  <si>
    <t>Pirata II</t>
  </si>
  <si>
    <t>海盜（槍） II</t>
  </si>
  <si>
    <t>海盗（枪） II</t>
  </si>
  <si>
    <t>Pirate III</t>
  </si>
  <si>
    <t>Pirata (III)</t>
  </si>
  <si>
    <t>Pirate IV</t>
  </si>
  <si>
    <t>Pirata III</t>
  </si>
  <si>
    <t>海盜（槍） III</t>
  </si>
  <si>
    <t>海盗（枪） III</t>
  </si>
  <si>
    <t>Plains Drake</t>
  </si>
  <si>
    <t>Drake des plaines</t>
  </si>
  <si>
    <t>Dragón de las llanuras</t>
  </si>
  <si>
    <t>翼蜥蜴</t>
  </si>
  <si>
    <t>Portly Penguin</t>
  </si>
  <si>
    <t>Pingouin corpulent</t>
  </si>
  <si>
    <t>Pingüino corpulento</t>
  </si>
  <si>
    <t>企鵝怪</t>
  </si>
  <si>
    <t>企鹅怪</t>
  </si>
  <si>
    <t>Puppet Bones</t>
  </si>
  <si>
    <t>Ossa di burattino</t>
  </si>
  <si>
    <t>Os de marionnette</t>
  </si>
  <si>
    <t>Huesos de marioneta</t>
  </si>
  <si>
    <t>傀儡骷髏異種</t>
  </si>
  <si>
    <t>傀儡骷髅异种</t>
  </si>
  <si>
    <t>Raging Rhino</t>
  </si>
  <si>
    <t>Rhino enragé</t>
  </si>
  <si>
    <t>Rinoceronte iracundo</t>
  </si>
  <si>
    <t>猛角犀牛</t>
  </si>
  <si>
    <t>Raging Treant</t>
  </si>
  <si>
    <t>Tréant enragé</t>
  </si>
  <si>
    <t>Treant iracundo</t>
  </si>
  <si>
    <t>狂暴樹木</t>
  </si>
  <si>
    <t>狂暴树木</t>
  </si>
  <si>
    <t>Rampant Weed</t>
  </si>
  <si>
    <t>Herbe rampante</t>
  </si>
  <si>
    <t>Hierba descontrolada</t>
  </si>
  <si>
    <t>狂暴植物</t>
  </si>
  <si>
    <t>Ravus Guard I</t>
  </si>
  <si>
    <t>Soldato di Ravus (I)</t>
  </si>
  <si>
    <t>Garde de Ravus I</t>
  </si>
  <si>
    <t>Guardia de Ravus I</t>
  </si>
  <si>
    <t>瑞布斯的士兵 I</t>
  </si>
  <si>
    <t>Ravus Guard II</t>
  </si>
  <si>
    <t>Soldato di Ravus (II)</t>
  </si>
  <si>
    <t>Garde de Ravus II</t>
  </si>
  <si>
    <t>Guardia de Ravus II</t>
  </si>
  <si>
    <t>瑞布斯的士兵 II</t>
  </si>
  <si>
    <t>Ravus Soldier III</t>
  </si>
  <si>
    <t>Soldato di Ravus (III)</t>
  </si>
  <si>
    <t>Soldat de Ravus III</t>
  </si>
  <si>
    <t>Soldado de Ravus III</t>
  </si>
  <si>
    <t>瑞布斯的士兵 III</t>
  </si>
  <si>
    <t>Reaper Crab</t>
  </si>
  <si>
    <t>Crabe dépeceur</t>
  </si>
  <si>
    <t>Cangrejo segador</t>
  </si>
  <si>
    <t>雙剪蟹</t>
  </si>
  <si>
    <t>双剪蟹</t>
  </si>
  <si>
    <t>Red Fox</t>
  </si>
  <si>
    <t>Volpe rossa</t>
  </si>
  <si>
    <t>Renard roux</t>
  </si>
  <si>
    <t>Zorro rojo</t>
  </si>
  <si>
    <t>紅森林狐狸</t>
  </si>
  <si>
    <t>红森林狐狸</t>
  </si>
  <si>
    <t>Red Viper</t>
  </si>
  <si>
    <t>Vipera rossa</t>
  </si>
  <si>
    <t>Vipère rouge</t>
  </si>
  <si>
    <t>Víbora roja</t>
  </si>
  <si>
    <t>紅蛇異種</t>
  </si>
  <si>
    <t>Remnant</t>
  </si>
  <si>
    <t>Vestige</t>
  </si>
  <si>
    <t>Remanente</t>
  </si>
  <si>
    <t>古代遺物（獸）</t>
  </si>
  <si>
    <t>古代遗物（兽）</t>
  </si>
  <si>
    <t>Remnant Mk.II</t>
  </si>
  <si>
    <t>Vestige II</t>
  </si>
  <si>
    <t>Remanente v2</t>
  </si>
  <si>
    <t>古代遺物（獸）．異型</t>
  </si>
  <si>
    <t>古代遗物（兽）・异型</t>
  </si>
  <si>
    <t>Reptalion</t>
  </si>
  <si>
    <t>雷普塔利翁</t>
  </si>
  <si>
    <t>Reptalios</t>
  </si>
  <si>
    <t>雷普塔利歐斯</t>
  </si>
  <si>
    <t>雷普塔利欧斯</t>
  </si>
  <si>
    <t>Researcher I</t>
  </si>
  <si>
    <t>Ricercatore (I)</t>
  </si>
  <si>
    <t>Scientifique I</t>
  </si>
  <si>
    <t>Investigadora I</t>
  </si>
  <si>
    <t>研究員 I</t>
  </si>
  <si>
    <t>研究员 I</t>
  </si>
  <si>
    <t>Researcher II</t>
  </si>
  <si>
    <t>Ricercatore (II)</t>
  </si>
  <si>
    <t>Scientifique II</t>
  </si>
  <si>
    <t>Investigadora II</t>
  </si>
  <si>
    <t>研究員 II</t>
  </si>
  <si>
    <t>研究员 II</t>
  </si>
  <si>
    <t>Researcher III</t>
  </si>
  <si>
    <t>Ricercatore (III)</t>
  </si>
  <si>
    <t>Scientifique III</t>
  </si>
  <si>
    <t>Investigadora III</t>
  </si>
  <si>
    <t>研究員 III</t>
  </si>
  <si>
    <t>研究员 III</t>
  </si>
  <si>
    <t>Revenant</t>
  </si>
  <si>
    <t>Aparición</t>
  </si>
  <si>
    <t>古代遺物．兵</t>
  </si>
  <si>
    <t>古代遗物・兵</t>
  </si>
  <si>
    <t>River Bug</t>
  </si>
  <si>
    <t>Insectes des rivières</t>
  </si>
  <si>
    <t>Bicho de río</t>
  </si>
  <si>
    <t>腐臭蟲</t>
  </si>
  <si>
    <t>腐臭虫</t>
  </si>
  <si>
    <t>River Fly</t>
  </si>
  <si>
    <t>Mouche des rivières</t>
  </si>
  <si>
    <t>Mosca de río</t>
  </si>
  <si>
    <t>河川蒼蠅</t>
  </si>
  <si>
    <t>河川苍蝇</t>
  </si>
  <si>
    <t>River Froggen I</t>
  </si>
  <si>
    <t>Rospide di fiume I</t>
  </si>
  <si>
    <t>Croân des rivières I</t>
  </si>
  <si>
    <t>Rana del río I</t>
  </si>
  <si>
    <t>河川巨蛙 I</t>
  </si>
  <si>
    <t>River Froggen II</t>
  </si>
  <si>
    <t>Rospide di fiume II</t>
  </si>
  <si>
    <t>Croân des rivières II</t>
  </si>
  <si>
    <t>Rana del río II</t>
  </si>
  <si>
    <t>河川巨蛙 II</t>
  </si>
  <si>
    <t>River Froggen III</t>
  </si>
  <si>
    <t>Rospide di fiume III</t>
  </si>
  <si>
    <t>Croân des rivières III</t>
  </si>
  <si>
    <t>Rana del río III</t>
  </si>
  <si>
    <t>河川巨蛙 III</t>
  </si>
  <si>
    <t>River Froggen IV</t>
  </si>
  <si>
    <t>Rospide di fiume IV</t>
  </si>
  <si>
    <t>Croân des rivières IV</t>
  </si>
  <si>
    <t>Rana del río IV</t>
  </si>
  <si>
    <t>河川巨蛙 IV</t>
  </si>
  <si>
    <t>River Froggen V</t>
  </si>
  <si>
    <t>Rospide di fiume V</t>
  </si>
  <si>
    <t>Croân des rivières V</t>
  </si>
  <si>
    <t>Rana del río V</t>
  </si>
  <si>
    <t>河川巨蛙 V</t>
  </si>
  <si>
    <t>River Froggen VI</t>
  </si>
  <si>
    <t>Rospide di fiume VI</t>
  </si>
  <si>
    <t>Croân des rivières VI</t>
  </si>
  <si>
    <t>Rana del río VI</t>
  </si>
  <si>
    <t>河川巨蛙 VI</t>
  </si>
  <si>
    <t>River Frogking I</t>
  </si>
  <si>
    <t>Roi-croân des rivières I</t>
  </si>
  <si>
    <t>Rey rana del río I</t>
  </si>
  <si>
    <t>河川大巨蛙 I</t>
  </si>
  <si>
    <t>River Frogking II</t>
  </si>
  <si>
    <t>Roi-croân des rivières II</t>
  </si>
  <si>
    <t>Rey rana del río II</t>
  </si>
  <si>
    <t>河川大巨蛙 II</t>
  </si>
  <si>
    <t>River Frogking III</t>
  </si>
  <si>
    <t>Roi-croân des rivières III</t>
  </si>
  <si>
    <t>Rey rana del río III</t>
  </si>
  <si>
    <t>河川大巨蛙 III</t>
  </si>
  <si>
    <t>River Wasp</t>
  </si>
  <si>
    <t>Idrovespa</t>
  </si>
  <si>
    <t>Guêpe des rivières</t>
  </si>
  <si>
    <t>Avispa de río</t>
  </si>
  <si>
    <t>河蜂</t>
  </si>
  <si>
    <t>Rock Tortoise</t>
  </si>
  <si>
    <t>Tartaruga roccia</t>
  </si>
  <si>
    <t>Tortue de roche</t>
  </si>
  <si>
    <t>Tortuga rocosa</t>
  </si>
  <si>
    <t>岩龜</t>
  </si>
  <si>
    <t>岩龟</t>
  </si>
  <si>
    <t>Rockadillo</t>
  </si>
  <si>
    <t>Rocciadrillo</t>
  </si>
  <si>
    <t>Glyptodon</t>
  </si>
  <si>
    <t>Rocadillo</t>
  </si>
  <si>
    <t>岩犰狳</t>
  </si>
  <si>
    <t>Sailfish</t>
  </si>
  <si>
    <t>Poisson-voilier</t>
  </si>
  <si>
    <t>Pez vela</t>
  </si>
  <si>
    <t>飛魚異種</t>
  </si>
  <si>
    <t>飞鱼异种</t>
  </si>
  <si>
    <t>Salamander</t>
  </si>
  <si>
    <t>Salamandra</t>
  </si>
  <si>
    <t>Salamandre</t>
  </si>
  <si>
    <t>沙羅曼達</t>
  </si>
  <si>
    <t>沙罗曼达</t>
  </si>
  <si>
    <t>Sand Lizardking I</t>
  </si>
  <si>
    <t>Roi-lézard des sables I</t>
  </si>
  <si>
    <t>Rey lagarto de las arenas I</t>
  </si>
  <si>
    <t>沙漠大蜥蜴人 I</t>
  </si>
  <si>
    <t>熱沙大蜥蜴人 I</t>
  </si>
  <si>
    <t>热沙大蜥蜴人 I</t>
  </si>
  <si>
    <t>Sand Lizardking II</t>
  </si>
  <si>
    <t>Roi-lézard des sables II</t>
  </si>
  <si>
    <t>Rey lagarto de las arenas II</t>
  </si>
  <si>
    <t>沙漠大蜥蜴人 II</t>
  </si>
  <si>
    <t>熱沙大蜥蜴人 II</t>
  </si>
  <si>
    <t>热沙大蜥蜴人 II</t>
  </si>
  <si>
    <t>Sand Lizardking III</t>
  </si>
  <si>
    <t>Roi-lézard des sables III</t>
  </si>
  <si>
    <t>Rey lagarto de las arenas III</t>
  </si>
  <si>
    <t>沙漠大蜥蜴人 III</t>
  </si>
  <si>
    <t>Sand Lizardman I</t>
  </si>
  <si>
    <t>Homme-lézard des sables I</t>
  </si>
  <si>
    <t>Hombre lagarto de las arenas I</t>
  </si>
  <si>
    <t>沙漠蜥蜴人 I</t>
  </si>
  <si>
    <t>熱沙蜥蜴人 I</t>
  </si>
  <si>
    <t>热沙蜥蜴人 I</t>
  </si>
  <si>
    <t>Sand Lizardman II</t>
  </si>
  <si>
    <t>Homme-lézard des sables II</t>
  </si>
  <si>
    <t>Hombre lagarto de las arenas II</t>
  </si>
  <si>
    <t>沙漠蜥蜴人 II</t>
  </si>
  <si>
    <t>熱沙蜥蜴人 II</t>
  </si>
  <si>
    <t>热沙蜥蜴人 II</t>
  </si>
  <si>
    <t>Sand Lizardman III</t>
  </si>
  <si>
    <t>Homme-lézard des sables III</t>
  </si>
  <si>
    <t>Hombre lagarto de las arenas III</t>
  </si>
  <si>
    <t>沙漠蜥蜴人 III</t>
  </si>
  <si>
    <t>熱沙蜥蜴人 III</t>
  </si>
  <si>
    <t>热沙蜥蜴人 III</t>
  </si>
  <si>
    <t>Sand Lizardman IV</t>
  </si>
  <si>
    <t>Homme-lézard des sables IV</t>
  </si>
  <si>
    <t>Hombre lagarto de las arenas IV</t>
  </si>
  <si>
    <t>沙漠蜥蜴人 IV</t>
  </si>
  <si>
    <t>Sand Lizardman V</t>
  </si>
  <si>
    <t>Homme lézard des sables V</t>
  </si>
  <si>
    <t>Hombre lagarto de las arenas V</t>
  </si>
  <si>
    <t>沙漠蜥蜴人 V</t>
  </si>
  <si>
    <t>Sand Lizardman VI</t>
  </si>
  <si>
    <t>Homme lézard des sables VI</t>
  </si>
  <si>
    <t>Hombre lagarto de las arenas VI</t>
  </si>
  <si>
    <t>沙漠蜥蜴人 VI</t>
  </si>
  <si>
    <t>Sandworm</t>
  </si>
  <si>
    <t>Verme delle sabbie</t>
  </si>
  <si>
    <t>Ver des sables</t>
  </si>
  <si>
    <t>Gusano de arena</t>
  </si>
  <si>
    <t>沙蟲</t>
  </si>
  <si>
    <t>沙虫</t>
  </si>
  <si>
    <t>Savage Scorpion</t>
  </si>
  <si>
    <t>Scorpion sauvage</t>
  </si>
  <si>
    <t>Escorpión salvaje</t>
  </si>
  <si>
    <t>大蠍子異種</t>
  </si>
  <si>
    <t>大蝎子异种</t>
  </si>
  <si>
    <t>Scaled Viper</t>
  </si>
  <si>
    <t>Vipère écailleuse</t>
  </si>
  <si>
    <t>Víbora escamada</t>
  </si>
  <si>
    <t>鱗蛇</t>
  </si>
  <si>
    <t>鳞蛇</t>
  </si>
  <si>
    <t>Scissor Crab</t>
  </si>
  <si>
    <t>Granchio cesoia</t>
  </si>
  <si>
    <t>Crabe cisailleur</t>
  </si>
  <si>
    <t>Cangrejo tijeretero</t>
  </si>
  <si>
    <t>剪刀蟹</t>
  </si>
  <si>
    <t>Scythe Crab</t>
  </si>
  <si>
    <t>Crabe faucheur</t>
  </si>
  <si>
    <t>Cangrejo guadaña</t>
  </si>
  <si>
    <t>剪刀蟹異種</t>
  </si>
  <si>
    <t>剪刀蟹异种</t>
  </si>
  <si>
    <t>Sea Anemone</t>
  </si>
  <si>
    <t>Anémone de mer</t>
  </si>
  <si>
    <t>Anémona marina</t>
  </si>
  <si>
    <t>浮浪海葵</t>
  </si>
  <si>
    <t>Sea Birdian 1</t>
  </si>
  <si>
    <t>Avio marino I</t>
  </si>
  <si>
    <t>Oisien marin I</t>
  </si>
  <si>
    <t>Pajariano de mar I</t>
  </si>
  <si>
    <t>海之鳥人 I</t>
  </si>
  <si>
    <t>海之鸟人 I</t>
  </si>
  <si>
    <t>Sea Birdian 2</t>
  </si>
  <si>
    <t>Avio marino II</t>
  </si>
  <si>
    <t>Oisien marin II</t>
  </si>
  <si>
    <t>Pajariano de mar II</t>
  </si>
  <si>
    <t>海之鳥人 II</t>
  </si>
  <si>
    <t>海之鸟人 II</t>
  </si>
  <si>
    <t>Sea Birdian 3</t>
  </si>
  <si>
    <t>Avio marino III</t>
  </si>
  <si>
    <t>Oisien marin III</t>
  </si>
  <si>
    <t>Pajariano de mar III</t>
  </si>
  <si>
    <t>海之鳥人 III</t>
  </si>
  <si>
    <t>海之鸟人 III</t>
  </si>
  <si>
    <t>Sea Birdian 4</t>
  </si>
  <si>
    <t>Avio marino IV</t>
  </si>
  <si>
    <t>Oisien marin IV</t>
  </si>
  <si>
    <t>Pajariano de mar IV</t>
  </si>
  <si>
    <t>海之鳥人 IV</t>
  </si>
  <si>
    <t>海之鸟人 IV</t>
  </si>
  <si>
    <t>Sea Birdian 5</t>
  </si>
  <si>
    <t>Avio marino V</t>
  </si>
  <si>
    <t>Oisien marin V</t>
  </si>
  <si>
    <t>Pajariano de mar V</t>
  </si>
  <si>
    <t>海之鳥人 V</t>
  </si>
  <si>
    <t>海之鸟人 V</t>
  </si>
  <si>
    <t>Sea Birdian 6</t>
  </si>
  <si>
    <t>Avio marino VI</t>
  </si>
  <si>
    <t>Oisien marin VI</t>
  </si>
  <si>
    <t>Pajariano de mar VI</t>
  </si>
  <si>
    <t>海之鳥人 VI</t>
  </si>
  <si>
    <t>海之鸟人 VI</t>
  </si>
  <si>
    <t>Sea Birdking 1</t>
  </si>
  <si>
    <t>Roi-oisien marin I</t>
  </si>
  <si>
    <t>Rey pajariano de mar I</t>
  </si>
  <si>
    <t>海之大鳥人 I</t>
  </si>
  <si>
    <t>海之大鸟人 I</t>
  </si>
  <si>
    <t>Sea Birdking 2</t>
  </si>
  <si>
    <t>Roi-oisien marin II</t>
  </si>
  <si>
    <t>Rey pajariano de mar II</t>
  </si>
  <si>
    <t>海之大鳥人 II</t>
  </si>
  <si>
    <t>海之大鸟人 II</t>
  </si>
  <si>
    <t>Sea Birdking 3</t>
  </si>
  <si>
    <t>Roi-oisien marin III</t>
  </si>
  <si>
    <t>Rey pajariano de mar III</t>
  </si>
  <si>
    <t>海之大鳥人 III</t>
  </si>
  <si>
    <t>海之大鸟人 III</t>
  </si>
  <si>
    <t>Sea Scorpion</t>
  </si>
  <si>
    <t>Scorpion des mers</t>
  </si>
  <si>
    <t>Escorpión marino</t>
  </si>
  <si>
    <t>海蠍子</t>
  </si>
  <si>
    <t>海蝎子</t>
  </si>
  <si>
    <t>Sea Slug</t>
  </si>
  <si>
    <t>Limace de mer</t>
  </si>
  <si>
    <t>Babosa marina</t>
  </si>
  <si>
    <t>冷水蝸牛</t>
  </si>
  <si>
    <t>冷水蜗牛</t>
  </si>
  <si>
    <t>Sea Snake</t>
  </si>
  <si>
    <t>Serpent de mer</t>
  </si>
  <si>
    <t>Serpiente marina</t>
  </si>
  <si>
    <t>藍蛇</t>
  </si>
  <si>
    <t>蓝蛇</t>
  </si>
  <si>
    <t>Sentinel</t>
  </si>
  <si>
    <t>Sentinella</t>
  </si>
  <si>
    <t>Sentinelle</t>
  </si>
  <si>
    <t>Centinela</t>
  </si>
  <si>
    <t>魔導機</t>
  </si>
  <si>
    <t>魔导机</t>
  </si>
  <si>
    <t>Sentinel Mk.2</t>
  </si>
  <si>
    <t>Sentinelle II</t>
  </si>
  <si>
    <t>Centinela v2</t>
  </si>
  <si>
    <t>魔導機．異型</t>
  </si>
  <si>
    <t>魔导机・异型</t>
  </si>
  <si>
    <t>Shadow Bat</t>
  </si>
  <si>
    <t>Pippistrello ombra</t>
  </si>
  <si>
    <t>Noctule d'ombre</t>
  </si>
  <si>
    <t>Murciélago sombrío</t>
  </si>
  <si>
    <t>黑蝙蝠異種</t>
  </si>
  <si>
    <t>黑蝙蝠异种</t>
  </si>
  <si>
    <t>Shadow Raven</t>
  </si>
  <si>
    <t>Corbeau d'ombre</t>
  </si>
  <si>
    <t>Cuervo sombrío</t>
  </si>
  <si>
    <t>闇烏鴉</t>
  </si>
  <si>
    <t>暗乌鸦</t>
  </si>
  <si>
    <t>Shadow Remnant Mk.2</t>
  </si>
  <si>
    <t>Vestige d'ombre II</t>
  </si>
  <si>
    <t>Remanente de sombra v2</t>
  </si>
  <si>
    <t>古代遺物（闇獸）．異型</t>
  </si>
  <si>
    <t>古代遗物（暗兽）・异型</t>
  </si>
  <si>
    <t>Shadow Revenant</t>
  </si>
  <si>
    <t>Aparición de sombras</t>
  </si>
  <si>
    <t>古代遺物．闇兵</t>
  </si>
  <si>
    <t>古代遗物・暗兵</t>
  </si>
  <si>
    <t>Shadow Wisp</t>
  </si>
  <si>
    <t>Volute de ténèbres</t>
  </si>
  <si>
    <t>Voluta sombría</t>
  </si>
  <si>
    <t>闇鬼火</t>
  </si>
  <si>
    <t>暗鬼火</t>
  </si>
  <si>
    <t>Shaggy Aurochs</t>
  </si>
  <si>
    <t>Uro irsuto</t>
  </si>
  <si>
    <t>Auroch hirsute</t>
  </si>
  <si>
    <t>Uros desaliñado</t>
  </si>
  <si>
    <t>粗毛牛</t>
  </si>
  <si>
    <t>Shaggy Meep</t>
  </si>
  <si>
    <t>Meep villoso</t>
  </si>
  <si>
    <t>Gorinet hirsute</t>
  </si>
  <si>
    <t>Mip desaliñado</t>
  </si>
  <si>
    <t>頭領比僕</t>
  </si>
  <si>
    <t>头领比仆</t>
  </si>
  <si>
    <t>Shaggy Spider</t>
  </si>
  <si>
    <t>Araignée hirsute</t>
  </si>
  <si>
    <t>Araña desaliñada</t>
  </si>
  <si>
    <t>天上蜘蛛</t>
  </si>
  <si>
    <t>Shambling Weed</t>
  </si>
  <si>
    <t>Mauvaise herbe</t>
  </si>
  <si>
    <t>Hierba caótica</t>
  </si>
  <si>
    <t>蠢動的植物</t>
  </si>
  <si>
    <t>蠢动的植物</t>
  </si>
  <si>
    <t>Skulking Fungoid</t>
  </si>
  <si>
    <t>Fongiforme rôdeur</t>
  </si>
  <si>
    <t>Fungoide merodeante</t>
  </si>
  <si>
    <t>蠢動的菌類</t>
  </si>
  <si>
    <t>蠢动的菌类</t>
  </si>
  <si>
    <t>Skull Roller</t>
  </si>
  <si>
    <t>Crânier</t>
  </si>
  <si>
    <t>Calavera rodante</t>
  </si>
  <si>
    <t>屍骸糞金龜</t>
  </si>
  <si>
    <t>尸骸粪金龟</t>
  </si>
  <si>
    <t>Slayer Bug</t>
  </si>
  <si>
    <t>Insecte fatal</t>
  </si>
  <si>
    <t>Bicho letal</t>
  </si>
  <si>
    <t>黑殺手蟲</t>
  </si>
  <si>
    <t>黑杀手虫</t>
  </si>
  <si>
    <t>Snow Drake</t>
  </si>
  <si>
    <t>Drake des neiges</t>
  </si>
  <si>
    <t>Dragón de las nieves</t>
  </si>
  <si>
    <t>翼蜥蜴異種</t>
  </si>
  <si>
    <t>翼蜥蜴异种</t>
  </si>
  <si>
    <t>Snow Fox</t>
  </si>
  <si>
    <t>Volpe dei ghiacci</t>
  </si>
  <si>
    <t>Renard des neiges</t>
  </si>
  <si>
    <t>Zorro de las nieves</t>
  </si>
  <si>
    <t>雪狐狸</t>
  </si>
  <si>
    <t>Snow Leopard</t>
  </si>
  <si>
    <t>Panthère des neiges</t>
  </si>
  <si>
    <t>Leopardo de las nieves</t>
  </si>
  <si>
    <t>白豹</t>
  </si>
  <si>
    <t>Snow Lizard</t>
  </si>
  <si>
    <t>Lézard des neiges</t>
  </si>
  <si>
    <t>Lagarto de las nieves</t>
  </si>
  <si>
    <t>雪蜥蜴</t>
  </si>
  <si>
    <t>Snow Marmot</t>
  </si>
  <si>
    <t>Marmotta delle nevi</t>
  </si>
  <si>
    <t>Marmotte alpine</t>
  </si>
  <si>
    <t>Marmota de las nieves</t>
  </si>
  <si>
    <t>冰雪土撥鼠</t>
  </si>
  <si>
    <t>冰雪土拨鼠</t>
  </si>
  <si>
    <t>Snow Yak</t>
  </si>
  <si>
    <t>Yak des neiges</t>
  </si>
  <si>
    <t>Yak de las nieves</t>
  </si>
  <si>
    <t>雪氂牛</t>
  </si>
  <si>
    <t>雪牦牛</t>
  </si>
  <si>
    <t>Spiked Skink</t>
  </si>
  <si>
    <t>Scinque à pointes</t>
  </si>
  <si>
    <t>Eslizón punzante</t>
  </si>
  <si>
    <t>尖刺蜥蜴</t>
  </si>
  <si>
    <t>Spud Bug</t>
  </si>
  <si>
    <t>Insecte fouisseur</t>
  </si>
  <si>
    <t>Bicho perforante</t>
  </si>
  <si>
    <t>薯蟲</t>
  </si>
  <si>
    <t>薯虫</t>
  </si>
  <si>
    <t>Sticky Slug</t>
  </si>
  <si>
    <t>Limace collante</t>
  </si>
  <si>
    <t>Babosa pegajosa</t>
  </si>
  <si>
    <t>蛞蝓怪</t>
  </si>
  <si>
    <t>Stone Bug</t>
  </si>
  <si>
    <t>Insecte de pierre</t>
  </si>
  <si>
    <t>Bicho de piedra</t>
  </si>
  <si>
    <t>石化殺手蟲</t>
  </si>
  <si>
    <t>石化杀手虫</t>
  </si>
  <si>
    <t>Stone Lizard</t>
  </si>
  <si>
    <t>Lézard de pierre</t>
  </si>
  <si>
    <t>Lagarto de piedra</t>
  </si>
  <si>
    <t>石化尖刺蜥蜴</t>
  </si>
  <si>
    <t>Stone Serpent</t>
  </si>
  <si>
    <t>Serpent de pierre</t>
  </si>
  <si>
    <t>Culebra de piedra</t>
  </si>
  <si>
    <t>石化雙子蛇</t>
  </si>
  <si>
    <t>石化双子蛇</t>
  </si>
  <si>
    <t>Tempest Falcon</t>
  </si>
  <si>
    <t>Faucon de tempête</t>
  </si>
  <si>
    <t>Halcón tempestuoso</t>
  </si>
  <si>
    <t>狂暴遊隼</t>
  </si>
  <si>
    <t>狂暴游隼</t>
  </si>
  <si>
    <t>Thief 1</t>
  </si>
  <si>
    <t>Ladro I</t>
  </si>
  <si>
    <t>Voleur I</t>
  </si>
  <si>
    <t>Ladrón I</t>
  </si>
  <si>
    <t>盜賊 I</t>
  </si>
  <si>
    <t>盗贼I</t>
  </si>
  <si>
    <t>Thief 2</t>
  </si>
  <si>
    <t>Ladro II</t>
  </si>
  <si>
    <t>Voleur II</t>
  </si>
  <si>
    <t>Ladrón II</t>
  </si>
  <si>
    <t>盜賊 II</t>
  </si>
  <si>
    <t>盗贼II</t>
  </si>
  <si>
    <t>Thunder Curator</t>
  </si>
  <si>
    <t>Veilleur de foudre</t>
  </si>
  <si>
    <t>Conservador del trueno</t>
  </si>
  <si>
    <t>魔導飛器（雷）</t>
  </si>
  <si>
    <t>魔导飞器（雷）</t>
  </si>
  <si>
    <t>Thunder Curator Mk.2</t>
  </si>
  <si>
    <t>Veilleur de foudre II</t>
  </si>
  <si>
    <t>Conservador del trueno v2</t>
  </si>
  <si>
    <t>魔導飛器（雷）．異型</t>
  </si>
  <si>
    <t>魔导飞器（雷）・异型</t>
  </si>
  <si>
    <t>Thunder Guardian</t>
  </si>
  <si>
    <t>Gardien de foudre</t>
  </si>
  <si>
    <t>Guardián del trueno</t>
  </si>
  <si>
    <t>魔導機兵（雷）</t>
  </si>
  <si>
    <t>魔导机兵（雷）</t>
  </si>
  <si>
    <t>Thunder Guardian Mk.2</t>
  </si>
  <si>
    <t>Gardien de foudre II</t>
  </si>
  <si>
    <t>Guardián del trueno v2</t>
  </si>
  <si>
    <t>魔導機兵（雷）．異型</t>
  </si>
  <si>
    <t>魔导机兵（雷）・异型</t>
  </si>
  <si>
    <t>Thunder Remnant</t>
  </si>
  <si>
    <t>Vestige de foudre</t>
  </si>
  <si>
    <t>Remanente de trueno</t>
  </si>
  <si>
    <t>古代遺物（雷獸）</t>
  </si>
  <si>
    <t>古代遗物（雷兽）</t>
  </si>
  <si>
    <t>Thunder Remnant Mk.2</t>
  </si>
  <si>
    <t>Vestige de foudre II</t>
  </si>
  <si>
    <t>Remanente de trueno v2</t>
  </si>
  <si>
    <t>古代遺物（雷獸）．異型</t>
  </si>
  <si>
    <t>古代遗物（雷兽）・异型</t>
  </si>
  <si>
    <t>Thunder Revenant</t>
  </si>
  <si>
    <t>Revenant de foudre</t>
  </si>
  <si>
    <t>Aparición de truenos</t>
  </si>
  <si>
    <t>古代遺物．雷兵</t>
  </si>
  <si>
    <t>古代遗物。雷兵</t>
  </si>
  <si>
    <t>Thunder Sentinel</t>
  </si>
  <si>
    <t>Sentinelle de foudre</t>
  </si>
  <si>
    <t>Centinela de trueno</t>
  </si>
  <si>
    <t>魔導機（雷）</t>
  </si>
  <si>
    <t>魔导机（雷）</t>
  </si>
  <si>
    <t>Thunder Sentinel Mk.2</t>
  </si>
  <si>
    <t>Sentinelle de foudre II</t>
  </si>
  <si>
    <t>Centinela de trueno v2</t>
  </si>
  <si>
    <t>魔導機（雷）．異型</t>
  </si>
  <si>
    <t>魔导机（雷）・异型</t>
  </si>
  <si>
    <t>Thunder Wisp</t>
  </si>
  <si>
    <t>Volute de tonnerre</t>
  </si>
  <si>
    <t>Voluta de trueno</t>
  </si>
  <si>
    <t>雷之鬼火</t>
  </si>
  <si>
    <t>Two-handed Hatchling</t>
  </si>
  <si>
    <t>Ovoïde à deux pattes</t>
  </si>
  <si>
    <t>Cría de dos manos</t>
  </si>
  <si>
    <t>雙手蛋</t>
  </si>
  <si>
    <t>双手蛋</t>
  </si>
  <si>
    <t>Vampire Bat</t>
  </si>
  <si>
    <t>Noctule vampire</t>
  </si>
  <si>
    <t>Murciélago vampiro</t>
  </si>
  <si>
    <t>食人蝙蝠</t>
  </si>
  <si>
    <t>Venomous Scorpion</t>
  </si>
  <si>
    <t>Scorpion venimeux</t>
  </si>
  <si>
    <t>Escorpión ponzoñoso</t>
  </si>
  <si>
    <t>毒蠍子</t>
  </si>
  <si>
    <t>毒蝎子</t>
  </si>
  <si>
    <t>Wanderweed</t>
  </si>
  <si>
    <t>Virevoltine</t>
  </si>
  <si>
    <t>Hierba deambulante</t>
  </si>
  <si>
    <t>風來草</t>
  </si>
  <si>
    <t>风来草</t>
  </si>
  <si>
    <t>War Dog</t>
  </si>
  <si>
    <t>Cane da guerra</t>
  </si>
  <si>
    <t>Chien de guerre</t>
  </si>
  <si>
    <t>Perro de la guerra</t>
  </si>
  <si>
    <t>凶暴的看門狗</t>
  </si>
  <si>
    <t>凶暴的看门狗</t>
  </si>
  <si>
    <t>War Wolf</t>
  </si>
  <si>
    <t>Loup de guerre</t>
  </si>
  <si>
    <t>Lobo de guerra</t>
  </si>
  <si>
    <t>戰狼</t>
  </si>
  <si>
    <t>战狼</t>
  </si>
  <si>
    <t>Warrior Bones</t>
  </si>
  <si>
    <t>Ossa di guerriero</t>
  </si>
  <si>
    <t>Os de guerrier</t>
  </si>
  <si>
    <t>Huesos de guerrero</t>
  </si>
  <si>
    <t>戰士骷髏</t>
  </si>
  <si>
    <t>战士骷髅</t>
  </si>
  <si>
    <t>Warrior Wasp</t>
  </si>
  <si>
    <t>Vespa guerriera</t>
  </si>
  <si>
    <t>Guêpe guerrière</t>
  </si>
  <si>
    <t>Avispa guerrera</t>
  </si>
  <si>
    <t>河蜂異種</t>
  </si>
  <si>
    <t>河蜂异种</t>
  </si>
  <si>
    <t>Werner's Man 1</t>
  </si>
  <si>
    <t>Uomo di Werner (I)</t>
  </si>
  <si>
    <t>Nervi de Werner I</t>
  </si>
  <si>
    <t>Hombre de Werner I</t>
  </si>
  <si>
    <t>維爾納的士兵 I</t>
  </si>
  <si>
    <t>维尔纳的士兵 I</t>
  </si>
  <si>
    <t>Werner's Man 2</t>
  </si>
  <si>
    <t>Uomo di Werner (II)</t>
  </si>
  <si>
    <t>Nervi de Werner II</t>
  </si>
  <si>
    <t>Hombre de Werner II</t>
  </si>
  <si>
    <t>維爾納的士兵 II</t>
  </si>
  <si>
    <t>维尔纳的士兵 II</t>
  </si>
  <si>
    <t>Werner's Man 3</t>
  </si>
  <si>
    <t>Uomo di Werner (III)</t>
  </si>
  <si>
    <t>Nervi de Werner III</t>
  </si>
  <si>
    <t>Hombre de Werner III</t>
  </si>
  <si>
    <t>維爾納的士兵 III</t>
  </si>
  <si>
    <t>维尔纳的士兵 III</t>
  </si>
  <si>
    <t>White Bat</t>
  </si>
  <si>
    <t>Noctule blanche</t>
  </si>
  <si>
    <t>Murciélago blanco</t>
  </si>
  <si>
    <t>白蝙蝠</t>
  </si>
  <si>
    <t>White Howler</t>
  </si>
  <si>
    <t>Hurleur blanc</t>
  </si>
  <si>
    <t>Aullador blanco</t>
  </si>
  <si>
    <t>白咆哮者</t>
  </si>
  <si>
    <t>Wild Weasel</t>
  </si>
  <si>
    <t>Belette sauvage</t>
  </si>
  <si>
    <t>Comadreja salvaje</t>
  </si>
  <si>
    <t>野鼬鼠</t>
  </si>
  <si>
    <t>Wind Curator</t>
  </si>
  <si>
    <t>Veilleur de vent</t>
  </si>
  <si>
    <t>Conservador del viento</t>
  </si>
  <si>
    <t>魔導飛器（風）</t>
  </si>
  <si>
    <t>魔导飞器（风）</t>
  </si>
  <si>
    <t>Wind Curator Mk.2</t>
  </si>
  <si>
    <t>Veilleur de vent II</t>
  </si>
  <si>
    <t>Conservador del viento v2</t>
  </si>
  <si>
    <t>魔導飛器（風）．異型</t>
  </si>
  <si>
    <t>魔导飞器（风）・异型</t>
  </si>
  <si>
    <t>Wind Elemental</t>
  </si>
  <si>
    <t>Élémentaire de vent</t>
  </si>
  <si>
    <t>Elemental de viento</t>
  </si>
  <si>
    <t>風元素</t>
  </si>
  <si>
    <t>风元素</t>
  </si>
  <si>
    <t>Wind Guardian</t>
  </si>
  <si>
    <t>Gardien de vent</t>
  </si>
  <si>
    <t>Guardián del viento</t>
  </si>
  <si>
    <t>魔導機兵（風）</t>
  </si>
  <si>
    <t>魔导机兵（风）</t>
  </si>
  <si>
    <t>Wind Guardian Mk.2</t>
  </si>
  <si>
    <t>Gardien de vent II</t>
  </si>
  <si>
    <t>Guardián del viento v2</t>
  </si>
  <si>
    <t>魔導機兵（風）．異型</t>
  </si>
  <si>
    <t>魔导机兵（风）・异型</t>
  </si>
  <si>
    <t>Wind Remnant</t>
  </si>
  <si>
    <t>Vestige de vent</t>
  </si>
  <si>
    <t>Remanente de viento</t>
  </si>
  <si>
    <t>古代遺物（風獸）</t>
  </si>
  <si>
    <t>古代遗物（风兽）</t>
  </si>
  <si>
    <t>Wind Remnant Mk.2</t>
  </si>
  <si>
    <t>Vestige de vent II</t>
  </si>
  <si>
    <t>Remanente de viento v2</t>
  </si>
  <si>
    <t>古代遺物（風獸）．異型</t>
  </si>
  <si>
    <t>古代遗物（风兽）・异型</t>
  </si>
  <si>
    <t>Wind Revenant</t>
  </si>
  <si>
    <t>Revenant de vent</t>
  </si>
  <si>
    <t>Aparición de viento</t>
  </si>
  <si>
    <t>古代遺物．風兵</t>
  </si>
  <si>
    <t>古代遗物・风兵</t>
  </si>
  <si>
    <t>Wind Sentinel</t>
  </si>
  <si>
    <t>Sentinelle de vent</t>
  </si>
  <si>
    <t>Centinela de viento</t>
  </si>
  <si>
    <t>魔導機（風）</t>
  </si>
  <si>
    <t>魔导机（风）</t>
  </si>
  <si>
    <t>Wind Sentinel Mk.2</t>
  </si>
  <si>
    <t>Sentinelle de vent II</t>
  </si>
  <si>
    <t>Centinela de viento v2</t>
  </si>
  <si>
    <t>魔導機（風）．異型</t>
  </si>
  <si>
    <t>魔导机（风）・异型</t>
  </si>
  <si>
    <t>Wind Wisp</t>
  </si>
  <si>
    <t>Volute de vent</t>
  </si>
  <si>
    <t>Voluta de viento</t>
  </si>
  <si>
    <t>風之鬼火</t>
  </si>
  <si>
    <t>风之鬼火</t>
  </si>
  <si>
    <t>Winged Serpent</t>
  </si>
  <si>
    <t>Serpent ailé</t>
  </si>
  <si>
    <t>Culebra alada</t>
  </si>
  <si>
    <t>蛇鳥</t>
  </si>
  <si>
    <t>蛇鸟</t>
  </si>
  <si>
    <t>Winter Wanderweed</t>
  </si>
  <si>
    <t>Virevoltine hivernale</t>
  </si>
  <si>
    <t>Hierba deambulante invernal</t>
  </si>
  <si>
    <t>風來雪草</t>
  </si>
  <si>
    <t>风来雪草</t>
  </si>
  <si>
    <t>Withered Wanderweed</t>
  </si>
  <si>
    <t>Virevoltine fanée</t>
  </si>
  <si>
    <t>Hierba deambulante marchita</t>
  </si>
  <si>
    <t>風來枯草</t>
  </si>
  <si>
    <t>风来枯草</t>
  </si>
  <si>
    <t>Wolf</t>
  </si>
  <si>
    <t>Lupo</t>
  </si>
  <si>
    <t>Loup</t>
  </si>
  <si>
    <t>Lobo</t>
  </si>
  <si>
    <t>狼</t>
  </si>
  <si>
    <t>Woolly Spider</t>
  </si>
  <si>
    <t>Araignée laineuse</t>
  </si>
  <si>
    <t>Araña lanuda</t>
  </si>
  <si>
    <t>四丈蜘蛛</t>
  </si>
  <si>
    <t>Zealot I</t>
  </si>
  <si>
    <t>Fanatico (I)</t>
  </si>
  <si>
    <t>Zélote I</t>
  </si>
  <si>
    <t>Fanático I</t>
  </si>
  <si>
    <t>黑炎教信徒（上位） I</t>
  </si>
  <si>
    <t>黑炎教信徒（高级）I</t>
  </si>
  <si>
    <t>Zealot II</t>
  </si>
  <si>
    <t>Fanatico (II)</t>
  </si>
  <si>
    <t>Zélote II</t>
  </si>
  <si>
    <t>Fanático II</t>
  </si>
  <si>
    <t>黑炎教信徒（上位） II</t>
  </si>
  <si>
    <t>黑炎教信徒（高级）II</t>
  </si>
  <si>
    <t>小boss</t>
  </si>
  <si>
    <t>Behemoth</t>
  </si>
  <si>
    <t>Béhémoth</t>
  </si>
  <si>
    <t>Bégimo</t>
  </si>
  <si>
    <t>貝西摩斯</t>
  </si>
  <si>
    <t>贝西摩斯</t>
  </si>
  <si>
    <t>Dévoreur de rêves</t>
  </si>
  <si>
    <t>Consumidor de sueños</t>
  </si>
  <si>
    <t>噬夢</t>
  </si>
  <si>
    <t>噬梦</t>
  </si>
  <si>
    <t>Dreadwolf</t>
  </si>
  <si>
    <t>Loup sinistre</t>
  </si>
  <si>
    <t>Lobo siniestro</t>
  </si>
  <si>
    <t>恐狼</t>
  </si>
  <si>
    <t>Gigantes</t>
  </si>
  <si>
    <t>Gigantius</t>
  </si>
  <si>
    <t>基加提亞斯</t>
  </si>
  <si>
    <t>基加提亚斯</t>
  </si>
  <si>
    <t>Heavenwing</t>
  </si>
  <si>
    <t>Paradaile</t>
  </si>
  <si>
    <t>Ala celestial</t>
  </si>
  <si>
    <t>亞耶羅巴特</t>
  </si>
  <si>
    <t>亚耶罗巴特</t>
  </si>
  <si>
    <t>Lord of the Sands</t>
  </si>
  <si>
    <t>Seigneur des sables</t>
  </si>
  <si>
    <t>Señor de las arenas</t>
  </si>
  <si>
    <t>沙漠蟲</t>
  </si>
  <si>
    <t>沙漠虫</t>
  </si>
  <si>
    <t>Manymaws</t>
  </si>
  <si>
    <t>Carnivora</t>
  </si>
  <si>
    <t>Muchobuche</t>
  </si>
  <si>
    <t>戴特摩爾</t>
  </si>
  <si>
    <t>戴特摩尔</t>
  </si>
  <si>
    <t>Monarch</t>
  </si>
  <si>
    <t>Monarca</t>
  </si>
  <si>
    <t>Monarque</t>
  </si>
  <si>
    <t>人面蝶</t>
  </si>
  <si>
    <t>Throne Guardian</t>
  </si>
  <si>
    <t>Guardiano del trono</t>
  </si>
  <si>
    <t>Garde du trône</t>
  </si>
  <si>
    <t>Guardián del Trono</t>
  </si>
  <si>
    <t>王座的守護者</t>
  </si>
  <si>
    <t>王座的守护者</t>
  </si>
  <si>
    <t>Tyrannodrake</t>
  </si>
  <si>
    <t>Tiranodragón</t>
  </si>
  <si>
    <t>翼蜥蜴重型種</t>
  </si>
  <si>
    <t>翼蜥蜴重型种</t>
  </si>
  <si>
    <t>Bosses &amp; Unique</t>
  </si>
  <si>
    <t>boss &amp; 特殊怪</t>
  </si>
  <si>
    <t>Guardian of the First Flame</t>
  </si>
  <si>
    <t>Guardiano della prima fiamma</t>
  </si>
  <si>
    <t>Gardien de la Flamme primordiale</t>
  </si>
  <si>
    <t>Guardián de la primera llama</t>
  </si>
  <si>
    <t>聖火的守護者</t>
  </si>
  <si>
    <t>圣火的守护者</t>
  </si>
  <si>
    <t>Dark Wisp</t>
  </si>
  <si>
    <t>Fatuo oscuro</t>
  </si>
  <si>
    <t>Volute d'ombre</t>
  </si>
  <si>
    <t>Volutas oscuras</t>
  </si>
  <si>
    <t>黑鬼火</t>
  </si>
  <si>
    <t>Russell</t>
  </si>
  <si>
    <t>Russel</t>
  </si>
  <si>
    <t>Rusell</t>
  </si>
  <si>
    <t>拉賽爾</t>
  </si>
  <si>
    <t>拉赛尔</t>
  </si>
  <si>
    <t>Water Wisp</t>
  </si>
  <si>
    <t>Volute d'eau</t>
  </si>
  <si>
    <t>Volutas de agua</t>
  </si>
  <si>
    <t>藍鬼火</t>
  </si>
  <si>
    <t>蓝鬼火</t>
  </si>
  <si>
    <t>Mikk</t>
  </si>
  <si>
    <t>米克</t>
  </si>
  <si>
    <t>Makk</t>
  </si>
  <si>
    <t>馬克</t>
  </si>
  <si>
    <t>马克</t>
  </si>
  <si>
    <t>Brigand 1</t>
  </si>
  <si>
    <t>Brigante 1</t>
  </si>
  <si>
    <t>Brigand 2</t>
  </si>
  <si>
    <t>Brigante 2</t>
  </si>
  <si>
    <t>Gaston</t>
  </si>
  <si>
    <t>Gastón</t>
  </si>
  <si>
    <t>卡斯頓</t>
  </si>
  <si>
    <t>卡斯顿</t>
  </si>
  <si>
    <t>Brigand</t>
  </si>
  <si>
    <t>Brigante</t>
  </si>
  <si>
    <t>Forajidos</t>
  </si>
  <si>
    <t>山賊</t>
  </si>
  <si>
    <t>山贼</t>
  </si>
  <si>
    <t>Helgenish</t>
  </si>
  <si>
    <t>赫爾根尼修</t>
  </si>
  <si>
    <t>赫尔根尼修</t>
  </si>
  <si>
    <t>Helgenish's Lackey</t>
  </si>
  <si>
    <t>Lacchè di Helgenish</t>
  </si>
  <si>
    <t>Homme d'Helgenish</t>
  </si>
  <si>
    <t>Matones de Helgenish</t>
  </si>
  <si>
    <t>赫爾根尼修的手下</t>
  </si>
  <si>
    <t>赫尔根尼修的手下</t>
  </si>
  <si>
    <t>Blotted Viper</t>
  </si>
  <si>
    <t>Vipère maculée</t>
  </si>
  <si>
    <t>Vibora manchada</t>
  </si>
  <si>
    <t>赤鏈蛇</t>
  </si>
  <si>
    <t>赤链蛇</t>
  </si>
  <si>
    <t>Mottled Asp</t>
  </si>
  <si>
    <t>Aspic</t>
  </si>
  <si>
    <t>Áspides</t>
  </si>
  <si>
    <t>曼陀羅蛇</t>
  </si>
  <si>
    <t>曼陀罗蛇</t>
  </si>
  <si>
    <t>Heathcote</t>
  </si>
  <si>
    <t>希斯柯特</t>
  </si>
  <si>
    <t>Ravus Guard</t>
  </si>
  <si>
    <t>Garde de Ravus</t>
  </si>
  <si>
    <t>Guardia de Ravus</t>
  </si>
  <si>
    <t>瑞布斯的士兵</t>
  </si>
  <si>
    <t>Ghisarma</t>
  </si>
  <si>
    <t>基薩魯瑪</t>
  </si>
  <si>
    <t>基萨鲁玛</t>
  </si>
  <si>
    <t>Hróðvitnir</t>
  </si>
  <si>
    <t>Hróovitnir</t>
  </si>
  <si>
    <t>赫羅威涅</t>
  </si>
  <si>
    <t>赫罗威涅</t>
  </si>
  <si>
    <t>Gideon</t>
  </si>
  <si>
    <t>Gidéon</t>
  </si>
  <si>
    <t>基甸</t>
  </si>
  <si>
    <t>Dancing Bones</t>
  </si>
  <si>
    <t>Os dansants</t>
  </si>
  <si>
    <t>Huesos danzantes</t>
  </si>
  <si>
    <t>傀儡骷髏特殊</t>
  </si>
  <si>
    <t>傀儡骷髅特殊</t>
  </si>
  <si>
    <t>Omar</t>
  </si>
  <si>
    <t>奧瑪爾</t>
  </si>
  <si>
    <t>奥玛尔</t>
  </si>
  <si>
    <t>Omar's Footman</t>
  </si>
  <si>
    <t>Fantassin d'Omar</t>
  </si>
  <si>
    <t>Sirvientes de Omar</t>
  </si>
  <si>
    <t>奧瑪爾的部下</t>
  </si>
  <si>
    <t>奥玛尔的部下</t>
  </si>
  <si>
    <t>Victorino</t>
  </si>
  <si>
    <t>維克托里諾</t>
  </si>
  <si>
    <t>维克托里诺</t>
  </si>
  <si>
    <t>Victorino's Retainer</t>
  </si>
  <si>
    <t>Valet de Victorino</t>
  </si>
  <si>
    <t>Criados de Victorino</t>
  </si>
  <si>
    <t>維克托里諾的手下</t>
  </si>
  <si>
    <t>维克托里诺的手下</t>
  </si>
  <si>
    <t>Joshua</t>
  </si>
  <si>
    <t>約書亞</t>
  </si>
  <si>
    <t>约书亚</t>
  </si>
  <si>
    <t>Dapper Duelist</t>
  </si>
  <si>
    <t>Duelliste élégant</t>
  </si>
  <si>
    <t>Duelistas elegantes</t>
  </si>
  <si>
    <t>劍鬥士（英俊）</t>
  </si>
  <si>
    <t>剑斗士（英俊）</t>
  </si>
  <si>
    <t>Archibold</t>
  </si>
  <si>
    <t>阿奇博德</t>
  </si>
  <si>
    <t>Disguised Duelist</t>
  </si>
  <si>
    <t>Duelliste déguisé</t>
  </si>
  <si>
    <t>Duelistas disfrazados</t>
  </si>
  <si>
    <t>劍鬥士（面具）</t>
  </si>
  <si>
    <t>剑斗士（面具）</t>
  </si>
  <si>
    <t>Gustav</t>
  </si>
  <si>
    <t>古斯塔夫</t>
  </si>
  <si>
    <t>Shield Wielder</t>
  </si>
  <si>
    <t>Porteur de bouclier</t>
  </si>
  <si>
    <t>Portadores de escudo</t>
  </si>
  <si>
    <t>盾鬥士</t>
  </si>
  <si>
    <t>盾斗士</t>
  </si>
  <si>
    <t>Rufus, the Left-hand Man</t>
  </si>
  <si>
    <t>Rufus, l'aile gauche</t>
  </si>
  <si>
    <t>Rufus, la mano izquierda</t>
  </si>
  <si>
    <t>左腕之男魯弗斯</t>
  </si>
  <si>
    <t>左腕之男鲁弗斯</t>
  </si>
  <si>
    <t>Obsidian Associate</t>
  </si>
  <si>
    <t>Associé d'obsidienne</t>
  </si>
  <si>
    <t>Socios de Obsidiana</t>
  </si>
  <si>
    <t>黑曜會成員</t>
  </si>
  <si>
    <t>黑曜会成员</t>
  </si>
  <si>
    <t>Vanessa</t>
  </si>
  <si>
    <t>凡妮莎</t>
  </si>
  <si>
    <t>Sellsword</t>
  </si>
  <si>
    <t>Épéiste mercenaire</t>
  </si>
  <si>
    <t>Mercenario</t>
  </si>
  <si>
    <t>保鑣</t>
  </si>
  <si>
    <t>保镖</t>
  </si>
  <si>
    <t>Orlick</t>
  </si>
  <si>
    <t>奧立克</t>
  </si>
  <si>
    <t>奥立克</t>
  </si>
  <si>
    <t>Orlick's Bodyguard</t>
  </si>
  <si>
    <t>Garde d'Orlick</t>
  </si>
  <si>
    <t>Guardaespaldas de Orlick</t>
  </si>
  <si>
    <t>奧立克的部下</t>
  </si>
  <si>
    <t>奥立克的部下</t>
  </si>
  <si>
    <t>Orlick's Golem</t>
  </si>
  <si>
    <t>Golem di Orlick</t>
  </si>
  <si>
    <t>Golem d'Orlick</t>
  </si>
  <si>
    <t>Gólem de Orlick</t>
  </si>
  <si>
    <t>魔導機兵（奧立克型）</t>
  </si>
  <si>
    <t>魔导机兵（奥立克型）</t>
  </si>
  <si>
    <t>Ancient One</t>
  </si>
  <si>
    <t>Ancien</t>
  </si>
  <si>
    <t>El Antiguo</t>
  </si>
  <si>
    <t>擬態魔物</t>
  </si>
  <si>
    <t>拟态魔物</t>
  </si>
  <si>
    <t>Lord of the Forest</t>
  </si>
  <si>
    <t>Seigneur de la forêt</t>
  </si>
  <si>
    <t>Señor del Bosque</t>
  </si>
  <si>
    <t>森林之主</t>
  </si>
  <si>
    <t>Weeping Treant</t>
  </si>
  <si>
    <t>Tréant éploré</t>
  </si>
  <si>
    <t>Treant sollozantes</t>
  </si>
  <si>
    <t>搖動的樹木</t>
  </si>
  <si>
    <t>摇动的树木</t>
  </si>
  <si>
    <t>Toxic Spore</t>
  </si>
  <si>
    <t>Spore toxique</t>
  </si>
  <si>
    <t>Esporas tóxicas</t>
  </si>
  <si>
    <t>Flitting Fungoid</t>
  </si>
  <si>
    <t>Fongiforme volant</t>
  </si>
  <si>
    <t>Fungoide revoloteante</t>
  </si>
  <si>
    <t>亂跑的菌類</t>
  </si>
  <si>
    <t>乱跑的菌类</t>
  </si>
  <si>
    <t>Mystery Man</t>
  </si>
  <si>
    <t>Homme-mystère</t>
  </si>
  <si>
    <t>Hombre misterioso</t>
  </si>
  <si>
    <t>神秘男子 I</t>
  </si>
  <si>
    <t>Shady Figure</t>
  </si>
  <si>
    <t>Silhouette louche</t>
  </si>
  <si>
    <t>Figura sospechosa</t>
  </si>
  <si>
    <t>神秘男子 II</t>
  </si>
  <si>
    <t>Yvon</t>
  </si>
  <si>
    <t>伊馮</t>
  </si>
  <si>
    <t>伊冯</t>
  </si>
  <si>
    <t>Research Fellow</t>
  </si>
  <si>
    <t>Spécialiste</t>
  </si>
  <si>
    <t>Compañeros de investigación</t>
  </si>
  <si>
    <t>特別研究員</t>
  </si>
  <si>
    <t>特别研究员</t>
  </si>
  <si>
    <t>Venomtooth Tiger</t>
  </si>
  <si>
    <t>Tigre venimeux</t>
  </si>
  <si>
    <t>Tigre dienteponzoña</t>
  </si>
  <si>
    <t>猛毒虎</t>
  </si>
  <si>
    <t>Lizardman Chief</t>
  </si>
  <si>
    <t>Chef des hommes-lézards</t>
  </si>
  <si>
    <t>Cacique de los hombres lagarto</t>
  </si>
  <si>
    <t>蜥蜴人的首領</t>
  </si>
  <si>
    <t>蜥蜴人的首领</t>
  </si>
  <si>
    <t>Sand Lizardking</t>
  </si>
  <si>
    <t>Roi-lézard des sables</t>
  </si>
  <si>
    <t>Rey lagarto de las arenas</t>
  </si>
  <si>
    <t>熱沙大蜥蜴人</t>
  </si>
  <si>
    <t>热沙大蜥蜴人</t>
  </si>
  <si>
    <t>Erhardt</t>
  </si>
  <si>
    <t>艾爾哈特</t>
  </si>
  <si>
    <t>艾尔哈特</t>
  </si>
  <si>
    <t>Albus, the Right-hand Man</t>
  </si>
  <si>
    <t>Albus, l'aile droite</t>
  </si>
  <si>
    <t>Albus, la mano derecha</t>
  </si>
  <si>
    <t>右腕之男阿爾巴斯</t>
  </si>
  <si>
    <t>右腕之男阿尔巴斯</t>
  </si>
  <si>
    <t>Obsidian Officer</t>
  </si>
  <si>
    <t>Officier d'obsidienne</t>
  </si>
  <si>
    <t>Agentes de Obsidiana</t>
  </si>
  <si>
    <t>黑曜會幹部</t>
  </si>
  <si>
    <t>黑曜会干部</t>
  </si>
  <si>
    <t>Miguel</t>
  </si>
  <si>
    <t>米格爾</t>
  </si>
  <si>
    <t>米格尔</t>
  </si>
  <si>
    <t>Darius's Lackey</t>
  </si>
  <si>
    <t>Lacchè di Darius</t>
  </si>
  <si>
    <t>Larbin de Darius</t>
  </si>
  <si>
    <t>Lacayo de Darius</t>
  </si>
  <si>
    <t>達留斯的手下 I</t>
  </si>
  <si>
    <t>达留斯的手下 I</t>
  </si>
  <si>
    <t>Darius's Henchman</t>
  </si>
  <si>
    <t>Homme de Darius</t>
  </si>
  <si>
    <t>Matón de Darius</t>
  </si>
  <si>
    <t>達留斯的手下 II</t>
  </si>
  <si>
    <t>达留斯的手下 II</t>
  </si>
  <si>
    <t>Gareth</t>
  </si>
  <si>
    <t>蓋雷斯</t>
  </si>
  <si>
    <t>盖雷斯</t>
  </si>
  <si>
    <t>Master Thief</t>
  </si>
  <si>
    <t>Maître voleur</t>
  </si>
  <si>
    <t>Maestro ladrón</t>
  </si>
  <si>
    <t>盜賊團幹部</t>
  </si>
  <si>
    <t>盗贼团干部</t>
  </si>
  <si>
    <t>Dragon</t>
  </si>
  <si>
    <t>Dragón</t>
  </si>
  <si>
    <t>龍</t>
  </si>
  <si>
    <t>龙</t>
  </si>
  <si>
    <t>Mattias's Follower</t>
  </si>
  <si>
    <t>Disciple de Mattias</t>
  </si>
  <si>
    <t>Seguidor de Mattias</t>
  </si>
  <si>
    <t>馬提亞斯的隨從 I</t>
  </si>
  <si>
    <t>玛提亚斯的随从 I</t>
  </si>
  <si>
    <t>Mattias's Minion</t>
  </si>
  <si>
    <t>Sbire de Mattias</t>
  </si>
  <si>
    <t>Secuaz de Mattias</t>
  </si>
  <si>
    <t>馬提亞斯的隨從 II</t>
  </si>
  <si>
    <t>玛提亚斯的随从 II</t>
  </si>
  <si>
    <t>Mattias</t>
  </si>
  <si>
    <t>馬提亞斯</t>
  </si>
  <si>
    <t>马提亚斯</t>
  </si>
  <si>
    <t>Senior Cultist</t>
  </si>
  <si>
    <t>Cultiste senior</t>
  </si>
  <si>
    <t>Sectario superior</t>
  </si>
  <si>
    <t>黑炎教信徒（幹部）</t>
  </si>
  <si>
    <t>黑炎教信徒（干部）</t>
  </si>
  <si>
    <t>Black Matter</t>
  </si>
  <si>
    <t>Matière noir</t>
  </si>
  <si>
    <t>Materia oscura</t>
  </si>
  <si>
    <t>黑元素</t>
  </si>
  <si>
    <t>Augmented Remnant</t>
  </si>
  <si>
    <t>Vestige augmenté</t>
  </si>
  <si>
    <t>Remanente aumentado</t>
  </si>
  <si>
    <t>古代遺物（獸）．特殊</t>
  </si>
  <si>
    <t>古代遗物（兽）・特殊</t>
  </si>
  <si>
    <t>Lucia</t>
  </si>
  <si>
    <t>Lucía</t>
  </si>
  <si>
    <t>露西亞</t>
  </si>
  <si>
    <t>露西亚</t>
  </si>
  <si>
    <t>Esmeralda</t>
  </si>
  <si>
    <t>埃斯梅拉達</t>
  </si>
  <si>
    <t>埃斯梅拉达</t>
  </si>
  <si>
    <t>Werner</t>
  </si>
  <si>
    <t>維爾納</t>
  </si>
  <si>
    <t>维尔纳</t>
  </si>
  <si>
    <t>Simeon</t>
  </si>
  <si>
    <t>Siméon</t>
  </si>
  <si>
    <t>Simeón</t>
  </si>
  <si>
    <t>席米恩</t>
  </si>
  <si>
    <t>Father Marionette</t>
  </si>
  <si>
    <t>Marionnette du père</t>
  </si>
  <si>
    <t>Títere padre</t>
  </si>
  <si>
    <t>傀儡人偶．父親</t>
  </si>
  <si>
    <t>傀儡人偶・父亲</t>
  </si>
  <si>
    <t>Dancer Marionette</t>
  </si>
  <si>
    <t>Pantin de danseuse</t>
  </si>
  <si>
    <t>Marioneta bailarina</t>
  </si>
  <si>
    <t>傀儡人偶．舞孃</t>
  </si>
  <si>
    <t>傀儡人偶・舞娘</t>
  </si>
  <si>
    <t>Simeon, the Puppet Master</t>
  </si>
  <si>
    <t>Siméon, le marionnettiste</t>
  </si>
  <si>
    <t>Simeón, el Titiritero</t>
  </si>
  <si>
    <t>後頸之男席米恩</t>
  </si>
  <si>
    <t>后颈之男席米恩</t>
  </si>
  <si>
    <t>Ogre Eagle</t>
  </si>
  <si>
    <t>Aigle dévoreur</t>
  </si>
  <si>
    <t>Águila ogro</t>
  </si>
  <si>
    <t>天狗鷲</t>
  </si>
  <si>
    <t>天狗鹫</t>
  </si>
  <si>
    <t>Darius's Underling</t>
  </si>
  <si>
    <t>Détrousseur cruel</t>
  </si>
  <si>
    <t>Bandolero despiadado</t>
  </si>
  <si>
    <t>盜賊團的手下 I</t>
  </si>
  <si>
    <t>盗贼团的手下 I</t>
  </si>
  <si>
    <t>Darius's Subordinate</t>
  </si>
  <si>
    <t>Brigand brutal</t>
  </si>
  <si>
    <t>Forajido bestial</t>
  </si>
  <si>
    <t>盜賊團的手下 II</t>
  </si>
  <si>
    <t>盗贼团的手下 II</t>
  </si>
  <si>
    <t>Darius</t>
  </si>
  <si>
    <t>達留斯</t>
  </si>
  <si>
    <t>达留斯</t>
  </si>
  <si>
    <t>Redeye</t>
  </si>
  <si>
    <t>OEil-rouge</t>
  </si>
  <si>
    <t>Ojos rojos</t>
  </si>
  <si>
    <t>紅眼</t>
  </si>
  <si>
    <t>红眼</t>
  </si>
  <si>
    <t>Steorra, Starseer</t>
  </si>
  <si>
    <t>Stéorra, l'augure</t>
  </si>
  <si>
    <t>Steorra, la Vidente de Estrellas</t>
  </si>
  <si>
    <t>占星師史黛歐拉</t>
  </si>
  <si>
    <t>占星师史黛欧拉</t>
  </si>
  <si>
    <t>Balogar, the Runeblade</t>
  </si>
  <si>
    <t>Balogar, le maître des runes</t>
  </si>
  <si>
    <t>Balogar, Señor de las Runas</t>
  </si>
  <si>
    <t>魔劍士巴羅格</t>
  </si>
  <si>
    <t>魔剑士巴罗格</t>
  </si>
  <si>
    <t>Winnehild, Warbringer</t>
  </si>
  <si>
    <t>Winnehild, la guerrière</t>
  </si>
  <si>
    <t>Winnehild, Portadora de Guerras</t>
  </si>
  <si>
    <t>豪武匠溫希德</t>
  </si>
  <si>
    <t>豪武匠温希德</t>
  </si>
  <si>
    <t>Dreisang, the Archmagus</t>
  </si>
  <si>
    <t>Drysang, le mage-lige</t>
  </si>
  <si>
    <t>Dreisang, Archimago</t>
  </si>
  <si>
    <t>魔大公德雷閃克</t>
  </si>
  <si>
    <t>魔大公德雷闪克</t>
  </si>
  <si>
    <t>Jötunn</t>
  </si>
  <si>
    <t>Gigante de hielo Jotunn</t>
  </si>
  <si>
    <t>冰之巨人約頓</t>
  </si>
  <si>
    <t>冰之巨人约顿</t>
  </si>
  <si>
    <t>Snow Elemental</t>
  </si>
  <si>
    <t>Elementale nevoso</t>
  </si>
  <si>
    <t>Élémentaire de neige</t>
  </si>
  <si>
    <t>Elemental de nieve</t>
  </si>
  <si>
    <t>冰雪元素</t>
  </si>
  <si>
    <t>Managarmr</t>
  </si>
  <si>
    <t>Mánagarmr</t>
  </si>
  <si>
    <t>瑪納加爾姆</t>
  </si>
  <si>
    <t>玛纳加尔姆</t>
  </si>
  <si>
    <t>Direwolf</t>
  </si>
  <si>
    <t>Loup géant</t>
  </si>
  <si>
    <t>Lobo gigante</t>
  </si>
  <si>
    <t>騎士狼</t>
  </si>
  <si>
    <t>骑士狼</t>
  </si>
  <si>
    <t>Leviathan</t>
  </si>
  <si>
    <t>Leviatano</t>
  </si>
  <si>
    <t>Léviathan</t>
  </si>
  <si>
    <t>Leviatán</t>
  </si>
  <si>
    <t>海獸</t>
  </si>
  <si>
    <t>海兽</t>
  </si>
  <si>
    <t>Sea Urchin</t>
  </si>
  <si>
    <t>Oursin de mer</t>
  </si>
  <si>
    <t>Erizo de mar</t>
  </si>
  <si>
    <t>海泣海膽</t>
  </si>
  <si>
    <t>海泣海胆</t>
  </si>
  <si>
    <t>Crimson Urchin</t>
  </si>
  <si>
    <t>Oursin écarlate</t>
  </si>
  <si>
    <t>Erizo escarlata</t>
  </si>
  <si>
    <t>紅鏽海膽</t>
  </si>
  <si>
    <t>红锈海胆</t>
  </si>
  <si>
    <t>Giant Python</t>
  </si>
  <si>
    <t>Python géant</t>
  </si>
  <si>
    <t>Pitón gigante</t>
  </si>
  <si>
    <t>巨大蛇</t>
  </si>
  <si>
    <t>Snake Charmer</t>
  </si>
  <si>
    <t>Psylle</t>
  </si>
  <si>
    <t>Encantador de serpientes</t>
  </si>
  <si>
    <t>操蛇人</t>
  </si>
  <si>
    <t>Azure-eyed Tiger</t>
  </si>
  <si>
    <t>Tigre aux yeux d'azur</t>
  </si>
  <si>
    <t>Tigre zarco</t>
  </si>
  <si>
    <t>碧眼之虎</t>
  </si>
  <si>
    <t>Bandit Leader</t>
  </si>
  <si>
    <t>Chef des bandits</t>
  </si>
  <si>
    <t>Jefe de los bandidos</t>
  </si>
  <si>
    <t>盜賊團頭目</t>
  </si>
  <si>
    <t>盗贼团头目</t>
  </si>
  <si>
    <t>Devourer of Men</t>
  </si>
  <si>
    <t>Devorahombres</t>
  </si>
  <si>
    <t>食人花</t>
  </si>
  <si>
    <t>Deadly Spore</t>
  </si>
  <si>
    <t>Spore mortelle</t>
  </si>
  <si>
    <t>Espora letal</t>
  </si>
  <si>
    <t>食人猛菌</t>
  </si>
  <si>
    <t>Summon Beast</t>
  </si>
  <si>
    <t>Appel de bête</t>
  </si>
  <si>
    <t>得意技能（魔物）</t>
  </si>
  <si>
    <t>Untameable</t>
  </si>
  <si>
    <t>Indomptable</t>
  </si>
  <si>
    <t>Indomable</t>
  </si>
  <si>
    <t>無法捕獲</t>
  </si>
  <si>
    <t>无法捕获</t>
  </si>
  <si>
    <t>Acid Blue</t>
  </si>
  <si>
    <t>Acide bleu</t>
  </si>
  <si>
    <t>Azul ácido</t>
  </si>
  <si>
    <t>酸性藍</t>
  </si>
  <si>
    <t>酸性蓝</t>
  </si>
  <si>
    <t>Armor Break (All)</t>
  </si>
  <si>
    <t>Faille d'armure (tous)</t>
  </si>
  <si>
    <t>Rompearmaduras (todos)</t>
  </si>
  <si>
    <t>大破甲斬（全體）</t>
  </si>
  <si>
    <t>大破甲斩（全体）</t>
  </si>
  <si>
    <t>Attack</t>
  </si>
  <si>
    <t>Attacca</t>
  </si>
  <si>
    <t>Attaque</t>
  </si>
  <si>
    <t>Atacar</t>
  </si>
  <si>
    <t>戰鬥</t>
  </si>
  <si>
    <t>战斗</t>
  </si>
  <si>
    <t>Attack All</t>
  </si>
  <si>
    <t>Multi-attaque</t>
  </si>
  <si>
    <t>Atacar a todos</t>
  </si>
  <si>
    <t>戰鬥（全體）</t>
  </si>
  <si>
    <t>战斗（全体）</t>
  </si>
  <si>
    <t>Befuddling Claw</t>
  </si>
  <si>
    <t>Griffe abrutissante</t>
  </si>
  <si>
    <t>Garra aturdidora</t>
  </si>
  <si>
    <t>恐慌之爪</t>
  </si>
  <si>
    <t>Befuddling Fang (All)</t>
  </si>
  <si>
    <t>Croc abrutissant (tous)</t>
  </si>
  <si>
    <t>Colmillo aturdidor (todos)</t>
  </si>
  <si>
    <t>混亂之牙（全體）</t>
  </si>
  <si>
    <t>混乱之牙（全体）</t>
  </si>
  <si>
    <t>Befuddling Shot (All)</t>
  </si>
  <si>
    <t>Tir abrutissant (tous)</t>
  </si>
  <si>
    <t>Tiro aturdidor (todos)</t>
  </si>
  <si>
    <t>混亂之針（全體）</t>
  </si>
  <si>
    <t>混乱之针（全体）</t>
  </si>
  <si>
    <t>Befuddling Spark (All)</t>
  </si>
  <si>
    <t>Étincelle abrutissante (tous)</t>
  </si>
  <si>
    <t>Chispa aturdidora (todos)</t>
  </si>
  <si>
    <t>恐慌電光（全體）</t>
  </si>
  <si>
    <t>恐光电光（全体）</t>
  </si>
  <si>
    <t>Bite</t>
  </si>
  <si>
    <t>Morso</t>
  </si>
  <si>
    <t>Morsure</t>
  </si>
  <si>
    <t>Mordisco</t>
  </si>
  <si>
    <t>咬噬</t>
  </si>
  <si>
    <t>Black Bile</t>
  </si>
  <si>
    <t>Bile noire</t>
  </si>
  <si>
    <t>Bilis negra</t>
  </si>
  <si>
    <t>黑之黏液</t>
  </si>
  <si>
    <t>Blinding Charge</t>
  </si>
  <si>
    <t>Charge aveuglante</t>
  </si>
  <si>
    <t>Carga cegadora</t>
  </si>
  <si>
    <t>暗闇大突進</t>
  </si>
  <si>
    <t>暗暗大突进</t>
  </si>
  <si>
    <t>Blinding Claw</t>
  </si>
  <si>
    <t>Griffe aveuglante</t>
  </si>
  <si>
    <t>Garra cegadora</t>
  </si>
  <si>
    <t>失明之爪</t>
  </si>
  <si>
    <t>Blinding Mist (All)</t>
  </si>
  <si>
    <t>Brume aveuglante (tous)</t>
  </si>
  <si>
    <t>Niebla cegadora (todos)</t>
  </si>
  <si>
    <t>失明之霧（全體）</t>
  </si>
  <si>
    <t>失明之雾（全体）</t>
  </si>
  <si>
    <t>Blinding Shot</t>
  </si>
  <si>
    <t>Tir aveuglant</t>
  </si>
  <si>
    <t>Tiro cegador</t>
  </si>
  <si>
    <t>暗闇之針</t>
  </si>
  <si>
    <t>暗暗之针</t>
  </si>
  <si>
    <t>Blinding Shot (All)</t>
  </si>
  <si>
    <t>Tir aveuglant (tous)</t>
  </si>
  <si>
    <t>Tiro cegador (todos)</t>
  </si>
  <si>
    <t>暗闇之針（全體）</t>
  </si>
  <si>
    <t>暗暗之针（全体）</t>
  </si>
  <si>
    <t>Blizzard Breath (All)</t>
  </si>
  <si>
    <t>Souffle de blizzard (tous)</t>
  </si>
  <si>
    <t>Aliento de ventisca (todos)</t>
  </si>
  <si>
    <t>魔冰凍之息（全體）</t>
  </si>
  <si>
    <t>魔冰冻之息（全体）</t>
  </si>
  <si>
    <t>Bulwark Axe</t>
  </si>
  <si>
    <t>Hache protectrice</t>
  </si>
  <si>
    <t>Hacha defensiva</t>
  </si>
  <si>
    <t>鐵壁之斧</t>
  </si>
  <si>
    <t>铁壁之斧</t>
  </si>
  <si>
    <t>Butterfly Effect (All)</t>
  </si>
  <si>
    <t>Effet papillon (tous)</t>
  </si>
  <si>
    <t>Efecto mariposa</t>
  </si>
  <si>
    <t>死亡之蝶（全體）</t>
  </si>
  <si>
    <t>死亡之蝶（全体）</t>
  </si>
  <si>
    <t>Chop</t>
  </si>
  <si>
    <t>Frappe tranchante</t>
  </si>
  <si>
    <t>Corte</t>
  </si>
  <si>
    <t>斧劈</t>
  </si>
  <si>
    <t>Continual Light (HP)</t>
  </si>
  <si>
    <t>Lumière sempiternelle (PV)</t>
  </si>
  <si>
    <t>Luz continua (PV)</t>
  </si>
  <si>
    <t>持續光合成（ＨＰ）</t>
  </si>
  <si>
    <t>持续光合成（ＨＰ）</t>
  </si>
  <si>
    <t>Continual Light (SP) (All)</t>
  </si>
  <si>
    <t>Lumière sempiternelle (PT) (tous)</t>
  </si>
  <si>
    <t>Luz continua (PH) (todos)</t>
  </si>
  <si>
    <t>持續光合成（ＳＰ）（全體）</t>
  </si>
  <si>
    <t>持续光合成（ＳＰ）（全体）</t>
  </si>
  <si>
    <t>Convincing Blow</t>
  </si>
  <si>
    <t>Coup appuyé</t>
  </si>
  <si>
    <t>Golpe contundente</t>
  </si>
  <si>
    <t>會心一擊</t>
  </si>
  <si>
    <t>会心一击</t>
  </si>
  <si>
    <t>Crimson Flame (All)</t>
  </si>
  <si>
    <t>Flamme pourpre (tous)</t>
  </si>
  <si>
    <t>Fuego escarlata (todos)</t>
  </si>
  <si>
    <t>紅蓮之炎（全體）</t>
  </si>
  <si>
    <t>红莲之炎（全体）</t>
  </si>
  <si>
    <t>Crimson Powder (All)</t>
  </si>
  <si>
    <t>Poudre pourpre</t>
  </si>
  <si>
    <t>Polvo escarlata (todos)</t>
  </si>
  <si>
    <t>腥紅之粉（全體）</t>
  </si>
  <si>
    <t>腥红之粉（全体）</t>
  </si>
  <si>
    <t>Crushing Wing (All)</t>
  </si>
  <si>
    <t>Aile écrasante (tous)</t>
  </si>
  <si>
    <t>Vendaval (todos)</t>
  </si>
  <si>
    <t>破壞之風翼（全體）</t>
  </si>
  <si>
    <t>破坏之风翼（全体）</t>
  </si>
  <si>
    <t>Deluxe Luck of the Cait</t>
  </si>
  <si>
    <t>Chance du félandrin supérieure</t>
  </si>
  <si>
    <t>Cait de la suerte de lujo</t>
  </si>
  <si>
    <t>凱特林魔法ＤＸ</t>
  </si>
  <si>
    <t>凯特林魔法ＤＸ</t>
  </si>
  <si>
    <t>Diamond Clock (All)</t>
  </si>
  <si>
    <t>Horloge de diamant (tous)</t>
  </si>
  <si>
    <t>Reloj de diamante (todos)</t>
  </si>
  <si>
    <t>鑽石之鐘（全體）</t>
  </si>
  <si>
    <t>钻石之钟（全体）</t>
  </si>
  <si>
    <t>Double Armor Crush</t>
  </si>
  <si>
    <t>Double dislocation d'armure</t>
  </si>
  <si>
    <t>Revientarmaduras doble</t>
  </si>
  <si>
    <t>連續破甲</t>
  </si>
  <si>
    <t>连续破甲</t>
  </si>
  <si>
    <t>Double Attack All</t>
  </si>
  <si>
    <t>Double multi-attaque</t>
  </si>
  <si>
    <t>Ataque doble a todos</t>
  </si>
  <si>
    <t>戰鬥ｘ２（全體）</t>
  </si>
  <si>
    <t>战斗ｘ２（全体）</t>
  </si>
  <si>
    <t>Double Blessed Spear</t>
  </si>
  <si>
    <t>Double lance bénie</t>
  </si>
  <si>
    <t>Lanza bendita doble</t>
  </si>
  <si>
    <t>連續加速之槍</t>
  </si>
  <si>
    <t>连续加速之枪</t>
  </si>
  <si>
    <t>Double Body Press</t>
  </si>
  <si>
    <t>Double écrasement</t>
  </si>
  <si>
    <t>Presión corporal doble</t>
  </si>
  <si>
    <t>雙重泰山壓頂</t>
  </si>
  <si>
    <t>双重泰山压顶</t>
  </si>
  <si>
    <t>Double Elemental Arrow Dance</t>
  </si>
  <si>
    <t>Danse de la double flèche élémentaire</t>
  </si>
  <si>
    <t>Danza de doble flecha elemental</t>
  </si>
  <si>
    <t>屬攻連續弓舞</t>
  </si>
  <si>
    <t>属攻连续弓舞</t>
  </si>
  <si>
    <t>Double Guard Break</t>
  </si>
  <si>
    <t>Double faille de garde</t>
  </si>
  <si>
    <t>Rompeguardias doble</t>
  </si>
  <si>
    <t>連續加護破解</t>
  </si>
  <si>
    <t>连续加护破解</t>
  </si>
  <si>
    <t>Double Rapid Staff Dance</t>
  </si>
  <si>
    <t>Danse du double bâton véloce</t>
  </si>
  <si>
    <t>Danza de báculos rápida doble</t>
  </si>
  <si>
    <t>高速連續杖舞</t>
  </si>
  <si>
    <t>高速连续杖舞</t>
  </si>
  <si>
    <t>Double Soporific Claw</t>
  </si>
  <si>
    <t>Double griffe narcotique</t>
  </si>
  <si>
    <t>Garra soporífera doble</t>
  </si>
  <si>
    <t>雙重睡眠之爪</t>
  </si>
  <si>
    <t>双重睡眠之爪</t>
  </si>
  <si>
    <t>Double Stab</t>
  </si>
  <si>
    <t>Double perforation</t>
  </si>
  <si>
    <t>Puñalada doble</t>
  </si>
  <si>
    <t>連刺</t>
  </si>
  <si>
    <t>连刺</t>
  </si>
  <si>
    <t>Double Strike</t>
  </si>
  <si>
    <t>戰鬥ｘ２</t>
  </si>
  <si>
    <t>战斗ｘ２</t>
  </si>
  <si>
    <t>Double-blind Attack (All)</t>
  </si>
  <si>
    <t>Attaque en double-aveugle (tous)</t>
  </si>
  <si>
    <t>Ataque cegador doble</t>
  </si>
  <si>
    <t>雙重失明攻擊（全體）</t>
  </si>
  <si>
    <t>双重失明攻击（全体）</t>
  </si>
  <si>
    <t>Eclipse Clock (All)</t>
  </si>
  <si>
    <t>Horloge d'éclipse (tous)</t>
  </si>
  <si>
    <t>Reloj de eclipse (todos)</t>
  </si>
  <si>
    <t>日蝕之鐘（全體）</t>
  </si>
  <si>
    <t>日蚀之钟（全体）</t>
  </si>
  <si>
    <t>Electrocute</t>
  </si>
  <si>
    <t>Électrocution</t>
  </si>
  <si>
    <t>Electrificar</t>
  </si>
  <si>
    <t>雷擊</t>
  </si>
  <si>
    <t>雷击</t>
  </si>
  <si>
    <t>Electrocute (All)</t>
  </si>
  <si>
    <t>Électrocution (tous)</t>
  </si>
  <si>
    <t>Electrificar (todos)</t>
  </si>
  <si>
    <t>雷擊（全體）</t>
  </si>
  <si>
    <t>雷击（全体）</t>
  </si>
  <si>
    <t>Endanger Life (All)</t>
  </si>
  <si>
    <t>Menace vitale (tous)</t>
  </si>
  <si>
    <t>Peligro de muerte (todos)</t>
  </si>
  <si>
    <t>九命弱體針（全體）</t>
  </si>
  <si>
    <t>九命弱体针（全体）</t>
  </si>
  <si>
    <t>Enfettering Slash (All)</t>
  </si>
  <si>
    <t>Taillade entravante (tous)</t>
  </si>
  <si>
    <t>Tajo aprisionador (todos)</t>
  </si>
  <si>
    <t>綑綁（全體）</t>
  </si>
  <si>
    <t>捆绑（全体）</t>
  </si>
  <si>
    <t>Enraged Bash (All)</t>
  </si>
  <si>
    <t>Choc enragé (tous)</t>
  </si>
  <si>
    <t>Torta furiosa (todos)</t>
  </si>
  <si>
    <t>怒濤毆打（全體）</t>
  </si>
  <si>
    <t>怒涛殴打（全体）</t>
  </si>
  <si>
    <t>Enshadow</t>
  </si>
  <si>
    <t>Voile d'ombre</t>
  </si>
  <si>
    <t>Ensombrecer</t>
  </si>
  <si>
    <t>暗黑</t>
  </si>
  <si>
    <t>Enshadow (All)</t>
  </si>
  <si>
    <t>Voile d'ombre (tous)</t>
  </si>
  <si>
    <t>Ensombrecer (todos)</t>
  </si>
  <si>
    <t>暗黑（全體）</t>
  </si>
  <si>
    <t>暗黑（全体）</t>
  </si>
  <si>
    <t>Fell Swoop (All)</t>
  </si>
  <si>
    <t>Brutalité (tous)</t>
  </si>
  <si>
    <t>Caída en picado (todos)</t>
  </si>
  <si>
    <t>一氣呵成（全體）</t>
  </si>
  <si>
    <t>一气呵成（全体）</t>
  </si>
  <si>
    <t>Freeze</t>
  </si>
  <si>
    <t>Glaciation</t>
  </si>
  <si>
    <t>Congelar</t>
  </si>
  <si>
    <t>冰凍</t>
  </si>
  <si>
    <t>冰冻</t>
  </si>
  <si>
    <t>Freeze (All)</t>
  </si>
  <si>
    <t>Glaciation (tous)</t>
  </si>
  <si>
    <t>Congelar (todos)</t>
  </si>
  <si>
    <t>冰凍（全體）</t>
  </si>
  <si>
    <t>冰冻（全体）</t>
  </si>
  <si>
    <t>Great Healing Mist</t>
  </si>
  <si>
    <t>Brume curative supérieure</t>
  </si>
  <si>
    <t>Gran niebla curativa</t>
  </si>
  <si>
    <t>ＨＰ治療（大）（全體）</t>
  </si>
  <si>
    <t>ＨＰ治疗（大）（全体）</t>
  </si>
  <si>
    <t>Great Sweep (All)</t>
  </si>
  <si>
    <t>Grand coup large (tous)</t>
  </si>
  <si>
    <t>Gran barrido (todos)</t>
  </si>
  <si>
    <t>舌頭橫掃（全體）</t>
  </si>
  <si>
    <t>舌头横扫（全体）</t>
  </si>
  <si>
    <t>Grooming (All)</t>
  </si>
  <si>
    <t>Toilette (tous)</t>
  </si>
  <si>
    <t>Acicalarse (todos)</t>
  </si>
  <si>
    <t>理毛（全體）</t>
  </si>
  <si>
    <t>理毛（全体）</t>
  </si>
  <si>
    <t>Guardian Axe</t>
  </si>
  <si>
    <t>Hache gardienne</t>
  </si>
  <si>
    <t>Hacha de guardián</t>
  </si>
  <si>
    <t>守護之斧</t>
  </si>
  <si>
    <t>守护之斧</t>
  </si>
  <si>
    <t>Horrible Breath (All)</t>
  </si>
  <si>
    <t>Souffle horrifiant (tous)</t>
  </si>
  <si>
    <t>Aliento horrible (todos)</t>
  </si>
  <si>
    <t>極惡臭（全體）</t>
  </si>
  <si>
    <t>极恶臭（全体）</t>
  </si>
  <si>
    <t>Hurricane Lunge (All)</t>
  </si>
  <si>
    <t>Fente de l'ouragant (tous)</t>
  </si>
  <si>
    <t>Embestida de huracán (todos)</t>
  </si>
  <si>
    <t>高速大突進（全體）</t>
  </si>
  <si>
    <t>高速大突进（全体）</t>
  </si>
  <si>
    <t>Ice Floe</t>
  </si>
  <si>
    <t>Glace à la dérive</t>
  </si>
  <si>
    <t>Témpano de hielo</t>
  </si>
  <si>
    <t>連續冰凍</t>
  </si>
  <si>
    <t>连续冰冻</t>
  </si>
  <si>
    <t>Ice Floe (All)</t>
  </si>
  <si>
    <t>Glace à la dérive (tous)</t>
  </si>
  <si>
    <t>Témpano de hielo (todos)</t>
  </si>
  <si>
    <t>冰泥（全體）</t>
  </si>
  <si>
    <t>冰泥（全体）</t>
  </si>
  <si>
    <t>Icy Breath (All)</t>
  </si>
  <si>
    <t>Souffle glacé (tous)</t>
  </si>
  <si>
    <t>Aliento de hielo (todos)</t>
  </si>
  <si>
    <t>冰凍之息（全體）</t>
  </si>
  <si>
    <t>冰冻之息（全体）</t>
  </si>
  <si>
    <t>Impact Clock</t>
  </si>
  <si>
    <t>Horloge d'impact</t>
  </si>
  <si>
    <t>Reloj de impacto</t>
  </si>
  <si>
    <t>衝擊之鐘</t>
  </si>
  <si>
    <t>冲击之钟</t>
  </si>
  <si>
    <t>Incinerate</t>
  </si>
  <si>
    <t>Incinération</t>
  </si>
  <si>
    <t>Incinerar</t>
  </si>
  <si>
    <t>業火</t>
  </si>
  <si>
    <t>业火</t>
  </si>
  <si>
    <t>Incinerate (All)</t>
  </si>
  <si>
    <t>Incinération (tous)</t>
  </si>
  <si>
    <t>Incinerar (todos)</t>
  </si>
  <si>
    <t>業火（全體）</t>
  </si>
  <si>
    <t>业火（全体）</t>
  </si>
  <si>
    <t>Incredible Heal (All)</t>
  </si>
  <si>
    <t>Soins incroyables (tous)</t>
  </si>
  <si>
    <t>Curación increíble (todos)</t>
  </si>
  <si>
    <t>驚奇療癒（全體）</t>
  </si>
  <si>
    <t>惊奇疗愈（全体）</t>
  </si>
  <si>
    <t>Inferno Clock (All)</t>
  </si>
  <si>
    <t>Horloge de fournaise (tous)</t>
  </si>
  <si>
    <t>Reloj infernal (todos)</t>
  </si>
  <si>
    <t>煉獄之鐘（全體）</t>
  </si>
  <si>
    <t>炼狱之钟（全体）</t>
  </si>
  <si>
    <t>Invincible Cleave</t>
  </si>
  <si>
    <t>Couperet invincible</t>
  </si>
  <si>
    <t>Surco invencible</t>
  </si>
  <si>
    <t>無敵劍擊</t>
  </si>
  <si>
    <t>无敌剑击</t>
  </si>
  <si>
    <t>Light Stream</t>
  </si>
  <si>
    <t>Flot lumineux</t>
  </si>
  <si>
    <t>Chorro de luz</t>
  </si>
  <si>
    <t>連續光明</t>
  </si>
  <si>
    <t>连续光明</t>
  </si>
  <si>
    <t>Luck of the Cait</t>
  </si>
  <si>
    <t>Chance du félandrin</t>
  </si>
  <si>
    <t>Cait de la suerte</t>
  </si>
  <si>
    <t>凱特琳魔法</t>
  </si>
  <si>
    <t>凯特琳魔法</t>
  </si>
  <si>
    <t>光明</t>
  </si>
  <si>
    <t>Luminescence (All)</t>
  </si>
  <si>
    <t>Luminescence (tous)</t>
  </si>
  <si>
    <t>Luminiscencia (todos)</t>
  </si>
  <si>
    <t>光明（全體）</t>
  </si>
  <si>
    <t>光明（全体）</t>
  </si>
  <si>
    <t>Lunge</t>
  </si>
  <si>
    <t>Fente</t>
  </si>
  <si>
    <t>Embestir</t>
  </si>
  <si>
    <t>突進</t>
  </si>
  <si>
    <t>突进</t>
  </si>
  <si>
    <t>Mental Boost</t>
  </si>
  <si>
    <t>Mental exalté</t>
  </si>
  <si>
    <t>Impulso mental</t>
  </si>
  <si>
    <t>精神提升</t>
  </si>
  <si>
    <t>Mental Boost (All)</t>
  </si>
  <si>
    <t>Mental exalté (tous)</t>
  </si>
  <si>
    <t>Impulso mental (todos)</t>
  </si>
  <si>
    <t>精神提升（全體）</t>
  </si>
  <si>
    <t>精神提升（全体）</t>
  </si>
  <si>
    <t>Mighty Charge (All)</t>
  </si>
  <si>
    <t>Charge puissante (tous)</t>
  </si>
  <si>
    <t>Carga increíble (todos)</t>
  </si>
  <si>
    <t>大突進（全體）</t>
  </si>
  <si>
    <t>大突进（全体）</t>
  </si>
  <si>
    <t>Mighty Chop</t>
  </si>
  <si>
    <t>Frappe tranchante puissante</t>
  </si>
  <si>
    <t>Corte increíble</t>
  </si>
  <si>
    <t>斧劈（全體）</t>
  </si>
  <si>
    <t>斧劈（全体）</t>
  </si>
  <si>
    <t>Mighty Double Stab</t>
  </si>
  <si>
    <t>Double perforation puissante</t>
  </si>
  <si>
    <t>Puñalada increíble doble</t>
  </si>
  <si>
    <t>連刺（全體）</t>
  </si>
  <si>
    <t>连刺（全体）</t>
  </si>
  <si>
    <t>Mighty Lunge</t>
  </si>
  <si>
    <t>Fente puissante</t>
  </si>
  <si>
    <t>Embestida increíble</t>
  </si>
  <si>
    <t>突進（全體）</t>
  </si>
  <si>
    <t>突进（全体）</t>
  </si>
  <si>
    <t>Mighty Slash</t>
  </si>
  <si>
    <t>Taillade puissante</t>
  </si>
  <si>
    <t>Tajo increíble</t>
  </si>
  <si>
    <t>抓擊（全體）</t>
  </si>
  <si>
    <t>抓击（全体）</t>
  </si>
  <si>
    <t>Mighty Stab</t>
  </si>
  <si>
    <t>Perforation puissante</t>
  </si>
  <si>
    <t>Puñalada increíble</t>
  </si>
  <si>
    <t>刺（全體）</t>
  </si>
  <si>
    <t>刺（全体）</t>
  </si>
  <si>
    <t>Millennial Frond</t>
  </si>
  <si>
    <t>Fronde millénale</t>
  </si>
  <si>
    <t>Helecho milenario</t>
  </si>
  <si>
    <t>千年茸</t>
  </si>
  <si>
    <t>Offensive Claw</t>
  </si>
  <si>
    <t>Griffe offensive</t>
  </si>
  <si>
    <t>Garra ofensiva</t>
  </si>
  <si>
    <t>破防之爪</t>
  </si>
  <si>
    <t>Physical Boost</t>
  </si>
  <si>
    <t>Physique exalté</t>
  </si>
  <si>
    <t>Impulso físico</t>
  </si>
  <si>
    <t>物理提升</t>
  </si>
  <si>
    <t>Poison Shot</t>
  </si>
  <si>
    <t>Tir empoisonné</t>
  </si>
  <si>
    <t>Tiro venenoso</t>
  </si>
  <si>
    <t>毒針</t>
  </si>
  <si>
    <t>毒针</t>
  </si>
  <si>
    <t>Poison Strike</t>
  </si>
  <si>
    <t>Frappe empoisonnée</t>
  </si>
  <si>
    <t>Golpe venenoso</t>
  </si>
  <si>
    <t>劇毒攻擊</t>
  </si>
  <si>
    <t>剧毒攻击</t>
  </si>
  <si>
    <t>Rainbow Flash (All)</t>
  </si>
  <si>
    <t>Éclat d'arc-en-ciel (tous)</t>
  </si>
  <si>
    <t>Destello arcoíris (todos)</t>
  </si>
  <si>
    <t>彩虹閃光（全體）</t>
  </si>
  <si>
    <t>彩虹闪光（全体）</t>
  </si>
  <si>
    <t>Red Bile</t>
  </si>
  <si>
    <t>Bile rouge</t>
  </si>
  <si>
    <t>Bilis roja</t>
  </si>
  <si>
    <t>紅之黏液</t>
  </si>
  <si>
    <t>红之黏液</t>
  </si>
  <si>
    <t>Repeated Thrust</t>
  </si>
  <si>
    <t>Coups répétés</t>
  </si>
  <si>
    <t>Empujón repetido</t>
  </si>
  <si>
    <t>連續鬼突進（全體）</t>
  </si>
  <si>
    <t>连续鬼突进（全体）</t>
  </si>
  <si>
    <t>Restore Great Health</t>
  </si>
  <si>
    <t>Récupération de santé supérieure</t>
  </si>
  <si>
    <t>Restaurar salud+</t>
  </si>
  <si>
    <t>ＨＰ治療（大）</t>
  </si>
  <si>
    <t>ＨＰ治疗（大）</t>
  </si>
  <si>
    <t>Restore Health</t>
  </si>
  <si>
    <t>Récupération de santé</t>
  </si>
  <si>
    <t>Restaurar salud</t>
  </si>
  <si>
    <t>ＨＰ治療</t>
  </si>
  <si>
    <t>ＨＰ治疗</t>
  </si>
  <si>
    <t>Retaliative Axe</t>
  </si>
  <si>
    <t>Hache de riposte</t>
  </si>
  <si>
    <t>Hacha vengativa</t>
  </si>
  <si>
    <t>反擊之斧</t>
  </si>
  <si>
    <t>反击之斧</t>
  </si>
  <si>
    <t>Retaliative Posture</t>
  </si>
  <si>
    <t>Posture de riposte</t>
  </si>
  <si>
    <t>Posición vengativa</t>
  </si>
  <si>
    <t>反擊姿勢</t>
  </si>
  <si>
    <t>反击姿势</t>
  </si>
  <si>
    <t>Sand Strike (All)</t>
  </si>
  <si>
    <t>Frappe de sable (tous)</t>
  </si>
  <si>
    <t>Golpe de arena (todos)</t>
  </si>
  <si>
    <t>夾擊（全體）</t>
  </si>
  <si>
    <t>夹击（全体）</t>
  </si>
  <si>
    <t>Sandstorm Slash (All)</t>
  </si>
  <si>
    <t>Taillade sablonneuse (tous)</t>
  </si>
  <si>
    <t>Tajo arenoso (todos)</t>
  </si>
  <si>
    <t>超級夾擊（全體）</t>
  </si>
  <si>
    <t>超级夹击（全体）</t>
  </si>
  <si>
    <t>Shadow Stream</t>
  </si>
  <si>
    <t>Flot ténébreux</t>
  </si>
  <si>
    <t>Chorro de sombra</t>
  </si>
  <si>
    <t>連續暗黑</t>
  </si>
  <si>
    <t>连续暗黑</t>
  </si>
  <si>
    <t>Sharp Scratch (All)</t>
  </si>
  <si>
    <t>Griffure profonde (tous)</t>
  </si>
  <si>
    <t>Arañazo afilado (todos)</t>
  </si>
  <si>
    <t>銳利抓擊（全體）</t>
  </si>
  <si>
    <t>锐利抓击（全体）</t>
  </si>
  <si>
    <t>Shock Stream</t>
  </si>
  <si>
    <t>Flot foudroyant</t>
  </si>
  <si>
    <t>Chorro de rayo</t>
  </si>
  <si>
    <t>連續雷擊</t>
  </si>
  <si>
    <t>连续雷击</t>
  </si>
  <si>
    <t>Shoot</t>
  </si>
  <si>
    <t>Tir</t>
  </si>
  <si>
    <t>Disparar</t>
  </si>
  <si>
    <t>針</t>
  </si>
  <si>
    <t>针</t>
  </si>
  <si>
    <t>Slash</t>
  </si>
  <si>
    <t>Taglio</t>
  </si>
  <si>
    <t>Taillade</t>
  </si>
  <si>
    <t>Tajo</t>
  </si>
  <si>
    <t>抓擊</t>
  </si>
  <si>
    <t>抓击</t>
  </si>
  <si>
    <t>Slumber Wave (All)</t>
  </si>
  <si>
    <t>Vague narcotique (tous)</t>
  </si>
  <si>
    <t>Onda adormecedora (todos)</t>
  </si>
  <si>
    <t>睡眠波（全體）</t>
  </si>
  <si>
    <t>睡眠波（全体）</t>
  </si>
  <si>
    <t>Solar Clock (All)</t>
  </si>
  <si>
    <t>Horloge solaire (tous)</t>
  </si>
  <si>
    <t>Reloj solar (todos)</t>
  </si>
  <si>
    <t>太能光能射線之鐘（全體）</t>
  </si>
  <si>
    <t>太能光能射线之钟（全体）</t>
  </si>
  <si>
    <t>Soporific Claw</t>
  </si>
  <si>
    <t>Griffe narcotique</t>
  </si>
  <si>
    <t>Garra soporífera</t>
  </si>
  <si>
    <t>睡眠之爪</t>
  </si>
  <si>
    <t>Soporific Fang</t>
  </si>
  <si>
    <t>Croc narcotique</t>
  </si>
  <si>
    <t>Colmillo soporífero</t>
  </si>
  <si>
    <t>睡眠之牙</t>
  </si>
  <si>
    <t>Soporific Fang (All)</t>
  </si>
  <si>
    <t>Croc narcotique (tous)</t>
  </si>
  <si>
    <t>Colmillo soporífero (todos)</t>
  </si>
  <si>
    <t>睡眠之牙（全體）</t>
  </si>
  <si>
    <t>睡眠之牙（全体）</t>
  </si>
  <si>
    <t>Soporific Mist (All)</t>
  </si>
  <si>
    <t>Brume narcotique (tous)</t>
  </si>
  <si>
    <t>Niebla soporífera (todos)</t>
  </si>
  <si>
    <t>睡眠之霧（全體）</t>
  </si>
  <si>
    <t>睡眠之雾（全体）</t>
  </si>
  <si>
    <t>Soporific Shot (All)</t>
  </si>
  <si>
    <t>Tir narcotique (tous)</t>
  </si>
  <si>
    <t>Tiro soporífero (todos)</t>
  </si>
  <si>
    <t>睡眠之針（全體）</t>
  </si>
  <si>
    <t>睡眠之针（全体）</t>
  </si>
  <si>
    <t>Soporific Strike (All)</t>
  </si>
  <si>
    <t>Frappe narcotique (tous)</t>
  </si>
  <si>
    <t>Golpe soporífero (todos)</t>
  </si>
  <si>
    <t>睡眠攻擊（全體）</t>
  </si>
  <si>
    <t>睡眠攻击（全体）</t>
  </si>
  <si>
    <t>Soporific Wind</t>
  </si>
  <si>
    <t>Vent narcotique</t>
  </si>
  <si>
    <t>Viento soporífero</t>
  </si>
  <si>
    <t>睡眠之風</t>
  </si>
  <si>
    <t>睡眠之风</t>
  </si>
  <si>
    <t>Stab</t>
  </si>
  <si>
    <t>Pugnalata</t>
  </si>
  <si>
    <t>Perforation</t>
  </si>
  <si>
    <t>Puñalada</t>
  </si>
  <si>
    <t>Steel Defenses</t>
  </si>
  <si>
    <t>Défenses d'acier</t>
  </si>
  <si>
    <t>Defensas de acero</t>
  </si>
  <si>
    <t>防禦力提升</t>
  </si>
  <si>
    <t>防御力提升</t>
  </si>
  <si>
    <t>Striking Sword Dance</t>
  </si>
  <si>
    <t>Danse du coup d'épée</t>
  </si>
  <si>
    <t>Danza de espadas chocante</t>
  </si>
  <si>
    <t>物攻連續劍舞</t>
  </si>
  <si>
    <t>物攻连续剑舞</t>
  </si>
  <si>
    <t>Supreme Luck of the Cait</t>
  </si>
  <si>
    <t>Chance du félandrin suprême</t>
  </si>
  <si>
    <t>Cait de la suerte supremo</t>
  </si>
  <si>
    <t>凱特琳魔法ＥＸ</t>
  </si>
  <si>
    <t>凯特琳魔法ＥＸ</t>
  </si>
  <si>
    <t>Swordwall Dance</t>
  </si>
  <si>
    <t>Danse du mur d'épées</t>
  </si>
  <si>
    <t>Danza de muro de espadas</t>
  </si>
  <si>
    <t>連續鐵壁劍舞</t>
  </si>
  <si>
    <t>连续铁壁剑舞</t>
  </si>
  <si>
    <t>Tempest Clock (All)</t>
  </si>
  <si>
    <t>Horloge de tempête (tous)</t>
  </si>
  <si>
    <t>Reloj tempestuoso (todos)</t>
  </si>
  <si>
    <t>暴風雨之鐘（全體）</t>
  </si>
  <si>
    <t>暴风雨之钟（全体）</t>
  </si>
  <si>
    <t>Thousand Scythes</t>
  </si>
  <si>
    <t>Mille faux</t>
  </si>
  <si>
    <t>Mil guadañas</t>
  </si>
  <si>
    <t>鐮鼬</t>
  </si>
  <si>
    <t>镰鼬</t>
  </si>
  <si>
    <t>Toxic Ice</t>
  </si>
  <si>
    <t>Glace toxique</t>
  </si>
  <si>
    <t>Hielo tóxico</t>
  </si>
  <si>
    <t>劇毒之冰</t>
  </si>
  <si>
    <t>剧毒之冰</t>
  </si>
  <si>
    <t>Toxic Mist (All)</t>
  </si>
  <si>
    <t>Brume toxique (tous)</t>
  </si>
  <si>
    <t>Niebla tóxica (todos)</t>
  </si>
  <si>
    <t>劇毒之霧（全體）</t>
  </si>
  <si>
    <t>剧毒之雾（全体）</t>
  </si>
  <si>
    <t>Toxic Wind</t>
  </si>
  <si>
    <t>Vent toxique</t>
  </si>
  <si>
    <t>Viento tóxico</t>
  </si>
  <si>
    <t>劇毒之風</t>
  </si>
  <si>
    <t>剧毒之风</t>
  </si>
  <si>
    <t>Triple Attack</t>
  </si>
  <si>
    <t>Attacco triplo</t>
  </si>
  <si>
    <t>Triple attaque</t>
  </si>
  <si>
    <t>Ataque triple</t>
  </si>
  <si>
    <t>戰鬥ｘ３</t>
  </si>
  <si>
    <t>战斗ｘ３</t>
  </si>
  <si>
    <t>Triple Attack All</t>
  </si>
  <si>
    <t>Triple multi-attaque</t>
  </si>
  <si>
    <t>Ataque triple a todos</t>
  </si>
  <si>
    <t>戰鬥ｘ３（全體）</t>
  </si>
  <si>
    <t>战斗ｘ３（全体）</t>
  </si>
  <si>
    <t>Venomous Claw (All)</t>
  </si>
  <si>
    <t>Griffe venimeuse (tous)</t>
  </si>
  <si>
    <t>Garra ponzoñosa (todos)</t>
  </si>
  <si>
    <t>劇毒之爪（全體）</t>
  </si>
  <si>
    <t>剧毒之爪（全体）</t>
  </si>
  <si>
    <t>Venomous Fang</t>
  </si>
  <si>
    <t>Croc venimeux</t>
  </si>
  <si>
    <t>Colmillo ponzoñoso</t>
  </si>
  <si>
    <t>毒牙</t>
  </si>
  <si>
    <t>Viscous Bile</t>
  </si>
  <si>
    <t>Bile visqueuse</t>
  </si>
  <si>
    <t>Bilis viscosa</t>
  </si>
  <si>
    <t>強黏液</t>
  </si>
  <si>
    <t>强黏液</t>
  </si>
  <si>
    <t>Vorpal Claw (All)</t>
  </si>
  <si>
    <t>Griffe vorpale (tous)</t>
  </si>
  <si>
    <t>Garra vorpal (todos)</t>
  </si>
  <si>
    <t>死亡雲霧（全體）</t>
  </si>
  <si>
    <t>死亡云雾（全体）</t>
  </si>
  <si>
    <t>Vortex Clock (All)</t>
  </si>
  <si>
    <t>Horloge de vortex (tous)</t>
  </si>
  <si>
    <t>Reloj vórtice (todos)</t>
  </si>
  <si>
    <t>漩渦暴擊之鐘（全體）</t>
  </si>
  <si>
    <t>漩涡暴击之钟（全体）</t>
  </si>
  <si>
    <t>Warding Thunder</t>
  </si>
  <si>
    <t>Tonnerre protecteur</t>
  </si>
  <si>
    <t>Trueno vigilante</t>
  </si>
  <si>
    <t>防護雷擊</t>
  </si>
  <si>
    <t>防护雷击</t>
  </si>
  <si>
    <t>Wild Scratch (All)</t>
  </si>
  <si>
    <t>Griffure sauvage (tous)</t>
  </si>
  <si>
    <t>Arañazo salvaje (todos)</t>
  </si>
  <si>
    <t>亂抓擊（全體）</t>
  </si>
  <si>
    <t>乱抓击（全体）</t>
  </si>
  <si>
    <t>Wind Slash</t>
  </si>
  <si>
    <t>Taillade de vent</t>
  </si>
  <si>
    <t>Tajo de viento</t>
  </si>
  <si>
    <t>風斬</t>
  </si>
  <si>
    <t>风斩</t>
  </si>
  <si>
    <t>Wind Slash (All)</t>
  </si>
  <si>
    <t>Taillade de vent (tous)</t>
  </si>
  <si>
    <t>Tajo de viento (todos)</t>
  </si>
  <si>
    <t>風斬（全體）</t>
  </si>
  <si>
    <t>风斩（全体）</t>
  </si>
  <si>
    <t>Wreak Havoc (All)</t>
  </si>
  <si>
    <t>Chaos (tous)</t>
  </si>
  <si>
    <t>Sembrar el caos (todos)</t>
  </si>
  <si>
    <t>全力狂暴（全體）</t>
  </si>
  <si>
    <t>全力狂暴（全体）</t>
  </si>
  <si>
    <t>Accomplished Graybeard</t>
  </si>
  <si>
    <t>Vieil homme accompli</t>
  </si>
  <si>
    <t>Anciano habilidoso</t>
  </si>
  <si>
    <t>成就的老人</t>
  </si>
  <si>
    <t>成し遂げた老人</t>
  </si>
  <si>
    <t>Accused Man</t>
  </si>
  <si>
    <t>Uomo accusato</t>
  </si>
  <si>
    <t>Accusé</t>
  </si>
  <si>
    <t>Hombre acusado</t>
  </si>
  <si>
    <t>被懷疑的男子</t>
  </si>
  <si>
    <t>被怀疑的男子</t>
  </si>
  <si>
    <t>疑われた男</t>
  </si>
  <si>
    <t>Actress</t>
  </si>
  <si>
    <t>Attrice</t>
  </si>
  <si>
    <t>Actrice</t>
  </si>
  <si>
    <t>Actriz</t>
  </si>
  <si>
    <t>流浪女藝人</t>
  </si>
  <si>
    <t>流浪女艺人</t>
  </si>
  <si>
    <t>Affable Antiquarian</t>
  </si>
  <si>
    <t>Antiquaire affable</t>
  </si>
  <si>
    <t>Anticuario afable</t>
  </si>
  <si>
    <t>給人好印象的骨董商</t>
  </si>
  <si>
    <t>给人好印象的古董商</t>
  </si>
  <si>
    <t>人当たりのよい骨董商</t>
  </si>
  <si>
    <t>Affable Merchant</t>
  </si>
  <si>
    <t>Marchande affable</t>
  </si>
  <si>
    <t>Mercader afable</t>
  </si>
  <si>
    <t>爽朗的行商人</t>
  </si>
  <si>
    <t>気さくな行商人</t>
  </si>
  <si>
    <t>Alaic</t>
  </si>
  <si>
    <t>保鑣亞雷克</t>
  </si>
  <si>
    <t>保镖亚雷克</t>
  </si>
  <si>
    <t>用心棒アレーク</t>
  </si>
  <si>
    <t>Ali</t>
  </si>
  <si>
    <t>商人阿里</t>
  </si>
  <si>
    <t>商人アリー</t>
  </si>
  <si>
    <t>Alphas</t>
  </si>
  <si>
    <t>阿爾法絲</t>
  </si>
  <si>
    <t>阿尔法丝</t>
  </si>
  <si>
    <t>アルファス</t>
  </si>
  <si>
    <t>Amnesiac /
Ship Captain</t>
  </si>
  <si>
    <t>Amnésique /
Capitaine</t>
  </si>
  <si>
    <t>Amnésico/ 
Capitán de barco</t>
  </si>
  <si>
    <t>失憶的男子 /
船長</t>
  </si>
  <si>
    <t>失忆的男子 /
船长</t>
  </si>
  <si>
    <t>Amnesiac Girl /
Layla</t>
  </si>
  <si>
    <t>Amnésique /
Layla</t>
  </si>
  <si>
    <t>Chica con amnesia / 
Layla</t>
  </si>
  <si>
    <t>失憶的女孩 /
萊雅</t>
  </si>
  <si>
    <t>失忆的女孩 /
莱雅</t>
  </si>
  <si>
    <t>Angela</t>
  </si>
  <si>
    <t>Ángela</t>
  </si>
  <si>
    <t>安潔拉</t>
  </si>
  <si>
    <t>安洁拉</t>
  </si>
  <si>
    <t>アンジェラ</t>
  </si>
  <si>
    <t>Angler</t>
  </si>
  <si>
    <t>Pêcheur à la ligne</t>
  </si>
  <si>
    <t>Pescador</t>
  </si>
  <si>
    <t>虹鮭魚夫</t>
  </si>
  <si>
    <t>虹鲑鱼夫</t>
  </si>
  <si>
    <t>ニジザケ漁師</t>
  </si>
  <si>
    <t>Animal-loving Child</t>
  </si>
  <si>
    <t>Enfant adorant les animaux</t>
  </si>
  <si>
    <t>Niño amante de los animales</t>
  </si>
  <si>
    <t>喜歡野獸的少年</t>
  </si>
  <si>
    <t>喜欢野兽的少年</t>
  </si>
  <si>
    <t>獣好きな少年</t>
  </si>
  <si>
    <t>Anna</t>
  </si>
  <si>
    <t>安娜夫人</t>
  </si>
  <si>
    <t>アンナ夫人</t>
  </si>
  <si>
    <t>Antique Dealer</t>
  </si>
  <si>
    <t>Antiquaire</t>
  </si>
  <si>
    <t>Vendedor de antigüedades</t>
  </si>
  <si>
    <t>舊貨商</t>
  </si>
  <si>
    <t>旧货商</t>
  </si>
  <si>
    <t>古物商</t>
  </si>
  <si>
    <t>Anxious Townswoman</t>
  </si>
  <si>
    <t>Habitante inquiète</t>
  </si>
  <si>
    <t>Aldeana inquieta</t>
  </si>
  <si>
    <t>不安的居民</t>
  </si>
  <si>
    <t>不安げな住人</t>
  </si>
  <si>
    <t>Farmacista</t>
  </si>
  <si>
    <t>Archibold the Crusher</t>
  </si>
  <si>
    <t>Archibold le Massacreur</t>
  </si>
  <si>
    <t>Archibold el Aplastador</t>
  </si>
  <si>
    <t>粉碎者阿奇博德</t>
  </si>
  <si>
    <t>粉砕のアーチボルト</t>
  </si>
  <si>
    <t>Ardent Actor</t>
  </si>
  <si>
    <t>Acteur passionné</t>
  </si>
  <si>
    <t>Actor entusiasta</t>
  </si>
  <si>
    <t>狂熱的演員</t>
  </si>
  <si>
    <t>狂热的演员</t>
  </si>
  <si>
    <t>熱心な役者</t>
  </si>
  <si>
    <t>Arena Attendant</t>
  </si>
  <si>
    <t>Agent de l'arène</t>
  </si>
  <si>
    <t>Ayudante de la arena</t>
  </si>
  <si>
    <t>競技場工作人員</t>
  </si>
  <si>
    <t>竞技场工作人员</t>
  </si>
  <si>
    <t>闘技場係員</t>
  </si>
  <si>
    <t>Arianna</t>
  </si>
  <si>
    <t>侍女亞莉安娜</t>
  </si>
  <si>
    <t>侍女亚莉安娜</t>
  </si>
  <si>
    <t>侍女アリアナ</t>
  </si>
  <si>
    <t>Aristocrat</t>
  </si>
  <si>
    <t>Aristocratico</t>
  </si>
  <si>
    <t>Aristocrate</t>
  </si>
  <si>
    <t>Aristócrata</t>
  </si>
  <si>
    <t>貴族</t>
  </si>
  <si>
    <t>贵族</t>
  </si>
  <si>
    <t>Art Lover</t>
  </si>
  <si>
    <t>Amante dell'arte</t>
  </si>
  <si>
    <t>Amateur d'art</t>
  </si>
  <si>
    <t>Amante del arte</t>
  </si>
  <si>
    <t>喜愛繪畫的貴族</t>
  </si>
  <si>
    <t>喜爱绘画的贵族</t>
  </si>
  <si>
    <t>絵画好きの貴族</t>
  </si>
  <si>
    <t>Artist's Brother /
Baker's Brother</t>
  </si>
  <si>
    <t>Frère de l'artiste /
Frère du boulanger</t>
  </si>
  <si>
    <t>Hermano del artista / 
Hermano del panadero</t>
  </si>
  <si>
    <t>風景畫家的弟弟 /
麵包師的弟弟</t>
  </si>
  <si>
    <t>风景画家的弟弟 /
面包师的弟弟</t>
  </si>
  <si>
    <t>Artistic Boy</t>
  </si>
  <si>
    <t>Jeune artiste</t>
  </si>
  <si>
    <t>Joven artista</t>
  </si>
  <si>
    <t>愛做手工藝的少年</t>
  </si>
  <si>
    <t>爱做手工艺的少年</t>
  </si>
  <si>
    <t>工作好きな少年</t>
  </si>
  <si>
    <t>Ashlan</t>
  </si>
  <si>
    <t>Aslyn</t>
  </si>
  <si>
    <t>阿什蘭</t>
  </si>
  <si>
    <t>阿什兰</t>
  </si>
  <si>
    <t>アシラン</t>
  </si>
  <si>
    <t>Ashlan's Father</t>
  </si>
  <si>
    <t>Padre di Ashlan</t>
  </si>
  <si>
    <t>Père d'Aslyn</t>
  </si>
  <si>
    <t>Padre de Ashlan</t>
  </si>
  <si>
    <t>阿什蘭的父親</t>
  </si>
  <si>
    <t>阿什兰的父亲</t>
  </si>
  <si>
    <t>アシランの父親</t>
  </si>
  <si>
    <t>Aspiring Actor</t>
  </si>
  <si>
    <t>Aspirante attore</t>
  </si>
  <si>
    <t>Apprenti acteur</t>
  </si>
  <si>
    <t>Actor aspirante</t>
  </si>
  <si>
    <t>想當藝人的男子</t>
  </si>
  <si>
    <t>想当艺人的男子</t>
  </si>
  <si>
    <t>Aspiring Hunter /
Fledgling Hunter /
Aspiring Merchant</t>
  </si>
  <si>
    <t>Apprenti chasseur /
Chasseur novice /
Apprenti marchand</t>
  </si>
  <si>
    <t>Cazador aspirante / 
Cazador aprendiz / 
Mercader aspirante</t>
  </si>
  <si>
    <t>見習獵人 /
新手獵人 /
見習商人</t>
  </si>
  <si>
    <t>见习猎人 /
新手猎人 /
见习商人</t>
  </si>
  <si>
    <t>Assiduous Scholar</t>
  </si>
  <si>
    <t>Érudit assidu</t>
  </si>
  <si>
    <t>Erudito diligente</t>
  </si>
  <si>
    <t>勤勉的學者</t>
  </si>
  <si>
    <t>勤勉的学者</t>
  </si>
  <si>
    <t>勤勉な学者</t>
  </si>
  <si>
    <t>Aston Wyndham</t>
  </si>
  <si>
    <t>大富豪溫德姆</t>
  </si>
  <si>
    <t>大富豪温德姆</t>
  </si>
  <si>
    <t>大富家ウィンダム</t>
  </si>
  <si>
    <t>Astute Child</t>
  </si>
  <si>
    <t>Bambino astuto</t>
  </si>
  <si>
    <t>Enfant astucieux</t>
  </si>
  <si>
    <t>Niño perspicaz</t>
  </si>
  <si>
    <t>聰明的少年</t>
  </si>
  <si>
    <t>聪明的少年</t>
  </si>
  <si>
    <t>利発な少年</t>
  </si>
  <si>
    <t>Astute Official</t>
  </si>
  <si>
    <t>Ufficiale astuto</t>
  </si>
  <si>
    <t>Fonctionnaire attentif</t>
  </si>
  <si>
    <t>Oficial perspicaz</t>
  </si>
  <si>
    <t>精明的職員</t>
  </si>
  <si>
    <t>精明的职员</t>
  </si>
  <si>
    <t>察しのいい職員</t>
  </si>
  <si>
    <t>Awkward Boy</t>
  </si>
  <si>
    <t>Garçon empoté</t>
  </si>
  <si>
    <t>Chico torpe</t>
  </si>
  <si>
    <t>拙笨的青年</t>
  </si>
  <si>
    <t>不器用な青年</t>
  </si>
  <si>
    <t>Bale</t>
  </si>
  <si>
    <t>貝爾隊長</t>
  </si>
  <si>
    <t>贝尔队长</t>
  </si>
  <si>
    <t>ベイル隊長</t>
  </si>
  <si>
    <t>Líder bandido</t>
  </si>
  <si>
    <t>Barham</t>
  </si>
  <si>
    <t>學者巴勒姆</t>
  </si>
  <si>
    <t>学者巴勒姆</t>
  </si>
  <si>
    <t>学者バーラム</t>
  </si>
  <si>
    <t>Barker</t>
  </si>
  <si>
    <t>Crieur</t>
  </si>
  <si>
    <t>Vocero</t>
  </si>
  <si>
    <t>主持人</t>
  </si>
  <si>
    <t>司会</t>
  </si>
  <si>
    <t>攬客的人</t>
  </si>
  <si>
    <t>揽客的人</t>
  </si>
  <si>
    <t>客引き</t>
  </si>
  <si>
    <t>Bazaar Shopper</t>
  </si>
  <si>
    <t>Client du bazar</t>
  </si>
  <si>
    <t>Cliente del bazar</t>
  </si>
  <si>
    <t>路邊攤的客人</t>
  </si>
  <si>
    <t>路边摊的客人</t>
  </si>
  <si>
    <t>露店の客</t>
  </si>
  <si>
    <t>Cliente du bazar</t>
  </si>
  <si>
    <t>Clienta del bazar</t>
  </si>
  <si>
    <t>Beastmaster</t>
  </si>
  <si>
    <t>Dompteur</t>
  </si>
  <si>
    <t>Amo de las bestias</t>
  </si>
  <si>
    <t>驅使野獸的商人</t>
  </si>
  <si>
    <t>驱使野兽的商人</t>
  </si>
  <si>
    <t>獣使いの商人</t>
  </si>
  <si>
    <t>Bernhard the Beasthunter</t>
  </si>
  <si>
    <t>Bernhard le Prédateur</t>
  </si>
  <si>
    <t>Bernhard, el Cazador de Bestias</t>
  </si>
  <si>
    <t>猛獸獵人巴納德</t>
  </si>
  <si>
    <t>猛兽猎人巴纳德</t>
  </si>
  <si>
    <t>猛獣狩りのバーナード</t>
  </si>
  <si>
    <t>Best-selling Author</t>
  </si>
  <si>
    <t>Auteur à succès</t>
  </si>
  <si>
    <t>Autor exitoso</t>
  </si>
  <si>
    <t>當紅作家</t>
  </si>
  <si>
    <t>当红作家</t>
  </si>
  <si>
    <t>売れっ子作家</t>
  </si>
  <si>
    <t>Beverage Vendor</t>
  </si>
  <si>
    <t>Marchand de boissons</t>
  </si>
  <si>
    <t>Vendedor de licores</t>
  </si>
  <si>
    <t>酒商</t>
  </si>
  <si>
    <t>酒商人</t>
  </si>
  <si>
    <t>Bindery Employee</t>
  </si>
  <si>
    <t>Employé de l'atelier de reliure</t>
  </si>
  <si>
    <t>Empleado de la encuadernadora</t>
  </si>
  <si>
    <t>製書工房的員工</t>
  </si>
  <si>
    <t>制书工房的员工</t>
  </si>
  <si>
    <t>製本工房の従業員</t>
  </si>
  <si>
    <t>Bishop Bartolo</t>
  </si>
  <si>
    <t>Évêque Bartolo</t>
  </si>
  <si>
    <t>Obispo Bartolo</t>
  </si>
  <si>
    <t>巴羅特羅神父</t>
  </si>
  <si>
    <t>巴罗特罗神父</t>
  </si>
  <si>
    <t>バルトロ司教</t>
  </si>
  <si>
    <t>Bishop Donovan</t>
  </si>
  <si>
    <t>Évêque Donovan</t>
  </si>
  <si>
    <t>Obispo Donovan</t>
  </si>
  <si>
    <t>唐納文神父</t>
  </si>
  <si>
    <t>唐纳文神父</t>
  </si>
  <si>
    <t>ドノヴァン司教</t>
  </si>
  <si>
    <t>Blue Dancer</t>
  </si>
  <si>
    <t>Danseuse bleue</t>
  </si>
  <si>
    <t>Bailarina azul</t>
  </si>
  <si>
    <t>藍色舞孃</t>
  </si>
  <si>
    <t>蓝色舞娘</t>
  </si>
  <si>
    <t>青の踊子</t>
  </si>
  <si>
    <t>Bombastic Boy</t>
  </si>
  <si>
    <t>Garçon grandiloquent</t>
  </si>
  <si>
    <t>Chico grandilocuente</t>
  </si>
  <si>
    <t>吹牛的青年</t>
  </si>
  <si>
    <t>おおげさな青年</t>
  </si>
  <si>
    <t>Book-loving Girl</t>
  </si>
  <si>
    <t>Jeune fille bibliophile</t>
  </si>
  <si>
    <t>Amante de los libros</t>
  </si>
  <si>
    <t>愛書的少女</t>
  </si>
  <si>
    <t>爱书的少女</t>
  </si>
  <si>
    <t>本好きな少女</t>
  </si>
  <si>
    <t>Bookbinder</t>
  </si>
  <si>
    <t>Ballerina blu</t>
  </si>
  <si>
    <t>Relieur</t>
  </si>
  <si>
    <t>Encuadernador</t>
  </si>
  <si>
    <t>製書工匠</t>
  </si>
  <si>
    <t>制书工匠</t>
  </si>
  <si>
    <t>製本職人</t>
  </si>
  <si>
    <t>Bookworm Girl</t>
  </si>
  <si>
    <t>Amante della lettura</t>
  </si>
  <si>
    <t>Lectrice avide</t>
  </si>
  <si>
    <t>Ávida lectora</t>
  </si>
  <si>
    <t>愛書的女孩</t>
  </si>
  <si>
    <t>爱书的女孩</t>
  </si>
  <si>
    <t>本好きの娘</t>
  </si>
  <si>
    <t>Boy</t>
  </si>
  <si>
    <t>Ragazzo</t>
  </si>
  <si>
    <t>Jeune garçon</t>
  </si>
  <si>
    <t>Chico</t>
  </si>
  <si>
    <t>少年</t>
  </si>
  <si>
    <t>Boy's Mother</t>
  </si>
  <si>
    <t>Mère du garçon</t>
  </si>
  <si>
    <t>Madre del chico</t>
  </si>
  <si>
    <t>少年的母親</t>
  </si>
  <si>
    <t>少年的母亲</t>
  </si>
  <si>
    <t>少年の母親</t>
  </si>
  <si>
    <t>Forajido</t>
  </si>
  <si>
    <t>Bryan</t>
  </si>
  <si>
    <t>Aston</t>
  </si>
  <si>
    <t>布萊恩</t>
  </si>
  <si>
    <t>布莱恩</t>
  </si>
  <si>
    <t>ブライアン</t>
  </si>
  <si>
    <t>Bully</t>
  </si>
  <si>
    <t>Brute</t>
  </si>
  <si>
    <t>Abusón</t>
  </si>
  <si>
    <t>孩子王</t>
  </si>
  <si>
    <t>ガキ大将</t>
  </si>
  <si>
    <t>Byron the Noble /
Byron the Commoner</t>
  </si>
  <si>
    <t>Baylon</t>
  </si>
  <si>
    <t>貴族拜倫 /
平民拜倫</t>
  </si>
  <si>
    <t>贵族拜伦 /
平民拜伦</t>
  </si>
  <si>
    <t>Calm Woman</t>
  </si>
  <si>
    <t>Femme calme</t>
  </si>
  <si>
    <t>Mujer calmada</t>
  </si>
  <si>
    <t>穩重的女子</t>
  </si>
  <si>
    <t>温和的女子</t>
  </si>
  <si>
    <t>穏やかな女性</t>
  </si>
  <si>
    <t>Capable Culinarian</t>
  </si>
  <si>
    <t>Cuisinier compétent</t>
  </si>
  <si>
    <t>Chef competente</t>
  </si>
  <si>
    <t>廚藝高的廚師</t>
  </si>
  <si>
    <t>厨艺高超的厨师</t>
  </si>
  <si>
    <t>腕のいい料理人</t>
  </si>
  <si>
    <t>Captain Leon</t>
  </si>
  <si>
    <t>Capitaine Léon</t>
  </si>
  <si>
    <t>Capitán Leon</t>
  </si>
  <si>
    <t>商船船長雷歐</t>
  </si>
  <si>
    <t>商船船长雷欧</t>
  </si>
  <si>
    <t>商船船長レオン</t>
  </si>
  <si>
    <t>Captain of the Watch</t>
  </si>
  <si>
    <t>Capitano della guardia</t>
  </si>
  <si>
    <t>Capitaine de la garde</t>
  </si>
  <si>
    <t>Capitán de la Guardia</t>
  </si>
  <si>
    <t>警備團團長</t>
  </si>
  <si>
    <t>警备团团长</t>
  </si>
  <si>
    <t>自警団長</t>
  </si>
  <si>
    <t>Captain Raaf</t>
  </si>
  <si>
    <t>Capitano Raaf</t>
  </si>
  <si>
    <t>Capitaine Raaf</t>
  </si>
  <si>
    <t>Capitán Raaf</t>
  </si>
  <si>
    <t>拉爾夫副長</t>
  </si>
  <si>
    <t>拉尔夫副长</t>
  </si>
  <si>
    <t>ラルフ副長</t>
  </si>
  <si>
    <t>Caravan Member</t>
  </si>
  <si>
    <t>Membro della carovana</t>
  </si>
  <si>
    <t>Membre de la caravane</t>
  </si>
  <si>
    <t>Miembro de la caravana</t>
  </si>
  <si>
    <t>卡拉邦的男子</t>
  </si>
  <si>
    <t>キャラバンの男性</t>
  </si>
  <si>
    <t>Carefree Man</t>
  </si>
  <si>
    <t>Homme insouciant</t>
  </si>
  <si>
    <t>Hombre despreocupado</t>
  </si>
  <si>
    <t>開朗的男子</t>
  </si>
  <si>
    <t>开朗的男子</t>
  </si>
  <si>
    <t>ほがらかな男性</t>
  </si>
  <si>
    <t>Carefree Shepherd</t>
  </si>
  <si>
    <t>Berger insouciant</t>
  </si>
  <si>
    <t>Pastor despreocupado</t>
  </si>
  <si>
    <t>悠閒的牧羊人</t>
  </si>
  <si>
    <t>悠闲的牧羊人</t>
  </si>
  <si>
    <t>のんきな羊飼い</t>
  </si>
  <si>
    <t>Cecily</t>
  </si>
  <si>
    <t>Cécily</t>
  </si>
  <si>
    <t>主辦人賽西莉</t>
  </si>
  <si>
    <t>主办人赛西莉</t>
  </si>
  <si>
    <t>興行主セシリー</t>
  </si>
  <si>
    <t>Cheerful Storyteller</t>
  </si>
  <si>
    <t>Conteur enjoué</t>
  </si>
  <si>
    <t>Cuentacuentos jovial</t>
  </si>
  <si>
    <t>心胸寬闊的說書人</t>
  </si>
  <si>
    <t>心胸宽阔的说书人</t>
  </si>
  <si>
    <t>おおらかな語り部</t>
  </si>
  <si>
    <t>Chieftain</t>
  </si>
  <si>
    <t>Chef</t>
  </si>
  <si>
    <t>Cacique</t>
  </si>
  <si>
    <t>部族長</t>
  </si>
  <si>
    <t>部族长</t>
  </si>
  <si>
    <t>Cliftlands Know-it-all</t>
  </si>
  <si>
    <t>Informateur du Belvédère</t>
  </si>
  <si>
    <t>Sabiondo de Acantilado</t>
  </si>
  <si>
    <t>克里夫蘭多的知識分子</t>
  </si>
  <si>
    <t>克里夫兰多的知识分子</t>
  </si>
  <si>
    <t>クリフランドの知識人</t>
  </si>
  <si>
    <t>Coachman</t>
  </si>
  <si>
    <t>Cocher</t>
  </si>
  <si>
    <t>Cochero</t>
  </si>
  <si>
    <t>車夫</t>
  </si>
  <si>
    <t>车夫</t>
  </si>
  <si>
    <t>Conrad the Impaler</t>
  </si>
  <si>
    <t>Conrad l'Empaleur</t>
  </si>
  <si>
    <t>Conrad el Empalador</t>
  </si>
  <si>
    <t>魔槍的孔德拉特</t>
  </si>
  <si>
    <t>魔枪的孔德拉特</t>
  </si>
  <si>
    <t>魔槍のコンドラート</t>
  </si>
  <si>
    <t>Contemptuous Warrior</t>
  </si>
  <si>
    <t>Guerrier orgueilleux</t>
  </si>
  <si>
    <t>Guerrero orgulloso</t>
  </si>
  <si>
    <t>桀驁不馴的強者</t>
  </si>
  <si>
    <t>桀骜不驯的强者</t>
  </si>
  <si>
    <t>Cordelia</t>
  </si>
  <si>
    <t>Cordélia</t>
  </si>
  <si>
    <t>寇蒂莉亞</t>
  </si>
  <si>
    <t>寇蒂莉亚</t>
  </si>
  <si>
    <t>コーデリア</t>
  </si>
  <si>
    <t>Courageous Cowherd</t>
  </si>
  <si>
    <t>Vacher courageux</t>
  </si>
  <si>
    <t>Vaquero valiente</t>
  </si>
  <si>
    <t>健壯的養牛人</t>
  </si>
  <si>
    <t>健壮的养牛人</t>
  </si>
  <si>
    <t>たくましい牛飼い</t>
  </si>
  <si>
    <t>Creepy Antiquarian</t>
  </si>
  <si>
    <t>Antiquaire louche</t>
  </si>
  <si>
    <t>Anticuario siniestro</t>
  </si>
  <si>
    <t>詭異的舊貨商</t>
  </si>
  <si>
    <t>诡异的旧货商</t>
  </si>
  <si>
    <t>不気味な古物商</t>
  </si>
  <si>
    <t>Crest-bearing Drunk</t>
  </si>
  <si>
    <t>Ivrogne porteur d'emblème</t>
  </si>
  <si>
    <t>Borracho con emblema</t>
  </si>
  <si>
    <t>持有勳章的醉漢</t>
  </si>
  <si>
    <t>持有勋章的醉汉</t>
  </si>
  <si>
    <t>Crest-bearing Ruffian</t>
  </si>
  <si>
    <t>Truand porteur d'emblème</t>
  </si>
  <si>
    <t>Rufián con emblema</t>
  </si>
  <si>
    <t>持有勳章的兇暴男子</t>
  </si>
  <si>
    <t>持有勋章的凶暴男子</t>
  </si>
  <si>
    <t>Crest-bearing Swindler</t>
  </si>
  <si>
    <t>Escroc porteur d'emblème</t>
  </si>
  <si>
    <t>Estafador con emblema</t>
  </si>
  <si>
    <t>持有勳章的可疑商人</t>
  </si>
  <si>
    <t>持有勋章的可疑商人</t>
  </si>
  <si>
    <t>メダルを持つ怪しい商人</t>
  </si>
  <si>
    <t>Curious Cleric</t>
  </si>
  <si>
    <t>Prêtre curieux</t>
  </si>
  <si>
    <t>Clérigo curioso</t>
  </si>
  <si>
    <t>神秘的神官</t>
  </si>
  <si>
    <t>Dan</t>
  </si>
  <si>
    <t>丹</t>
  </si>
  <si>
    <t>ダン</t>
  </si>
  <si>
    <t>Ballerina</t>
  </si>
  <si>
    <t>Danseuse</t>
  </si>
  <si>
    <t>Bailarina</t>
  </si>
  <si>
    <t>Daniel</t>
  </si>
  <si>
    <t>丹尼爾</t>
  </si>
  <si>
    <t>丹尼尔</t>
  </si>
  <si>
    <t>ダニエル</t>
  </si>
  <si>
    <t>Demure Grandma</t>
  </si>
  <si>
    <t>Grand-mère sage</t>
  </si>
  <si>
    <t>Abuela modesta</t>
  </si>
  <si>
    <t>溫婉的老婆婆</t>
  </si>
  <si>
    <t>温婉的老婆婆</t>
  </si>
  <si>
    <t>柔和な老婆</t>
  </si>
  <si>
    <t>Derryl</t>
  </si>
  <si>
    <t>達里爾</t>
  </si>
  <si>
    <t>达里尔</t>
  </si>
  <si>
    <t>ダリル</t>
  </si>
  <si>
    <t>Diligent Student</t>
  </si>
  <si>
    <t>Studente diligente</t>
  </si>
  <si>
    <t>Étudiant assidu</t>
  </si>
  <si>
    <t>Estudiante diligente</t>
  </si>
  <si>
    <t>醉心於研究的學者</t>
  </si>
  <si>
    <t>醉心于研究的学者</t>
  </si>
  <si>
    <t>研究熱心な学者</t>
  </si>
  <si>
    <t>Dominic</t>
  </si>
  <si>
    <t>翻譯者多明尼克</t>
  </si>
  <si>
    <t>翻译者多明尼克</t>
  </si>
  <si>
    <t>翻訳者ドミニク</t>
  </si>
  <si>
    <t>Doting Aunt</t>
  </si>
  <si>
    <t>Tante aimante</t>
  </si>
  <si>
    <t>Tía consentidora</t>
  </si>
  <si>
    <t>少年的阿姨</t>
  </si>
  <si>
    <t>少年の叔母</t>
  </si>
  <si>
    <t>Drevon</t>
  </si>
  <si>
    <t>貴族德雷文</t>
  </si>
  <si>
    <t>贵族德雷文</t>
  </si>
  <si>
    <t>貴族ドレビン</t>
  </si>
  <si>
    <t>Drunken Bouncer /
Imposing Bouncer</t>
  </si>
  <si>
    <t>Garde ivre /
Garde imposant</t>
  </si>
  <si>
    <t>Portero borracho / 
Portero imponente</t>
  </si>
  <si>
    <t>爛醉的保鑣 /
強壯的保鑣</t>
  </si>
  <si>
    <t>烂醉的保镳 /
强壮的保镳</t>
  </si>
  <si>
    <t>Drunken Soldier</t>
  </si>
  <si>
    <t>Soldat ivre</t>
  </si>
  <si>
    <t>Soldado borracho</t>
  </si>
  <si>
    <t>醉醺醺的士兵</t>
  </si>
  <si>
    <t>酔いどれ兵士</t>
  </si>
  <si>
    <t>Egg-seeking Girl's /
Kaia</t>
  </si>
  <si>
    <t>Cercatrice d'uova / Kaia</t>
  </si>
  <si>
    <t>Jeune fille cherchant des oeufs /
Kaia</t>
  </si>
  <si>
    <t>Chica buscadora de huevos / 
Kaia</t>
  </si>
  <si>
    <t>尋蛋的少女 /
艾蜜莉</t>
  </si>
  <si>
    <t>寻蛋的少女 /
艾蜜莉</t>
  </si>
  <si>
    <t>Elderly Shopowner</t>
  </si>
  <si>
    <t>Boutiquier âgé</t>
  </si>
  <si>
    <t>Tendero anciano</t>
  </si>
  <si>
    <t>商店的老人</t>
  </si>
  <si>
    <t>商店の老人</t>
  </si>
  <si>
    <t>Elderly Woman</t>
  </si>
  <si>
    <t>Femme âgée</t>
  </si>
  <si>
    <t>Anciana</t>
  </si>
  <si>
    <t>老婆婆</t>
  </si>
  <si>
    <t>老婆</t>
  </si>
  <si>
    <t>Eliza</t>
  </si>
  <si>
    <t>Éliza</t>
  </si>
  <si>
    <t>聖火騎士愛麗莎</t>
  </si>
  <si>
    <t>圣火骑士爱丽莎</t>
  </si>
  <si>
    <t>聖火騎士エリザ</t>
  </si>
  <si>
    <t>Ellen</t>
  </si>
  <si>
    <t>艾琳</t>
  </si>
  <si>
    <t>エリン</t>
  </si>
  <si>
    <t>Ellie</t>
  </si>
  <si>
    <t>愛莉</t>
  </si>
  <si>
    <t>爱莉</t>
  </si>
  <si>
    <t>エリー</t>
  </si>
  <si>
    <t>Emil</t>
  </si>
  <si>
    <t>Émile</t>
  </si>
  <si>
    <t>愛彌兒</t>
  </si>
  <si>
    <t>爱弥儿</t>
  </si>
  <si>
    <t>エミール</t>
  </si>
  <si>
    <t>Employee</t>
  </si>
  <si>
    <t>Employé</t>
  </si>
  <si>
    <t>Empleado</t>
  </si>
  <si>
    <t>工作人員</t>
  </si>
  <si>
    <t>工作人员</t>
  </si>
  <si>
    <t>Energetic Boy</t>
  </si>
  <si>
    <t>Garçon énergique</t>
  </si>
  <si>
    <t>Chico enérgico</t>
  </si>
  <si>
    <t>活潑的男孩</t>
  </si>
  <si>
    <t>活泼的男孩</t>
  </si>
  <si>
    <t>活発な男の子</t>
  </si>
  <si>
    <t>Enlightened Aristocrat</t>
  </si>
  <si>
    <t>Aristocrate sensé</t>
  </si>
  <si>
    <t>Aristócrata ilustrado</t>
  </si>
  <si>
    <t>聰穎的貴族</t>
  </si>
  <si>
    <t>聪颖的贵族</t>
  </si>
  <si>
    <t>聡明な貴族</t>
  </si>
  <si>
    <t>Enthusiastic Youth /
Proud Squire</t>
  </si>
  <si>
    <t>Jeune homme enthousiaste /
Écuyer fier</t>
  </si>
  <si>
    <t>Joven entusiasta / 
Orgulloso escudero</t>
  </si>
  <si>
    <t>想當隨從的青年 /
青年隨從</t>
  </si>
  <si>
    <t>想当随从的青年 /
青年随从</t>
  </si>
  <si>
    <t>Eren</t>
  </si>
  <si>
    <t>商人艾連</t>
  </si>
  <si>
    <t>商人艾连</t>
  </si>
  <si>
    <t>商人エレン</t>
  </si>
  <si>
    <t>烈劍騎士艾爾哈特</t>
  </si>
  <si>
    <t>烈剑骑士艾尔哈特</t>
  </si>
  <si>
    <t>列剣の騎士エアハルト</t>
  </si>
  <si>
    <t>Erstwhile Bodyguard</t>
  </si>
  <si>
    <t>Ancien garde du corps</t>
  </si>
  <si>
    <t>Guardaespaldas antiguo</t>
  </si>
  <si>
    <t>前貴族保鑣</t>
  </si>
  <si>
    <t>前贵族保镳</t>
  </si>
  <si>
    <t>元・貴族の用心棒</t>
  </si>
  <si>
    <t>Erstwhile Retainer</t>
  </si>
  <si>
    <t>Ancien valet</t>
  </si>
  <si>
    <t>Criado antiguo</t>
  </si>
  <si>
    <t>前貴族家僕</t>
  </si>
  <si>
    <t>前贵族家仆</t>
  </si>
  <si>
    <t>元・貴族の召使い</t>
  </si>
  <si>
    <t>Erstwhile Sellsword</t>
  </si>
  <si>
    <t>Ancien mercenaire</t>
  </si>
  <si>
    <t>Mercenario antiguo</t>
  </si>
  <si>
    <t>潦倒的傭兵</t>
  </si>
  <si>
    <t>潦倒的佣兵</t>
  </si>
  <si>
    <t>堕ちた傭兵</t>
  </si>
  <si>
    <t>Erudite Graybeard</t>
  </si>
  <si>
    <t>Vieil homme cultivé</t>
  </si>
  <si>
    <t>Anciano erudito</t>
  </si>
  <si>
    <t>達觀的老人</t>
  </si>
  <si>
    <t>达观的老人</t>
  </si>
  <si>
    <t>達観した老人</t>
  </si>
  <si>
    <t>知識淵博的老人</t>
  </si>
  <si>
    <t>知识渊博的老人</t>
  </si>
  <si>
    <t>物知りな老人</t>
  </si>
  <si>
    <t>Estadas</t>
  </si>
  <si>
    <t>艾斯塔達斯</t>
  </si>
  <si>
    <t>艾斯塔达斯</t>
  </si>
  <si>
    <t>エスタダス</t>
  </si>
  <si>
    <t>Exotic Grandma</t>
  </si>
  <si>
    <t>Grand-mère bourlingueuse</t>
  </si>
  <si>
    <t>Abuela exótica</t>
  </si>
  <si>
    <t>異國的老婆婆</t>
  </si>
  <si>
    <t>异国的老婆婆</t>
  </si>
  <si>
    <t>異国の老婆</t>
  </si>
  <si>
    <t>Faltering Youth /
Fledgling Bandit</t>
  </si>
  <si>
    <t>Jeune homme hésitant /
Bandit novice</t>
  </si>
  <si>
    <t>Joven titubeante / 
Bandido aprendiz</t>
  </si>
  <si>
    <t>沒存在感的青年 /
新手盜賊</t>
  </si>
  <si>
    <t>没存在感的青年 /
新手盗贼</t>
  </si>
  <si>
    <t>Fashionable Traveler</t>
  </si>
  <si>
    <t>Voyageur élégant</t>
  </si>
  <si>
    <t>Viajante a la moda</t>
  </si>
  <si>
    <t>會自製用品的旅人</t>
  </si>
  <si>
    <t>会自制用品的旅人</t>
  </si>
  <si>
    <t>自作する旅人</t>
  </si>
  <si>
    <t>Fearful Mother</t>
  </si>
  <si>
    <t>Mère craignant les bêtes</t>
  </si>
  <si>
    <t>Madre asustada</t>
  </si>
  <si>
    <t>討厭野獸的母親</t>
  </si>
  <si>
    <t>讨厌野兽的母亲</t>
  </si>
  <si>
    <t>Fisherman's Sweetheart</t>
  </si>
  <si>
    <t>Compagne du pêcheur</t>
  </si>
  <si>
    <t>Amor del pescador</t>
  </si>
  <si>
    <t>漁夫的情人</t>
  </si>
  <si>
    <t>渔夫的情人</t>
  </si>
  <si>
    <t>漁師の恋人</t>
  </si>
  <si>
    <t>Fishmonger</t>
  </si>
  <si>
    <t>Poissonnier</t>
  </si>
  <si>
    <t>Pescadero</t>
  </si>
  <si>
    <t>魚販</t>
  </si>
  <si>
    <t>鱼贩</t>
  </si>
  <si>
    <t>獣嫌いの母親</t>
  </si>
  <si>
    <t>Fledgling Fisherman</t>
  </si>
  <si>
    <t>Pêcheur inexpérimenté</t>
  </si>
  <si>
    <t>Pescador aprendiz</t>
  </si>
  <si>
    <t>沒經驗的漁夫</t>
  </si>
  <si>
    <t>菜鸟渔夫</t>
  </si>
  <si>
    <t>駆け出しの漁師</t>
  </si>
  <si>
    <t>Fledgling Hunter</t>
  </si>
  <si>
    <t>Chasseur novice</t>
  </si>
  <si>
    <t>Cazador aprendiz</t>
  </si>
  <si>
    <t>年輕獵人</t>
  </si>
  <si>
    <t>年轻猎人</t>
  </si>
  <si>
    <t>若き狩人</t>
  </si>
  <si>
    <t>Flora</t>
  </si>
  <si>
    <t>芙蘿拉</t>
  </si>
  <si>
    <t>芙萝拉</t>
  </si>
  <si>
    <t>フローラ</t>
  </si>
  <si>
    <t>Flower Girl</t>
  </si>
  <si>
    <t>Jeune fille aimant les fleurs</t>
  </si>
  <si>
    <t>Florista</t>
  </si>
  <si>
    <t>賣花的女子</t>
  </si>
  <si>
    <t>卖花的女子</t>
  </si>
  <si>
    <t>花売りの女性</t>
  </si>
  <si>
    <t>Flynn</t>
  </si>
  <si>
    <t>芙琳</t>
  </si>
  <si>
    <t>フリン</t>
  </si>
  <si>
    <t>Former Knight Ardante</t>
  </si>
  <si>
    <t>Ancien chevalier de la Chapelle ardente</t>
  </si>
  <si>
    <t>Antiguo Caballero Ardante</t>
  </si>
  <si>
    <t>前聖火騎士</t>
  </si>
  <si>
    <t>前圣火骑士</t>
  </si>
  <si>
    <t>元・聖火騎士</t>
  </si>
  <si>
    <t>Former Sailor /
Sailor</t>
  </si>
  <si>
    <t>Marinaio anziano / 
 Marinaio</t>
  </si>
  <si>
    <t>Ancien marin /
Marin</t>
  </si>
  <si>
    <t>Antiguo marinero / 
Marinero</t>
  </si>
  <si>
    <t>前船員 /
船員</t>
  </si>
  <si>
    <t>前船员 /
船员</t>
  </si>
  <si>
    <t>Friendly Farmer</t>
  </si>
  <si>
    <t>Fermière amicale</t>
  </si>
  <si>
    <t>Granjera amigable</t>
  </si>
  <si>
    <t>農家的女孩</t>
  </si>
  <si>
    <t>农家的女孩</t>
  </si>
  <si>
    <t>農家の娘</t>
  </si>
  <si>
    <t>Frostlands Farmer</t>
  </si>
  <si>
    <t>Fermier des Terres-de-givre</t>
  </si>
  <si>
    <t>Granjero de Tierras Nevadas</t>
  </si>
  <si>
    <t>雪國的農家</t>
  </si>
  <si>
    <t>雪国的农家</t>
  </si>
  <si>
    <t>雪国の農家</t>
  </si>
  <si>
    <t>Frostlands Know-it-all</t>
  </si>
  <si>
    <t>Informateur des Terres-de-givre</t>
  </si>
  <si>
    <t>Sabiondo de Tierras Nevadas</t>
  </si>
  <si>
    <t>弗洛斯特蘭多的知識分子</t>
  </si>
  <si>
    <t>弗洛斯特兰多的知识分子</t>
  </si>
  <si>
    <t>フロストランドの知識人</t>
  </si>
  <si>
    <t>Gambler /
Successful Gambler</t>
  </si>
  <si>
    <t>Parieur /
Parieur chanceux</t>
  </si>
  <si>
    <t>Apostador / 
Apostador ganador</t>
  </si>
  <si>
    <t>賭徒 /
賭贏的賭徒</t>
  </si>
  <si>
    <t>赌徒 /
赌赢的赌徒</t>
  </si>
  <si>
    <t>卡斯頓老大</t>
  </si>
  <si>
    <t>卡斯顿老大</t>
  </si>
  <si>
    <t>ガストン親分</t>
  </si>
  <si>
    <t>Gatekeeper</t>
  </si>
  <si>
    <t>Portier</t>
  </si>
  <si>
    <t>Guardián de la puerta</t>
  </si>
  <si>
    <t>看門人</t>
  </si>
  <si>
    <t>看门人</t>
  </si>
  <si>
    <t>門番</t>
  </si>
  <si>
    <t>Gendy</t>
  </si>
  <si>
    <t>善治</t>
  </si>
  <si>
    <t>ゼンジ</t>
  </si>
  <si>
    <t>General Lenaar</t>
  </si>
  <si>
    <t>Generale Lenaar</t>
  </si>
  <si>
    <t>Général Lenaar</t>
  </si>
  <si>
    <t>雷納德將軍</t>
  </si>
  <si>
    <t>雷纳德将军</t>
  </si>
  <si>
    <t>レナード将軍</t>
  </si>
  <si>
    <t>Genteel Madam</t>
  </si>
  <si>
    <t>Dame raffinée</t>
  </si>
  <si>
    <t>Señora refinada</t>
  </si>
  <si>
    <t>好脾氣的妻子</t>
  </si>
  <si>
    <t>好脾气的妻子</t>
  </si>
  <si>
    <t>気立てのよい妻</t>
  </si>
  <si>
    <t>Gentle Graybeard</t>
  </si>
  <si>
    <t>Vieil homme aimable</t>
  </si>
  <si>
    <t>Anciano amable</t>
  </si>
  <si>
    <t>溫厚的老人</t>
  </si>
  <si>
    <t>温厚的老人</t>
  </si>
  <si>
    <t>温厚な老人</t>
  </si>
  <si>
    <t>Gertas</t>
  </si>
  <si>
    <t>格爾達斯</t>
  </si>
  <si>
    <t>格尔达斯</t>
  </si>
  <si>
    <t>ゲルタス</t>
  </si>
  <si>
    <t>Gill the Butler</t>
  </si>
  <si>
    <t>Gill il maggiordomo</t>
  </si>
  <si>
    <t>Gill le majordome</t>
  </si>
  <si>
    <t>Gill, el mayordomo</t>
  </si>
  <si>
    <t>管家吉爾</t>
  </si>
  <si>
    <t>管家吉尔</t>
  </si>
  <si>
    <t>執事ジル</t>
  </si>
  <si>
    <t>Girl</t>
  </si>
  <si>
    <t>Bambina</t>
  </si>
  <si>
    <t>Jeune fille</t>
  </si>
  <si>
    <t>Chica</t>
  </si>
  <si>
    <t>少女</t>
  </si>
  <si>
    <t>女孩</t>
  </si>
  <si>
    <t>女の子</t>
  </si>
  <si>
    <t>Good Dog</t>
  </si>
  <si>
    <t>Gentil chien</t>
  </si>
  <si>
    <t>Buen chico</t>
  </si>
  <si>
    <t>狗</t>
  </si>
  <si>
    <t>犬</t>
  </si>
  <si>
    <t>Gossipy Townsperson</t>
  </si>
  <si>
    <t>Commère</t>
  </si>
  <si>
    <t>Aldeano chismoso</t>
  </si>
  <si>
    <t>愛說閒話的居民</t>
  </si>
  <si>
    <t>爱说闲话的居民</t>
  </si>
  <si>
    <t>噂好きの住人</t>
  </si>
  <si>
    <t>Granddaughter</t>
  </si>
  <si>
    <t>Nipote</t>
  </si>
  <si>
    <t>Petite-fille</t>
  </si>
  <si>
    <t>Nieta</t>
  </si>
  <si>
    <t>孫女</t>
  </si>
  <si>
    <t>孙女</t>
  </si>
  <si>
    <t>孫娘</t>
  </si>
  <si>
    <t>Grave Robber</t>
  </si>
  <si>
    <t>Pilleur de tombes</t>
  </si>
  <si>
    <t>盜挖者</t>
  </si>
  <si>
    <t>盗挖者</t>
  </si>
  <si>
    <t>Grieg the Unbreakable</t>
  </si>
  <si>
    <t>Grieg l'Indestructible</t>
  </si>
  <si>
    <t>Grieg el Inquebrantable</t>
  </si>
  <si>
    <t>不碎者葛利格</t>
  </si>
  <si>
    <t>砕かれぬ者グリーグ</t>
  </si>
  <si>
    <t>Guard</t>
  </si>
  <si>
    <t>Guardia</t>
  </si>
  <si>
    <t>Garde</t>
  </si>
  <si>
    <t>衛兵</t>
  </si>
  <si>
    <t>卫兵</t>
  </si>
  <si>
    <t>警衛</t>
  </si>
  <si>
    <t>警卫</t>
  </si>
  <si>
    <t>衛視</t>
  </si>
  <si>
    <t>Guard Captain</t>
  </si>
  <si>
    <t>Capitán de la guardia</t>
  </si>
  <si>
    <t>衛兵隊長</t>
  </si>
  <si>
    <t>卫兵队长</t>
  </si>
  <si>
    <t>Cane da guardia</t>
  </si>
  <si>
    <t>Perra guardiana</t>
  </si>
  <si>
    <t>番犬</t>
  </si>
  <si>
    <t>Guardsman</t>
  </si>
  <si>
    <t>Defensor</t>
  </si>
  <si>
    <t>守衛</t>
  </si>
  <si>
    <t>守卫</t>
  </si>
  <si>
    <t>Gustav, the Black Knight</t>
  </si>
  <si>
    <t>Gustav, il cavaliere nero</t>
  </si>
  <si>
    <t>Gustav le Chevalier noir</t>
  </si>
  <si>
    <t>Gustav, el Caballero Negro</t>
  </si>
  <si>
    <t>黑騎士古斯塔夫</t>
  </si>
  <si>
    <t>黑骑士古斯塔夫</t>
  </si>
  <si>
    <t>黒騎士グスタフ</t>
  </si>
  <si>
    <t>Haggard Merchant /
Hearty Merchant</t>
  </si>
  <si>
    <t>Marchand épuisé /
Marchand Jovial</t>
  </si>
  <si>
    <t>Mercader demacrado /
Mercader cordial</t>
  </si>
  <si>
    <t>消瘦的商人 /
健壯的商人</t>
  </si>
  <si>
    <t>消瘦的商人 /
健壮的商人</t>
  </si>
  <si>
    <t>Handsome Minstrel</t>
  </si>
  <si>
    <t>Ménestrel séduisant</t>
  </si>
  <si>
    <t>Juglar guapo</t>
  </si>
  <si>
    <t>美麗的吟遊詩人</t>
  </si>
  <si>
    <t>美丽的吟游诗人</t>
  </si>
  <si>
    <t>美しい吟遊詩人</t>
  </si>
  <si>
    <t>Harald</t>
  </si>
  <si>
    <t>反對勢力首腦哈洛德</t>
  </si>
  <si>
    <t>反对势力首脑哈洛德</t>
  </si>
  <si>
    <t>反勢力頭首ハロルド</t>
  </si>
  <si>
    <t>Harris</t>
  </si>
  <si>
    <t>哈里斯</t>
  </si>
  <si>
    <t>ハリス</t>
  </si>
  <si>
    <t>Headmaster Yvon</t>
  </si>
  <si>
    <t>Direttore Yvon</t>
  </si>
  <si>
    <t>Directeur Yvon</t>
  </si>
  <si>
    <t>Director Yvon</t>
  </si>
  <si>
    <t>伊馮校長</t>
  </si>
  <si>
    <t>伊冯校长</t>
  </si>
  <si>
    <t>ヒースコート</t>
  </si>
  <si>
    <t>Helena</t>
  </si>
  <si>
    <t>海蓮娜</t>
  </si>
  <si>
    <t>海莲娜</t>
  </si>
  <si>
    <t>ヘレナ</t>
  </si>
  <si>
    <t>Highbrow Historian</t>
  </si>
  <si>
    <t>Historien intellectuel</t>
  </si>
  <si>
    <t>Historiador intelectual</t>
  </si>
  <si>
    <t>貴族史研究家</t>
  </si>
  <si>
    <t>贵族史研究家</t>
  </si>
  <si>
    <t>Hired Barkeep</t>
  </si>
  <si>
    <t>Tavernier</t>
  </si>
  <si>
    <t>Camarero contratado</t>
  </si>
  <si>
    <t>酒館的受雇店長</t>
  </si>
  <si>
    <t>酒馆的受雇店长</t>
  </si>
  <si>
    <t>酒場の雇われ主人</t>
  </si>
  <si>
    <t>Honest Youth</t>
  </si>
  <si>
    <t>Jeune honnête</t>
  </si>
  <si>
    <t>Joven honrado</t>
  </si>
  <si>
    <t>直率的少年</t>
  </si>
  <si>
    <t>真っ直ぐな少年</t>
  </si>
  <si>
    <t>Cacciatrice</t>
  </si>
  <si>
    <t>Chasseuse</t>
  </si>
  <si>
    <t>Cazadora</t>
  </si>
  <si>
    <t>Impoverished Man</t>
  </si>
  <si>
    <t>Homme sans le sou</t>
  </si>
  <si>
    <t>Hombre empobrecido</t>
  </si>
  <si>
    <t>欠錢的男子</t>
  </si>
  <si>
    <t>没钱的男子</t>
  </si>
  <si>
    <t>Impresario</t>
  </si>
  <si>
    <t>Promotor</t>
  </si>
  <si>
    <t>團長</t>
  </si>
  <si>
    <t>团长</t>
  </si>
  <si>
    <t>座長</t>
  </si>
  <si>
    <t>流浪劇團團長</t>
  </si>
  <si>
    <t>流浪剧团团长</t>
  </si>
  <si>
    <t>Industrious Housewife</t>
  </si>
  <si>
    <t>Femme industrieuse</t>
  </si>
  <si>
    <t>Ama de casa hacendosa</t>
  </si>
  <si>
    <t>幹勁十足的主婦</t>
  </si>
  <si>
    <t>干劲十足的主妇</t>
  </si>
  <si>
    <t>はりきる主婦</t>
  </si>
  <si>
    <t>Industrious Husband</t>
  </si>
  <si>
    <t>Mari industrieux</t>
  </si>
  <si>
    <t>Esposo hacendoso</t>
  </si>
  <si>
    <t>不惜努力的丈夫</t>
  </si>
  <si>
    <t>努力家の夫</t>
  </si>
  <si>
    <t>Diarist /
Ing the Diarist</t>
  </si>
  <si>
    <t>Diariste /
Ing le diariste</t>
  </si>
  <si>
    <t>Cronista /
Ing, el cronista</t>
  </si>
  <si>
    <t>日記伯伯英格</t>
  </si>
  <si>
    <t>日记伯伯英格</t>
  </si>
  <si>
    <t>Ingenious Inventor</t>
  </si>
  <si>
    <t>Inventeur ingénieux</t>
  </si>
  <si>
    <t>Inventor ingenioso</t>
  </si>
  <si>
    <t>絞盡腦汁的發明家</t>
  </si>
  <si>
    <t>绞尽脑汁的发明家</t>
  </si>
  <si>
    <t>工夫する発明家</t>
  </si>
  <si>
    <t>Injured Scout</t>
  </si>
  <si>
    <t>Esploratore ferito</t>
  </si>
  <si>
    <t>Éclaireur blessé</t>
  </si>
  <si>
    <t>Explorador herido</t>
  </si>
  <si>
    <t>受傷的偵查兵</t>
  </si>
  <si>
    <t>受伤的侦查兵</t>
  </si>
  <si>
    <t>怪我した偵察兵</t>
  </si>
  <si>
    <t>Inquiring Youth</t>
  </si>
  <si>
    <t>Jeune homme curieux</t>
  </si>
  <si>
    <t>Joven inquisitivo</t>
  </si>
  <si>
    <t>喜歡歷史的青年</t>
  </si>
  <si>
    <t>喜欢历史的青年</t>
  </si>
  <si>
    <t>歴史好きな青年</t>
  </si>
  <si>
    <t>Inquisitive Lady</t>
  </si>
  <si>
    <t>Dame curieuse</t>
  </si>
  <si>
    <t>Dama inquisitiva</t>
  </si>
  <si>
    <t>普通主婦</t>
  </si>
  <si>
    <t>普通主妇</t>
  </si>
  <si>
    <t>ただの主婦</t>
  </si>
  <si>
    <t>Inquisitive Merchant</t>
  </si>
  <si>
    <t>Marchant curieux</t>
  </si>
  <si>
    <t>Mercader inquisitivo</t>
  </si>
  <si>
    <t>愛說話的商人</t>
  </si>
  <si>
    <t>爱说话的商人</t>
  </si>
  <si>
    <t>話好きな商人</t>
  </si>
  <si>
    <t>Jan</t>
  </si>
  <si>
    <t>讓</t>
  </si>
  <si>
    <t>让</t>
  </si>
  <si>
    <t>ジャン</t>
  </si>
  <si>
    <t>Joshua Frostblade</t>
  </si>
  <si>
    <t>Joshua Givrelame</t>
  </si>
  <si>
    <t>Joshua Filoescarcha</t>
  </si>
  <si>
    <t>冰凍劍士約書亞</t>
  </si>
  <si>
    <t>冰冻剑士约书亚</t>
  </si>
  <si>
    <t>凍てつく剣のジョシュア</t>
  </si>
  <si>
    <t>Junk Collector</t>
  </si>
  <si>
    <t>Ramasseur de rebuts</t>
  </si>
  <si>
    <t>Coleccionista de basura</t>
  </si>
  <si>
    <t>撿東西的男子</t>
  </si>
  <si>
    <t>捡东西的男子</t>
  </si>
  <si>
    <t>拾う男性</t>
  </si>
  <si>
    <t>Kevin</t>
  </si>
  <si>
    <t>Kévin</t>
  </si>
  <si>
    <t>罪人凱文</t>
  </si>
  <si>
    <t>罪人凯文</t>
  </si>
  <si>
    <t>Kindly Cleric</t>
  </si>
  <si>
    <t>Prêtre chaleureux</t>
  </si>
  <si>
    <t>Clérigo amable</t>
  </si>
  <si>
    <t>溫厚的祭司</t>
  </si>
  <si>
    <t>温和厚道的的祭司</t>
  </si>
  <si>
    <t>温厚な司祭</t>
  </si>
  <si>
    <t>Kindly Farmer</t>
  </si>
  <si>
    <t>Fermier aimable</t>
  </si>
  <si>
    <t>Granjero amable</t>
  </si>
  <si>
    <t>笑容燦爛的農民</t>
  </si>
  <si>
    <t>笑容灿烂的农民</t>
  </si>
  <si>
    <t>笑顔が眩しい農民</t>
  </si>
  <si>
    <t>Kindly Neighbor</t>
  </si>
  <si>
    <t>Voisine chaleureuse</t>
  </si>
  <si>
    <t>Vecina amable</t>
  </si>
  <si>
    <t>親切的鄰居</t>
  </si>
  <si>
    <t>亲切的邻居</t>
  </si>
  <si>
    <t>親切な隣人</t>
  </si>
  <si>
    <t>King Khalim</t>
  </si>
  <si>
    <t>Roi Khalim</t>
  </si>
  <si>
    <t>Rey Khalim</t>
  </si>
  <si>
    <t>克林姆王</t>
  </si>
  <si>
    <t>カリム王</t>
  </si>
  <si>
    <t>Kit</t>
  </si>
  <si>
    <t>克里斯</t>
  </si>
  <si>
    <t>Knight Ardante</t>
  </si>
  <si>
    <t>Chevalier de la Chapelle ardente</t>
  </si>
  <si>
    <t>Caballero Ardante</t>
  </si>
  <si>
    <t>聖火騎士</t>
  </si>
  <si>
    <t>圣火骑士</t>
  </si>
  <si>
    <t>Knight's Wife</t>
  </si>
  <si>
    <t>Épouse du chevalier</t>
  </si>
  <si>
    <t>Esposa del caballero</t>
  </si>
  <si>
    <t>騎士之妻</t>
  </si>
  <si>
    <t>骑士的妻子</t>
  </si>
  <si>
    <t>騎士の妻</t>
  </si>
  <si>
    <t>Know-it-all Milo</t>
  </si>
  <si>
    <t>Milo-so-tutto-io</t>
  </si>
  <si>
    <t>Milo l'informateur</t>
  </si>
  <si>
    <t>Milo, el Sabiondo</t>
  </si>
  <si>
    <t>消息靈通的米羅</t>
  </si>
  <si>
    <t>消息灵通的米罗</t>
  </si>
  <si>
    <t>情報通ミロ</t>
  </si>
  <si>
    <t>Know-it-all's Father</t>
  </si>
  <si>
    <t>Père de l'informateur</t>
  </si>
  <si>
    <t>Padre sabiondo</t>
  </si>
  <si>
    <t>博學年輕人的父親</t>
  </si>
  <si>
    <t>博学青年的父亲</t>
  </si>
  <si>
    <t>博識な若者の父親</t>
  </si>
  <si>
    <t>Knowledgeable Traveler</t>
  </si>
  <si>
    <t>Voyageur bien informé</t>
  </si>
  <si>
    <t>Viajero informado</t>
  </si>
  <si>
    <t>熟門熟路的旅人</t>
  </si>
  <si>
    <t>熟门熟路的旅人</t>
  </si>
  <si>
    <t>道にくわしい旅人</t>
  </si>
  <si>
    <t>Laborer</t>
  </si>
  <si>
    <t>Mineur</t>
  </si>
  <si>
    <t>Trabajador</t>
  </si>
  <si>
    <t>工人</t>
  </si>
  <si>
    <t>労働者</t>
  </si>
  <si>
    <t>Ouvrier</t>
  </si>
  <si>
    <t>Laconic Father</t>
  </si>
  <si>
    <t>Père laconique</t>
  </si>
  <si>
    <t>Padre lacónico</t>
  </si>
  <si>
    <t>寡言的父親</t>
  </si>
  <si>
    <t>寡言的父亲</t>
  </si>
  <si>
    <t>物静かな父親</t>
  </si>
  <si>
    <t>Landscape Artist /
Baker</t>
  </si>
  <si>
    <t>Artiste paysagiste /
Boulanger</t>
  </si>
  <si>
    <t>Paisajista / 
Panadero</t>
  </si>
  <si>
    <t>風景畫家 /
麵包師</t>
  </si>
  <si>
    <t>风景画画家 /
面包师</t>
  </si>
  <si>
    <t>Lara</t>
  </si>
  <si>
    <t>拉拉</t>
  </si>
  <si>
    <t>ララ</t>
  </si>
  <si>
    <t>Lazy Loafer</t>
  </si>
  <si>
    <t>Tire-au-flanc</t>
  </si>
  <si>
    <t>Holgazán</t>
  </si>
  <si>
    <t>怕麻煩的男子</t>
  </si>
  <si>
    <t>怕麻烦的男子</t>
  </si>
  <si>
    <t>面倒くさがりな男性</t>
  </si>
  <si>
    <t>Le Mann</t>
  </si>
  <si>
    <t>Lemann</t>
  </si>
  <si>
    <t>盧．曼</t>
  </si>
  <si>
    <t>卢・曼</t>
  </si>
  <si>
    <t>Leon Bastralle? /
Definitely Not Leon</t>
  </si>
  <si>
    <t>Léon Bastralle? /
Vraiment pas Léon</t>
  </si>
  <si>
    <t>Leon Bastralle? / 
Alguien que no es Leon</t>
  </si>
  <si>
    <t>雷歐．巴斯特拉爾？ /
假雷歐</t>
  </si>
  <si>
    <t>雷欧．巴斯特拉尔？ /
假雷欧</t>
  </si>
  <si>
    <t>Leviathan Hunter</t>
  </si>
  <si>
    <t>Chasseur de léviathans</t>
  </si>
  <si>
    <t>Cazador de bestias marinas</t>
  </si>
  <si>
    <t>獵海獸名人</t>
  </si>
  <si>
    <t>猎海兽名人</t>
  </si>
  <si>
    <t>Lianna</t>
  </si>
  <si>
    <t>莉安娜</t>
  </si>
  <si>
    <t>リアナ</t>
  </si>
  <si>
    <t>Lily</t>
  </si>
  <si>
    <t>莉莉</t>
  </si>
  <si>
    <t>リリー</t>
  </si>
  <si>
    <t>Listless Gladiator /
Resilient Gladiator</t>
  </si>
  <si>
    <t>Gladiateur apathique /
Gladiateur coriace</t>
  </si>
  <si>
    <t>Gladiador apático / 
Gladiador resistente</t>
  </si>
  <si>
    <t>疲憊的劍鬥士 /
打起精神的劍鬥士</t>
  </si>
  <si>
    <t>疲惫的剑斗士 /
打起精神的剑斗士</t>
  </si>
  <si>
    <t>Lonely Grandchild /
Happy Grandchild</t>
  </si>
  <si>
    <t>Petit-fils esseulé /
Petit-fils heureux</t>
  </si>
  <si>
    <t>Nieto solitario / 
Nieto feliz</t>
  </si>
  <si>
    <t>等著爺爺的孫子 /
精神飽滿的孫子</t>
  </si>
  <si>
    <t>等着爷爷的孙子 /
精神饱满的孙子</t>
  </si>
  <si>
    <t>Lord Ciaran's Herald</t>
  </si>
  <si>
    <t>Araldo di Lord Ciaran</t>
  </si>
  <si>
    <t>Héraut du seigneur Ciaran</t>
  </si>
  <si>
    <t>Heraldo de lord Ciaran</t>
  </si>
  <si>
    <t>貴族奇蘭的使者</t>
  </si>
  <si>
    <t>贵族奇兰的使者</t>
  </si>
  <si>
    <t>Lost Grandfather /
Garrulous Grandfather</t>
  </si>
  <si>
    <t>Grand-père perdu /
Grand-père bavard</t>
  </si>
  <si>
    <t>Abuelo perdido / 
Abuelo hablador</t>
  </si>
  <si>
    <t>迷路的爺爺 /
活力十足的爺爺</t>
  </si>
  <si>
    <t>迷路的爷爷 /
活力十足的爷爷</t>
  </si>
  <si>
    <t>Loyal Mercenary</t>
  </si>
  <si>
    <t>Mercenario fedele</t>
  </si>
  <si>
    <t>Mercenaire loyal</t>
  </si>
  <si>
    <t>Mercenario leal</t>
  </si>
  <si>
    <t>耿直的傭兵</t>
  </si>
  <si>
    <t>耿直的佣兵</t>
  </si>
  <si>
    <t>律儀な傭兵</t>
  </si>
  <si>
    <t>Luckless Sellsword /
Satisfied Man</t>
  </si>
  <si>
    <t>Mercenaire malchanceux /
Homme satisfait</t>
  </si>
  <si>
    <t>Mercenario desafortunado /
Hombre satisfecho</t>
  </si>
  <si>
    <t>受到背叛的男子 /
完成復仇的男子</t>
  </si>
  <si>
    <t>受到背叛的男子 /
完成复仇的男子</t>
  </si>
  <si>
    <t>Lyblac</t>
  </si>
  <si>
    <t>莉布拉克</t>
  </si>
  <si>
    <t>Lysa</t>
  </si>
  <si>
    <t>麗莎</t>
  </si>
  <si>
    <t>丽莎</t>
  </si>
  <si>
    <t>リサ</t>
  </si>
  <si>
    <t>Magg the Cook</t>
  </si>
  <si>
    <t>Chef Magg</t>
  </si>
  <si>
    <t>Magg la cuisinière</t>
  </si>
  <si>
    <t>Magg, el cocinero</t>
  </si>
  <si>
    <t>廚師馬格</t>
  </si>
  <si>
    <t>厨师马格</t>
  </si>
  <si>
    <t>料理人マグ</t>
  </si>
  <si>
    <t>船員馬克</t>
  </si>
  <si>
    <t>船员马克</t>
  </si>
  <si>
    <t>船員マック</t>
  </si>
  <si>
    <t>Marina</t>
  </si>
  <si>
    <t>瑪莉娜</t>
  </si>
  <si>
    <t>玛莉娜</t>
  </si>
  <si>
    <t>マリーネ</t>
  </si>
  <si>
    <t>Marlene</t>
  </si>
  <si>
    <t>Marlène</t>
  </si>
  <si>
    <t>瑪琳</t>
  </si>
  <si>
    <t>玛琳</t>
  </si>
  <si>
    <t>マーリン</t>
  </si>
  <si>
    <t>Maruf</t>
  </si>
  <si>
    <t>馬露夫</t>
  </si>
  <si>
    <t>马露夫</t>
  </si>
  <si>
    <t>マルフ</t>
  </si>
  <si>
    <t>Master Jeweler</t>
  </si>
  <si>
    <t>Mastro gioiellere</t>
  </si>
  <si>
    <t>Maître joaillier</t>
  </si>
  <si>
    <t>Maestro joyero</t>
  </si>
  <si>
    <t>能幹的寶石商</t>
  </si>
  <si>
    <t>能干的宝石商</t>
  </si>
  <si>
    <t>敏腕宝石商</t>
  </si>
  <si>
    <t>Master's Lackey</t>
  </si>
  <si>
    <t>Lacchè del padrone</t>
  </si>
  <si>
    <t>Lacayo del patrón</t>
  </si>
  <si>
    <t>管理人的手下</t>
  </si>
  <si>
    <t>支配人の手下</t>
  </si>
  <si>
    <t>Mathilda</t>
  </si>
  <si>
    <t>瑪蒂爾達</t>
  </si>
  <si>
    <t>玛蒂尔达</t>
  </si>
  <si>
    <t>マチルダ</t>
  </si>
  <si>
    <t>Melancholy Youth</t>
  </si>
  <si>
    <t>Jeune homme mélancolique</t>
  </si>
  <si>
    <t>Joven melancólico</t>
  </si>
  <si>
    <t>憂鬱的青年</t>
  </si>
  <si>
    <t>忧郁的青年</t>
  </si>
  <si>
    <t>物憂げな青年</t>
  </si>
  <si>
    <t>Mercedes</t>
  </si>
  <si>
    <t>圖書館員梅賽德斯</t>
  </si>
  <si>
    <t>图书馆员梅赛德斯</t>
  </si>
  <si>
    <t>司書メルセデス</t>
  </si>
  <si>
    <t>Marchant</t>
  </si>
  <si>
    <t>Merchantry Master</t>
  </si>
  <si>
    <t>Dirigeant du consortium</t>
  </si>
  <si>
    <t>Maestro mercantil</t>
  </si>
  <si>
    <t>商會主人</t>
  </si>
  <si>
    <t>商会主人</t>
  </si>
  <si>
    <t>Merry Drunkard</t>
  </si>
  <si>
    <t>Ivrogne euphorique</t>
  </si>
  <si>
    <t>Alegre borrachín</t>
  </si>
  <si>
    <t>酒館的老爹</t>
  </si>
  <si>
    <t>酒馆的老爹</t>
  </si>
  <si>
    <t>酒場のおやじ</t>
  </si>
  <si>
    <t>Meryl</t>
  </si>
  <si>
    <t>Méryl</t>
  </si>
  <si>
    <t>梅莉兒</t>
  </si>
  <si>
    <t>梅莉儿</t>
  </si>
  <si>
    <t>メリル</t>
  </si>
  <si>
    <t>Meryl's Father</t>
  </si>
  <si>
    <t>Padre di Meryl</t>
  </si>
  <si>
    <t>Père de Méryl</t>
  </si>
  <si>
    <t>Padre de Meryl</t>
  </si>
  <si>
    <t>梅莉兒的父親</t>
  </si>
  <si>
    <t>梅莉儿的父亲</t>
  </si>
  <si>
    <t>メリルの父親</t>
  </si>
  <si>
    <t>Meryl's Mother</t>
  </si>
  <si>
    <t>Madre di Meryl</t>
  </si>
  <si>
    <t>Mère de Méryl</t>
  </si>
  <si>
    <t>Madre de Meryl</t>
  </si>
  <si>
    <t>梅莉兒的母親</t>
  </si>
  <si>
    <t>梅莉儿的母亲</t>
  </si>
  <si>
    <t>メリルの母親</t>
  </si>
  <si>
    <t>傭兵米格爾</t>
  </si>
  <si>
    <t>佣兵米格尔</t>
  </si>
  <si>
    <t>船員米克</t>
  </si>
  <si>
    <t>船员米克</t>
  </si>
  <si>
    <t>船員ミック</t>
  </si>
  <si>
    <t>Miles</t>
  </si>
  <si>
    <t>邁爾斯</t>
  </si>
  <si>
    <t>迈尔斯</t>
  </si>
  <si>
    <t>マイルズ</t>
  </si>
  <si>
    <t>Miner</t>
  </si>
  <si>
    <t>Minatore</t>
  </si>
  <si>
    <t>Minero</t>
  </si>
  <si>
    <t>採掘工人</t>
  </si>
  <si>
    <t>开采工人</t>
  </si>
  <si>
    <t>採掘作業者</t>
  </si>
  <si>
    <t>Minister</t>
  </si>
  <si>
    <t>Ministro</t>
  </si>
  <si>
    <t>Ministre</t>
  </si>
  <si>
    <t>大臣</t>
  </si>
  <si>
    <t>Miserable Mother /
Proud Mother</t>
  </si>
  <si>
    <t>Mère attristée /
Mère fière</t>
  </si>
  <si>
    <r>
      <rPr>
        <b/>
        <sz val="10"/>
        <color theme="1"/>
        <rFont val="Arial"/>
      </rPr>
      <t>Madre desgraciada</t>
    </r>
    <r>
      <rPr>
        <b/>
        <sz val="10"/>
        <color rgb="FFC27BA0"/>
        <rFont val="Arial"/>
      </rPr>
      <t xml:space="preserve"> </t>
    </r>
    <r>
      <rPr>
        <b/>
        <sz val="10"/>
        <color theme="1"/>
        <rFont val="Arial"/>
      </rPr>
      <t>/
Madre orgullosa</t>
    </r>
  </si>
  <si>
    <t>後悔的母親 /
高興的母親</t>
  </si>
  <si>
    <t>后悔的母亲 /
高兴的母亲</t>
  </si>
  <si>
    <t>Moneylender</t>
  </si>
  <si>
    <t>Usuraio</t>
  </si>
  <si>
    <t>Usurier</t>
  </si>
  <si>
    <t>Prestamista</t>
  </si>
  <si>
    <t>瞇瞇眼的高利貸商人</t>
  </si>
  <si>
    <t>眯眯眼的高利贷商人</t>
  </si>
  <si>
    <t>糸目の金貸し</t>
  </si>
  <si>
    <t>Monster Hunter</t>
  </si>
  <si>
    <t>Cacciatore di mostri</t>
  </si>
  <si>
    <t>Chasseur de monstres</t>
  </si>
  <si>
    <t>Cazador de monstruos</t>
  </si>
  <si>
    <t>專打魔物的劍鬥士</t>
  </si>
  <si>
    <t>专打魔物的剑斗士</t>
  </si>
  <si>
    <t>魔物専門の剣闘士</t>
  </si>
  <si>
    <t>Mont d'Or</t>
  </si>
  <si>
    <t>Mont-d'Or</t>
  </si>
  <si>
    <t>蒙德爾</t>
  </si>
  <si>
    <t>蒙德尔</t>
  </si>
  <si>
    <t>モンドゥール</t>
  </si>
  <si>
    <t>Morlock</t>
  </si>
  <si>
    <t>大地主莫洛克</t>
  </si>
  <si>
    <t>大地主モーロック</t>
  </si>
  <si>
    <t>Mother</t>
  </si>
  <si>
    <t>Madre</t>
  </si>
  <si>
    <t>Mère</t>
  </si>
  <si>
    <t>母親</t>
  </si>
  <si>
    <t>母亲</t>
  </si>
  <si>
    <t>Muttering Codger</t>
  </si>
  <si>
    <t>Vieux radoteur</t>
  </si>
  <si>
    <t>Vejete gruñón</t>
  </si>
  <si>
    <t>嘟嘟囔囔的老人</t>
  </si>
  <si>
    <t>つぶやく老人</t>
  </si>
  <si>
    <t>Mysterious Knight /
Cervantes</t>
  </si>
  <si>
    <t>Chevalier mystérieux /
Cervantès</t>
  </si>
  <si>
    <t>Caballero misterioso / 
Cervantes</t>
  </si>
  <si>
    <t>神秘騎士 /
賽凡提斯</t>
  </si>
  <si>
    <t>神秘骑士 /
塞凡提斯</t>
  </si>
  <si>
    <t>Nameless Gravekeeper</t>
  </si>
  <si>
    <t>Fossoyeur sans nom</t>
  </si>
  <si>
    <t>Enterrador sin nombre</t>
  </si>
  <si>
    <t>無名的守墓人</t>
  </si>
  <si>
    <t>无名的守墓人</t>
  </si>
  <si>
    <t>Natalia</t>
  </si>
  <si>
    <t>娜塔莉亞</t>
  </si>
  <si>
    <t>娜塔莉亚</t>
  </si>
  <si>
    <t>ナタリア</t>
  </si>
  <si>
    <t>Nate</t>
  </si>
  <si>
    <t>內特</t>
  </si>
  <si>
    <t>内特</t>
  </si>
  <si>
    <t>ネイト</t>
  </si>
  <si>
    <t>Nathan</t>
  </si>
  <si>
    <t>貴族內森</t>
  </si>
  <si>
    <t>贵族内森</t>
  </si>
  <si>
    <t>貴族ネイサン</t>
  </si>
  <si>
    <t>Nathan's Bodyguard</t>
  </si>
  <si>
    <t>Guardia del corpo di Nathan</t>
  </si>
  <si>
    <t>Garde du corps de Nathan</t>
  </si>
  <si>
    <t>Guardaespaldas de Nathan</t>
  </si>
  <si>
    <t>內森的護衛</t>
  </si>
  <si>
    <t>内森的护卫</t>
  </si>
  <si>
    <t>ネイサンの護衛</t>
  </si>
  <si>
    <t>Ne'er-do-well</t>
  </si>
  <si>
    <t>Bon-à-rien</t>
  </si>
  <si>
    <t>Irresponsable</t>
  </si>
  <si>
    <t>纏人的壞蛋</t>
  </si>
  <si>
    <t>缠人的坏蛋</t>
  </si>
  <si>
    <t>しつこい悪漢</t>
  </si>
  <si>
    <t>Ned</t>
  </si>
  <si>
    <t>劍鬥士奈德</t>
  </si>
  <si>
    <t>剑斗士奈德</t>
  </si>
  <si>
    <t>剣闘士ネッド</t>
  </si>
  <si>
    <t>Neighborly Grandma</t>
  </si>
  <si>
    <t>Nonno amichevole</t>
  </si>
  <si>
    <t>Grand-mère amicale</t>
  </si>
  <si>
    <t>Abuela amigable</t>
  </si>
  <si>
    <t>附近的老婆婆</t>
  </si>
  <si>
    <t>近隣の老婆</t>
  </si>
  <si>
    <t>Neighborly Grandpa</t>
  </si>
  <si>
    <t>Nonna amichevole</t>
  </si>
  <si>
    <t>Grand-père amical</t>
  </si>
  <si>
    <t>Abuelo amigable</t>
  </si>
  <si>
    <t>附近的老人</t>
  </si>
  <si>
    <t>近隣の老人</t>
  </si>
  <si>
    <t>Nina</t>
  </si>
  <si>
    <t>妮娜</t>
  </si>
  <si>
    <t>ニナ</t>
  </si>
  <si>
    <t>Noa</t>
  </si>
  <si>
    <t>諾雅</t>
  </si>
  <si>
    <t>诺雅</t>
  </si>
  <si>
    <t>ノーア</t>
  </si>
  <si>
    <t>Noelle</t>
  </si>
  <si>
    <t>諾艾爾</t>
  </si>
  <si>
    <t>诺艾尔</t>
  </si>
  <si>
    <t>ノエル</t>
  </si>
  <si>
    <t>Nomadic Hunter</t>
  </si>
  <si>
    <t>Chasseur nomade</t>
  </si>
  <si>
    <t>Cazador nómada</t>
  </si>
  <si>
    <t>做流動販賣的獵人</t>
  </si>
  <si>
    <t>做流动贩卖的猎人</t>
  </si>
  <si>
    <t>行商狩人</t>
  </si>
  <si>
    <t>Obliging Merchant</t>
  </si>
  <si>
    <t>Marchand servile</t>
  </si>
  <si>
    <t>Mercader servicial</t>
  </si>
  <si>
    <t>不善拒絕的商人</t>
  </si>
  <si>
    <t>不善拒绝的商人</t>
  </si>
  <si>
    <t>お人好しの行商人</t>
  </si>
  <si>
    <t>Oblivious Townsperson</t>
  </si>
  <si>
    <t>Habitant insouciant</t>
  </si>
  <si>
    <t>Aldeano despistado</t>
  </si>
  <si>
    <t>充滿疑惑的居民</t>
  </si>
  <si>
    <t>充满疑惑的居民</t>
  </si>
  <si>
    <t>首をかしげる住民</t>
  </si>
  <si>
    <t>Obstinate Merchant</t>
  </si>
  <si>
    <t>Marchand obstiné</t>
  </si>
  <si>
    <t>Mercader obstinado</t>
  </si>
  <si>
    <t>死纏爛打的商人</t>
  </si>
  <si>
    <t>死缠烂打的商人</t>
  </si>
  <si>
    <t>つけまわす商人</t>
  </si>
  <si>
    <t>Odette</t>
  </si>
  <si>
    <t>學者奧黛特</t>
  </si>
  <si>
    <t>学者奥黛特</t>
  </si>
  <si>
    <t>Ogen</t>
  </si>
  <si>
    <t>藥師歐根</t>
  </si>
  <si>
    <t>药师欧根</t>
  </si>
  <si>
    <t>薬師オーゲン</t>
  </si>
  <si>
    <t>Old Aristocrat</t>
  </si>
  <si>
    <t>Vecchio aristocratico</t>
  </si>
  <si>
    <t>Vieil aristocrate</t>
  </si>
  <si>
    <t>Aristócrata viejo</t>
  </si>
  <si>
    <t>高齡貴族</t>
  </si>
  <si>
    <t>高龄贵族</t>
  </si>
  <si>
    <t>高齢の貴族</t>
  </si>
  <si>
    <t>Old Gravekeeper</t>
  </si>
  <si>
    <t>Fossoyeur âgé</t>
  </si>
  <si>
    <t>Viejo enterrador</t>
  </si>
  <si>
    <t>守墓的老人</t>
  </si>
  <si>
    <t>墓守の老人</t>
  </si>
  <si>
    <t>Old Man</t>
  </si>
  <si>
    <t>Anziano</t>
  </si>
  <si>
    <t>Vieil homme</t>
  </si>
  <si>
    <t>Anciano</t>
  </si>
  <si>
    <t>老人</t>
  </si>
  <si>
    <t>Old Man /
Nighteye</t>
  </si>
  <si>
    <t>Vieil Homme /
Nocturne</t>
  </si>
  <si>
    <t>Anciano / 
Ojo Nocturno</t>
  </si>
  <si>
    <t>老人 /
夜之瞳</t>
  </si>
  <si>
    <t>Old Storyteller</t>
  </si>
  <si>
    <t>Conteur âgé</t>
  </si>
  <si>
    <t>Viejo cuentacuentos</t>
  </si>
  <si>
    <t>講述傳說的老人</t>
  </si>
  <si>
    <t>讲述传说的老人</t>
  </si>
  <si>
    <t>伝承を語る老人</t>
  </si>
  <si>
    <t>Olneo</t>
  </si>
  <si>
    <t>Olnéo</t>
  </si>
  <si>
    <t>商人歐爾涅歐</t>
  </si>
  <si>
    <t>商人欧尔涅欧</t>
  </si>
  <si>
    <t>商人オルネオ</t>
  </si>
  <si>
    <t>傭兵奧瑪爾</t>
  </si>
  <si>
    <t>佣兵奥玛尔</t>
  </si>
  <si>
    <t>傭兵オマール</t>
  </si>
  <si>
    <t>Oren</t>
  </si>
  <si>
    <t>車夫厄倫</t>
  </si>
  <si>
    <t>车夫厄伦</t>
  </si>
  <si>
    <t>御者オラン</t>
  </si>
  <si>
    <t>學者奧立克</t>
  </si>
  <si>
    <t>学者奥立克</t>
  </si>
  <si>
    <t>学者オルリック</t>
  </si>
  <si>
    <t>Orphanage Matron</t>
  </si>
  <si>
    <t>Matrone de l'orphelinat</t>
  </si>
  <si>
    <t>Matrona del orfanato</t>
  </si>
  <si>
    <t>孤兒院的女子</t>
  </si>
  <si>
    <t>孤儿院的女子</t>
  </si>
  <si>
    <t>孤児院の女性</t>
  </si>
  <si>
    <t>Papermaker</t>
  </si>
  <si>
    <t>Papetier</t>
  </si>
  <si>
    <t>Fabricante de papel</t>
  </si>
  <si>
    <t>製紙工匠</t>
  </si>
  <si>
    <t>制纸工匠</t>
  </si>
  <si>
    <t>製紙職人</t>
  </si>
  <si>
    <t>Passionate Peddler</t>
  </si>
  <si>
    <t>Marchand passionné</t>
  </si>
  <si>
    <t>Vendedor apasionado</t>
  </si>
  <si>
    <t>興奮的商人</t>
  </si>
  <si>
    <t>兴奋的商人</t>
  </si>
  <si>
    <t>心躍らせる商人</t>
  </si>
  <si>
    <t>Passionate Reader</t>
  </si>
  <si>
    <t>Lectrice passionnée</t>
  </si>
  <si>
    <t>Lectora apasionada</t>
  </si>
  <si>
    <t>狂熱的讀書家</t>
  </si>
  <si>
    <t>狂热的读书家</t>
  </si>
  <si>
    <t>熱心な読書者</t>
  </si>
  <si>
    <t>Passionate Youth /
Passionate Explorer /
Passionate Farmer</t>
  </si>
  <si>
    <t>Jeune homme passionné /
Explorateur passionné /
Fermier passionné</t>
  </si>
  <si>
    <t>Joven apasionado / 
Explorador apasionado / 
Granjero apasionado</t>
  </si>
  <si>
    <t>狂熱的年輕人 /
狂熱的探險家 /
狂熱的兼職農夫</t>
  </si>
  <si>
    <t>狂热的年轻人 /
狂热的探险家 /
狂热的兼职农夫</t>
  </si>
  <si>
    <t>Pathetic Father /
Reformed Father</t>
  </si>
  <si>
    <t>Père pitoyable /
Père métamorphosé</t>
  </si>
  <si>
    <t>Padre patético / 
Padre reformado</t>
  </si>
  <si>
    <t>差勁的父親 /
改過自新的父親</t>
  </si>
  <si>
    <t>差劲的父亲 /
改过自新的父亲</t>
  </si>
  <si>
    <t>Patient</t>
  </si>
  <si>
    <t>Patiente</t>
  </si>
  <si>
    <t>Paciente</t>
  </si>
  <si>
    <t>患者</t>
  </si>
  <si>
    <t>Patrician Youth</t>
  </si>
  <si>
    <t>Jeune homme distingué</t>
  </si>
  <si>
    <t>Joven patricio</t>
  </si>
  <si>
    <t>有高貴氣息的青年</t>
  </si>
  <si>
    <t>有高贵气息的青年</t>
  </si>
  <si>
    <t>どことなく高貴な青年</t>
  </si>
  <si>
    <t>Paul</t>
  </si>
  <si>
    <t>保羅</t>
  </si>
  <si>
    <t>保罗</t>
  </si>
  <si>
    <t>パウル</t>
  </si>
  <si>
    <t>Pauper</t>
  </si>
  <si>
    <t>Indigente</t>
  </si>
  <si>
    <t>Pauvre</t>
  </si>
  <si>
    <t>貧民</t>
  </si>
  <si>
    <t>贫民</t>
  </si>
  <si>
    <t>Pauper Revolutionary</t>
  </si>
  <si>
    <t>Révolutionnaire défavorisé</t>
  </si>
  <si>
    <t>Pobre revolucionario</t>
  </si>
  <si>
    <t>貧民領袖</t>
  </si>
  <si>
    <t>贫民领袖</t>
  </si>
  <si>
    <t>Pensive Girl /
Budding Songstress /
Wide-Eyed Girl</t>
  </si>
  <si>
    <t>Jeune fille rêveuse /
Chanteuse en herbe /
Jeune fille ébahie</t>
  </si>
  <si>
    <t>Chica pensativa /
Cantante en ciernes /
Chica soñadora</t>
  </si>
  <si>
    <t>煩惱的少女 /
年輕女歌手 /
夢想家少女</t>
  </si>
  <si>
    <t>烦恼的少女 /
年轻女歌手 /
梦想家少女</t>
  </si>
  <si>
    <t>Pensive Mother</t>
  </si>
  <si>
    <t>Mère pensive</t>
  </si>
  <si>
    <t>Madre pensativa</t>
  </si>
  <si>
    <t>體弱多病少女的母親</t>
  </si>
  <si>
    <t>体弱多病少女的母亲</t>
  </si>
  <si>
    <t>病弱な少女の母親</t>
  </si>
  <si>
    <t>Philip</t>
  </si>
  <si>
    <t>菲利浦</t>
  </si>
  <si>
    <t>フィリップ</t>
  </si>
  <si>
    <t>Philip's Mother</t>
  </si>
  <si>
    <t>Madre di Philip</t>
  </si>
  <si>
    <t>Mère de Philip</t>
  </si>
  <si>
    <t>Madre de Philip</t>
  </si>
  <si>
    <t>菲利浦的母親</t>
  </si>
  <si>
    <t>菲利浦的母亲</t>
  </si>
  <si>
    <t>フィリップの母</t>
  </si>
  <si>
    <t>Portly Merchant</t>
  </si>
  <si>
    <t>Marchand corpulent</t>
  </si>
  <si>
    <t>Mercader corpulento</t>
  </si>
  <si>
    <t>魁偉的行商人</t>
  </si>
  <si>
    <t>魁伟的行商人</t>
  </si>
  <si>
    <t>恰幅のいい行商人</t>
  </si>
  <si>
    <t>Prideful Warrior</t>
  </si>
  <si>
    <t>Guerrier impulsif</t>
  </si>
  <si>
    <t>Guerrero apasionado</t>
  </si>
  <si>
    <t>傲慢的強者</t>
  </si>
  <si>
    <t>傲慢的强者</t>
  </si>
  <si>
    <t>Princess Mary</t>
  </si>
  <si>
    <t>Principessa Mary</t>
  </si>
  <si>
    <t>Princesse Mary</t>
  </si>
  <si>
    <t>Princesa Mary</t>
  </si>
  <si>
    <t>瑪莉公主</t>
  </si>
  <si>
    <t>玛莉公主</t>
  </si>
  <si>
    <t>メアリー王女</t>
  </si>
  <si>
    <t>Professor Bastete</t>
  </si>
  <si>
    <t>Professeur Bastete</t>
  </si>
  <si>
    <t>Profesora Bastete</t>
  </si>
  <si>
    <t>芭斯特</t>
  </si>
  <si>
    <t>バステト</t>
  </si>
  <si>
    <t>Proud Collector</t>
  </si>
  <si>
    <t>Fier collectionneur</t>
  </si>
  <si>
    <t>Coleccionista orgulloso</t>
  </si>
  <si>
    <t>得意的收藏家</t>
  </si>
  <si>
    <t>骄傲的收藏家</t>
  </si>
  <si>
    <t>誇らしげな収集家</t>
  </si>
  <si>
    <t>Refined Merchant</t>
  </si>
  <si>
    <t>Marchand élégant</t>
  </si>
  <si>
    <t>Mercader refinado</t>
  </si>
  <si>
    <t>講究的商人</t>
  </si>
  <si>
    <t>讲究的商人</t>
  </si>
  <si>
    <t>こだわりのある商人</t>
  </si>
  <si>
    <t>Reggie</t>
  </si>
  <si>
    <t>反對勢力士兵瑞吉</t>
  </si>
  <si>
    <t>反对势力士兵瑞吉</t>
  </si>
  <si>
    <t>反勢力兵レジー</t>
  </si>
  <si>
    <t>Regular Patron</t>
  </si>
  <si>
    <t>Client régulier</t>
  </si>
  <si>
    <t>Cliente habitual</t>
  </si>
  <si>
    <t>常客</t>
  </si>
  <si>
    <t>常連客</t>
  </si>
  <si>
    <t>Remnant Leader</t>
  </si>
  <si>
    <t>Chef des vestiges</t>
  </si>
  <si>
    <t>Lider remanente</t>
  </si>
  <si>
    <t>殘黨領袖</t>
  </si>
  <si>
    <t>残党领袖</t>
  </si>
  <si>
    <t>Restless Woman /
Flower-loving Widow</t>
  </si>
  <si>
    <t>Femme agitée /
Veuve aimant les fleurs</t>
  </si>
  <si>
    <t>Mujer inquieta / 
Viuda florista</t>
  </si>
  <si>
    <t>等待丈夫的女子 /
欣賞花朵的未亡人</t>
  </si>
  <si>
    <t>等待丈夫的女子 /
欣赏花朵的未亡人</t>
  </si>
  <si>
    <t>Revello</t>
  </si>
  <si>
    <t>雷布洛男爵</t>
  </si>
  <si>
    <t>レベロー男爵</t>
  </si>
  <si>
    <t>River Dweller</t>
  </si>
  <si>
    <t>Pêcheur solitaire</t>
  </si>
  <si>
    <t>Habitante del río</t>
  </si>
  <si>
    <t>河邊的居民</t>
  </si>
  <si>
    <t>河边的居民</t>
  </si>
  <si>
    <t>川辺の住人</t>
  </si>
  <si>
    <t>Roving Naturalist</t>
  </si>
  <si>
    <t>Naturaliste voyageur</t>
  </si>
  <si>
    <t>Naturalista ambulante</t>
  </si>
  <si>
    <t>流浪的學者</t>
  </si>
  <si>
    <t>流浪的学者</t>
  </si>
  <si>
    <t>放浪の学者</t>
  </si>
  <si>
    <t>Ruffian</t>
  </si>
  <si>
    <t>Truand</t>
  </si>
  <si>
    <t>Rufián</t>
  </si>
  <si>
    <t>Ruffian /
Reformed Man</t>
  </si>
  <si>
    <t>Truand /
Homme métamorphosé</t>
  </si>
  <si>
    <t>Rufián /
Hombre reformado</t>
  </si>
  <si>
    <t>卑鄙的男子 /
悔改的男子</t>
  </si>
  <si>
    <t>Ruffian Lackey</t>
  </si>
  <si>
    <t>Larbin des truands</t>
  </si>
  <si>
    <t>Matón rufián</t>
  </si>
  <si>
    <t>流氓的小弟</t>
  </si>
  <si>
    <t>ならず者子分</t>
  </si>
  <si>
    <t>Rumormonger</t>
  </si>
  <si>
    <t>Cancanier</t>
  </si>
  <si>
    <t>Hombre chismoso</t>
  </si>
  <si>
    <t>愛說閒話的男子</t>
  </si>
  <si>
    <t>爱说闲话的男子</t>
  </si>
  <si>
    <t>噂好きの男性</t>
  </si>
  <si>
    <t>學者拉賽爾</t>
  </si>
  <si>
    <t>学者拉赛尔</t>
  </si>
  <si>
    <t>学者ラッセル</t>
  </si>
  <si>
    <t>Sand Man</t>
  </si>
  <si>
    <t>Homme des sables</t>
  </si>
  <si>
    <t>Hombre de la arena</t>
  </si>
  <si>
    <t>隱身沙中的男子</t>
  </si>
  <si>
    <t>隐身沙中的男子</t>
  </si>
  <si>
    <t>砂に紛れる男性</t>
  </si>
  <si>
    <t>Satisfied Merchant</t>
  </si>
  <si>
    <t>Marchand satisfait</t>
  </si>
  <si>
    <t>Mercader satisfecho</t>
  </si>
  <si>
    <t>滿足的商人</t>
  </si>
  <si>
    <t>满足的商人</t>
  </si>
  <si>
    <t>満足げな商人</t>
  </si>
  <si>
    <t>Scholar of Beasts</t>
  </si>
  <si>
    <t>Érudit animalier</t>
  </si>
  <si>
    <t>Erudito de las bestias</t>
  </si>
  <si>
    <t>野獸調查員</t>
  </si>
  <si>
    <t>野兽调查员</t>
  </si>
  <si>
    <t>獣調査員</t>
  </si>
  <si>
    <t>Scholarly Youth</t>
  </si>
  <si>
    <t>Jeune érudit</t>
  </si>
  <si>
    <t>Joven culto</t>
  </si>
  <si>
    <t>博學的年輕人</t>
  </si>
  <si>
    <t>博学青年</t>
  </si>
  <si>
    <t>博識な若者</t>
  </si>
  <si>
    <t>Seasoned Thief</t>
  </si>
  <si>
    <t>Brigand chevronné</t>
  </si>
  <si>
    <t>Forajido curtido</t>
  </si>
  <si>
    <t>盜賊幹部</t>
  </si>
  <si>
    <t>盗贼干部</t>
  </si>
  <si>
    <t>傭兵</t>
  </si>
  <si>
    <t>佣兵</t>
  </si>
  <si>
    <t>Servant</t>
  </si>
  <si>
    <t>Domestique</t>
  </si>
  <si>
    <t>Siervo</t>
  </si>
  <si>
    <t>傭人</t>
  </si>
  <si>
    <t>佣人</t>
  </si>
  <si>
    <t>使用人</t>
  </si>
  <si>
    <t>Shifty Moneylender</t>
  </si>
  <si>
    <t>Usurier louche</t>
  </si>
  <si>
    <t>Prestamista sospechoso</t>
  </si>
  <si>
    <t>眼神兇惡的高利貸錢莊</t>
  </si>
  <si>
    <t>眼神凶恶的高利贷钱庄</t>
  </si>
  <si>
    <t>目つきの悪い金貸し</t>
  </si>
  <si>
    <t>Ship Captain</t>
  </si>
  <si>
    <t>Capitano</t>
  </si>
  <si>
    <t>Capitaine</t>
  </si>
  <si>
    <t>Capitán del barco</t>
  </si>
  <si>
    <t>船長</t>
  </si>
  <si>
    <t>船长</t>
  </si>
  <si>
    <t>Shivering Townsperson</t>
  </si>
  <si>
    <t>Habitante frileuse</t>
  </si>
  <si>
    <t>Habitante de la aldea tiritando</t>
  </si>
  <si>
    <t>怕冷的居民</t>
  </si>
  <si>
    <t>寒がりな住人</t>
  </si>
  <si>
    <t>Sickly Girl</t>
  </si>
  <si>
    <t>Fillette malade</t>
  </si>
  <si>
    <t>Chica enfermiza</t>
  </si>
  <si>
    <t>體弱多病的少女</t>
  </si>
  <si>
    <t>体弱多病的少女</t>
  </si>
  <si>
    <t>病弱な少女</t>
  </si>
  <si>
    <t>Sickly Woman</t>
  </si>
  <si>
    <t>Femme malade</t>
  </si>
  <si>
    <t>Mujer enfermiza</t>
  </si>
  <si>
    <t>體弱多病的婦人</t>
  </si>
  <si>
    <t>Slender Farmer</t>
  </si>
  <si>
    <t>Fermière amaigrie</t>
  </si>
  <si>
    <t>Granjera esbelta</t>
  </si>
  <si>
    <t>婀娜的農民</t>
  </si>
  <si>
    <t>婀娜的农民</t>
  </si>
  <si>
    <t>たおやかな農民</t>
  </si>
  <si>
    <t>Smirking Townsperson</t>
  </si>
  <si>
    <t>Habitant souriant</t>
  </si>
  <si>
    <t>Aldeano socarrón</t>
  </si>
  <si>
    <t>竊笑的居民</t>
  </si>
  <si>
    <t>窃笑的居民</t>
  </si>
  <si>
    <t>ほくそ笑む住人</t>
  </si>
  <si>
    <t>Soldier</t>
  </si>
  <si>
    <t>Soldato</t>
  </si>
  <si>
    <t>Soldat</t>
  </si>
  <si>
    <t>Soldado</t>
  </si>
  <si>
    <t>士兵</t>
  </si>
  <si>
    <t>兵士</t>
  </si>
  <si>
    <t>Spectator</t>
  </si>
  <si>
    <t>Spettatore</t>
  </si>
  <si>
    <t>Spectateur</t>
  </si>
  <si>
    <t>Asistente</t>
  </si>
  <si>
    <t>觀眾</t>
  </si>
  <si>
    <t>观众</t>
  </si>
  <si>
    <t>観客</t>
  </si>
  <si>
    <t>Spettatrice</t>
  </si>
  <si>
    <t>Spectatrice</t>
  </si>
  <si>
    <t>Spirited Girl</t>
  </si>
  <si>
    <t>Jeune fille exubérante</t>
  </si>
  <si>
    <t>Chica enérgica</t>
  </si>
  <si>
    <t>精神抖擻的少女</t>
  </si>
  <si>
    <t>精神抖擞的少女</t>
  </si>
  <si>
    <t>元気のいい少女</t>
  </si>
  <si>
    <t>Stage Carpenter</t>
  </si>
  <si>
    <t>Charpentier de scène</t>
  </si>
  <si>
    <t>Carpintero teatral</t>
  </si>
  <si>
    <t>大道具負責人</t>
  </si>
  <si>
    <t>大道具负责人</t>
  </si>
  <si>
    <t>大道具係</t>
  </si>
  <si>
    <t>Staid Soldier</t>
  </si>
  <si>
    <t>Soldat rigoureux</t>
  </si>
  <si>
    <t>Soldado serio</t>
  </si>
  <si>
    <t>耿直的士兵</t>
  </si>
  <si>
    <t>死心眼儿的士兵</t>
  </si>
  <si>
    <t>生真面目な兵士</t>
  </si>
  <si>
    <t>Star Dancer</t>
  </si>
  <si>
    <t>Danseuse vedette</t>
  </si>
  <si>
    <t>Bailarina estrella</t>
  </si>
  <si>
    <t>明星舞孃</t>
  </si>
  <si>
    <t>明星舞娘</t>
  </si>
  <si>
    <t>スタアの踊子</t>
  </si>
  <si>
    <t>Starry-eyed Boy</t>
  </si>
  <si>
    <t>Garçon rêveur</t>
  </si>
  <si>
    <t>Chico soñador</t>
  </si>
  <si>
    <t>雙眼發光的少年</t>
  </si>
  <si>
    <t>双眼发光的少年</t>
  </si>
  <si>
    <t>輝く瞳の少年</t>
  </si>
  <si>
    <t>Stern Guardsman</t>
  </si>
  <si>
    <t>Garde austère</t>
  </si>
  <si>
    <t>Guardia adusto</t>
  </si>
  <si>
    <t>認真的衛兵</t>
  </si>
  <si>
    <t>认真的卫兵</t>
  </si>
  <si>
    <t>真面目な衛兵</t>
  </si>
  <si>
    <t>Stern Knight /
Kindly Knight</t>
  </si>
  <si>
    <t>Chavalier austère /
Chevalier chaleureux</t>
  </si>
  <si>
    <t>Caballero adusto / 
Caballero amable</t>
  </si>
  <si>
    <t>表情嚴峻的騎士 /
表情平靜的騎士</t>
  </si>
  <si>
    <t>表情严峻的骑士 /
表情平静的骑士</t>
  </si>
  <si>
    <t>Stonemonger</t>
  </si>
  <si>
    <t>Marchand de pierre</t>
  </si>
  <si>
    <t>Picapeedrero</t>
  </si>
  <si>
    <t>石匠</t>
  </si>
  <si>
    <t>石屋</t>
  </si>
  <si>
    <t>Struggling Merchant /
Optimistic Merchant</t>
  </si>
  <si>
    <t>Marchand désespéré /
Marchand optimiste</t>
  </si>
  <si>
    <t>Mercader apurado / 
Mercader optimista</t>
  </si>
  <si>
    <t>無路可退的商人 /
向前邁進的商人</t>
  </si>
  <si>
    <t>无路可退的商人 /
向前迈进的商人</t>
  </si>
  <si>
    <t>Stubborn Grandma</t>
  </si>
  <si>
    <t>Grand-mère têtue</t>
  </si>
  <si>
    <t>Abuela tenaz</t>
  </si>
  <si>
    <t>頑固的老婆婆</t>
  </si>
  <si>
    <t>顽固的老婆婆</t>
  </si>
  <si>
    <t>頑固な老婆</t>
  </si>
  <si>
    <t>Sunlands Merchant</t>
  </si>
  <si>
    <t>Marchant du désert</t>
  </si>
  <si>
    <t>Mercader del desierto</t>
  </si>
  <si>
    <t>沙漠的商人</t>
  </si>
  <si>
    <t>Susanna</t>
  </si>
  <si>
    <t>占卜師蘇珊娜</t>
  </si>
  <si>
    <t>占卜师苏珊娜</t>
  </si>
  <si>
    <t>占い師スサンナ</t>
  </si>
  <si>
    <t>Sweet Tooth</t>
  </si>
  <si>
    <t>Gourmand</t>
  </si>
  <si>
    <t>Goloso</t>
  </si>
  <si>
    <t>嗜甜如命的人</t>
  </si>
  <si>
    <t>大の甘党</t>
  </si>
  <si>
    <t>Swordsman Yuri</t>
  </si>
  <si>
    <t>Yuri l'épéiste</t>
  </si>
  <si>
    <t>Yuri espadachín</t>
  </si>
  <si>
    <t>劍士尤里</t>
  </si>
  <si>
    <t>剑士尤里</t>
  </si>
  <si>
    <t>剣士ユーリー</t>
  </si>
  <si>
    <t>Tavern Keeper</t>
  </si>
  <si>
    <t>Tabernero</t>
  </si>
  <si>
    <t>酒保</t>
  </si>
  <si>
    <t>Tavern Patron</t>
  </si>
  <si>
    <t>Cliente della taverna</t>
  </si>
  <si>
    <t>Client de la taverne</t>
  </si>
  <si>
    <t>Cliente de la taberna</t>
  </si>
  <si>
    <t>酒館的客人</t>
  </si>
  <si>
    <t>酒馆的客人</t>
  </si>
  <si>
    <t>酒場の客</t>
  </si>
  <si>
    <t>Tavern Patron /
Tavern Proprietor</t>
  </si>
  <si>
    <t>Client de la taverne /
Proprétaire de la taverne</t>
  </si>
  <si>
    <t>Cliente de la taberna / 
Dueño de la taberna</t>
  </si>
  <si>
    <t>酒館的客人 /
酒館的老闆</t>
  </si>
  <si>
    <t>酒馆的客人 /
酒馆的老板</t>
  </si>
  <si>
    <t>Tavern Proprietor</t>
  </si>
  <si>
    <t>Padrone della taverna</t>
  </si>
  <si>
    <t>Propriétaire de la taverne</t>
  </si>
  <si>
    <t>Dueño de la taberna</t>
  </si>
  <si>
    <t>酒館的老闆</t>
  </si>
  <si>
    <t>酒馆的老板</t>
  </si>
  <si>
    <t>酒場のオーナー</t>
  </si>
  <si>
    <t>Tavern Wench</t>
  </si>
  <si>
    <t>Serveuse</t>
  </si>
  <si>
    <t>Sirvienta de la taberna</t>
  </si>
  <si>
    <t>招牌女侍</t>
  </si>
  <si>
    <t>招牌女招待</t>
  </si>
  <si>
    <t>看板娘</t>
  </si>
  <si>
    <t>The Egg Man</t>
  </si>
  <si>
    <t>OEufologue</t>
  </si>
  <si>
    <t>Hombre de los huevos</t>
  </si>
  <si>
    <t>蛋名人</t>
  </si>
  <si>
    <t>卵名人</t>
  </si>
  <si>
    <t>The Man with the Red Hat</t>
  </si>
  <si>
    <t>L'homme au chapeau rouge</t>
  </si>
  <si>
    <t>El hombre del gorro rojo</t>
  </si>
  <si>
    <t>戴紅帽子的男子</t>
  </si>
  <si>
    <t>戴红帽子的男子</t>
  </si>
  <si>
    <t>赤い帽子の男</t>
  </si>
  <si>
    <t>Theater Manager</t>
  </si>
  <si>
    <t>Responsable du théâtre</t>
  </si>
  <si>
    <t>Director del teatro</t>
  </si>
  <si>
    <t>劇場管理人</t>
  </si>
  <si>
    <t>剧场管理人</t>
  </si>
  <si>
    <t>劇場支配人</t>
  </si>
  <si>
    <t>Theracio</t>
  </si>
  <si>
    <t>提拉奇亞</t>
  </si>
  <si>
    <t>提拉奇亚</t>
  </si>
  <si>
    <t>テラキア</t>
  </si>
  <si>
    <t>Therese</t>
  </si>
  <si>
    <t>Thérèse</t>
  </si>
  <si>
    <t>泰蕾茲</t>
  </si>
  <si>
    <t>泰蕾兹</t>
  </si>
  <si>
    <t>テレーズ</t>
  </si>
  <si>
    <t>Tiger Cub</t>
  </si>
  <si>
    <t>Cucciolo di tigre</t>
  </si>
  <si>
    <t>Bébé tigre</t>
  </si>
  <si>
    <t>Cachorro de tigre</t>
  </si>
  <si>
    <t>小老虎</t>
  </si>
  <si>
    <t>ちいさな虎</t>
  </si>
  <si>
    <t>Tim</t>
  </si>
  <si>
    <t>提姆</t>
  </si>
  <si>
    <t>ティム</t>
  </si>
  <si>
    <t>Tobias</t>
  </si>
  <si>
    <t>Tobías</t>
  </si>
  <si>
    <t>托比亞斯</t>
  </si>
  <si>
    <t>托比亚斯</t>
  </si>
  <si>
    <t>トビアス</t>
  </si>
  <si>
    <t>Tony</t>
  </si>
  <si>
    <t>湯尼</t>
  </si>
  <si>
    <t>汤尼</t>
  </si>
  <si>
    <t>トニー</t>
  </si>
  <si>
    <t>Tony's Mother</t>
  </si>
  <si>
    <t>Madre di Tony</t>
  </si>
  <si>
    <t>Mère de Tony</t>
  </si>
  <si>
    <t>Madre de Tony</t>
  </si>
  <si>
    <t>湯尼的母親</t>
  </si>
  <si>
    <t>汤尼的母亲</t>
  </si>
  <si>
    <t>トニーの母親</t>
  </si>
  <si>
    <t>Townsperson</t>
  </si>
  <si>
    <t>Autochtone</t>
  </si>
  <si>
    <t>Habitante de la aldea</t>
  </si>
  <si>
    <t>市民</t>
  </si>
  <si>
    <t>町人</t>
  </si>
  <si>
    <t>村人</t>
  </si>
  <si>
    <t>Traveler</t>
  </si>
  <si>
    <t>Viaggiatore</t>
  </si>
  <si>
    <t>Voyageur</t>
  </si>
  <si>
    <t>Viajero</t>
  </si>
  <si>
    <t>旅人</t>
  </si>
  <si>
    <t>流浪的旅人</t>
  </si>
  <si>
    <t>Traveling Author</t>
  </si>
  <si>
    <t>Auteur en voyage</t>
  </si>
  <si>
    <t>Escritor viajero</t>
  </si>
  <si>
    <t>旅行作家</t>
  </si>
  <si>
    <t>旅する作家</t>
  </si>
  <si>
    <t>Traveling Merchant</t>
  </si>
  <si>
    <t>Mercante itinerante</t>
  </si>
  <si>
    <t>Marchand itinérant</t>
  </si>
  <si>
    <t>Mercader ambulante</t>
  </si>
  <si>
    <t>行商人</t>
  </si>
  <si>
    <t>流動商人</t>
  </si>
  <si>
    <t>流动商人</t>
  </si>
  <si>
    <t>旅商人</t>
  </si>
  <si>
    <t>Trembling Merchant</t>
  </si>
  <si>
    <t>Marchand effrayé</t>
  </si>
  <si>
    <t>Mercader tembloroso</t>
  </si>
  <si>
    <t>發抖的行商人</t>
  </si>
  <si>
    <t>发抖的行商人</t>
  </si>
  <si>
    <t>震える行商人</t>
  </si>
  <si>
    <t>Troubled Merchant</t>
  </si>
  <si>
    <t>Marchand inquiet</t>
  </si>
  <si>
    <t>Mercader preocupado</t>
  </si>
  <si>
    <t>煩惱的行商人</t>
  </si>
  <si>
    <t>烦恼的行商人</t>
  </si>
  <si>
    <t>悩める行商人</t>
  </si>
  <si>
    <t>Troubled Villager</t>
  </si>
  <si>
    <t>Villageois inquiet</t>
  </si>
  <si>
    <t>Aldeano preocupado</t>
  </si>
  <si>
    <t>苦笑的村民</t>
  </si>
  <si>
    <t>苦笑する村人</t>
  </si>
  <si>
    <t>True Believer</t>
  </si>
  <si>
    <t>Fervent croyant</t>
  </si>
  <si>
    <t>Creyente auténtico</t>
  </si>
  <si>
    <t>信仰深厚的男子</t>
  </si>
  <si>
    <t>深く信仰する男性</t>
  </si>
  <si>
    <t>Unsavory Man</t>
  </si>
  <si>
    <t>Homme déplaisant</t>
  </si>
  <si>
    <t>Hombre desagradable</t>
  </si>
  <si>
    <t>形跡可疑的男子</t>
  </si>
  <si>
    <t>形迹可疑的男子</t>
  </si>
  <si>
    <t>不審な男</t>
  </si>
  <si>
    <t>Usher</t>
  </si>
  <si>
    <t>Ouvreur</t>
  </si>
  <si>
    <t>Acomodador</t>
  </si>
  <si>
    <t>劇場嚮導</t>
  </si>
  <si>
    <t>剧场向导</t>
  </si>
  <si>
    <t>劇場案内人</t>
  </si>
  <si>
    <t>Vanessa Hysel</t>
  </si>
  <si>
    <t>藥師凡妮莎</t>
  </si>
  <si>
    <t>药师凡妮莎</t>
  </si>
  <si>
    <t>Veteran Brigand</t>
  </si>
  <si>
    <t>Brigand vétéran</t>
  </si>
  <si>
    <t>Forajido veterano</t>
  </si>
  <si>
    <t>老練的盜賊</t>
  </si>
  <si>
    <t>老练的盗贼</t>
  </si>
  <si>
    <t>手練れの盗賊</t>
  </si>
  <si>
    <t>Veteran Mercenary</t>
  </si>
  <si>
    <t>Mercenario veterano</t>
  </si>
  <si>
    <t>Mercenaire vétéran</t>
  </si>
  <si>
    <t>鐵腕的傭兵</t>
  </si>
  <si>
    <t>铁腕的佣兵</t>
  </si>
  <si>
    <t>剛腕の傭兵</t>
  </si>
  <si>
    <t>Victorino,
the Buccaneer's Bane</t>
  </si>
  <si>
    <t>Victorino,
la Bête noire des boucaniers</t>
  </si>
  <si>
    <t>Victorino, Azote de los Bucaneros</t>
  </si>
  <si>
    <t>海盜殺手維克托里諾</t>
  </si>
  <si>
    <t>海盗杀手维克托里诺</t>
  </si>
  <si>
    <t>海賊殺しのビクトリノ</t>
  </si>
  <si>
    <t>Village Headman</t>
  </si>
  <si>
    <t>Chef de village</t>
  </si>
  <si>
    <t>Anciano de la aldea</t>
  </si>
  <si>
    <t>村長</t>
  </si>
  <si>
    <t>村长</t>
  </si>
  <si>
    <t>Villager</t>
  </si>
  <si>
    <t>村民</t>
  </si>
  <si>
    <t>Wallace Wildsword</t>
  </si>
  <si>
    <t>Wallace l'Indomptable</t>
  </si>
  <si>
    <t>Wallace Filobravío</t>
  </si>
  <si>
    <t>狂劍瓦雷斯</t>
  </si>
  <si>
    <t>狂剑瓦雷斯</t>
  </si>
  <si>
    <t>狂剣のウォーレス</t>
  </si>
  <si>
    <t>Wandering Minstrel</t>
  </si>
  <si>
    <t>Ménestrel errant</t>
  </si>
  <si>
    <t>Juglar errante</t>
  </si>
  <si>
    <t>隨風起舞的吟遊詩人</t>
  </si>
  <si>
    <t>随风起舞的吟游诗人</t>
  </si>
  <si>
    <t>風に舞う吟遊詩人</t>
  </si>
  <si>
    <t>Watchman</t>
  </si>
  <si>
    <t>Vigilante</t>
  </si>
  <si>
    <t>警備團員</t>
  </si>
  <si>
    <t>警备团员</t>
  </si>
  <si>
    <t>自警団員</t>
  </si>
  <si>
    <t>Wayfaring Girl /
Ria /
Gloria</t>
  </si>
  <si>
    <t>Voyageuse /
Ria /
Gloria</t>
  </si>
  <si>
    <t>Chica viajera / 
Ría / 
Gloria</t>
  </si>
  <si>
    <t>四處遊歷的少女 /
莉亞 /
葛羅莉亞</t>
  </si>
  <si>
    <t>四处游历的少女 /
莉亚 /
葛罗莉亚</t>
  </si>
  <si>
    <t>Wealthy Merchant</t>
  </si>
  <si>
    <t>Marchand fortuné</t>
  </si>
  <si>
    <t>Mercader adinerado</t>
  </si>
  <si>
    <t>富商</t>
  </si>
  <si>
    <t>Wharf Thug</t>
  </si>
  <si>
    <t>Voyou des quais</t>
  </si>
  <si>
    <t>Matón del muelle</t>
  </si>
  <si>
    <t>港口的盜賊</t>
  </si>
  <si>
    <t>港口的盗贼</t>
  </si>
  <si>
    <t>港の賊</t>
  </si>
  <si>
    <t>Wide-eyed Girl</t>
  </si>
  <si>
    <t>Bambina sognatrice</t>
  </si>
  <si>
    <t>Jeune fille ébahie</t>
  </si>
  <si>
    <t>Chica soñadora</t>
  </si>
  <si>
    <t>單純的女孩</t>
  </si>
  <si>
    <t>单纯的女孩</t>
  </si>
  <si>
    <t>純粋な女の子</t>
  </si>
  <si>
    <t>Witness</t>
  </si>
  <si>
    <t>Testimone</t>
  </si>
  <si>
    <t>Témoin</t>
  </si>
  <si>
    <t>Testigo</t>
  </si>
  <si>
    <t>目擊的女子</t>
  </si>
  <si>
    <t>目击的女子</t>
  </si>
  <si>
    <t>Woman from Quaragosa</t>
  </si>
  <si>
    <t>Donna di Quaragosa</t>
  </si>
  <si>
    <t>Femme de Quaragosa</t>
  </si>
  <si>
    <t>Mujer de Quaragosa</t>
  </si>
  <si>
    <t>來自卡拉戈沙的女子</t>
  </si>
  <si>
    <t>来自卡拉戈沙的女子</t>
  </si>
  <si>
    <t>カラゴサから来た女性</t>
  </si>
  <si>
    <t>Woodlands Know-it-all</t>
  </si>
  <si>
    <t>Informateur des Sylve-terres</t>
  </si>
  <si>
    <t>Sabiondo del Bosque</t>
  </si>
  <si>
    <t>伍多蘭多的知識份子</t>
  </si>
  <si>
    <t>伍多兰多的知识份子</t>
  </si>
  <si>
    <t>ウッドランドの知識人</t>
  </si>
  <si>
    <t>Worrywart</t>
  </si>
  <si>
    <t>Éternel angoissé</t>
  </si>
  <si>
    <t>Pesimista</t>
  </si>
  <si>
    <t>Young Soldier</t>
  </si>
  <si>
    <t>Giovane soldato</t>
  </si>
  <si>
    <t>Jeune soldat</t>
  </si>
  <si>
    <t>Soldado joven</t>
  </si>
  <si>
    <t>年輕士兵</t>
  </si>
  <si>
    <t>年轻的士兵</t>
  </si>
  <si>
    <t>若い兵士</t>
  </si>
  <si>
    <t>Youth's Mother</t>
  </si>
  <si>
    <t>Mère de famille</t>
  </si>
  <si>
    <t>Madre del joven</t>
  </si>
  <si>
    <t>青年的母親</t>
  </si>
  <si>
    <t>青年的母亲</t>
  </si>
  <si>
    <t>青年の母親</t>
  </si>
  <si>
    <t>Z'aanta</t>
  </si>
  <si>
    <t>閃達</t>
  </si>
  <si>
    <t>闪达</t>
  </si>
  <si>
    <t>ザンター</t>
  </si>
  <si>
    <t>Zeph</t>
  </si>
  <si>
    <t>藥師傑夫</t>
  </si>
  <si>
    <t>药师杰夫</t>
  </si>
  <si>
    <t>薬師ゼフ</t>
  </si>
  <si>
    <t>Summon skills</t>
  </si>
  <si>
    <t>得意技能（ＮＰＣ）</t>
  </si>
  <si>
    <t>拿手技能</t>
  </si>
  <si>
    <t>たたかう</t>
  </si>
  <si>
    <t>Ali's Baked Goods</t>
  </si>
  <si>
    <t>Pâtisseries d'Ali</t>
  </si>
  <si>
    <t>Bollería de Ali</t>
  </si>
  <si>
    <t>Attacking Posture</t>
  </si>
  <si>
    <t>Posture offensive</t>
  </si>
  <si>
    <t>Posición ofensiva</t>
  </si>
  <si>
    <t>攻擊架式</t>
  </si>
  <si>
    <t>攻击架式</t>
  </si>
  <si>
    <t>Awaken</t>
  </si>
  <si>
    <t>Risveglio</t>
  </si>
  <si>
    <t>Éveil</t>
  </si>
  <si>
    <t>Despertar</t>
  </si>
  <si>
    <t>睡眠治療藥</t>
  </si>
  <si>
    <t>睡眠治疗药</t>
  </si>
  <si>
    <t>Baleful Blade</t>
  </si>
  <si>
    <t>Lame  funeste</t>
  </si>
  <si>
    <t>Espada siniestra</t>
  </si>
  <si>
    <t>遊戲內為空白</t>
  </si>
  <si>
    <t>游戏内为空白</t>
  </si>
  <si>
    <t>Befuddling Balm</t>
  </si>
  <si>
    <t>Baume abrutissant</t>
  </si>
  <si>
    <t>Bálsamo aturdidor</t>
  </si>
  <si>
    <t>混亂藥</t>
  </si>
  <si>
    <t>混乱药</t>
  </si>
  <si>
    <t>Befuddling Dust</t>
  </si>
  <si>
    <t>Poudre abrutissante</t>
  </si>
  <si>
    <t>Polvo aturdidor</t>
  </si>
  <si>
    <t>混亂之粉</t>
  </si>
  <si>
    <t>混乱之粉</t>
  </si>
  <si>
    <t>Black Magic</t>
  </si>
  <si>
    <t>Magie noire</t>
  </si>
  <si>
    <t>Magia negra</t>
  </si>
  <si>
    <t>暗黑魔法</t>
  </si>
  <si>
    <t>Blinding Arrow</t>
  </si>
  <si>
    <t>Flèche aveuglante</t>
  </si>
  <si>
    <t>Flecha cegadora</t>
  </si>
  <si>
    <t>失明之矢</t>
  </si>
  <si>
    <t>Blinding Dust</t>
  </si>
  <si>
    <t>Poudre aveuglante</t>
  </si>
  <si>
    <t>Polvo cegador</t>
  </si>
  <si>
    <t>暗闇藥</t>
  </si>
  <si>
    <t>暗暗药</t>
  </si>
  <si>
    <t>Blinding Slash</t>
  </si>
  <si>
    <t>Taillade aveuglante</t>
  </si>
  <si>
    <t>Tajo cegador</t>
  </si>
  <si>
    <t>失明猛擊</t>
  </si>
  <si>
    <t>失明猛击</t>
  </si>
  <si>
    <t>Boorish Behavior</t>
  </si>
  <si>
    <t>Grossièreté</t>
  </si>
  <si>
    <t>Comportamiento grosero</t>
  </si>
  <si>
    <t>起鬨</t>
  </si>
  <si>
    <t>起开</t>
  </si>
  <si>
    <t>Bottle Toss</t>
  </si>
  <si>
    <t>Lancer de bouteille</t>
  </si>
  <si>
    <t>Lanzamiento de botella</t>
  </si>
  <si>
    <t>丟空瓶</t>
  </si>
  <si>
    <t>丢空瓶</t>
  </si>
  <si>
    <t>Bouquet Toss</t>
  </si>
  <si>
    <t>Lancer de bouquet</t>
  </si>
  <si>
    <t>Lanzamiento de ramo</t>
  </si>
  <si>
    <t>投擲花束</t>
  </si>
  <si>
    <t>投掷花束</t>
  </si>
  <si>
    <t>Brain Bash</t>
  </si>
  <si>
    <t>Choc cérébral</t>
  </si>
  <si>
    <t>Torta cerebral</t>
  </si>
  <si>
    <t>腦天擊</t>
  </si>
  <si>
    <t>脑天击</t>
  </si>
  <si>
    <t>Brush Toss</t>
  </si>
  <si>
    <t>Lancer de pinceau</t>
  </si>
  <si>
    <t>Lanzamiento de brocha</t>
  </si>
  <si>
    <t>全力投擲筆</t>
  </si>
  <si>
    <t>连续投掷笔</t>
  </si>
  <si>
    <t>Champion's Cleave</t>
  </si>
  <si>
    <t>Hache du champion</t>
  </si>
  <si>
    <t>Hacha de campeón</t>
  </si>
  <si>
    <t>王者的鐵鎚</t>
  </si>
  <si>
    <t>王者的铁锤</t>
  </si>
  <si>
    <t>Cheer On</t>
  </si>
  <si>
    <t>Motivation</t>
  </si>
  <si>
    <t>Animar</t>
  </si>
  <si>
    <t>支援</t>
  </si>
  <si>
    <t>Cleave in Two</t>
  </si>
  <si>
    <t>Tranchage</t>
  </si>
  <si>
    <t>Partir en dos</t>
  </si>
  <si>
    <t>一刀兩斷</t>
  </si>
  <si>
    <t>一刀两断</t>
  </si>
  <si>
    <t>Clenched Fist</t>
  </si>
  <si>
    <t>Poing serré</t>
  </si>
  <si>
    <t>Puño cerrado</t>
  </si>
  <si>
    <t>拳骨</t>
  </si>
  <si>
    <t>Concoct Explosive</t>
  </si>
  <si>
    <t>Préparation d'explosif</t>
  </si>
  <si>
    <t>Elaborar explosivo</t>
  </si>
  <si>
    <t>調合「炸裂爆藥」</t>
  </si>
  <si>
    <t>调和「炸裂爆药」</t>
  </si>
  <si>
    <t>Concoct Panacea</t>
  </si>
  <si>
    <t>Préparation de panacée</t>
  </si>
  <si>
    <t>Elaborar panacea</t>
  </si>
  <si>
    <t>【調和】全快藥</t>
  </si>
  <si>
    <t>【调和】全部恢复药</t>
  </si>
  <si>
    <t>Concoct Poison</t>
  </si>
  <si>
    <t>Préparation de poison</t>
  </si>
  <si>
    <t>Elaborar veneno</t>
  </si>
  <si>
    <t>【調和】毒藥</t>
  </si>
  <si>
    <t>【调和】毒药</t>
  </si>
  <si>
    <t>調合「猛毒藥」</t>
  </si>
  <si>
    <t>调和「猛毒药」</t>
  </si>
  <si>
    <t>Concoct Sedative</t>
  </si>
  <si>
    <t>Préparation de sédatif</t>
  </si>
  <si>
    <t>Elaborar sedante</t>
  </si>
  <si>
    <t>調合「睡眠藥」</t>
  </si>
  <si>
    <t>调和「睡眠药」</t>
  </si>
  <si>
    <t>Concoct Stimulant</t>
  </si>
  <si>
    <t>Préparation de stimulant</t>
  </si>
  <si>
    <t>Elaborar estimulante</t>
  </si>
  <si>
    <t>調合「增強藥」</t>
  </si>
  <si>
    <t>调和「增强药」</t>
  </si>
  <si>
    <t>Concoct: Freezing Agent</t>
  </si>
  <si>
    <t>Préparation d'agent glaçant</t>
  </si>
  <si>
    <t>Elaborar agente gélido</t>
  </si>
  <si>
    <t>【調和】冰凍</t>
  </si>
  <si>
    <t>【调和】冰冻</t>
  </si>
  <si>
    <t>Critical Eye</t>
  </si>
  <si>
    <t>Regard critique</t>
  </si>
  <si>
    <t>Ojo crítico</t>
  </si>
  <si>
    <t>暴擊提升</t>
  </si>
  <si>
    <t>暴击提升</t>
  </si>
  <si>
    <t>Golpe cruzado</t>
  </si>
  <si>
    <t>Crush and Grind</t>
  </si>
  <si>
    <t>Broyeur</t>
  </si>
  <si>
    <t>Aplastar y moler</t>
  </si>
  <si>
    <t>粉碎</t>
  </si>
  <si>
    <t>Cure Blindness</t>
  </si>
  <si>
    <t>Guérison de cécité</t>
  </si>
  <si>
    <t>Curar ceguera</t>
  </si>
  <si>
    <t>暗闇治療藥</t>
  </si>
  <si>
    <t>暗暗治疗药</t>
  </si>
  <si>
    <t>Cure Poison</t>
  </si>
  <si>
    <t>Guérison de poison</t>
  </si>
  <si>
    <t>Curar veneno</t>
  </si>
  <si>
    <t>毒治療藥</t>
  </si>
  <si>
    <t>毒治疗药</t>
  </si>
  <si>
    <t>Cure Silence</t>
  </si>
  <si>
    <t>Guérison de silence</t>
  </si>
  <si>
    <t>Curar silencio</t>
  </si>
  <si>
    <t>沉默治療藥</t>
  </si>
  <si>
    <t>沉默治疗药</t>
  </si>
  <si>
    <t>Dagger Storm</t>
  </si>
  <si>
    <t>Tempête de dagues</t>
  </si>
  <si>
    <t>Tormenta de dagas</t>
  </si>
  <si>
    <t>全力投擲短劍</t>
  </si>
  <si>
    <t>连掷短剑</t>
  </si>
  <si>
    <t>Deep Breath</t>
  </si>
  <si>
    <t>Profonde inspiration</t>
  </si>
  <si>
    <t>Respiración profunda</t>
  </si>
  <si>
    <t>氣息技能</t>
  </si>
  <si>
    <t>技能的气息</t>
  </si>
  <si>
    <t>Defense Down</t>
  </si>
  <si>
    <t>Défense -</t>
  </si>
  <si>
    <t>Menos defensa</t>
  </si>
  <si>
    <t>防禦力下降</t>
  </si>
  <si>
    <t>防御力下降</t>
  </si>
  <si>
    <t>Defensive Posture</t>
  </si>
  <si>
    <t>Posture défensive</t>
  </si>
  <si>
    <t>Posición defensiva</t>
  </si>
  <si>
    <t>防禦架式</t>
  </si>
  <si>
    <t>防御架式</t>
  </si>
  <si>
    <t>Demon Blade</t>
  </si>
  <si>
    <t>Lame démoniaque</t>
  </si>
  <si>
    <t>Espada demoníaca</t>
  </si>
  <si>
    <t>魔劍</t>
  </si>
  <si>
    <t>魔剑</t>
  </si>
  <si>
    <t>Double Spear</t>
  </si>
  <si>
    <t>Lance double</t>
  </si>
  <si>
    <t>Lanza doble</t>
  </si>
  <si>
    <t>二連掃</t>
  </si>
  <si>
    <t>二连扫</t>
  </si>
  <si>
    <t>Drunken Blade</t>
  </si>
  <si>
    <t>Lame enivrée</t>
  </si>
  <si>
    <t>Espada borracha</t>
  </si>
  <si>
    <t>醉劍</t>
  </si>
  <si>
    <t>醉剑</t>
  </si>
  <si>
    <t>Dump Flour</t>
  </si>
  <si>
    <t>Lancer de farine</t>
  </si>
  <si>
    <t>Tirar harina</t>
  </si>
  <si>
    <t>撒上小麥粉</t>
  </si>
  <si>
    <t>撒上小麦粉</t>
  </si>
  <si>
    <t>Encourage</t>
  </si>
  <si>
    <t>Encouragement</t>
  </si>
  <si>
    <t>Alentar</t>
  </si>
  <si>
    <t>激勵</t>
  </si>
  <si>
    <t>激励</t>
  </si>
  <si>
    <t>Exotic Spices</t>
  </si>
  <si>
    <t>Spezie esotiche</t>
  </si>
  <si>
    <t>Épices exotiques</t>
  </si>
  <si>
    <t>Especias exóticas</t>
  </si>
  <si>
    <t>南國的調味料</t>
  </si>
  <si>
    <t>南国的调味料</t>
  </si>
  <si>
    <t>Exploit Weakness</t>
  </si>
  <si>
    <t>Abus de faiblesse</t>
  </si>
  <si>
    <t>Explotar debilidad</t>
  </si>
  <si>
    <t>要害突刺</t>
  </si>
  <si>
    <t>Extort</t>
  </si>
  <si>
    <t>Extorsionar</t>
  </si>
  <si>
    <t>恐嚇</t>
  </si>
  <si>
    <t>恐吓</t>
  </si>
  <si>
    <t>Flambé</t>
  </si>
  <si>
    <t>Flambage</t>
  </si>
  <si>
    <t>Flambear</t>
  </si>
  <si>
    <t>加酒點燃</t>
  </si>
  <si>
    <t>加酒点燃</t>
  </si>
  <si>
    <t>Flurry</t>
  </si>
  <si>
    <t>Rafale</t>
  </si>
  <si>
    <t>Nevisca</t>
  </si>
  <si>
    <t>掃射</t>
  </si>
  <si>
    <t>乱射</t>
  </si>
  <si>
    <t>Focus</t>
  </si>
  <si>
    <t>Concentration</t>
  </si>
  <si>
    <t>Concentración</t>
  </si>
  <si>
    <t>精神統一</t>
  </si>
  <si>
    <t>精神统一</t>
  </si>
  <si>
    <t>Focus Spirit</t>
  </si>
  <si>
    <t>Concentration mentale</t>
  </si>
  <si>
    <t>Concentrar espíritu</t>
  </si>
  <si>
    <t>鼓動技能</t>
  </si>
  <si>
    <t>鼓动技能</t>
  </si>
  <si>
    <t>Fresh from the Oven</t>
  </si>
  <si>
    <t>Fraîchement cuit</t>
  </si>
  <si>
    <t>Salido del horno</t>
  </si>
  <si>
    <t>剛出爐的麵包</t>
  </si>
  <si>
    <t>刚出炉的面包</t>
  </si>
  <si>
    <t>Full Enfeeblement</t>
  </si>
  <si>
    <t>Affaiblissement total</t>
  </si>
  <si>
    <t>Debilitación completa</t>
  </si>
  <si>
    <t>全部下降</t>
  </si>
  <si>
    <t>Full Recover</t>
  </si>
  <si>
    <t>Récupération totale</t>
  </si>
  <si>
    <t>Recuperación completa</t>
  </si>
  <si>
    <t>ＨＰ全體恢復的特大技能</t>
  </si>
  <si>
    <t>恢复全体ＨＰ的特大技能</t>
  </si>
  <si>
    <t>Full Swing</t>
  </si>
  <si>
    <t>Balayage</t>
  </si>
  <si>
    <t>Giro completo</t>
  </si>
  <si>
    <t>全力斬</t>
  </si>
  <si>
    <t>全力斩击</t>
  </si>
  <si>
    <t>Gentle Cradle</t>
  </si>
  <si>
    <t>Douce étreinte</t>
  </si>
  <si>
    <t>Cuna amable</t>
  </si>
  <si>
    <t>療癒的搖籃</t>
  </si>
  <si>
    <t>疗愈的摇篮</t>
  </si>
  <si>
    <t>Grog Spit</t>
  </si>
  <si>
    <t>Crachat de grog</t>
  </si>
  <si>
    <t>Escupir grog</t>
  </si>
  <si>
    <t>全力投擲酒</t>
  </si>
  <si>
    <t>全力投掷酒</t>
  </si>
  <si>
    <t>Guillotine</t>
  </si>
  <si>
    <t>Guillotina</t>
  </si>
  <si>
    <t>斬首</t>
  </si>
  <si>
    <t>斩首</t>
  </si>
  <si>
    <t>Head Bash</t>
  </si>
  <si>
    <t>Coup de tête</t>
  </si>
  <si>
    <t>Cabezazo</t>
  </si>
  <si>
    <t>重拳</t>
  </si>
  <si>
    <t>恢复ＨＰ的葡萄</t>
  </si>
  <si>
    <t>恢复ＨＰ的葡萄（大）</t>
  </si>
  <si>
    <t>Health for All</t>
  </si>
  <si>
    <t>Santé pour tous</t>
  </si>
  <si>
    <t>Salud para todos</t>
  </si>
  <si>
    <t>ＨＰ全體恢復的技能</t>
  </si>
  <si>
    <t>恢复全体ＨＰ的技能</t>
  </si>
  <si>
    <t>Hearty Encouragement</t>
  </si>
  <si>
    <t>Encouragement amical</t>
  </si>
  <si>
    <t>Estímulo cordial</t>
  </si>
  <si>
    <t>High Thrust</t>
  </si>
  <si>
    <t>Coup d'estoc haut</t>
  </si>
  <si>
    <t>Empujón alto</t>
  </si>
  <si>
    <t>高速推進</t>
  </si>
  <si>
    <t>高速推进</t>
  </si>
  <si>
    <t>Hurl Diary</t>
  </si>
  <si>
    <t>Projection de journal</t>
  </si>
  <si>
    <t>Lanzamiento de periódico</t>
  </si>
  <si>
    <t>全力投擲日記</t>
  </si>
  <si>
    <t>全力投掷日记</t>
  </si>
  <si>
    <t>Hya!</t>
  </si>
  <si>
    <t>¡Jia!</t>
  </si>
  <si>
    <t>嗯！</t>
  </si>
  <si>
    <t>Hya! Hya!</t>
  </si>
  <si>
    <t>¡Jia! ¡Jia!</t>
  </si>
  <si>
    <t>嗯！嗯！</t>
  </si>
  <si>
    <t>Hya! Hya! Hya!</t>
  </si>
  <si>
    <t>¡Jia! ¡Jia! ¡Jia!</t>
  </si>
  <si>
    <t>嗯！嗯！嗯！</t>
  </si>
  <si>
    <t>Ice Storm</t>
  </si>
  <si>
    <t>Tempête de glace</t>
  </si>
  <si>
    <t>Tormenta de hielo</t>
  </si>
  <si>
    <t>Vento glaciale</t>
  </si>
  <si>
    <t>Improved Offense</t>
  </si>
  <si>
    <t>Attaque améliorée</t>
  </si>
  <si>
    <t>Ataque mejorado</t>
  </si>
  <si>
    <t>攻擊力提升</t>
  </si>
  <si>
    <t>攻击力提升</t>
  </si>
  <si>
    <t>Inhibit Defense</t>
  </si>
  <si>
    <t>Défense affaiblie</t>
  </si>
  <si>
    <t>Impedir defensa</t>
  </si>
  <si>
    <t>Inhibit Offense</t>
  </si>
  <si>
    <t>Attaque affaiblie</t>
  </si>
  <si>
    <t>Impedir ataque</t>
  </si>
  <si>
    <t>攻擊力下降</t>
  </si>
  <si>
    <t>攻击力下降</t>
  </si>
  <si>
    <t>恢复ＳＰ的李子</t>
  </si>
  <si>
    <t>Kick</t>
  </si>
  <si>
    <t>Coup de pied</t>
  </si>
  <si>
    <t>Patada</t>
  </si>
  <si>
    <t>腳踢</t>
  </si>
  <si>
    <t>脚踢</t>
  </si>
  <si>
    <t>Rayo</t>
  </si>
  <si>
    <t>Lightning Storm</t>
  </si>
  <si>
    <t>Orage</t>
  </si>
  <si>
    <t>Tormenta de rayos</t>
  </si>
  <si>
    <t>Lightning Strike</t>
  </si>
  <si>
    <t>Frappe éclair</t>
  </si>
  <si>
    <t>Golpe eléctrico</t>
  </si>
  <si>
    <t>疾風二連突刺</t>
  </si>
  <si>
    <t>疾风二连突刺</t>
  </si>
  <si>
    <t>Manure Toss</t>
  </si>
  <si>
    <t>Lancer de fumier</t>
  </si>
  <si>
    <t>Lanzamiento de estiércol</t>
  </si>
  <si>
    <t>投擲肥料</t>
  </si>
  <si>
    <t>投掷肥料</t>
  </si>
  <si>
    <t>Mental Augmentation</t>
  </si>
  <si>
    <t>Augmentation mentale</t>
  </si>
  <si>
    <t>Aumento mental</t>
  </si>
  <si>
    <t>Mental Degradation</t>
  </si>
  <si>
    <t>Dégradation mentale</t>
  </si>
  <si>
    <t>Degradación mental</t>
  </si>
  <si>
    <t>精神下降</t>
  </si>
  <si>
    <t>Mighty Blow</t>
  </si>
  <si>
    <t>Coup brutal</t>
  </si>
  <si>
    <t>Golpe increíble</t>
  </si>
  <si>
    <t>強擊</t>
  </si>
  <si>
    <t>强击</t>
  </si>
  <si>
    <t>極擊</t>
  </si>
  <si>
    <t>极击</t>
  </si>
  <si>
    <t>能量拳</t>
  </si>
  <si>
    <t>波動拳</t>
  </si>
  <si>
    <t>波动拳</t>
  </si>
  <si>
    <t>More Health for All</t>
  </si>
  <si>
    <t>Santé supérieure pour tous</t>
  </si>
  <si>
    <t>Más salud para todos</t>
  </si>
  <si>
    <t>ＨＰ全體恢復的大技能</t>
  </si>
  <si>
    <t>恢复全体ＨＰ的大技能</t>
  </si>
  <si>
    <t>Noisome Breath</t>
  </si>
  <si>
    <t>Souffle nocif</t>
  </si>
  <si>
    <t>Aliento fétido</t>
  </si>
  <si>
    <t>臭氣</t>
  </si>
  <si>
    <t>臭气</t>
  </si>
  <si>
    <t>Offense Down</t>
  </si>
  <si>
    <t>Attack -</t>
  </si>
  <si>
    <t>Menos ataque</t>
  </si>
  <si>
    <t>Overhead Swing</t>
  </si>
  <si>
    <t>Frappe écrasante</t>
  </si>
  <si>
    <t>Giro elevado</t>
  </si>
  <si>
    <t>直劈而下</t>
  </si>
  <si>
    <t>Palette Toss</t>
  </si>
  <si>
    <t>Lancer de palette</t>
  </si>
  <si>
    <t>Lanzamiento de paleta</t>
  </si>
  <si>
    <t>投擲畫具</t>
  </si>
  <si>
    <t>投掷面具</t>
  </si>
  <si>
    <t>Panacea</t>
  </si>
  <si>
    <t>Panacée</t>
  </si>
  <si>
    <t>萬能藥</t>
  </si>
  <si>
    <t>万能药</t>
  </si>
  <si>
    <t>Panic Arrow</t>
  </si>
  <si>
    <t>Flèche affolante</t>
  </si>
  <si>
    <t>Flecha de pánico</t>
  </si>
  <si>
    <t>恐慌之矢</t>
  </si>
  <si>
    <t>Panic Slash</t>
  </si>
  <si>
    <t>Taillade affolante</t>
  </si>
  <si>
    <t>Tajo de pánico</t>
  </si>
  <si>
    <t>恐慌猛擊</t>
  </si>
  <si>
    <t>恐慌猛击</t>
  </si>
  <si>
    <t>Peerless Strike</t>
  </si>
  <si>
    <t>Frappe incomparable</t>
  </si>
  <si>
    <t>Golpe perfecto</t>
  </si>
  <si>
    <t>無雙突刺</t>
  </si>
  <si>
    <t>无双突刺</t>
  </si>
  <si>
    <t>Physical Degradation</t>
  </si>
  <si>
    <t>Dégradation physique</t>
  </si>
  <si>
    <t>Degradación física</t>
  </si>
  <si>
    <t>物理下降</t>
  </si>
  <si>
    <t>Pirates' Bane</t>
  </si>
  <si>
    <t>Fléau des pirates</t>
  </si>
  <si>
    <t>La perdición del pirata</t>
  </si>
  <si>
    <t>海盜殺手之重擊</t>
  </si>
  <si>
    <t>海盗杀手之重击</t>
  </si>
  <si>
    <t>Pointed Shot</t>
  </si>
  <si>
    <t>Tir cinglant</t>
  </si>
  <si>
    <t>Tiro apuntado</t>
  </si>
  <si>
    <t>精準射擊</t>
  </si>
  <si>
    <t>精准射击</t>
  </si>
  <si>
    <t>Poison</t>
  </si>
  <si>
    <t>Veneno</t>
  </si>
  <si>
    <t>毒藥</t>
  </si>
  <si>
    <t>毒药</t>
  </si>
  <si>
    <t>Poison Arrow</t>
  </si>
  <si>
    <t>Flèche empoisonnée</t>
  </si>
  <si>
    <t>Flecha venenosa</t>
  </si>
  <si>
    <t>劇毒之矢</t>
  </si>
  <si>
    <t>剧毒之矢</t>
  </si>
  <si>
    <t>Poison Dust</t>
  </si>
  <si>
    <t>Poudre empoisonnée</t>
  </si>
  <si>
    <t>Polvo venenoso</t>
  </si>
  <si>
    <t>毒粉</t>
  </si>
  <si>
    <t>Poison Slash</t>
  </si>
  <si>
    <t>Taillade empoisonnée</t>
  </si>
  <si>
    <t>Tajo venenoso</t>
  </si>
  <si>
    <t>劇毒猛擊</t>
  </si>
  <si>
    <t>剧毒猛击</t>
  </si>
  <si>
    <t>Prayer</t>
  </si>
  <si>
    <t>Prière</t>
  </si>
  <si>
    <t>Plegaria</t>
  </si>
  <si>
    <t>祈禱</t>
  </si>
  <si>
    <t>祈祷</t>
  </si>
  <si>
    <t>Prelude to Romance</t>
  </si>
  <si>
    <t>Prélude romantique</t>
  </si>
  <si>
    <t>Preludio romántico</t>
  </si>
  <si>
    <t>戀愛的前奏曲</t>
  </si>
  <si>
    <t>恋爱的前奏曲</t>
  </si>
  <si>
    <t>Pummel</t>
  </si>
  <si>
    <t>Volée de coups</t>
  </si>
  <si>
    <t>Aporrear</t>
  </si>
  <si>
    <t>毆打</t>
  </si>
  <si>
    <t>殴打</t>
  </si>
  <si>
    <t>Punch</t>
  </si>
  <si>
    <t>Coup de poing</t>
  </si>
  <si>
    <t>Puñetazo</t>
  </si>
  <si>
    <t>Questionable Substance</t>
  </si>
  <si>
    <t>Substance douteuse</t>
  </si>
  <si>
    <t>Sustancia cuestionable</t>
  </si>
  <si>
    <t>漲滿的東西</t>
  </si>
  <si>
    <t>盛满的什么东西</t>
  </si>
  <si>
    <t>Rag Toss</t>
  </si>
  <si>
    <t>Lancer de chiffon</t>
  </si>
  <si>
    <t>Lanzamiento de trapo</t>
  </si>
  <si>
    <t>投擲抹布</t>
  </si>
  <si>
    <t>投掷抹布</t>
  </si>
  <si>
    <t>Rare</t>
  </si>
  <si>
    <t>Saignant</t>
  </si>
  <si>
    <t>Sangrado</t>
  </si>
  <si>
    <t>一分熟</t>
  </si>
  <si>
    <t>Repeated Strike</t>
  </si>
  <si>
    <t>Frappe répétée</t>
  </si>
  <si>
    <t>Golpe repetido</t>
  </si>
  <si>
    <t>連續斬</t>
  </si>
  <si>
    <t>连续斩</t>
  </si>
  <si>
    <t>連環突刺</t>
  </si>
  <si>
    <t>连环突刺</t>
  </si>
  <si>
    <t>ＨＰ療癒</t>
  </si>
  <si>
    <t>ＨＰ疗愈</t>
  </si>
  <si>
    <t>Rhapsody of Love</t>
  </si>
  <si>
    <t>Rhapsodie de l'amour</t>
  </si>
  <si>
    <t>Rapsodia de amor</t>
  </si>
  <si>
    <t>愛的狂想曲</t>
  </si>
  <si>
    <t>爱的狂想曲</t>
  </si>
  <si>
    <t>Sand Toss</t>
  </si>
  <si>
    <t>Lancer de sable</t>
  </si>
  <si>
    <t>Lanzamiento de arena</t>
  </si>
  <si>
    <t>投擲沙</t>
  </si>
  <si>
    <t>投掷沙</t>
  </si>
  <si>
    <t>Sculpture Toss</t>
  </si>
  <si>
    <t>Lancer de sculpture</t>
  </si>
  <si>
    <t>Lanzamiento de escultura</t>
  </si>
  <si>
    <t>全力投擲雕刻刀</t>
  </si>
  <si>
    <t>连掷雕刻刀</t>
  </si>
  <si>
    <t>Shady Substance</t>
  </si>
  <si>
    <t>Substance louche</t>
  </si>
  <si>
    <t>Sustancia dudosa</t>
  </si>
  <si>
    <t>可疑的東西</t>
  </si>
  <si>
    <t>可疑的什么东西</t>
  </si>
  <si>
    <t>Sharpen</t>
  </si>
  <si>
    <t>Affûtage</t>
  </si>
  <si>
    <t>Afilar</t>
  </si>
  <si>
    <t>研磨</t>
  </si>
  <si>
    <t>Shatter and Smash</t>
  </si>
  <si>
    <t>Fracassement</t>
  </si>
  <si>
    <t>Destrozar y aplastar</t>
  </si>
  <si>
    <t>七零八落斬</t>
  </si>
  <si>
    <t>七零八落斩</t>
  </si>
  <si>
    <t>猛擊</t>
  </si>
  <si>
    <t>猛击</t>
  </si>
  <si>
    <t>Ronce-de-nuit</t>
  </si>
  <si>
    <t>睡眠藥</t>
  </si>
  <si>
    <t>睡眠药</t>
  </si>
  <si>
    <t>Slice</t>
  </si>
  <si>
    <t>Entaille</t>
  </si>
  <si>
    <t>Rebanar</t>
  </si>
  <si>
    <t>斬擊</t>
  </si>
  <si>
    <t>斩击</t>
  </si>
  <si>
    <t>Slice and Dice</t>
  </si>
  <si>
    <t>Découpage</t>
  </si>
  <si>
    <t>切塊</t>
  </si>
  <si>
    <t>切块</t>
  </si>
  <si>
    <t>Slow Motion</t>
  </si>
  <si>
    <t>Ralenti</t>
  </si>
  <si>
    <t>Cámara lenta</t>
  </si>
  <si>
    <t>速度下降</t>
  </si>
  <si>
    <t>Slumber Arrow</t>
  </si>
  <si>
    <t>Flèche narcotique</t>
  </si>
  <si>
    <t>Flecha adormecedora</t>
  </si>
  <si>
    <t>睡眠之矢</t>
  </si>
  <si>
    <t>Slumber Slash</t>
  </si>
  <si>
    <t>Taillade narcotique</t>
  </si>
  <si>
    <t>Tajo adormecedor</t>
  </si>
  <si>
    <t>睡眠猛擊</t>
  </si>
  <si>
    <t>睡眠猛击</t>
  </si>
  <si>
    <t>Speed Enhancement</t>
  </si>
  <si>
    <t>Amélioration de vitesse</t>
  </si>
  <si>
    <t>Mejora de velocidad</t>
  </si>
  <si>
    <t>速度提升</t>
  </si>
  <si>
    <t>Spirited Dance</t>
  </si>
  <si>
    <t>Danse endiablée</t>
  </si>
  <si>
    <t>Danza enérgica</t>
  </si>
  <si>
    <t>活力之舞</t>
  </si>
  <si>
    <t>突刺</t>
  </si>
  <si>
    <t>Défense d'acier</t>
  </si>
  <si>
    <t>Stunning Strike</t>
  </si>
  <si>
    <t>Frappe étourdissante</t>
  </si>
  <si>
    <t>Golpe aturdidor</t>
  </si>
  <si>
    <t>一閃</t>
  </si>
  <si>
    <t>一闪</t>
  </si>
  <si>
    <t>Summon Winds</t>
  </si>
  <si>
    <t>Invocation des vents</t>
  </si>
  <si>
    <t>Invocar vientos</t>
  </si>
  <si>
    <t>引起龍捲風</t>
  </si>
  <si>
    <t>卷起龙卷风</t>
  </si>
  <si>
    <t>Sweep</t>
  </si>
  <si>
    <t>Coup large</t>
  </si>
  <si>
    <t>Barrido</t>
  </si>
  <si>
    <t>橫掃</t>
  </si>
  <si>
    <t>横扫</t>
  </si>
  <si>
    <t>Sweeping Slash</t>
  </si>
  <si>
    <t>Taillade déferlante</t>
  </si>
  <si>
    <t>Tajo arrasador</t>
  </si>
  <si>
    <t>亂斬</t>
  </si>
  <si>
    <t>乱斩</t>
  </si>
  <si>
    <t>Textbook Toss</t>
  </si>
  <si>
    <t>Lancer de manuel</t>
  </si>
  <si>
    <t>Lanzamiento de manual</t>
  </si>
  <si>
    <t>投擲教科書</t>
  </si>
  <si>
    <t>投掷教科书</t>
  </si>
  <si>
    <t>Thrash</t>
  </si>
  <si>
    <t>Rossée</t>
  </si>
  <si>
    <t>Aplastar</t>
  </si>
  <si>
    <t>亂揮</t>
  </si>
  <si>
    <t>乱挥</t>
  </si>
  <si>
    <t>Tome Tempest</t>
  </si>
  <si>
    <t>Tempête de livres</t>
  </si>
  <si>
    <t>Tempestad de libros</t>
  </si>
  <si>
    <t>全力投擲書本</t>
  </si>
  <si>
    <t>全力投掷书本</t>
  </si>
  <si>
    <t>Tome Toss</t>
  </si>
  <si>
    <t>Lancer de livres</t>
  </si>
  <si>
    <t>Lanzamiento de libro</t>
  </si>
  <si>
    <t>投擲書本</t>
  </si>
  <si>
    <t>投掷书本</t>
  </si>
  <si>
    <t>Too wounded to move...</t>
  </si>
  <si>
    <t>Ses blessures l'immobilisent</t>
  </si>
  <si>
    <t>Las heridas inmovilizan...</t>
  </si>
  <si>
    <t>因為受傷無法動彈。</t>
  </si>
  <si>
    <t>因为受伤无法动弹。</t>
  </si>
  <si>
    <t>Toss Diary</t>
  </si>
  <si>
    <t>Lancer de journal</t>
  </si>
  <si>
    <t>Lanzamiento de diario</t>
  </si>
  <si>
    <t>投擲日記</t>
  </si>
  <si>
    <t>投掷日记</t>
  </si>
  <si>
    <t>Triple Strike</t>
  </si>
  <si>
    <t>Triple frappe</t>
  </si>
  <si>
    <t>Golpe triple</t>
  </si>
  <si>
    <t>３連斬</t>
  </si>
  <si>
    <t>３连斩</t>
  </si>
  <si>
    <t>Unrequited Etude</t>
  </si>
  <si>
    <t>Étude univoque</t>
  </si>
  <si>
    <t>Estudio despechado</t>
  </si>
  <si>
    <t>痛苦的練習曲</t>
  </si>
  <si>
    <t>痛苦的练习曲</t>
  </si>
  <si>
    <t>特大疾風魔法</t>
  </si>
  <si>
    <t>特大疾风魔法</t>
  </si>
  <si>
    <t>Well Done</t>
  </si>
  <si>
    <t>Bien cuit</t>
  </si>
  <si>
    <t>Bien hecho</t>
  </si>
  <si>
    <t>全熟</t>
  </si>
  <si>
    <t>Whirlwind Strike</t>
  </si>
  <si>
    <t>Frappe tournoyante</t>
  </si>
  <si>
    <t>Golpe de torbellino</t>
  </si>
  <si>
    <t>神風５連突刺</t>
  </si>
  <si>
    <t>神风５连突刺</t>
  </si>
  <si>
    <t>Wind Blast</t>
  </si>
  <si>
    <t>Bourrasque</t>
  </si>
  <si>
    <t>Borrasca</t>
  </si>
  <si>
    <t>疾風魔法</t>
  </si>
  <si>
    <t>疾风魔法</t>
  </si>
  <si>
    <t>Wisdom of the Church</t>
  </si>
  <si>
    <t>Sagesse de l'Église</t>
  </si>
  <si>
    <t>Sabiduría de la Iglesia</t>
  </si>
  <si>
    <t>聖職者的哲學</t>
  </si>
  <si>
    <t>圣职者的哲学</t>
  </si>
  <si>
    <t>Attributes</t>
  </si>
  <si>
    <t>Attributi</t>
  </si>
  <si>
    <t>Attributs</t>
  </si>
  <si>
    <t>能力值</t>
  </si>
  <si>
    <t>パラメータ</t>
  </si>
  <si>
    <t>Lv.</t>
  </si>
  <si>
    <t>Niv.</t>
  </si>
  <si>
    <t>Nv.</t>
  </si>
  <si>
    <t>等級</t>
  </si>
  <si>
    <t>等级</t>
  </si>
  <si>
    <t>Max. HP</t>
  </si>
  <si>
    <t>PV max</t>
  </si>
  <si>
    <t>PV máx.</t>
  </si>
  <si>
    <t>最大ＨＰ</t>
  </si>
  <si>
    <t>Max. SP</t>
  </si>
  <si>
    <t>PA max</t>
  </si>
  <si>
    <t>PT max</t>
  </si>
  <si>
    <t>PH máx.</t>
  </si>
  <si>
    <t>最大ＳＰ</t>
  </si>
  <si>
    <t>Phys. Atk.</t>
  </si>
  <si>
    <t>Att. Fis.</t>
  </si>
  <si>
    <t>ATT P</t>
  </si>
  <si>
    <t>Atq. fís.</t>
  </si>
  <si>
    <t>物理攻擊力</t>
  </si>
  <si>
    <t>物理攻击力</t>
  </si>
  <si>
    <t>物理攻撃力</t>
  </si>
  <si>
    <t>Elem. Atk.</t>
  </si>
  <si>
    <t>Att. Elem</t>
  </si>
  <si>
    <t>ATT Élem.</t>
  </si>
  <si>
    <t>Atq. elem.</t>
  </si>
  <si>
    <t>屬性攻擊力</t>
  </si>
  <si>
    <t>属性攻击力</t>
  </si>
  <si>
    <t>属性攻撃力</t>
  </si>
  <si>
    <t>Phys. Def.</t>
  </si>
  <si>
    <t>Dif. Fis.</t>
  </si>
  <si>
    <t>DÉF P</t>
  </si>
  <si>
    <t>Def. fís.</t>
  </si>
  <si>
    <t>物理防禦力</t>
  </si>
  <si>
    <t>物理防御力</t>
  </si>
  <si>
    <t>Elem. Def.</t>
  </si>
  <si>
    <t>Dif. Elem</t>
  </si>
  <si>
    <t>DÉF Élem.</t>
  </si>
  <si>
    <t>Def. elem.</t>
  </si>
  <si>
    <t>屬性防禦力</t>
  </si>
  <si>
    <t>属性防御力</t>
  </si>
  <si>
    <t>Accuracy</t>
  </si>
  <si>
    <t>Precisione</t>
  </si>
  <si>
    <t>Précision</t>
  </si>
  <si>
    <t>Precisión</t>
  </si>
  <si>
    <t>命中</t>
  </si>
  <si>
    <t>Speed</t>
  </si>
  <si>
    <t>Velocità</t>
  </si>
  <si>
    <t>Vitesse</t>
  </si>
  <si>
    <t>Velocidad</t>
  </si>
  <si>
    <t>行動速度</t>
  </si>
  <si>
    <t>行动速度</t>
  </si>
  <si>
    <t>Critical</t>
  </si>
  <si>
    <t>Critico</t>
  </si>
  <si>
    <t>Critique</t>
  </si>
  <si>
    <t>Crítico</t>
  </si>
  <si>
    <t>暴擊</t>
  </si>
  <si>
    <t>暴击</t>
  </si>
  <si>
    <t>クリティカル</t>
  </si>
  <si>
    <t>Evasion</t>
  </si>
  <si>
    <t>Schivata</t>
  </si>
  <si>
    <t>Esquive</t>
  </si>
  <si>
    <t>Evasión</t>
  </si>
  <si>
    <t>迴避</t>
  </si>
  <si>
    <t>回避</t>
  </si>
  <si>
    <t>Devourer of Dreams</t>
    <phoneticPr fontId="65" type="noConversion"/>
  </si>
  <si>
    <t>H</t>
    <phoneticPr fontId="65" type="noConversion"/>
  </si>
  <si>
    <r>
      <rPr>
        <b/>
        <sz val="10"/>
        <color theme="1"/>
        <rFont val="Arial"/>
        <family val="3"/>
        <charset val="134"/>
        <scheme val="minor"/>
      </rPr>
      <t>状态效果：秒杀（对</t>
    </r>
    <r>
      <rPr>
        <b/>
        <sz val="10"/>
        <color theme="1"/>
        <rFont val="Arial"/>
        <family val="2"/>
        <scheme val="minor"/>
      </rPr>
      <t>boss</t>
    </r>
    <r>
      <rPr>
        <b/>
        <sz val="10"/>
        <color theme="1"/>
        <rFont val="Arial"/>
        <family val="3"/>
        <charset val="134"/>
        <scheme val="minor"/>
      </rPr>
      <t>和</t>
    </r>
    <r>
      <rPr>
        <b/>
        <sz val="10"/>
        <color theme="1"/>
        <rFont val="Arial"/>
        <family val="2"/>
        <scheme val="minor"/>
      </rPr>
      <t>NPC</t>
    </r>
    <r>
      <rPr>
        <b/>
        <sz val="10"/>
        <color theme="1"/>
        <rFont val="Arial"/>
        <family val="3"/>
        <charset val="134"/>
        <scheme val="minor"/>
      </rPr>
      <t>无效）</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</si>
</sst>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76" formatCode="#,##0&quot;$&quot;"/>
  </numFmts>
  <fonts count="70" x14ac:knownFonts="1">
    <font>
      <sz val="10"/>
      <color rgb="FF000000"/>
      <name val="Arial"/>
      <scheme val="minor"/>
    </font>
    <font>
      <b/>
      <sz val="12"/>
      <color rgb="FFFFFFFF"/>
      <name val="Arial"/>
      <scheme val="minor"/>
    </font>
    <font>
      <b/>
      <u/>
      <sz val="12"/>
      <color rgb="FFFFFFFF"/>
      <name val="Arial"/>
    </font>
    <font>
      <b/>
      <u/>
      <sz val="12"/>
      <color rgb="FFFFFFFF"/>
      <name val="Arial"/>
    </font>
    <font>
      <b/>
      <u/>
      <sz val="12"/>
      <color rgb="FFFFFFFF"/>
      <name val="Arial"/>
    </font>
    <font>
      <b/>
      <u/>
      <sz val="12"/>
      <color rgb="FFFFFFFF"/>
      <name val="Arial"/>
    </font>
    <font>
      <b/>
      <u/>
      <sz val="12"/>
      <color rgb="FFFFFFFF"/>
      <name val="Arial"/>
    </font>
    <font>
      <sz val="10"/>
      <name val="Arial"/>
    </font>
    <font>
      <b/>
      <sz val="18"/>
      <color rgb="FFFFFFFF"/>
      <name val="Arial"/>
      <scheme val="minor"/>
    </font>
    <font>
      <b/>
      <sz val="10"/>
      <color rgb="FFFFFFFF"/>
      <name val="Arial"/>
      <scheme val="minor"/>
    </font>
    <font>
      <b/>
      <sz val="14"/>
      <color rgb="FFFFFFFF"/>
      <name val="Arial"/>
      <scheme val="minor"/>
    </font>
    <font>
      <b/>
      <sz val="10"/>
      <color rgb="FF1C4587"/>
      <name val="Arial"/>
      <scheme val="minor"/>
    </font>
    <font>
      <b/>
      <sz val="10"/>
      <color rgb="FFFFFFFF"/>
      <name val="Arial"/>
    </font>
    <font>
      <b/>
      <sz val="10"/>
      <color rgb="FF1C4587"/>
      <name val="Arial"/>
    </font>
    <font>
      <sz val="10"/>
      <color rgb="FFFFFFFF"/>
      <name val="Arial"/>
      <scheme val="minor"/>
    </font>
    <font>
      <b/>
      <sz val="10"/>
      <color theme="1"/>
      <name val="Arial"/>
      <scheme val="minor"/>
    </font>
    <font>
      <b/>
      <sz val="10"/>
      <color rgb="FF073763"/>
      <name val="Arial"/>
      <scheme val="minor"/>
    </font>
    <font>
      <b/>
      <sz val="10"/>
      <color rgb="FF1C4587"/>
      <name val="Arial"/>
    </font>
    <font>
      <b/>
      <sz val="10"/>
      <color rgb="FF000000"/>
      <name val="Arial"/>
    </font>
    <font>
      <b/>
      <sz val="10"/>
      <color rgb="FF274E13"/>
      <name val="Arial"/>
      <scheme val="minor"/>
    </font>
    <font>
      <b/>
      <sz val="10"/>
      <color rgb="FF274E13"/>
      <name val="Arial"/>
    </font>
    <font>
      <b/>
      <sz val="10"/>
      <color rgb="FF000000"/>
      <name val="Arial"/>
      <scheme val="minor"/>
    </font>
    <font>
      <b/>
      <sz val="10"/>
      <color rgb="FF783F04"/>
      <name val="Arial"/>
      <scheme val="minor"/>
    </font>
    <font>
      <b/>
      <sz val="10"/>
      <color rgb="FF783F04"/>
      <name val="Arial"/>
    </font>
    <font>
      <b/>
      <sz val="10"/>
      <color rgb="FF7F6000"/>
      <name val="Arial"/>
      <scheme val="minor"/>
    </font>
    <font>
      <b/>
      <sz val="10"/>
      <color rgb="FF7F6000"/>
      <name val="Arial"/>
    </font>
    <font>
      <sz val="10"/>
      <color theme="1"/>
      <name val="Arial"/>
      <scheme val="minor"/>
    </font>
    <font>
      <b/>
      <sz val="10"/>
      <color rgb="FF274E13"/>
      <name val="Arial"/>
    </font>
    <font>
      <b/>
      <sz val="12"/>
      <color rgb="FFFFFFFF"/>
      <name val="Arial"/>
    </font>
    <font>
      <b/>
      <u/>
      <sz val="12"/>
      <color rgb="FFFFFFFF"/>
      <name val="Arial"/>
    </font>
    <font>
      <b/>
      <u/>
      <sz val="12"/>
      <color rgb="FFFFFFFF"/>
      <name val="Arial"/>
    </font>
    <font>
      <b/>
      <u/>
      <sz val="12"/>
      <color rgb="FFFFFFFF"/>
      <name val="Arial"/>
    </font>
    <font>
      <b/>
      <sz val="12"/>
      <color theme="1"/>
      <name val="Arial"/>
    </font>
    <font>
      <b/>
      <sz val="14"/>
      <color rgb="FFFFFFFF"/>
      <name val="Arial"/>
    </font>
    <font>
      <b/>
      <sz val="10"/>
      <color theme="1"/>
      <name val="Arial"/>
    </font>
    <font>
      <b/>
      <sz val="10"/>
      <color rgb="FFFFFFFF"/>
      <name val="Roboto"/>
    </font>
    <font>
      <b/>
      <sz val="10"/>
      <color theme="1"/>
      <name val="Arial"/>
    </font>
    <font>
      <b/>
      <sz val="10"/>
      <color rgb="FFFFFFFF"/>
      <name val="Arial"/>
      <scheme val="minor"/>
    </font>
    <font>
      <b/>
      <sz val="18"/>
      <color rgb="FFFFFFFF"/>
      <name val="Arial"/>
    </font>
    <font>
      <b/>
      <sz val="10"/>
      <color rgb="FF073763"/>
      <name val="Arial"/>
    </font>
    <font>
      <b/>
      <sz val="10"/>
      <color rgb="FFCC0000"/>
      <name val="Arial"/>
      <scheme val="minor"/>
    </font>
    <font>
      <b/>
      <sz val="10"/>
      <color rgb="FFFFFFFF"/>
      <name val="Arial"/>
    </font>
    <font>
      <b/>
      <sz val="14"/>
      <color rgb="FF274E13"/>
      <name val="Arial"/>
      <scheme val="minor"/>
    </font>
    <font>
      <b/>
      <sz val="10"/>
      <color rgb="FF274E13"/>
      <name val="Arial"/>
      <scheme val="minor"/>
    </font>
    <font>
      <b/>
      <sz val="10"/>
      <color rgb="FFCC0000"/>
      <name val="Arial"/>
      <scheme val="minor"/>
    </font>
    <font>
      <b/>
      <sz val="18"/>
      <color rgb="FF783F04"/>
      <name val="Arial"/>
      <scheme val="minor"/>
    </font>
    <font>
      <b/>
      <sz val="14"/>
      <color rgb="FF000000"/>
      <name val="Arial"/>
      <scheme val="minor"/>
    </font>
    <font>
      <sz val="10"/>
      <color rgb="FF000000"/>
      <name val="Arial"/>
    </font>
    <font>
      <b/>
      <sz val="18"/>
      <color rgb="FF7F6000"/>
      <name val="Arial"/>
      <scheme val="minor"/>
    </font>
    <font>
      <b/>
      <sz val="14"/>
      <color rgb="FF7F6000"/>
      <name val="Arial"/>
      <scheme val="minor"/>
    </font>
    <font>
      <b/>
      <sz val="10"/>
      <color rgb="FF1C4587"/>
      <name val="Arial"/>
      <scheme val="minor"/>
    </font>
    <font>
      <sz val="10"/>
      <color rgb="FF1C4587"/>
      <name val="Arial"/>
    </font>
    <font>
      <b/>
      <sz val="14"/>
      <color rgb="FF783F04"/>
      <name val="Arial"/>
      <scheme val="minor"/>
    </font>
    <font>
      <b/>
      <sz val="10"/>
      <color theme="1"/>
      <name val="Arial"/>
      <scheme val="minor"/>
    </font>
    <font>
      <b/>
      <sz val="10"/>
      <color rgb="FF000000"/>
      <name val="Arial"/>
      <scheme val="minor"/>
    </font>
    <font>
      <b/>
      <sz val="18"/>
      <color theme="1"/>
      <name val="Arial"/>
      <scheme val="minor"/>
    </font>
    <font>
      <b/>
      <sz val="10"/>
      <color rgb="FF000000"/>
      <name val="Roboto"/>
    </font>
    <font>
      <b/>
      <sz val="12"/>
      <color theme="1"/>
      <name val="Arial"/>
      <scheme val="minor"/>
    </font>
    <font>
      <sz val="10"/>
      <color theme="1"/>
      <name val="Arial"/>
    </font>
    <font>
      <sz val="10"/>
      <color rgb="FF000000"/>
      <name val="Arial"/>
      <scheme val="minor"/>
    </font>
    <font>
      <b/>
      <sz val="10"/>
      <color rgb="FF073763"/>
      <name val="Arial"/>
      <scheme val="minor"/>
    </font>
    <font>
      <b/>
      <sz val="10"/>
      <color rgb="FF000000"/>
      <name val="Arial"/>
    </font>
    <font>
      <b/>
      <sz val="10"/>
      <color rgb="FF783F04"/>
      <name val="Arial"/>
    </font>
    <font>
      <b/>
      <sz val="10"/>
      <color rgb="FF7F6000"/>
      <name val="Arial"/>
    </font>
    <font>
      <b/>
      <sz val="10"/>
      <color rgb="FFC27BA0"/>
      <name val="Arial"/>
    </font>
    <font>
      <sz val="9"/>
      <name val="Arial"/>
      <family val="3"/>
      <charset val="134"/>
      <scheme val="minor"/>
    </font>
    <font>
      <b/>
      <sz val="10"/>
      <color theme="1"/>
      <name val="Arial"/>
      <family val="2"/>
    </font>
    <font>
      <b/>
      <sz val="14"/>
      <color rgb="FFFFFFFF"/>
      <name val="Arial"/>
      <family val="2"/>
      <scheme val="minor"/>
    </font>
    <font>
      <b/>
      <sz val="10"/>
      <color theme="1"/>
      <name val="Arial"/>
      <family val="2"/>
      <scheme val="minor"/>
    </font>
    <font>
      <b/>
      <sz val="10"/>
      <color theme="1"/>
      <name val="Arial"/>
      <family val="3"/>
      <charset val="134"/>
      <scheme val="minor"/>
    </font>
  </fonts>
  <fills count="39">
    <fill>
      <patternFill patternType="none"/>
    </fill>
    <fill>
      <patternFill patternType="gray125"/>
    </fill>
    <fill>
      <patternFill patternType="solid">
        <fgColor rgb="FF20124D"/>
        <bgColor rgb="FF20124D"/>
      </patternFill>
    </fill>
    <fill>
      <patternFill patternType="solid">
        <fgColor rgb="FF1C4587"/>
        <bgColor rgb="FF1C4587"/>
      </patternFill>
    </fill>
    <fill>
      <patternFill patternType="solid">
        <fgColor rgb="FF274E13"/>
        <bgColor rgb="FF274E13"/>
      </patternFill>
    </fill>
    <fill>
      <patternFill patternType="solid">
        <fgColor rgb="FF783F04"/>
        <bgColor rgb="FF783F04"/>
      </patternFill>
    </fill>
    <fill>
      <patternFill patternType="solid">
        <fgColor rgb="FF434343"/>
        <bgColor rgb="FF434343"/>
      </patternFill>
    </fill>
    <fill>
      <patternFill patternType="solid">
        <fgColor rgb="FF7F6000"/>
        <bgColor rgb="FF7F6000"/>
      </patternFill>
    </fill>
    <fill>
      <patternFill patternType="solid">
        <fgColor rgb="FF674EA7"/>
        <bgColor rgb="FF674EA7"/>
      </patternFill>
    </fill>
    <fill>
      <patternFill patternType="solid">
        <fgColor rgb="FFCC0000"/>
        <bgColor rgb="FFCC0000"/>
      </patternFill>
    </fill>
    <fill>
      <patternFill patternType="solid">
        <fgColor rgb="FFE06666"/>
        <bgColor rgb="FFE06666"/>
      </patternFill>
    </fill>
    <fill>
      <patternFill patternType="solid">
        <fgColor rgb="FFA4C2F4"/>
        <bgColor rgb="FFA4C2F4"/>
      </patternFill>
    </fill>
    <fill>
      <patternFill patternType="solid">
        <fgColor rgb="FFC9DAF8"/>
        <bgColor rgb="FFC9DAF8"/>
      </patternFill>
    </fill>
    <fill>
      <patternFill patternType="solid">
        <fgColor rgb="FF1155CC"/>
        <bgColor rgb="FF1155CC"/>
      </patternFill>
    </fill>
    <fill>
      <patternFill patternType="solid">
        <fgColor rgb="FF6D9EEB"/>
        <bgColor rgb="FF6D9EEB"/>
      </patternFill>
    </fill>
    <fill>
      <patternFill patternType="solid">
        <fgColor rgb="FFB6D7A8"/>
        <bgColor rgb="FFB6D7A8"/>
      </patternFill>
    </fill>
    <fill>
      <patternFill patternType="solid">
        <fgColor rgb="FFD9EAD3"/>
        <bgColor rgb="FFD9EAD3"/>
      </patternFill>
    </fill>
    <fill>
      <patternFill patternType="solid">
        <fgColor rgb="FF38761D"/>
        <bgColor rgb="FF38761D"/>
      </patternFill>
    </fill>
    <fill>
      <patternFill patternType="solid">
        <fgColor rgb="FF93C47D"/>
        <bgColor rgb="FF93C47D"/>
      </patternFill>
    </fill>
    <fill>
      <patternFill patternType="solid">
        <fgColor rgb="FFF9CB9C"/>
        <bgColor rgb="FFF9CB9C"/>
      </patternFill>
    </fill>
    <fill>
      <patternFill patternType="solid">
        <fgColor rgb="FFFCE5CD"/>
        <bgColor rgb="FFFCE5CD"/>
      </patternFill>
    </fill>
    <fill>
      <patternFill patternType="solid">
        <fgColor rgb="FFB45F06"/>
        <bgColor rgb="FFB45F06"/>
      </patternFill>
    </fill>
    <fill>
      <patternFill patternType="solid">
        <fgColor rgb="FFF6B26B"/>
        <bgColor rgb="FFF6B26B"/>
      </patternFill>
    </fill>
    <fill>
      <patternFill patternType="solid">
        <fgColor rgb="FFD9D9D9"/>
        <bgColor rgb="FFD9D9D9"/>
      </patternFill>
    </fill>
    <fill>
      <patternFill patternType="solid">
        <fgColor rgb="FFEFEFEF"/>
        <bgColor rgb="FFEFEFEF"/>
      </patternFill>
    </fill>
    <fill>
      <patternFill patternType="solid">
        <fgColor rgb="FF666666"/>
        <bgColor rgb="FF666666"/>
      </patternFill>
    </fill>
    <fill>
      <patternFill patternType="solid">
        <fgColor rgb="FFB7B7B7"/>
        <bgColor rgb="FFB7B7B7"/>
      </patternFill>
    </fill>
    <fill>
      <patternFill patternType="solid">
        <fgColor rgb="FFFFE599"/>
        <bgColor rgb="FFFFE599"/>
      </patternFill>
    </fill>
    <fill>
      <patternFill patternType="solid">
        <fgColor rgb="FFFFF2CC"/>
        <bgColor rgb="FFFFF2CC"/>
      </patternFill>
    </fill>
    <fill>
      <patternFill patternType="solid">
        <fgColor rgb="FFBF9000"/>
        <bgColor rgb="FFBF9000"/>
      </patternFill>
    </fill>
    <fill>
      <patternFill patternType="solid">
        <fgColor rgb="FFF1C232"/>
        <bgColor rgb="FFF1C232"/>
      </patternFill>
    </fill>
    <fill>
      <patternFill patternType="solid">
        <fgColor rgb="FF999999"/>
        <bgColor rgb="FF999999"/>
      </patternFill>
    </fill>
    <fill>
      <patternFill patternType="solid">
        <fgColor rgb="FF741B47"/>
        <bgColor rgb="FF741B47"/>
      </patternFill>
    </fill>
    <fill>
      <patternFill patternType="solid">
        <fgColor rgb="FFEAD1DC"/>
        <bgColor rgb="FFEAD1DC"/>
      </patternFill>
    </fill>
    <fill>
      <patternFill patternType="solid">
        <fgColor rgb="FFFFD966"/>
        <bgColor rgb="FFFFD966"/>
      </patternFill>
    </fill>
    <fill>
      <patternFill patternType="solid">
        <fgColor rgb="FFCCCCCC"/>
        <bgColor rgb="FFCCCCCC"/>
      </patternFill>
    </fill>
    <fill>
      <patternFill patternType="solid">
        <fgColor rgb="FFDD7E6B"/>
        <bgColor rgb="FFDD7E6B"/>
      </patternFill>
    </fill>
    <fill>
      <patternFill patternType="solid">
        <fgColor rgb="FFFFFFFF"/>
        <bgColor rgb="FFFFFFFF"/>
      </patternFill>
    </fill>
    <fill>
      <patternFill patternType="solid">
        <fgColor rgb="FFCFE2F3"/>
        <bgColor rgb="FFCFE2F3"/>
      </patternFill>
    </fill>
  </fills>
  <borders count="28">
    <border>
      <left/>
      <right/>
      <top/>
      <bottom/>
      <diagonal/>
    </border>
    <border>
      <left style="medium">
        <color rgb="FF20124D"/>
      </left>
      <right/>
      <top style="medium">
        <color rgb="FF20124D"/>
      </top>
      <bottom/>
      <diagonal/>
    </border>
    <border>
      <left/>
      <right style="medium">
        <color rgb="FF20124D"/>
      </right>
      <top style="medium">
        <color rgb="FF20124D"/>
      </top>
      <bottom/>
      <diagonal/>
    </border>
    <border>
      <left style="medium">
        <color rgb="FF20124D"/>
      </left>
      <right/>
      <top style="medium">
        <color rgb="FF20124D"/>
      </top>
      <bottom style="medium">
        <color rgb="FF20124D"/>
      </bottom>
      <diagonal/>
    </border>
    <border>
      <left/>
      <right/>
      <top style="medium">
        <color rgb="FF20124D"/>
      </top>
      <bottom style="medium">
        <color rgb="FF20124D"/>
      </bottom>
      <diagonal/>
    </border>
    <border>
      <left/>
      <right style="medium">
        <color rgb="FF20124D"/>
      </right>
      <top style="medium">
        <color rgb="FF20124D"/>
      </top>
      <bottom style="medium">
        <color rgb="FF20124D"/>
      </bottom>
      <diagonal/>
    </border>
    <border>
      <left style="medium">
        <color rgb="FF20124D"/>
      </left>
      <right/>
      <top/>
      <bottom style="medium">
        <color rgb="FF20124D"/>
      </bottom>
      <diagonal/>
    </border>
    <border>
      <left/>
      <right style="medium">
        <color rgb="FF20124D"/>
      </right>
      <top/>
      <bottom style="medium">
        <color rgb="FF20124D"/>
      </bottom>
      <diagonal/>
    </border>
    <border>
      <left style="medium">
        <color rgb="FF20124D"/>
      </left>
      <right style="medium">
        <color rgb="FF20124D"/>
      </right>
      <top style="medium">
        <color rgb="FF20124D"/>
      </top>
      <bottom style="medium">
        <color rgb="FF20124D"/>
      </bottom>
      <diagonal/>
    </border>
    <border>
      <left/>
      <right style="thin">
        <color rgb="FF000000"/>
      </right>
      <top/>
      <bottom/>
      <diagonal/>
    </border>
    <border>
      <left style="medium">
        <color rgb="FF434343"/>
      </left>
      <right style="medium">
        <color rgb="FF434343"/>
      </right>
      <top style="medium">
        <color rgb="FF434343"/>
      </top>
      <bottom style="medium">
        <color rgb="FF434343"/>
      </bottom>
      <diagonal/>
    </border>
    <border>
      <left/>
      <right/>
      <top/>
      <bottom style="medium">
        <color rgb="FF434343"/>
      </bottom>
      <diagonal/>
    </border>
    <border>
      <left/>
      <right style="medium">
        <color rgb="FF434343"/>
      </right>
      <top/>
      <bottom style="medium">
        <color rgb="FF434343"/>
      </bottom>
      <diagonal/>
    </border>
    <border>
      <left style="medium">
        <color rgb="FF434343"/>
      </left>
      <right/>
      <top style="medium">
        <color rgb="FF434343"/>
      </top>
      <bottom style="medium">
        <color rgb="FF434343"/>
      </bottom>
      <diagonal/>
    </border>
    <border>
      <left/>
      <right/>
      <top style="medium">
        <color rgb="FF434343"/>
      </top>
      <bottom style="medium">
        <color rgb="FF434343"/>
      </bottom>
      <diagonal/>
    </border>
    <border>
      <left/>
      <right style="medium">
        <color rgb="FF434343"/>
      </right>
      <top style="medium">
        <color rgb="FF434343"/>
      </top>
      <bottom style="medium">
        <color rgb="FF434343"/>
      </bottom>
      <diagonal/>
    </border>
    <border>
      <left/>
      <right/>
      <top/>
      <bottom style="thin">
        <color rgb="FF1C4587"/>
      </bottom>
      <diagonal/>
    </border>
    <border>
      <left/>
      <right/>
      <top/>
      <bottom style="thin">
        <color rgb="FF274E13"/>
      </bottom>
      <diagonal/>
    </border>
    <border>
      <left/>
      <right/>
      <top/>
      <bottom style="thin">
        <color rgb="FF783F04"/>
      </bottom>
      <diagonal/>
    </border>
    <border>
      <left/>
      <right/>
      <top/>
      <bottom style="thin">
        <color rgb="FF434343"/>
      </bottom>
      <diagonal/>
    </border>
    <border>
      <left/>
      <right/>
      <top/>
      <bottom style="thin">
        <color rgb="FF7F6000"/>
      </bottom>
      <diagonal/>
    </border>
    <border>
      <left/>
      <right/>
      <top style="thin">
        <color rgb="FF7F6000"/>
      </top>
      <bottom/>
      <diagonal/>
    </border>
    <border>
      <left style="medium">
        <color rgb="FFFFFFFF"/>
      </left>
      <right style="medium">
        <color rgb="FFFFFFFF"/>
      </right>
      <top/>
      <bottom/>
      <diagonal/>
    </border>
    <border>
      <left style="medium">
        <color rgb="FF666666"/>
      </left>
      <right/>
      <top style="medium">
        <color rgb="FF666666"/>
      </top>
      <bottom/>
      <diagonal/>
    </border>
    <border>
      <left/>
      <right/>
      <top style="medium">
        <color rgb="FF666666"/>
      </top>
      <bottom/>
      <diagonal/>
    </border>
    <border>
      <left style="medium">
        <color rgb="FF666666"/>
      </left>
      <right/>
      <top/>
      <bottom/>
      <diagonal/>
    </border>
    <border>
      <left style="medium">
        <color rgb="FF666666"/>
      </left>
      <right/>
      <top/>
      <bottom style="medium">
        <color rgb="FF666666"/>
      </bottom>
      <diagonal/>
    </border>
    <border>
      <left/>
      <right/>
      <top/>
      <bottom style="medium">
        <color rgb="FF666666"/>
      </bottom>
      <diagonal/>
    </border>
  </borders>
  <cellStyleXfs count="1">
    <xf numFmtId="0" fontId="0" fillId="0" borderId="0"/>
  </cellStyleXfs>
  <cellXfs count="643">
    <xf numFmtId="0" fontId="0" fillId="0" borderId="0" xfId="0"/>
    <xf numFmtId="0" fontId="1" fillId="2" borderId="0" xfId="0" applyFont="1" applyFill="1"/>
    <xf numFmtId="0" fontId="2" fillId="3" borderId="0" xfId="0" applyFont="1" applyFill="1" applyAlignment="1">
      <alignment horizontal="center"/>
    </xf>
    <xf numFmtId="0" fontId="5" fillId="6" borderId="0" xfId="0" applyFont="1" applyFill="1" applyAlignment="1">
      <alignment horizontal="center"/>
    </xf>
    <xf numFmtId="0" fontId="1" fillId="9" borderId="0" xfId="0" applyFont="1" applyFill="1"/>
    <xf numFmtId="0" fontId="1" fillId="8" borderId="0" xfId="0" applyFont="1" applyFill="1"/>
    <xf numFmtId="0" fontId="1" fillId="8" borderId="8" xfId="0" applyFont="1" applyFill="1" applyBorder="1"/>
    <xf numFmtId="0" fontId="9" fillId="11" borderId="0" xfId="0" applyFont="1" applyFill="1"/>
    <xf numFmtId="0" fontId="11" fillId="12" borderId="0" xfId="0" applyFont="1" applyFill="1"/>
    <xf numFmtId="0" fontId="13" fillId="12" borderId="0" xfId="0" applyFont="1" applyFill="1" applyAlignment="1">
      <alignment horizontal="left"/>
    </xf>
    <xf numFmtId="0" fontId="13" fillId="12" borderId="0" xfId="0" applyFont="1" applyFill="1"/>
    <xf numFmtId="0" fontId="11" fillId="12" borderId="0" xfId="0" applyFont="1" applyFill="1" applyAlignment="1">
      <alignment horizontal="center"/>
    </xf>
    <xf numFmtId="0" fontId="16" fillId="11" borderId="0" xfId="0" applyFont="1" applyFill="1"/>
    <xf numFmtId="0" fontId="17" fillId="12" borderId="0" xfId="0" applyFont="1" applyFill="1"/>
    <xf numFmtId="0" fontId="9" fillId="11" borderId="0" xfId="0" applyFont="1" applyFill="1" applyAlignment="1">
      <alignment vertical="center"/>
    </xf>
    <xf numFmtId="0" fontId="9" fillId="11" borderId="0" xfId="0" applyFont="1" applyFill="1" applyAlignment="1">
      <alignment vertical="center" wrapText="1"/>
    </xf>
    <xf numFmtId="0" fontId="12" fillId="11" borderId="0" xfId="0" applyFont="1" applyFill="1"/>
    <xf numFmtId="0" fontId="11" fillId="12" borderId="0" xfId="0" applyFont="1" applyFill="1" applyAlignment="1">
      <alignment vertical="center"/>
    </xf>
    <xf numFmtId="0" fontId="9" fillId="9" borderId="0" xfId="0" applyFont="1" applyFill="1" applyAlignment="1">
      <alignment vertical="center"/>
    </xf>
    <xf numFmtId="0" fontId="11" fillId="12" borderId="0" xfId="0" applyFont="1" applyFill="1" applyAlignment="1">
      <alignment vertical="center" wrapText="1"/>
    </xf>
    <xf numFmtId="0" fontId="15" fillId="15" borderId="0" xfId="0" applyFont="1" applyFill="1"/>
    <xf numFmtId="0" fontId="19" fillId="16" borderId="0" xfId="0" applyFont="1" applyFill="1"/>
    <xf numFmtId="0" fontId="9" fillId="15" borderId="0" xfId="0" applyFont="1" applyFill="1"/>
    <xf numFmtId="0" fontId="20" fillId="16" borderId="0" xfId="0" applyFont="1" applyFill="1"/>
    <xf numFmtId="0" fontId="19" fillId="16" borderId="0" xfId="0" applyFont="1" applyFill="1" applyAlignment="1">
      <alignment vertical="center"/>
    </xf>
    <xf numFmtId="0" fontId="19" fillId="16" borderId="0" xfId="0" applyFont="1" applyFill="1" applyAlignment="1">
      <alignment vertical="center" wrapText="1"/>
    </xf>
    <xf numFmtId="0" fontId="21" fillId="15" borderId="0" xfId="0" applyFont="1" applyFill="1"/>
    <xf numFmtId="0" fontId="19" fillId="15" borderId="0" xfId="0" applyFont="1" applyFill="1"/>
    <xf numFmtId="0" fontId="19" fillId="15" borderId="0" xfId="0" applyFont="1" applyFill="1" applyAlignment="1">
      <alignment vertical="center"/>
    </xf>
    <xf numFmtId="0" fontId="19" fillId="15" borderId="0" xfId="0" applyFont="1" applyFill="1" applyAlignment="1">
      <alignment vertical="center" wrapText="1"/>
    </xf>
    <xf numFmtId="0" fontId="18" fillId="15" borderId="0" xfId="0" applyFont="1" applyFill="1"/>
    <xf numFmtId="0" fontId="14" fillId="15" borderId="0" xfId="0" applyFont="1" applyFill="1"/>
    <xf numFmtId="0" fontId="9" fillId="19" borderId="0" xfId="0" applyFont="1" applyFill="1"/>
    <xf numFmtId="0" fontId="22" fillId="20" borderId="0" xfId="0" applyFont="1" applyFill="1"/>
    <xf numFmtId="0" fontId="23" fillId="20" borderId="0" xfId="0" applyFont="1" applyFill="1"/>
    <xf numFmtId="0" fontId="9" fillId="19" borderId="0" xfId="0" applyFont="1" applyFill="1" applyAlignment="1">
      <alignment vertical="center"/>
    </xf>
    <xf numFmtId="0" fontId="9" fillId="19" borderId="0" xfId="0" applyFont="1" applyFill="1" applyAlignment="1">
      <alignment vertical="center" wrapText="1"/>
    </xf>
    <xf numFmtId="0" fontId="12" fillId="19" borderId="0" xfId="0" applyFont="1" applyFill="1"/>
    <xf numFmtId="0" fontId="22" fillId="20" borderId="0" xfId="0" applyFont="1" applyFill="1" applyAlignment="1">
      <alignment vertical="center"/>
    </xf>
    <xf numFmtId="0" fontId="9" fillId="9" borderId="0" xfId="0" applyFont="1" applyFill="1" applyAlignment="1">
      <alignment vertical="center" wrapText="1"/>
    </xf>
    <xf numFmtId="0" fontId="22" fillId="20" borderId="0" xfId="0" applyFont="1" applyFill="1" applyAlignment="1">
      <alignment vertical="center" wrapText="1"/>
    </xf>
    <xf numFmtId="0" fontId="21" fillId="19" borderId="0" xfId="0" applyFont="1" applyFill="1" applyAlignment="1">
      <alignment vertical="center"/>
    </xf>
    <xf numFmtId="0" fontId="21" fillId="19" borderId="0" xfId="0" applyFont="1" applyFill="1" applyAlignment="1">
      <alignment vertical="center" wrapText="1"/>
    </xf>
    <xf numFmtId="0" fontId="10" fillId="19" borderId="0" xfId="0" applyFont="1" applyFill="1"/>
    <xf numFmtId="0" fontId="23" fillId="20" borderId="0" xfId="0" applyFont="1" applyFill="1" applyAlignment="1">
      <alignment vertical="center"/>
    </xf>
    <xf numFmtId="0" fontId="12" fillId="9" borderId="0" xfId="0" applyFont="1" applyFill="1" applyAlignment="1">
      <alignment vertical="center"/>
    </xf>
    <xf numFmtId="0" fontId="9" fillId="23" borderId="0" xfId="0" applyFont="1" applyFill="1"/>
    <xf numFmtId="0" fontId="10" fillId="6" borderId="0" xfId="0" applyFont="1" applyFill="1"/>
    <xf numFmtId="0" fontId="21" fillId="24" borderId="0" xfId="0" applyFont="1" applyFill="1"/>
    <xf numFmtId="0" fontId="9" fillId="25" borderId="0" xfId="0" applyFont="1" applyFill="1"/>
    <xf numFmtId="0" fontId="9" fillId="6" borderId="0" xfId="0" applyFont="1" applyFill="1"/>
    <xf numFmtId="0" fontId="18" fillId="24" borderId="0" xfId="0" applyFont="1" applyFill="1"/>
    <xf numFmtId="0" fontId="21" fillId="24" borderId="0" xfId="0" applyFont="1" applyFill="1" applyAlignment="1">
      <alignment vertical="center"/>
    </xf>
    <xf numFmtId="0" fontId="18" fillId="24" borderId="0" xfId="0" applyFont="1" applyFill="1" applyAlignment="1">
      <alignment vertical="center"/>
    </xf>
    <xf numFmtId="0" fontId="21" fillId="24" borderId="0" xfId="0" applyFont="1" applyFill="1" applyAlignment="1">
      <alignment vertical="center" wrapText="1"/>
    </xf>
    <xf numFmtId="0" fontId="9" fillId="27" borderId="0" xfId="0" applyFont="1" applyFill="1"/>
    <xf numFmtId="0" fontId="24" fillId="28" borderId="0" xfId="0" applyFont="1" applyFill="1"/>
    <xf numFmtId="0" fontId="25" fillId="28" borderId="0" xfId="0" applyFont="1" applyFill="1"/>
    <xf numFmtId="0" fontId="24" fillId="28" borderId="0" xfId="0" applyFont="1" applyFill="1" applyAlignment="1">
      <alignment vertical="center"/>
    </xf>
    <xf numFmtId="0" fontId="24" fillId="28" borderId="0" xfId="0" applyFont="1" applyFill="1" applyAlignment="1">
      <alignment vertical="center" wrapText="1"/>
    </xf>
    <xf numFmtId="0" fontId="9" fillId="27" borderId="0" xfId="0" applyFont="1" applyFill="1" applyAlignment="1">
      <alignment vertical="center"/>
    </xf>
    <xf numFmtId="0" fontId="9" fillId="27" borderId="0" xfId="0" applyFont="1" applyFill="1" applyAlignment="1">
      <alignment vertical="center" wrapText="1"/>
    </xf>
    <xf numFmtId="0" fontId="26" fillId="11" borderId="0" xfId="0" applyFont="1" applyFill="1"/>
    <xf numFmtId="0" fontId="22" fillId="19" borderId="0" xfId="0" applyFont="1" applyFill="1"/>
    <xf numFmtId="0" fontId="9" fillId="15" borderId="0" xfId="0" applyFont="1" applyFill="1" applyAlignment="1">
      <alignment vertical="center"/>
    </xf>
    <xf numFmtId="0" fontId="9" fillId="15" borderId="0" xfId="0" applyFont="1" applyFill="1" applyAlignment="1">
      <alignment vertical="center" wrapText="1"/>
    </xf>
    <xf numFmtId="0" fontId="27" fillId="16" borderId="0" xfId="0" applyFont="1" applyFill="1" applyAlignment="1">
      <alignment vertical="center"/>
    </xf>
    <xf numFmtId="0" fontId="20" fillId="16" borderId="0" xfId="0" applyFont="1" applyFill="1" applyAlignment="1">
      <alignment vertical="center"/>
    </xf>
    <xf numFmtId="0" fontId="10" fillId="15" borderId="0" xfId="0" applyFont="1" applyFill="1"/>
    <xf numFmtId="0" fontId="29" fillId="31" borderId="10" xfId="0" applyFont="1" applyFill="1" applyBorder="1" applyAlignment="1">
      <alignment horizontal="center" vertical="center"/>
    </xf>
    <xf numFmtId="0" fontId="28" fillId="6" borderId="0" xfId="0" applyFont="1" applyFill="1" applyAlignment="1">
      <alignment horizontal="center" vertical="center"/>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32" fillId="6" borderId="0" xfId="0" applyFont="1" applyFill="1" applyAlignment="1">
      <alignment vertical="center" wrapText="1"/>
    </xf>
    <xf numFmtId="0" fontId="33" fillId="6" borderId="0" xfId="0" applyFont="1" applyFill="1" applyAlignment="1">
      <alignment vertical="center"/>
    </xf>
    <xf numFmtId="0" fontId="33" fillId="25" borderId="10" xfId="0" applyFont="1" applyFill="1" applyBorder="1" applyAlignment="1">
      <alignment vertical="center"/>
    </xf>
    <xf numFmtId="0" fontId="33" fillId="6" borderId="0" xfId="0" applyFont="1" applyFill="1" applyAlignment="1">
      <alignment horizontal="left" vertical="center"/>
    </xf>
    <xf numFmtId="0" fontId="34" fillId="6" borderId="0" xfId="0" applyFont="1" applyFill="1" applyAlignment="1">
      <alignment vertical="center" wrapText="1"/>
    </xf>
    <xf numFmtId="0" fontId="33" fillId="25" borderId="0" xfId="0" applyFont="1" applyFill="1" applyAlignment="1">
      <alignment vertical="center"/>
    </xf>
    <xf numFmtId="0" fontId="12" fillId="25" borderId="0" xfId="0" applyFont="1" applyFill="1" applyAlignment="1">
      <alignment vertical="center"/>
    </xf>
    <xf numFmtId="0" fontId="12" fillId="25" borderId="0" xfId="0" applyFont="1" applyFill="1" applyAlignment="1">
      <alignment vertical="center" wrapText="1"/>
    </xf>
    <xf numFmtId="0" fontId="33" fillId="25" borderId="0" xfId="0" applyFont="1" applyFill="1" applyAlignment="1">
      <alignment vertical="center" wrapText="1"/>
    </xf>
    <xf numFmtId="0" fontId="18" fillId="25" borderId="0" xfId="0" applyFont="1" applyFill="1" applyAlignment="1">
      <alignment vertical="center"/>
    </xf>
    <xf numFmtId="0" fontId="18" fillId="24" borderId="0" xfId="0" applyFont="1" applyFill="1" applyAlignment="1">
      <alignment horizontal="left" vertical="center"/>
    </xf>
    <xf numFmtId="0" fontId="16" fillId="24" borderId="0" xfId="0" applyFont="1" applyFill="1" applyAlignment="1">
      <alignment vertical="center"/>
    </xf>
    <xf numFmtId="0" fontId="34" fillId="24" borderId="0" xfId="0" applyFont="1" applyFill="1" applyAlignment="1">
      <alignment horizontal="left" vertical="center"/>
    </xf>
    <xf numFmtId="0" fontId="34" fillId="25" borderId="0" xfId="0" applyFont="1" applyFill="1" applyAlignment="1">
      <alignment vertical="center" wrapText="1"/>
    </xf>
    <xf numFmtId="0" fontId="12" fillId="9" borderId="0" xfId="0" applyFont="1" applyFill="1" applyAlignment="1">
      <alignment vertical="center" wrapText="1"/>
    </xf>
    <xf numFmtId="0" fontId="35" fillId="9" borderId="0" xfId="0" applyFont="1" applyFill="1" applyAlignment="1">
      <alignment vertical="center" wrapText="1"/>
    </xf>
    <xf numFmtId="0" fontId="36" fillId="24" borderId="0" xfId="0" applyFont="1" applyFill="1" applyAlignment="1">
      <alignment horizontal="left" vertical="center"/>
    </xf>
    <xf numFmtId="0" fontId="34" fillId="25" borderId="0" xfId="0" applyFont="1" applyFill="1" applyAlignment="1">
      <alignment vertical="center"/>
    </xf>
    <xf numFmtId="0" fontId="34" fillId="25" borderId="0" xfId="0" applyFont="1" applyFill="1" applyAlignment="1">
      <alignment horizontal="left" vertical="center"/>
    </xf>
    <xf numFmtId="0" fontId="34" fillId="25" borderId="0" xfId="0" applyFont="1" applyFill="1" applyAlignment="1">
      <alignment horizontal="left" vertical="center" wrapText="1"/>
    </xf>
    <xf numFmtId="0" fontId="34" fillId="24" borderId="0" xfId="0" applyFont="1" applyFill="1" applyAlignment="1">
      <alignment vertical="center"/>
    </xf>
    <xf numFmtId="0" fontId="18" fillId="33" borderId="0" xfId="0" applyFont="1" applyFill="1" applyAlignment="1">
      <alignment vertical="center"/>
    </xf>
    <xf numFmtId="0" fontId="34" fillId="33" borderId="0" xfId="0" applyFont="1" applyFill="1" applyAlignment="1">
      <alignment vertical="center"/>
    </xf>
    <xf numFmtId="0" fontId="34" fillId="33" borderId="0" xfId="0" applyFont="1" applyFill="1" applyAlignment="1">
      <alignment horizontal="left" vertical="center"/>
    </xf>
    <xf numFmtId="0" fontId="16" fillId="33" borderId="0" xfId="0" applyFont="1" applyFill="1" applyAlignment="1">
      <alignment vertical="center"/>
    </xf>
    <xf numFmtId="0" fontId="34" fillId="33" borderId="0" xfId="0" applyFont="1" applyFill="1" applyAlignment="1">
      <alignment horizontal="left" vertical="center" wrapText="1"/>
    </xf>
    <xf numFmtId="0" fontId="34" fillId="33" borderId="0" xfId="0" applyFont="1" applyFill="1" applyAlignment="1">
      <alignment vertical="center" wrapText="1"/>
    </xf>
    <xf numFmtId="0" fontId="18" fillId="25" borderId="0" xfId="0" applyFont="1" applyFill="1" applyAlignment="1">
      <alignment vertical="center" wrapText="1"/>
    </xf>
    <xf numFmtId="0" fontId="18" fillId="33" borderId="0" xfId="0" applyFont="1" applyFill="1" applyAlignment="1">
      <alignment horizontal="left" vertical="center"/>
    </xf>
    <xf numFmtId="0" fontId="15" fillId="33" borderId="0" xfId="0" applyFont="1" applyFill="1" applyAlignment="1">
      <alignment vertical="center"/>
    </xf>
    <xf numFmtId="0" fontId="15" fillId="33" borderId="0" xfId="0" applyFont="1" applyFill="1" applyAlignment="1">
      <alignment horizontal="left" vertical="center"/>
    </xf>
    <xf numFmtId="0" fontId="15" fillId="33" borderId="0" xfId="0" applyFont="1" applyFill="1" applyAlignment="1">
      <alignment horizontal="left" vertical="center" wrapText="1"/>
    </xf>
    <xf numFmtId="0" fontId="16" fillId="33" borderId="0" xfId="0" applyFont="1" applyFill="1" applyAlignment="1">
      <alignment horizontal="left" vertical="center"/>
    </xf>
    <xf numFmtId="0" fontId="21" fillId="33" borderId="0" xfId="0" applyFont="1" applyFill="1" applyAlignment="1">
      <alignment vertical="center"/>
    </xf>
    <xf numFmtId="0" fontId="16" fillId="33" borderId="0" xfId="0" applyFont="1" applyFill="1" applyAlignment="1">
      <alignment vertical="center" wrapText="1"/>
    </xf>
    <xf numFmtId="0" fontId="15" fillId="25" borderId="0" xfId="0" applyFont="1" applyFill="1" applyAlignment="1">
      <alignment vertical="center"/>
    </xf>
    <xf numFmtId="0" fontId="15" fillId="25" borderId="0" xfId="0" applyFont="1" applyFill="1" applyAlignment="1">
      <alignment horizontal="left" vertical="center"/>
    </xf>
    <xf numFmtId="0" fontId="15" fillId="25" borderId="0" xfId="0" applyFont="1" applyFill="1" applyAlignment="1">
      <alignment horizontal="left" vertical="center" wrapText="1"/>
    </xf>
    <xf numFmtId="0" fontId="15" fillId="25" borderId="0" xfId="0" applyFont="1" applyFill="1" applyAlignment="1">
      <alignment vertical="center" wrapText="1"/>
    </xf>
    <xf numFmtId="0" fontId="10" fillId="6" borderId="0" xfId="0" applyFont="1" applyFill="1" applyAlignment="1">
      <alignment vertical="center"/>
    </xf>
    <xf numFmtId="0" fontId="10" fillId="6" borderId="0" xfId="0" applyFont="1" applyFill="1" applyAlignment="1">
      <alignment vertical="center" wrapText="1"/>
    </xf>
    <xf numFmtId="0" fontId="10" fillId="6" borderId="0" xfId="0" applyFont="1" applyFill="1" applyAlignment="1">
      <alignment horizontal="center" vertical="center"/>
    </xf>
    <xf numFmtId="0" fontId="37" fillId="6" borderId="0" xfId="0" applyFont="1" applyFill="1" applyAlignment="1">
      <alignment vertical="center"/>
    </xf>
    <xf numFmtId="0" fontId="37" fillId="6" borderId="0" xfId="0" applyFont="1" applyFill="1" applyAlignment="1">
      <alignment vertical="center" wrapText="1"/>
    </xf>
    <xf numFmtId="0" fontId="37" fillId="6" borderId="0" xfId="0" applyFont="1" applyFill="1" applyAlignment="1">
      <alignment horizontal="center" vertical="center"/>
    </xf>
    <xf numFmtId="0" fontId="33" fillId="14" borderId="0" xfId="0" applyFont="1" applyFill="1" applyAlignment="1">
      <alignment vertical="center"/>
    </xf>
    <xf numFmtId="0" fontId="10" fillId="14" borderId="0" xfId="0" applyFont="1" applyFill="1" applyAlignment="1">
      <alignment vertical="center"/>
    </xf>
    <xf numFmtId="0" fontId="12" fillId="14" borderId="0" xfId="0" applyFont="1" applyFill="1" applyAlignment="1">
      <alignment vertical="center"/>
    </xf>
    <xf numFmtId="0" fontId="9" fillId="14" borderId="0" xfId="0" applyFont="1" applyFill="1" applyAlignment="1">
      <alignment vertical="center"/>
    </xf>
    <xf numFmtId="0" fontId="39" fillId="14" borderId="0" xfId="0" applyFont="1" applyFill="1" applyAlignment="1">
      <alignment vertical="center"/>
    </xf>
    <xf numFmtId="0" fontId="16" fillId="14" borderId="0" xfId="0" applyFont="1" applyFill="1" applyAlignment="1">
      <alignment vertical="center"/>
    </xf>
    <xf numFmtId="0" fontId="16" fillId="14" borderId="16" xfId="0" applyFont="1" applyFill="1" applyBorder="1" applyAlignment="1">
      <alignment vertical="center"/>
    </xf>
    <xf numFmtId="0" fontId="11" fillId="12" borderId="16" xfId="0" applyFont="1" applyFill="1" applyBorder="1" applyAlignment="1">
      <alignment vertical="center" wrapText="1"/>
    </xf>
    <xf numFmtId="0" fontId="11" fillId="12" borderId="16" xfId="0" applyFont="1" applyFill="1" applyBorder="1" applyAlignment="1">
      <alignment vertical="center"/>
    </xf>
    <xf numFmtId="0" fontId="40" fillId="12" borderId="0" xfId="0" applyFont="1" applyFill="1" applyAlignment="1">
      <alignment horizontal="center" vertical="center"/>
    </xf>
    <xf numFmtId="0" fontId="11" fillId="14" borderId="0" xfId="0" applyFont="1" applyFill="1" applyAlignment="1">
      <alignment vertical="center"/>
    </xf>
    <xf numFmtId="0" fontId="13" fillId="14" borderId="0" xfId="0" applyFont="1" applyFill="1" applyAlignment="1">
      <alignment vertical="center"/>
    </xf>
    <xf numFmtId="0" fontId="11" fillId="14" borderId="16" xfId="0" applyFont="1" applyFill="1" applyBorder="1" applyAlignment="1">
      <alignment vertical="center"/>
    </xf>
    <xf numFmtId="0" fontId="40" fillId="12" borderId="0" xfId="0" applyFont="1" applyFill="1" applyAlignment="1">
      <alignment horizontal="center" vertical="center" wrapText="1"/>
    </xf>
    <xf numFmtId="0" fontId="13" fillId="12" borderId="16" xfId="0" applyFont="1" applyFill="1" applyBorder="1" applyAlignment="1">
      <alignment vertical="center" wrapText="1"/>
    </xf>
    <xf numFmtId="0" fontId="40" fillId="12" borderId="16" xfId="0" applyFont="1" applyFill="1" applyBorder="1" applyAlignment="1">
      <alignment horizontal="center" vertical="center" wrapText="1"/>
    </xf>
    <xf numFmtId="0" fontId="40" fillId="12" borderId="16" xfId="0" applyFont="1" applyFill="1" applyBorder="1" applyAlignment="1">
      <alignment horizontal="center" vertical="center"/>
    </xf>
    <xf numFmtId="0" fontId="11" fillId="12" borderId="16" xfId="0" applyFont="1" applyFill="1" applyBorder="1" applyAlignment="1">
      <alignment horizontal="center" vertical="center"/>
    </xf>
    <xf numFmtId="0" fontId="11" fillId="12" borderId="0" xfId="0" applyFont="1" applyFill="1" applyAlignment="1">
      <alignment horizontal="left" vertical="center" wrapText="1"/>
    </xf>
    <xf numFmtId="0" fontId="11" fillId="12" borderId="16" xfId="0" applyFont="1" applyFill="1" applyBorder="1" applyAlignment="1">
      <alignment horizontal="left" vertical="center" wrapText="1"/>
    </xf>
    <xf numFmtId="0" fontId="13" fillId="12" borderId="0" xfId="0" applyFont="1" applyFill="1" applyAlignment="1">
      <alignment vertical="center"/>
    </xf>
    <xf numFmtId="0" fontId="41" fillId="14" borderId="0" xfId="0" applyFont="1" applyFill="1" applyAlignment="1">
      <alignment vertical="center"/>
    </xf>
    <xf numFmtId="0" fontId="41" fillId="14" borderId="0" xfId="0" applyFont="1" applyFill="1" applyAlignment="1">
      <alignment vertical="center" wrapText="1"/>
    </xf>
    <xf numFmtId="0" fontId="37" fillId="14" borderId="0" xfId="0" applyFont="1" applyFill="1" applyAlignment="1">
      <alignment vertical="center"/>
    </xf>
    <xf numFmtId="0" fontId="37" fillId="14" borderId="0" xfId="0" applyFont="1" applyFill="1" applyAlignment="1">
      <alignment vertical="center" wrapText="1"/>
    </xf>
    <xf numFmtId="0" fontId="37" fillId="14" borderId="0" xfId="0" applyFont="1" applyFill="1" applyAlignment="1">
      <alignment horizontal="center" vertical="center"/>
    </xf>
    <xf numFmtId="0" fontId="33" fillId="18" borderId="0" xfId="0" applyFont="1" applyFill="1" applyAlignment="1">
      <alignment vertical="center"/>
    </xf>
    <xf numFmtId="0" fontId="10" fillId="18" borderId="0" xfId="0" applyFont="1" applyFill="1" applyAlignment="1">
      <alignment vertical="center"/>
    </xf>
    <xf numFmtId="0" fontId="12" fillId="18" borderId="0" xfId="0" applyFont="1" applyFill="1" applyAlignment="1">
      <alignment vertical="center"/>
    </xf>
    <xf numFmtId="0" fontId="9" fillId="18" borderId="0" xfId="0" applyFont="1" applyFill="1" applyAlignment="1">
      <alignment vertical="center"/>
    </xf>
    <xf numFmtId="0" fontId="19" fillId="18" borderId="0" xfId="0" applyFont="1" applyFill="1" applyAlignment="1">
      <alignment vertical="center"/>
    </xf>
    <xf numFmtId="0" fontId="19" fillId="16" borderId="0" xfId="0" applyFont="1" applyFill="1" applyAlignment="1">
      <alignment horizontal="center" vertical="center"/>
    </xf>
    <xf numFmtId="0" fontId="19" fillId="16" borderId="17" xfId="0" applyFont="1" applyFill="1" applyBorder="1" applyAlignment="1">
      <alignment vertical="center"/>
    </xf>
    <xf numFmtId="0" fontId="19" fillId="16" borderId="17" xfId="0" applyFont="1" applyFill="1" applyBorder="1" applyAlignment="1">
      <alignment vertical="center" wrapText="1"/>
    </xf>
    <xf numFmtId="0" fontId="19" fillId="18" borderId="17" xfId="0" applyFont="1" applyFill="1" applyBorder="1" applyAlignment="1">
      <alignment vertical="center"/>
    </xf>
    <xf numFmtId="0" fontId="40" fillId="16" borderId="17" xfId="0" applyFont="1" applyFill="1" applyBorder="1" applyAlignment="1">
      <alignment horizontal="center" vertical="center"/>
    </xf>
    <xf numFmtId="0" fontId="40" fillId="16" borderId="0" xfId="0" applyFont="1" applyFill="1" applyAlignment="1">
      <alignment horizontal="center" vertical="center"/>
    </xf>
    <xf numFmtId="0" fontId="19" fillId="16" borderId="0" xfId="0" applyFont="1" applyFill="1" applyAlignment="1">
      <alignment horizontal="left" vertical="center"/>
    </xf>
    <xf numFmtId="0" fontId="19" fillId="16" borderId="17" xfId="0" applyFont="1" applyFill="1" applyBorder="1" applyAlignment="1">
      <alignment horizontal="left" vertical="center"/>
    </xf>
    <xf numFmtId="0" fontId="19" fillId="16" borderId="0" xfId="0" applyFont="1" applyFill="1" applyAlignment="1">
      <alignment horizontal="left" vertical="center" wrapText="1"/>
    </xf>
    <xf numFmtId="0" fontId="19" fillId="16" borderId="17" xfId="0" applyFont="1" applyFill="1" applyBorder="1" applyAlignment="1">
      <alignment horizontal="left" vertical="center" wrapText="1"/>
    </xf>
    <xf numFmtId="0" fontId="40" fillId="16" borderId="17" xfId="0" applyFont="1" applyFill="1" applyBorder="1" applyAlignment="1">
      <alignment horizontal="center" vertical="center" wrapText="1"/>
    </xf>
    <xf numFmtId="0" fontId="42" fillId="18" borderId="0" xfId="0" applyFont="1" applyFill="1" applyAlignment="1">
      <alignment vertical="center"/>
    </xf>
    <xf numFmtId="0" fontId="40" fillId="16" borderId="0" xfId="0" applyFont="1" applyFill="1" applyAlignment="1">
      <alignment horizontal="center" vertical="center" wrapText="1"/>
    </xf>
    <xf numFmtId="0" fontId="20" fillId="16" borderId="0" xfId="0" applyFont="1" applyFill="1" applyAlignment="1">
      <alignment horizontal="left" vertical="center"/>
    </xf>
    <xf numFmtId="0" fontId="43" fillId="16" borderId="0" xfId="0" applyFont="1" applyFill="1" applyAlignment="1">
      <alignment vertical="center" wrapText="1"/>
    </xf>
    <xf numFmtId="0" fontId="43" fillId="18" borderId="0" xfId="0" applyFont="1" applyFill="1" applyAlignment="1">
      <alignment vertical="center"/>
    </xf>
    <xf numFmtId="0" fontId="43" fillId="16" borderId="0" xfId="0" applyFont="1" applyFill="1" applyAlignment="1">
      <alignment vertical="center"/>
    </xf>
    <xf numFmtId="0" fontId="9" fillId="18" borderId="0" xfId="0" applyFont="1" applyFill="1" applyAlignment="1">
      <alignment vertical="center" wrapText="1"/>
    </xf>
    <xf numFmtId="0" fontId="9" fillId="18" borderId="0" xfId="0" applyFont="1" applyFill="1" applyAlignment="1">
      <alignment horizontal="center" vertical="center"/>
    </xf>
    <xf numFmtId="0" fontId="22" fillId="22" borderId="0" xfId="0" applyFont="1" applyFill="1" applyAlignment="1">
      <alignment vertical="center"/>
    </xf>
    <xf numFmtId="0" fontId="9" fillId="21" borderId="0" xfId="0" applyFont="1" applyFill="1" applyAlignment="1">
      <alignment vertical="center" wrapText="1"/>
    </xf>
    <xf numFmtId="0" fontId="22" fillId="20" borderId="0" xfId="0" applyFont="1" applyFill="1" applyAlignment="1">
      <alignment horizontal="center" vertical="center"/>
    </xf>
    <xf numFmtId="0" fontId="22" fillId="22" borderId="18" xfId="0" applyFont="1" applyFill="1" applyBorder="1" applyAlignment="1">
      <alignment vertical="center"/>
    </xf>
    <xf numFmtId="0" fontId="22" fillId="20" borderId="18" xfId="0" applyFont="1" applyFill="1" applyBorder="1" applyAlignment="1">
      <alignment vertical="center" wrapText="1"/>
    </xf>
    <xf numFmtId="0" fontId="22" fillId="20" borderId="18" xfId="0" applyFont="1" applyFill="1" applyBorder="1" applyAlignment="1">
      <alignment vertical="center"/>
    </xf>
    <xf numFmtId="0" fontId="22" fillId="20" borderId="0" xfId="0" applyFont="1" applyFill="1" applyAlignment="1">
      <alignment horizontal="left" vertical="center"/>
    </xf>
    <xf numFmtId="0" fontId="22" fillId="20" borderId="18" xfId="0" applyFont="1" applyFill="1" applyBorder="1" applyAlignment="1">
      <alignment horizontal="center" vertical="center"/>
    </xf>
    <xf numFmtId="0" fontId="22" fillId="20" borderId="18" xfId="0" applyFont="1" applyFill="1" applyBorder="1" applyAlignment="1">
      <alignment horizontal="left" vertical="center"/>
    </xf>
    <xf numFmtId="0" fontId="40" fillId="20" borderId="0" xfId="0" applyFont="1" applyFill="1" applyAlignment="1">
      <alignment horizontal="center" vertical="center"/>
    </xf>
    <xf numFmtId="0" fontId="23" fillId="20" borderId="18" xfId="0" applyFont="1" applyFill="1" applyBorder="1" applyAlignment="1">
      <alignment vertical="center" wrapText="1"/>
    </xf>
    <xf numFmtId="0" fontId="40" fillId="20" borderId="18" xfId="0" applyFont="1" applyFill="1" applyBorder="1" applyAlignment="1">
      <alignment horizontal="center" vertical="center"/>
    </xf>
    <xf numFmtId="0" fontId="22" fillId="20" borderId="0" xfId="0" applyFont="1" applyFill="1" applyAlignment="1">
      <alignment horizontal="left" vertical="center" wrapText="1"/>
    </xf>
    <xf numFmtId="0" fontId="22" fillId="20" borderId="18" xfId="0" applyFont="1" applyFill="1" applyBorder="1" applyAlignment="1">
      <alignment horizontal="left" vertical="center" wrapText="1"/>
    </xf>
    <xf numFmtId="0" fontId="40" fillId="20" borderId="18" xfId="0" applyFont="1" applyFill="1" applyBorder="1" applyAlignment="1">
      <alignment horizontal="center" vertical="center" wrapText="1"/>
    </xf>
    <xf numFmtId="0" fontId="9" fillId="21" borderId="0" xfId="0" applyFont="1" applyFill="1" applyAlignment="1">
      <alignment vertical="center"/>
    </xf>
    <xf numFmtId="0" fontId="9" fillId="21" borderId="0" xfId="0" applyFont="1" applyFill="1" applyAlignment="1">
      <alignment horizontal="center" vertical="center"/>
    </xf>
    <xf numFmtId="0" fontId="22" fillId="22" borderId="0" xfId="0" applyFont="1" applyFill="1" applyAlignment="1">
      <alignment vertical="center" wrapText="1"/>
    </xf>
    <xf numFmtId="0" fontId="22" fillId="22" borderId="0" xfId="0" applyFont="1" applyFill="1" applyAlignment="1">
      <alignment horizontal="center" vertical="center"/>
    </xf>
    <xf numFmtId="0" fontId="10" fillId="26" borderId="0" xfId="0" applyFont="1" applyFill="1" applyAlignment="1">
      <alignment vertical="center"/>
    </xf>
    <xf numFmtId="0" fontId="9" fillId="26" borderId="0" xfId="0" applyFont="1" applyFill="1" applyAlignment="1">
      <alignment vertical="center"/>
    </xf>
    <xf numFmtId="0" fontId="21" fillId="26" borderId="0" xfId="0" applyFont="1" applyFill="1" applyAlignment="1">
      <alignment vertical="center"/>
    </xf>
    <xf numFmtId="0" fontId="21" fillId="24" borderId="0" xfId="0" applyFont="1" applyFill="1" applyAlignment="1">
      <alignment horizontal="center" vertical="center"/>
    </xf>
    <xf numFmtId="0" fontId="21" fillId="26" borderId="19" xfId="0" applyFont="1" applyFill="1" applyBorder="1" applyAlignment="1">
      <alignment vertical="center"/>
    </xf>
    <xf numFmtId="0" fontId="21" fillId="24" borderId="19" xfId="0" applyFont="1" applyFill="1" applyBorder="1" applyAlignment="1">
      <alignment vertical="center" wrapText="1"/>
    </xf>
    <xf numFmtId="0" fontId="21" fillId="24" borderId="19" xfId="0" applyFont="1" applyFill="1" applyBorder="1" applyAlignment="1">
      <alignment vertical="center"/>
    </xf>
    <xf numFmtId="0" fontId="21" fillId="24" borderId="19" xfId="0" applyFont="1" applyFill="1" applyBorder="1" applyAlignment="1">
      <alignment horizontal="center" vertical="center"/>
    </xf>
    <xf numFmtId="0" fontId="40" fillId="24" borderId="19" xfId="0" applyFont="1" applyFill="1" applyBorder="1" applyAlignment="1">
      <alignment horizontal="center" vertical="center"/>
    </xf>
    <xf numFmtId="0" fontId="46" fillId="26" borderId="0" xfId="0" applyFont="1" applyFill="1" applyAlignment="1">
      <alignment vertical="center"/>
    </xf>
    <xf numFmtId="0" fontId="21" fillId="24" borderId="0" xfId="0" applyFont="1" applyFill="1" applyAlignment="1">
      <alignment horizontal="left" vertical="center"/>
    </xf>
    <xf numFmtId="0" fontId="21" fillId="24" borderId="19" xfId="0" applyFont="1" applyFill="1" applyBorder="1" applyAlignment="1">
      <alignment horizontal="left" vertical="center"/>
    </xf>
    <xf numFmtId="0" fontId="18" fillId="24" borderId="0" xfId="0" applyFont="1" applyFill="1" applyAlignment="1">
      <alignment vertical="center" wrapText="1"/>
    </xf>
    <xf numFmtId="0" fontId="47" fillId="26" borderId="0" xfId="0" applyFont="1" applyFill="1" applyAlignment="1">
      <alignment vertical="center"/>
    </xf>
    <xf numFmtId="0" fontId="47" fillId="24" borderId="0" xfId="0" applyFont="1" applyFill="1" applyAlignment="1">
      <alignment vertical="center"/>
    </xf>
    <xf numFmtId="0" fontId="47" fillId="26" borderId="19" xfId="0" applyFont="1" applyFill="1" applyBorder="1" applyAlignment="1">
      <alignment vertical="center"/>
    </xf>
    <xf numFmtId="0" fontId="18" fillId="24" borderId="19" xfId="0" applyFont="1" applyFill="1" applyBorder="1" applyAlignment="1">
      <alignment vertical="center" wrapText="1"/>
    </xf>
    <xf numFmtId="0" fontId="18" fillId="24" borderId="19" xfId="0" applyFont="1" applyFill="1" applyBorder="1" applyAlignment="1">
      <alignment vertical="center"/>
    </xf>
    <xf numFmtId="0" fontId="21" fillId="26" borderId="0" xfId="0" applyFont="1" applyFill="1" applyAlignment="1">
      <alignment vertical="center" wrapText="1"/>
    </xf>
    <xf numFmtId="0" fontId="21" fillId="26" borderId="0" xfId="0" applyFont="1" applyFill="1" applyAlignment="1">
      <alignment horizontal="center" vertical="center"/>
    </xf>
    <xf numFmtId="0" fontId="49" fillId="34" borderId="0" xfId="0" applyFont="1" applyFill="1" applyAlignment="1">
      <alignment vertical="center"/>
    </xf>
    <xf numFmtId="0" fontId="24" fillId="34" borderId="0" xfId="0" applyFont="1" applyFill="1" applyAlignment="1">
      <alignment vertical="center"/>
    </xf>
    <xf numFmtId="0" fontId="24" fillId="28" borderId="20" xfId="0" applyFont="1" applyFill="1" applyBorder="1" applyAlignment="1">
      <alignment vertical="center"/>
    </xf>
    <xf numFmtId="0" fontId="24" fillId="34" borderId="20" xfId="0" applyFont="1" applyFill="1" applyBorder="1" applyAlignment="1">
      <alignment vertical="center"/>
    </xf>
    <xf numFmtId="0" fontId="24" fillId="28" borderId="20" xfId="0" applyFont="1" applyFill="1" applyBorder="1" applyAlignment="1">
      <alignment vertical="center" wrapText="1"/>
    </xf>
    <xf numFmtId="0" fontId="40" fillId="28" borderId="0" xfId="0" applyFont="1" applyFill="1" applyAlignment="1">
      <alignment horizontal="center" vertical="center"/>
    </xf>
    <xf numFmtId="0" fontId="40" fillId="28" borderId="20" xfId="0" applyFont="1" applyFill="1" applyBorder="1" applyAlignment="1">
      <alignment horizontal="center" vertical="center"/>
    </xf>
    <xf numFmtId="0" fontId="9" fillId="9" borderId="20" xfId="0" applyFont="1" applyFill="1" applyBorder="1" applyAlignment="1">
      <alignment vertical="center" wrapText="1"/>
    </xf>
    <xf numFmtId="0" fontId="24" fillId="28" borderId="21" xfId="0" applyFont="1" applyFill="1" applyBorder="1" applyAlignment="1">
      <alignment vertical="center"/>
    </xf>
    <xf numFmtId="0" fontId="40" fillId="28" borderId="0" xfId="0" applyFont="1" applyFill="1" applyAlignment="1">
      <alignment horizontal="center" vertical="center" wrapText="1"/>
    </xf>
    <xf numFmtId="0" fontId="24" fillId="28" borderId="20" xfId="0" applyFont="1" applyFill="1" applyBorder="1" applyAlignment="1">
      <alignment horizontal="center" vertical="center"/>
    </xf>
    <xf numFmtId="0" fontId="40" fillId="28" borderId="20" xfId="0" applyFont="1" applyFill="1" applyBorder="1" applyAlignment="1">
      <alignment horizontal="center" vertical="center" wrapText="1"/>
    </xf>
    <xf numFmtId="0" fontId="24" fillId="34" borderId="0" xfId="0" applyFont="1" applyFill="1" applyAlignment="1">
      <alignment vertical="center" wrapText="1"/>
    </xf>
    <xf numFmtId="0" fontId="24" fillId="34" borderId="0" xfId="0" applyFont="1" applyFill="1" applyAlignment="1">
      <alignment horizontal="center" vertical="center"/>
    </xf>
    <xf numFmtId="0" fontId="50" fillId="14" borderId="0" xfId="0" applyFont="1" applyFill="1" applyAlignment="1">
      <alignment vertical="center"/>
    </xf>
    <xf numFmtId="0" fontId="50" fillId="12" borderId="0" xfId="0" applyFont="1" applyFill="1" applyAlignment="1">
      <alignment vertical="center" wrapText="1"/>
    </xf>
    <xf numFmtId="0" fontId="9" fillId="9" borderId="16" xfId="0" applyFont="1" applyFill="1" applyBorder="1" applyAlignment="1">
      <alignment vertical="center" wrapText="1"/>
    </xf>
    <xf numFmtId="0" fontId="13" fillId="12" borderId="0" xfId="0" applyFont="1" applyFill="1" applyAlignment="1">
      <alignment horizontal="left" vertical="center"/>
    </xf>
    <xf numFmtId="0" fontId="13" fillId="12" borderId="16" xfId="0" applyFont="1" applyFill="1" applyBorder="1" applyAlignment="1">
      <alignment horizontal="left" vertical="center"/>
    </xf>
    <xf numFmtId="0" fontId="11" fillId="12" borderId="0" xfId="0" applyFont="1" applyFill="1" applyAlignment="1">
      <alignment horizontal="left" vertical="center"/>
    </xf>
    <xf numFmtId="0" fontId="11" fillId="12" borderId="16" xfId="0" applyFont="1" applyFill="1" applyBorder="1" applyAlignment="1">
      <alignment horizontal="left" vertical="center"/>
    </xf>
    <xf numFmtId="0" fontId="9" fillId="14" borderId="0" xfId="0" applyFont="1" applyFill="1" applyAlignment="1">
      <alignment vertical="center" wrapText="1"/>
    </xf>
    <xf numFmtId="0" fontId="9" fillId="14" borderId="0" xfId="0" applyFont="1" applyFill="1" applyAlignment="1">
      <alignment horizontal="center" vertical="center"/>
    </xf>
    <xf numFmtId="0" fontId="9" fillId="22" borderId="0" xfId="0" applyFont="1" applyFill="1" applyAlignment="1">
      <alignment vertical="center"/>
    </xf>
    <xf numFmtId="0" fontId="19" fillId="22" borderId="0" xfId="0" applyFont="1" applyFill="1" applyAlignment="1">
      <alignment vertical="center"/>
    </xf>
    <xf numFmtId="0" fontId="52" fillId="22" borderId="0" xfId="0" applyFont="1" applyFill="1" applyAlignment="1">
      <alignment vertical="center"/>
    </xf>
    <xf numFmtId="0" fontId="19" fillId="16" borderId="17" xfId="0" applyFont="1" applyFill="1" applyBorder="1" applyAlignment="1">
      <alignment horizontal="center" vertical="center"/>
    </xf>
    <xf numFmtId="0" fontId="9" fillId="9" borderId="17" xfId="0" applyFont="1" applyFill="1" applyBorder="1" applyAlignment="1">
      <alignment vertical="center" wrapText="1"/>
    </xf>
    <xf numFmtId="0" fontId="9" fillId="9" borderId="17" xfId="0" applyFont="1" applyFill="1" applyBorder="1" applyAlignment="1">
      <alignment vertical="center"/>
    </xf>
    <xf numFmtId="0" fontId="43" fillId="18" borderId="17" xfId="0" applyFont="1" applyFill="1" applyBorder="1" applyAlignment="1">
      <alignment vertical="center"/>
    </xf>
    <xf numFmtId="0" fontId="43" fillId="16" borderId="17" xfId="0" applyFont="1" applyFill="1" applyBorder="1" applyAlignment="1">
      <alignment vertical="center" wrapText="1"/>
    </xf>
    <xf numFmtId="0" fontId="19" fillId="18" borderId="0" xfId="0" applyFont="1" applyFill="1" applyAlignment="1">
      <alignment vertical="center" wrapText="1"/>
    </xf>
    <xf numFmtId="0" fontId="19" fillId="18" borderId="0" xfId="0" applyFont="1" applyFill="1" applyAlignment="1">
      <alignment horizontal="center" vertical="center"/>
    </xf>
    <xf numFmtId="0" fontId="1" fillId="6" borderId="0" xfId="0" applyFont="1" applyFill="1" applyAlignment="1">
      <alignment vertical="center"/>
    </xf>
    <xf numFmtId="0" fontId="37" fillId="26" borderId="0" xfId="0" applyFont="1" applyFill="1" applyAlignment="1">
      <alignment vertical="center"/>
    </xf>
    <xf numFmtId="0" fontId="53" fillId="26" borderId="0" xfId="0" applyFont="1" applyFill="1" applyAlignment="1">
      <alignment vertical="center"/>
    </xf>
    <xf numFmtId="0" fontId="54" fillId="24" borderId="0" xfId="0" applyFont="1" applyFill="1" applyAlignment="1">
      <alignment vertical="center"/>
    </xf>
    <xf numFmtId="0" fontId="15" fillId="14" borderId="0" xfId="0" applyFont="1" applyFill="1" applyAlignment="1">
      <alignment vertical="center"/>
    </xf>
    <xf numFmtId="0" fontId="53" fillId="14" borderId="0" xfId="0" applyFont="1" applyFill="1" applyAlignment="1">
      <alignment vertical="center"/>
    </xf>
    <xf numFmtId="0" fontId="15" fillId="18" borderId="0" xfId="0" applyFont="1" applyFill="1" applyAlignment="1">
      <alignment vertical="center"/>
    </xf>
    <xf numFmtId="0" fontId="21" fillId="18" borderId="0" xfId="0" applyFont="1" applyFill="1" applyAlignment="1">
      <alignment vertical="center"/>
    </xf>
    <xf numFmtId="0" fontId="55" fillId="22" borderId="0" xfId="0" applyFont="1" applyFill="1" applyAlignment="1">
      <alignment vertical="center"/>
    </xf>
    <xf numFmtId="0" fontId="15" fillId="22" borderId="0" xfId="0" applyFont="1" applyFill="1" applyAlignment="1">
      <alignment vertical="center"/>
    </xf>
    <xf numFmtId="0" fontId="55" fillId="35" borderId="0" xfId="0" applyFont="1" applyFill="1" applyAlignment="1">
      <alignment vertical="center"/>
    </xf>
    <xf numFmtId="0" fontId="15" fillId="35" borderId="0" xfId="0" applyFont="1" applyFill="1" applyAlignment="1">
      <alignment vertical="center"/>
    </xf>
    <xf numFmtId="0" fontId="9" fillId="25" borderId="0" xfId="0" applyFont="1" applyFill="1" applyAlignment="1">
      <alignment vertical="center"/>
    </xf>
    <xf numFmtId="0" fontId="47" fillId="35" borderId="0" xfId="0" applyFont="1" applyFill="1" applyAlignment="1">
      <alignment vertical="center"/>
    </xf>
    <xf numFmtId="0" fontId="55" fillId="34" borderId="0" xfId="0" applyFont="1" applyFill="1" applyAlignment="1">
      <alignment vertical="center"/>
    </xf>
    <xf numFmtId="0" fontId="15" fillId="34" borderId="0" xfId="0" applyFont="1" applyFill="1" applyAlignment="1">
      <alignment vertical="center"/>
    </xf>
    <xf numFmtId="0" fontId="55" fillId="14" borderId="0" xfId="0" applyFont="1" applyFill="1" applyAlignment="1">
      <alignment vertical="center"/>
    </xf>
    <xf numFmtId="0" fontId="55" fillId="18" borderId="0" xfId="0" applyFont="1" applyFill="1" applyAlignment="1">
      <alignment vertical="center"/>
    </xf>
    <xf numFmtId="0" fontId="15" fillId="25" borderId="0" xfId="0" applyFont="1" applyFill="1"/>
    <xf numFmtId="0" fontId="15" fillId="25" borderId="0" xfId="0" applyFont="1" applyFill="1" applyAlignment="1">
      <alignment horizontal="right"/>
    </xf>
    <xf numFmtId="0" fontId="1" fillId="25" borderId="0" xfId="0" applyFont="1" applyFill="1"/>
    <xf numFmtId="0" fontId="15" fillId="11" borderId="0" xfId="0" applyFont="1" applyFill="1"/>
    <xf numFmtId="0" fontId="15" fillId="12" borderId="0" xfId="0" applyFont="1" applyFill="1" applyAlignment="1">
      <alignment horizontal="right"/>
    </xf>
    <xf numFmtId="0" fontId="15" fillId="16" borderId="0" xfId="0" applyFont="1" applyFill="1" applyAlignment="1">
      <alignment horizontal="right"/>
    </xf>
    <xf numFmtId="0" fontId="15" fillId="19" borderId="0" xfId="0" applyFont="1" applyFill="1"/>
    <xf numFmtId="0" fontId="15" fillId="20" borderId="0" xfId="0" applyFont="1" applyFill="1" applyAlignment="1">
      <alignment horizontal="right"/>
    </xf>
    <xf numFmtId="0" fontId="15" fillId="23" borderId="0" xfId="0" applyFont="1" applyFill="1"/>
    <xf numFmtId="0" fontId="15" fillId="24" borderId="0" xfId="0" applyFont="1" applyFill="1" applyAlignment="1">
      <alignment horizontal="right"/>
    </xf>
    <xf numFmtId="0" fontId="15" fillId="27" borderId="0" xfId="0" applyFont="1" applyFill="1"/>
    <xf numFmtId="0" fontId="15" fillId="28" borderId="0" xfId="0" applyFont="1" applyFill="1" applyAlignment="1">
      <alignment horizontal="right"/>
    </xf>
    <xf numFmtId="0" fontId="15" fillId="20" borderId="0" xfId="0" applyFont="1" applyFill="1"/>
    <xf numFmtId="0" fontId="15" fillId="16" borderId="0" xfId="0" applyFont="1" applyFill="1"/>
    <xf numFmtId="0" fontId="15" fillId="24" borderId="0" xfId="0" applyFont="1" applyFill="1"/>
    <xf numFmtId="0" fontId="15" fillId="12" borderId="0" xfId="0" applyFont="1" applyFill="1"/>
    <xf numFmtId="0" fontId="15" fillId="28" borderId="0" xfId="0" applyFont="1" applyFill="1"/>
    <xf numFmtId="0" fontId="56" fillId="25" borderId="0" xfId="0" applyFont="1" applyFill="1"/>
    <xf numFmtId="0" fontId="57" fillId="25" borderId="0" xfId="0" applyFont="1" applyFill="1"/>
    <xf numFmtId="0" fontId="10" fillId="25" borderId="0" xfId="0" applyFont="1" applyFill="1" applyAlignment="1">
      <alignment vertical="center"/>
    </xf>
    <xf numFmtId="0" fontId="10" fillId="6" borderId="22" xfId="0" applyFont="1" applyFill="1" applyBorder="1" applyAlignment="1">
      <alignment horizontal="center" vertical="center"/>
    </xf>
    <xf numFmtId="0" fontId="10" fillId="6" borderId="22" xfId="0" applyFont="1" applyFill="1" applyBorder="1" applyAlignment="1">
      <alignment vertical="center"/>
    </xf>
    <xf numFmtId="0" fontId="1" fillId="25" borderId="0" xfId="0" applyFont="1" applyFill="1" applyAlignment="1">
      <alignment vertical="center"/>
    </xf>
    <xf numFmtId="0" fontId="37" fillId="25" borderId="0" xfId="0" applyFont="1" applyFill="1" applyAlignment="1">
      <alignment vertical="center"/>
    </xf>
    <xf numFmtId="0" fontId="15" fillId="24" borderId="0" xfId="0" applyFont="1" applyFill="1" applyAlignment="1">
      <alignment vertical="center"/>
    </xf>
    <xf numFmtId="0" fontId="15" fillId="24" borderId="0" xfId="0" applyFont="1" applyFill="1" applyAlignment="1">
      <alignment horizontal="center" vertical="center"/>
    </xf>
    <xf numFmtId="0" fontId="15" fillId="24" borderId="0" xfId="0" applyFont="1" applyFill="1" applyAlignment="1">
      <alignment vertical="center" wrapText="1"/>
    </xf>
    <xf numFmtId="0" fontId="15" fillId="24" borderId="0" xfId="0" applyFont="1" applyFill="1" applyAlignment="1">
      <alignment horizontal="left" vertical="center"/>
    </xf>
    <xf numFmtId="0" fontId="21" fillId="25" borderId="0" xfId="0" applyFont="1" applyFill="1" applyAlignment="1">
      <alignment vertical="center"/>
    </xf>
    <xf numFmtId="0" fontId="21" fillId="25" borderId="0" xfId="0" applyFont="1" applyFill="1" applyAlignment="1">
      <alignment horizontal="center" vertical="center"/>
    </xf>
    <xf numFmtId="0" fontId="10" fillId="6" borderId="0" xfId="0" applyFont="1" applyFill="1" applyAlignment="1">
      <alignment horizontal="right" vertical="center"/>
    </xf>
    <xf numFmtId="0" fontId="10" fillId="25" borderId="0" xfId="0" applyFont="1" applyFill="1"/>
    <xf numFmtId="0" fontId="10" fillId="6" borderId="0" xfId="0" applyFont="1" applyFill="1" applyAlignment="1">
      <alignment horizontal="right"/>
    </xf>
    <xf numFmtId="0" fontId="21" fillId="28" borderId="0" xfId="0" applyFont="1" applyFill="1" applyAlignment="1">
      <alignment vertical="center"/>
    </xf>
    <xf numFmtId="0" fontId="15" fillId="31" borderId="0" xfId="0" applyFont="1" applyFill="1" applyAlignment="1">
      <alignment vertical="center"/>
    </xf>
    <xf numFmtId="0" fontId="21" fillId="18" borderId="24" xfId="0" applyFont="1" applyFill="1" applyBorder="1" applyAlignment="1">
      <alignment vertical="center"/>
    </xf>
    <xf numFmtId="0" fontId="21" fillId="18" borderId="27" xfId="0" applyFont="1" applyFill="1" applyBorder="1" applyAlignment="1">
      <alignment vertical="center"/>
    </xf>
    <xf numFmtId="0" fontId="21" fillId="22" borderId="0" xfId="0" applyFont="1" applyFill="1" applyAlignment="1">
      <alignment vertical="center"/>
    </xf>
    <xf numFmtId="0" fontId="21" fillId="25" borderId="0" xfId="0" applyFont="1" applyFill="1"/>
    <xf numFmtId="0" fontId="26" fillId="25" borderId="0" xfId="0" applyFont="1" applyFill="1"/>
    <xf numFmtId="0" fontId="1" fillId="6" borderId="0" xfId="0" applyFont="1" applyFill="1" applyAlignment="1">
      <alignment horizontal="center" vertical="center"/>
    </xf>
    <xf numFmtId="0" fontId="1" fillId="6" borderId="0" xfId="0" applyFont="1" applyFill="1" applyAlignment="1">
      <alignment horizontal="center"/>
    </xf>
    <xf numFmtId="0" fontId="16" fillId="25" borderId="0" xfId="0" applyFont="1" applyFill="1" applyAlignment="1">
      <alignment vertical="center"/>
    </xf>
    <xf numFmtId="0" fontId="34" fillId="24" borderId="0" xfId="0" applyFont="1" applyFill="1"/>
    <xf numFmtId="0" fontId="15" fillId="24" borderId="0" xfId="0" applyFont="1" applyFill="1" applyAlignment="1">
      <alignment horizontal="center"/>
    </xf>
    <xf numFmtId="0" fontId="15" fillId="24" borderId="0" xfId="0" applyFont="1" applyFill="1" applyAlignment="1">
      <alignment horizontal="left"/>
    </xf>
    <xf numFmtId="0" fontId="15" fillId="25" borderId="0" xfId="0" applyFont="1" applyFill="1" applyAlignment="1">
      <alignment horizontal="left"/>
    </xf>
    <xf numFmtId="0" fontId="15" fillId="25" borderId="0" xfId="0" applyFont="1" applyFill="1" applyAlignment="1">
      <alignment horizontal="center"/>
    </xf>
    <xf numFmtId="0" fontId="16" fillId="25" borderId="0" xfId="0" applyFont="1" applyFill="1" applyAlignment="1">
      <alignment horizontal="center" vertical="center"/>
    </xf>
    <xf numFmtId="0" fontId="16" fillId="24" borderId="0" xfId="0" applyFont="1" applyFill="1" applyAlignment="1">
      <alignment horizontal="center" vertical="center"/>
    </xf>
    <xf numFmtId="0" fontId="34" fillId="24" borderId="0" xfId="0" applyFont="1" applyFill="1" applyAlignment="1">
      <alignment horizontal="center"/>
    </xf>
    <xf numFmtId="0" fontId="34" fillId="25" borderId="0" xfId="0" applyFont="1" applyFill="1"/>
    <xf numFmtId="0" fontId="34" fillId="25" borderId="0" xfId="0" applyFont="1" applyFill="1" applyAlignment="1">
      <alignment horizontal="center"/>
    </xf>
    <xf numFmtId="0" fontId="58" fillId="25" borderId="0" xfId="0" applyFont="1" applyFill="1"/>
    <xf numFmtId="0" fontId="18" fillId="24" borderId="0" xfId="0" applyFont="1" applyFill="1" applyAlignment="1">
      <alignment horizontal="left" vertical="center" wrapText="1"/>
    </xf>
    <xf numFmtId="0" fontId="18" fillId="25" borderId="0" xfId="0" applyFont="1" applyFill="1"/>
    <xf numFmtId="0" fontId="18" fillId="25" borderId="0" xfId="0" applyFont="1" applyFill="1" applyAlignment="1">
      <alignment horizontal="center"/>
    </xf>
    <xf numFmtId="0" fontId="21" fillId="25" borderId="0" xfId="0" applyFont="1" applyFill="1" applyAlignment="1">
      <alignment horizontal="left"/>
    </xf>
    <xf numFmtId="0" fontId="21" fillId="25" borderId="0" xfId="0" applyFont="1" applyFill="1" applyAlignment="1">
      <alignment horizontal="center"/>
    </xf>
    <xf numFmtId="0" fontId="47" fillId="25" borderId="0" xfId="0" applyFont="1" applyFill="1"/>
    <xf numFmtId="0" fontId="47" fillId="25" borderId="0" xfId="0" applyFont="1" applyFill="1" applyAlignment="1">
      <alignment horizontal="center"/>
    </xf>
    <xf numFmtId="0" fontId="59" fillId="25" borderId="0" xfId="0" applyFont="1" applyFill="1"/>
    <xf numFmtId="0" fontId="10" fillId="37" borderId="0" xfId="0" applyFont="1" applyFill="1"/>
    <xf numFmtId="0" fontId="9" fillId="37" borderId="0" xfId="0" applyFont="1" applyFill="1"/>
    <xf numFmtId="0" fontId="21" fillId="37" borderId="0" xfId="0" applyFont="1" applyFill="1"/>
    <xf numFmtId="0" fontId="9" fillId="31" borderId="0" xfId="0" applyFont="1" applyFill="1"/>
    <xf numFmtId="0" fontId="21" fillId="23" borderId="0" xfId="0" applyFont="1" applyFill="1"/>
    <xf numFmtId="41" fontId="15" fillId="24" borderId="0" xfId="0" applyNumberFormat="1" applyFont="1" applyFill="1"/>
    <xf numFmtId="41" fontId="15" fillId="23" borderId="0" xfId="0" applyNumberFormat="1" applyFont="1" applyFill="1"/>
    <xf numFmtId="41" fontId="15" fillId="0" borderId="0" xfId="0" applyNumberFormat="1" applyFont="1"/>
    <xf numFmtId="0" fontId="15" fillId="0" borderId="0" xfId="0" applyFont="1"/>
    <xf numFmtId="41" fontId="9" fillId="25" borderId="0" xfId="0" applyNumberFormat="1" applyFont="1" applyFill="1"/>
    <xf numFmtId="0" fontId="41" fillId="31" borderId="0" xfId="0" applyFont="1" applyFill="1" applyAlignment="1">
      <alignment horizontal="left" vertical="center"/>
    </xf>
    <xf numFmtId="0" fontId="60" fillId="31" borderId="0" xfId="0" applyFont="1" applyFill="1" applyAlignment="1">
      <alignment vertical="center"/>
    </xf>
    <xf numFmtId="0" fontId="41" fillId="25" borderId="0" xfId="0" applyFont="1" applyFill="1" applyAlignment="1">
      <alignment horizontal="left" vertical="center"/>
    </xf>
    <xf numFmtId="0" fontId="12" fillId="31" borderId="0" xfId="0" applyFont="1" applyFill="1" applyAlignment="1">
      <alignment horizontal="left" vertical="center"/>
    </xf>
    <xf numFmtId="0" fontId="18" fillId="31" borderId="0" xfId="0" applyFont="1" applyFill="1" applyAlignment="1">
      <alignment vertical="center"/>
    </xf>
    <xf numFmtId="0" fontId="18" fillId="31" borderId="0" xfId="0" applyFont="1" applyFill="1" applyAlignment="1">
      <alignment horizontal="left" vertical="center"/>
    </xf>
    <xf numFmtId="0" fontId="18" fillId="31" borderId="0" xfId="0" applyFont="1" applyFill="1" applyAlignment="1">
      <alignment horizontal="left" vertical="center" wrapText="1"/>
    </xf>
    <xf numFmtId="0" fontId="12" fillId="25" borderId="0" xfId="0" applyFont="1" applyFill="1" applyAlignment="1">
      <alignment horizontal="left" vertical="center"/>
    </xf>
    <xf numFmtId="0" fontId="16" fillId="31" borderId="0" xfId="0" applyFont="1" applyFill="1" applyAlignment="1">
      <alignment vertical="center"/>
    </xf>
    <xf numFmtId="0" fontId="34" fillId="31" borderId="0" xfId="0" applyFont="1" applyFill="1" applyAlignment="1">
      <alignment horizontal="left" vertical="center"/>
    </xf>
    <xf numFmtId="0" fontId="34" fillId="31" borderId="0" xfId="0" applyFont="1" applyFill="1" applyAlignment="1">
      <alignment horizontal="left" vertical="center" wrapText="1"/>
    </xf>
    <xf numFmtId="0" fontId="15" fillId="31" borderId="0" xfId="0" applyFont="1" applyFill="1"/>
    <xf numFmtId="0" fontId="1" fillId="36" borderId="0" xfId="0" applyFont="1" applyFill="1" applyAlignment="1">
      <alignment horizontal="left" vertical="center"/>
    </xf>
    <xf numFmtId="0" fontId="1" fillId="36" borderId="0" xfId="0" applyFont="1" applyFill="1" applyAlignment="1">
      <alignment vertical="center"/>
    </xf>
    <xf numFmtId="0" fontId="28" fillId="25" borderId="0" xfId="0" applyFont="1" applyFill="1" applyAlignment="1">
      <alignment vertical="center"/>
    </xf>
    <xf numFmtId="0" fontId="28" fillId="25" borderId="0" xfId="0" applyFont="1" applyFill="1" applyAlignment="1">
      <alignment horizontal="left" vertical="center"/>
    </xf>
    <xf numFmtId="0" fontId="61" fillId="24" borderId="0" xfId="0" applyFont="1" applyFill="1" applyAlignment="1">
      <alignment vertical="center"/>
    </xf>
    <xf numFmtId="0" fontId="41" fillId="25" borderId="0" xfId="0" applyFont="1" applyFill="1" applyAlignment="1">
      <alignment vertical="center"/>
    </xf>
    <xf numFmtId="0" fontId="18" fillId="24" borderId="0" xfId="0" applyFont="1" applyFill="1" applyAlignment="1">
      <alignment horizontal="left"/>
    </xf>
    <xf numFmtId="0" fontId="17" fillId="12" borderId="0" xfId="0" applyFont="1" applyFill="1" applyAlignment="1">
      <alignment vertical="center"/>
    </xf>
    <xf numFmtId="0" fontId="62" fillId="20" borderId="0" xfId="0" applyFont="1" applyFill="1" applyAlignment="1">
      <alignment vertical="center"/>
    </xf>
    <xf numFmtId="0" fontId="63" fillId="28" borderId="0" xfId="0" applyFont="1" applyFill="1" applyAlignment="1">
      <alignment vertical="center"/>
    </xf>
    <xf numFmtId="0" fontId="25" fillId="28" borderId="0" xfId="0" applyFont="1" applyFill="1" applyAlignment="1">
      <alignment vertical="center"/>
    </xf>
    <xf numFmtId="0" fontId="34" fillId="38" borderId="0" xfId="0" applyFont="1" applyFill="1" applyAlignment="1">
      <alignment vertical="center"/>
    </xf>
    <xf numFmtId="0" fontId="15" fillId="38" borderId="0" xfId="0" applyFont="1" applyFill="1" applyAlignment="1">
      <alignment vertical="center"/>
    </xf>
    <xf numFmtId="0" fontId="34" fillId="16" borderId="0" xfId="0" applyFont="1" applyFill="1" applyAlignment="1">
      <alignment vertical="center"/>
    </xf>
    <xf numFmtId="0" fontId="15" fillId="16" borderId="0" xfId="0" applyFont="1" applyFill="1" applyAlignment="1">
      <alignment vertical="center"/>
    </xf>
    <xf numFmtId="0" fontId="34" fillId="20" borderId="0" xfId="0" applyFont="1" applyFill="1" applyAlignment="1">
      <alignment vertical="center"/>
    </xf>
    <xf numFmtId="0" fontId="15" fillId="20" borderId="0" xfId="0" applyFont="1" applyFill="1" applyAlignment="1">
      <alignment vertical="center"/>
    </xf>
    <xf numFmtId="0" fontId="18" fillId="20" borderId="0" xfId="0" applyFont="1" applyFill="1"/>
    <xf numFmtId="0" fontId="34" fillId="28" borderId="0" xfId="0" applyFont="1" applyFill="1" applyAlignment="1">
      <alignment vertical="center"/>
    </xf>
    <xf numFmtId="0" fontId="15" fillId="28" borderId="0" xfId="0" applyFont="1" applyFill="1" applyAlignment="1">
      <alignment vertical="center"/>
    </xf>
    <xf numFmtId="0" fontId="34" fillId="12" borderId="0" xfId="0" applyFont="1" applyFill="1" applyAlignment="1">
      <alignment vertical="center"/>
    </xf>
    <xf numFmtId="0" fontId="15" fillId="12" borderId="0" xfId="0" applyFont="1" applyFill="1" applyAlignment="1">
      <alignment vertical="center"/>
    </xf>
    <xf numFmtId="0" fontId="61" fillId="24" borderId="0" xfId="0" applyFont="1" applyFill="1" applyAlignment="1">
      <alignment horizontal="left" vertical="center"/>
    </xf>
    <xf numFmtId="0" fontId="37" fillId="9" borderId="0" xfId="0" applyFont="1" applyFill="1" applyAlignment="1">
      <alignment vertical="center"/>
    </xf>
    <xf numFmtId="0" fontId="22" fillId="16" borderId="0" xfId="0" applyFont="1" applyFill="1" applyAlignment="1">
      <alignment vertical="center"/>
    </xf>
    <xf numFmtId="0" fontId="50" fillId="12" borderId="0" xfId="0" applyFont="1" applyFill="1" applyAlignment="1">
      <alignment vertical="center"/>
    </xf>
    <xf numFmtId="0" fontId="19" fillId="28" borderId="0" xfId="0" applyFont="1" applyFill="1" applyAlignment="1">
      <alignment vertical="center"/>
    </xf>
    <xf numFmtId="0" fontId="26" fillId="24" borderId="0" xfId="0" applyFont="1" applyFill="1" applyAlignment="1">
      <alignment vertical="center"/>
    </xf>
    <xf numFmtId="0" fontId="23" fillId="20" borderId="0" xfId="0" applyFont="1" applyFill="1"/>
    <xf numFmtId="0" fontId="0" fillId="0" borderId="0" xfId="0"/>
    <xf numFmtId="0" fontId="22" fillId="20" borderId="0" xfId="0" applyFont="1" applyFill="1"/>
    <xf numFmtId="0" fontId="9" fillId="21" borderId="0" xfId="0" applyFont="1" applyFill="1"/>
    <xf numFmtId="0" fontId="9" fillId="5" borderId="0" xfId="0" applyFont="1" applyFill="1"/>
    <xf numFmtId="0" fontId="12" fillId="21" borderId="0" xfId="0" applyFont="1" applyFill="1"/>
    <xf numFmtId="0" fontId="9" fillId="19" borderId="0" xfId="0" applyFont="1" applyFill="1"/>
    <xf numFmtId="0" fontId="21" fillId="22" borderId="0" xfId="0" applyFont="1" applyFill="1"/>
    <xf numFmtId="0" fontId="13" fillId="12" borderId="0" xfId="0" applyFont="1" applyFill="1"/>
    <xf numFmtId="0" fontId="11" fillId="12" borderId="0" xfId="0" applyFont="1" applyFill="1" applyAlignment="1">
      <alignment vertical="center"/>
    </xf>
    <xf numFmtId="0" fontId="9" fillId="11" borderId="0" xfId="0" applyFont="1" applyFill="1"/>
    <xf numFmtId="0" fontId="11" fillId="12" borderId="0" xfId="0" applyFont="1" applyFill="1"/>
    <xf numFmtId="0" fontId="9" fillId="13" borderId="0" xfId="0" applyFont="1" applyFill="1"/>
    <xf numFmtId="0" fontId="21" fillId="14" borderId="0" xfId="0" applyFont="1" applyFill="1"/>
    <xf numFmtId="0" fontId="10" fillId="3" borderId="0" xfId="0" applyFont="1" applyFill="1"/>
    <xf numFmtId="0" fontId="9" fillId="3" borderId="0" xfId="0" applyFont="1" applyFill="1"/>
    <xf numFmtId="0" fontId="8" fillId="5" borderId="0" xfId="0" applyFont="1" applyFill="1"/>
    <xf numFmtId="0" fontId="8" fillId="19" borderId="0" xfId="0" applyFont="1" applyFill="1"/>
    <xf numFmtId="0" fontId="10" fillId="5" borderId="0" xfId="0" applyFont="1" applyFill="1"/>
    <xf numFmtId="176" fontId="23" fillId="20" borderId="0" xfId="0" applyNumberFormat="1" applyFont="1" applyFill="1" applyAlignment="1">
      <alignment horizontal="left"/>
    </xf>
    <xf numFmtId="0" fontId="23" fillId="19" borderId="0" xfId="0" applyFont="1" applyFill="1"/>
    <xf numFmtId="0" fontId="12" fillId="19" borderId="0" xfId="0" applyFont="1" applyFill="1"/>
    <xf numFmtId="0" fontId="25" fillId="28" borderId="0" xfId="0" applyFont="1" applyFill="1"/>
    <xf numFmtId="0" fontId="24" fillId="28" borderId="0" xfId="0" applyFont="1" applyFill="1"/>
    <xf numFmtId="0" fontId="9" fillId="27" borderId="0" xfId="0" applyFont="1" applyFill="1"/>
    <xf numFmtId="0" fontId="24" fillId="28" borderId="0" xfId="0" applyFont="1" applyFill="1" applyAlignment="1">
      <alignment vertical="center"/>
    </xf>
    <xf numFmtId="0" fontId="9" fillId="29" borderId="0" xfId="0" applyFont="1" applyFill="1"/>
    <xf numFmtId="0" fontId="10" fillId="7" borderId="0" xfId="0" applyFont="1" applyFill="1"/>
    <xf numFmtId="0" fontId="21" fillId="30" borderId="0" xfId="0" applyFont="1" applyFill="1"/>
    <xf numFmtId="0" fontId="9" fillId="7" borderId="0" xfId="0" applyFont="1" applyFill="1"/>
    <xf numFmtId="0" fontId="24" fillId="28" borderId="0" xfId="0" applyFont="1" applyFill="1" applyAlignment="1">
      <alignment vertical="center" wrapText="1"/>
    </xf>
    <xf numFmtId="0" fontId="9" fillId="9" borderId="0" xfId="0" applyFont="1" applyFill="1" applyAlignment="1">
      <alignment vertical="center"/>
    </xf>
    <xf numFmtId="0" fontId="11" fillId="12" borderId="0" xfId="0" applyFont="1" applyFill="1" applyAlignment="1">
      <alignment vertical="center" wrapText="1"/>
    </xf>
    <xf numFmtId="0" fontId="9" fillId="9" borderId="0" xfId="0" applyFont="1" applyFill="1"/>
    <xf numFmtId="176" fontId="13" fillId="12" borderId="0" xfId="0" applyNumberFormat="1" applyFont="1" applyFill="1" applyAlignment="1">
      <alignment horizontal="left"/>
    </xf>
    <xf numFmtId="0" fontId="12" fillId="11" borderId="0" xfId="0" applyFont="1" applyFill="1"/>
    <xf numFmtId="0" fontId="12" fillId="13" borderId="0" xfId="0" applyFont="1" applyFill="1"/>
    <xf numFmtId="0" fontId="26" fillId="11" borderId="0" xfId="0" applyFont="1" applyFill="1"/>
    <xf numFmtId="0" fontId="9" fillId="17" borderId="0" xfId="0" applyFont="1" applyFill="1"/>
    <xf numFmtId="0" fontId="19" fillId="16" borderId="0" xfId="0" applyFont="1" applyFill="1" applyAlignment="1">
      <alignment vertical="center"/>
    </xf>
    <xf numFmtId="0" fontId="19" fillId="16" borderId="0" xfId="0" applyFont="1" applyFill="1" applyAlignment="1">
      <alignment vertical="center" wrapText="1"/>
    </xf>
    <xf numFmtId="0" fontId="19" fillId="16" borderId="0" xfId="0" applyFont="1" applyFill="1"/>
    <xf numFmtId="0" fontId="9" fillId="15" borderId="0" xfId="0" applyFont="1" applyFill="1"/>
    <xf numFmtId="0" fontId="9" fillId="9" borderId="0" xfId="0" applyFont="1" applyFill="1" applyAlignment="1">
      <alignment wrapText="1"/>
    </xf>
    <xf numFmtId="0" fontId="8" fillId="4" borderId="0" xfId="0" applyFont="1" applyFill="1"/>
    <xf numFmtId="0" fontId="8" fillId="15" borderId="0" xfId="0" applyFont="1" applyFill="1"/>
    <xf numFmtId="0" fontId="10" fillId="4" borderId="0" xfId="0" applyFont="1" applyFill="1"/>
    <xf numFmtId="0" fontId="9" fillId="4" borderId="0" xfId="0" applyFont="1" applyFill="1"/>
    <xf numFmtId="0" fontId="12" fillId="17" borderId="0" xfId="0" applyFont="1" applyFill="1"/>
    <xf numFmtId="0" fontId="20" fillId="16" borderId="0" xfId="0" applyFont="1" applyFill="1"/>
    <xf numFmtId="0" fontId="21" fillId="18" borderId="0" xfId="0" applyFont="1" applyFill="1"/>
    <xf numFmtId="0" fontId="15" fillId="15" borderId="0" xfId="0" applyFont="1" applyFill="1"/>
    <xf numFmtId="0" fontId="18" fillId="15" borderId="0" xfId="0" applyFont="1" applyFill="1"/>
    <xf numFmtId="0" fontId="18" fillId="18" borderId="0" xfId="0" applyFont="1" applyFill="1"/>
    <xf numFmtId="0" fontId="21" fillId="15" borderId="0" xfId="0" applyFont="1" applyFill="1" applyAlignment="1">
      <alignment horizontal="left"/>
    </xf>
    <xf numFmtId="0" fontId="12" fillId="9" borderId="0" xfId="0" applyFont="1" applyFill="1"/>
    <xf numFmtId="0" fontId="20" fillId="16" borderId="0" xfId="0" applyFont="1" applyFill="1" applyAlignment="1">
      <alignment horizontal="left"/>
    </xf>
    <xf numFmtId="0" fontId="15" fillId="15" borderId="0" xfId="0" applyFont="1" applyFill="1" applyAlignment="1">
      <alignment horizontal="left"/>
    </xf>
    <xf numFmtId="0" fontId="18" fillId="14" borderId="0" xfId="0" applyFont="1" applyFill="1"/>
    <xf numFmtId="0" fontId="12" fillId="4" borderId="0" xfId="0" applyFont="1" applyFill="1"/>
    <xf numFmtId="0" fontId="21" fillId="15" borderId="0" xfId="0" applyFont="1" applyFill="1" applyAlignment="1">
      <alignment vertical="center"/>
    </xf>
    <xf numFmtId="0" fontId="21" fillId="15" borderId="0" xfId="0" applyFont="1" applyFill="1"/>
    <xf numFmtId="0" fontId="14" fillId="15" borderId="0" xfId="0" applyFont="1" applyFill="1"/>
    <xf numFmtId="0" fontId="23" fillId="20" borderId="0" xfId="0" applyFont="1" applyFill="1" applyAlignment="1">
      <alignment horizontal="left"/>
    </xf>
    <xf numFmtId="0" fontId="15" fillId="14" borderId="0" xfId="0" applyFont="1" applyFill="1"/>
    <xf numFmtId="0" fontId="16" fillId="11" borderId="0" xfId="0" applyFont="1" applyFill="1"/>
    <xf numFmtId="0" fontId="17" fillId="12" borderId="0" xfId="0" applyFont="1" applyFill="1"/>
    <xf numFmtId="0" fontId="1" fillId="8" borderId="3" xfId="0" applyFont="1" applyFill="1" applyBorder="1"/>
    <xf numFmtId="0" fontId="7" fillId="0" borderId="4" xfId="0" applyFont="1" applyBorder="1"/>
    <xf numFmtId="0" fontId="7" fillId="0" borderId="5" xfId="0" applyFont="1" applyBorder="1"/>
    <xf numFmtId="0" fontId="1" fillId="2" borderId="0" xfId="0" applyFont="1" applyFill="1"/>
    <xf numFmtId="0" fontId="3" fillId="4" borderId="0" xfId="0" applyFont="1" applyFill="1" applyAlignment="1">
      <alignment horizontal="center"/>
    </xf>
    <xf numFmtId="0" fontId="4" fillId="5" borderId="0" xfId="0" applyFont="1" applyFill="1" applyAlignment="1">
      <alignment horizontal="center"/>
    </xf>
    <xf numFmtId="0" fontId="6" fillId="7" borderId="0" xfId="0" applyFont="1" applyFill="1" applyAlignment="1">
      <alignment horizontal="center"/>
    </xf>
    <xf numFmtId="0" fontId="1" fillId="8" borderId="1" xfId="0" applyFont="1" applyFill="1" applyBorder="1"/>
    <xf numFmtId="0" fontId="7" fillId="0" borderId="2" xfId="0" applyFont="1" applyBorder="1"/>
    <xf numFmtId="0" fontId="7" fillId="0" borderId="6" xfId="0" applyFont="1" applyBorder="1"/>
    <xf numFmtId="0" fontId="7" fillId="0" borderId="7" xfId="0" applyFont="1" applyBorder="1"/>
    <xf numFmtId="0" fontId="1" fillId="10" borderId="0" xfId="0" applyFont="1" applyFill="1"/>
    <xf numFmtId="0" fontId="8" fillId="3" borderId="0" xfId="0" applyFont="1" applyFill="1"/>
    <xf numFmtId="0" fontId="10" fillId="3" borderId="0" xfId="0" applyFont="1" applyFill="1" applyAlignment="1">
      <alignment horizontal="left"/>
    </xf>
    <xf numFmtId="0" fontId="11" fillId="12" borderId="0" xfId="0" applyFont="1" applyFill="1" applyAlignment="1">
      <alignment horizontal="left"/>
    </xf>
    <xf numFmtId="0" fontId="13" fillId="12" borderId="0" xfId="0" applyFont="1" applyFill="1" applyAlignment="1">
      <alignment horizontal="left"/>
    </xf>
    <xf numFmtId="0" fontId="9" fillId="11" borderId="0" xfId="0" applyFont="1" applyFill="1" applyAlignment="1">
      <alignment horizontal="left"/>
    </xf>
    <xf numFmtId="0" fontId="14" fillId="11" borderId="0" xfId="0" applyFont="1" applyFill="1"/>
    <xf numFmtId="176" fontId="12" fillId="11" borderId="0" xfId="0" applyNumberFormat="1" applyFont="1" applyFill="1" applyAlignment="1">
      <alignment horizontal="left"/>
    </xf>
    <xf numFmtId="0" fontId="12" fillId="11" borderId="0" xfId="0" applyFont="1" applyFill="1" applyAlignment="1">
      <alignment horizontal="left"/>
    </xf>
    <xf numFmtId="0" fontId="18" fillId="15" borderId="0" xfId="0" applyFont="1" applyFill="1" applyAlignment="1">
      <alignment horizontal="left"/>
    </xf>
    <xf numFmtId="176" fontId="20" fillId="16" borderId="0" xfId="0" applyNumberFormat="1" applyFont="1" applyFill="1" applyAlignment="1">
      <alignment horizontal="left"/>
    </xf>
    <xf numFmtId="0" fontId="18" fillId="24" borderId="0" xfId="0" applyFont="1" applyFill="1"/>
    <xf numFmtId="0" fontId="9" fillId="23" borderId="0" xfId="0" applyFont="1" applyFill="1"/>
    <xf numFmtId="0" fontId="9" fillId="6" borderId="0" xfId="0" applyFont="1" applyFill="1"/>
    <xf numFmtId="0" fontId="9" fillId="25" borderId="0" xfId="0" applyFont="1" applyFill="1"/>
    <xf numFmtId="0" fontId="21" fillId="24" borderId="0" xfId="0" applyFont="1" applyFill="1"/>
    <xf numFmtId="0" fontId="21" fillId="24" borderId="0" xfId="0" applyFont="1" applyFill="1" applyAlignment="1">
      <alignment vertical="center"/>
    </xf>
    <xf numFmtId="0" fontId="21" fillId="26" borderId="0" xfId="0" applyFont="1" applyFill="1"/>
    <xf numFmtId="0" fontId="18" fillId="24" borderId="0" xfId="0" applyFont="1" applyFill="1" applyAlignment="1">
      <alignment vertical="center"/>
    </xf>
    <xf numFmtId="0" fontId="15" fillId="26" borderId="0" xfId="0" applyFont="1" applyFill="1"/>
    <xf numFmtId="0" fontId="12" fillId="23" borderId="0" xfId="0" applyFont="1" applyFill="1"/>
    <xf numFmtId="176" fontId="18" fillId="24" borderId="0" xfId="0" applyNumberFormat="1" applyFont="1" applyFill="1" applyAlignment="1">
      <alignment horizontal="left"/>
    </xf>
    <xf numFmtId="0" fontId="9" fillId="19" borderId="0" xfId="0" applyFont="1" applyFill="1" applyAlignment="1">
      <alignment horizontal="left"/>
    </xf>
    <xf numFmtId="0" fontId="22" fillId="20" borderId="0" xfId="0" applyFont="1" applyFill="1" applyAlignment="1">
      <alignment vertical="center"/>
    </xf>
    <xf numFmtId="0" fontId="22" fillId="20" borderId="0" xfId="0" applyFont="1" applyFill="1" applyAlignment="1">
      <alignment vertical="center" wrapText="1"/>
    </xf>
    <xf numFmtId="0" fontId="23" fillId="20" borderId="0" xfId="0" applyFont="1" applyFill="1" applyAlignment="1">
      <alignment vertical="center"/>
    </xf>
    <xf numFmtId="0" fontId="8" fillId="6" borderId="0" xfId="0" applyFont="1" applyFill="1"/>
    <xf numFmtId="0" fontId="18" fillId="22" borderId="0" xfId="0" applyFont="1" applyFill="1"/>
    <xf numFmtId="0" fontId="12" fillId="9" borderId="0" xfId="0" applyFont="1" applyFill="1" applyAlignment="1">
      <alignment vertical="center"/>
    </xf>
    <xf numFmtId="0" fontId="10" fillId="6" borderId="0" xfId="0" applyFont="1" applyFill="1"/>
    <xf numFmtId="0" fontId="12" fillId="25" borderId="0" xfId="0" applyFont="1" applyFill="1"/>
    <xf numFmtId="0" fontId="21" fillId="24" borderId="0" xfId="0" applyFont="1" applyFill="1" applyAlignment="1">
      <alignment vertical="center" wrapText="1"/>
    </xf>
    <xf numFmtId="0" fontId="9" fillId="9" borderId="0" xfId="0" applyFont="1" applyFill="1" applyAlignment="1">
      <alignment vertical="center" wrapText="1"/>
    </xf>
    <xf numFmtId="0" fontId="12" fillId="19" borderId="0" xfId="0" applyFont="1" applyFill="1" applyAlignment="1">
      <alignment horizontal="left"/>
    </xf>
    <xf numFmtId="0" fontId="8" fillId="7" borderId="0" xfId="0" applyFont="1" applyFill="1"/>
    <xf numFmtId="0" fontId="8" fillId="27" borderId="0" xfId="0" applyFont="1" applyFill="1"/>
    <xf numFmtId="0" fontId="12" fillId="29" borderId="0" xfId="0" applyFont="1" applyFill="1"/>
    <xf numFmtId="0" fontId="12" fillId="27" borderId="0" xfId="0" applyFont="1" applyFill="1"/>
    <xf numFmtId="0" fontId="15" fillId="30" borderId="0" xfId="0" applyFont="1" applyFill="1"/>
    <xf numFmtId="176" fontId="12" fillId="27" borderId="0" xfId="0" applyNumberFormat="1" applyFont="1" applyFill="1" applyAlignment="1">
      <alignment horizontal="left"/>
    </xf>
    <xf numFmtId="0" fontId="12" fillId="27" borderId="0" xfId="0" applyFont="1" applyFill="1" applyAlignment="1">
      <alignment horizontal="left"/>
    </xf>
    <xf numFmtId="0" fontId="25" fillId="28" borderId="0" xfId="0" applyFont="1" applyFill="1" applyAlignment="1">
      <alignment horizontal="left"/>
    </xf>
    <xf numFmtId="176" fontId="25" fillId="28" borderId="0" xfId="0" applyNumberFormat="1" applyFont="1" applyFill="1" applyAlignment="1">
      <alignment horizontal="left"/>
    </xf>
    <xf numFmtId="0" fontId="18" fillId="30" borderId="0" xfId="0" applyFont="1" applyFill="1"/>
    <xf numFmtId="0" fontId="9" fillId="23" borderId="0" xfId="0" applyFont="1" applyFill="1" applyAlignment="1">
      <alignment horizontal="left"/>
    </xf>
    <xf numFmtId="0" fontId="21" fillId="24" borderId="0" xfId="0" applyFont="1" applyFill="1" applyAlignment="1">
      <alignment horizontal="left"/>
    </xf>
    <xf numFmtId="0" fontId="12" fillId="15" borderId="0" xfId="0" applyFont="1" applyFill="1"/>
    <xf numFmtId="0" fontId="20" fillId="16" borderId="0" xfId="0" applyFont="1" applyFill="1" applyAlignment="1">
      <alignment vertical="center"/>
    </xf>
    <xf numFmtId="0" fontId="27" fillId="16" borderId="0" xfId="0" applyFont="1" applyFill="1" applyAlignment="1">
      <alignment vertical="center"/>
    </xf>
    <xf numFmtId="0" fontId="10" fillId="15" borderId="0" xfId="0" applyFont="1" applyFill="1"/>
    <xf numFmtId="0" fontId="19" fillId="16" borderId="0" xfId="0" applyFont="1" applyFill="1" applyAlignment="1">
      <alignment horizontal="left"/>
    </xf>
    <xf numFmtId="0" fontId="34" fillId="24" borderId="0" xfId="0" applyFont="1" applyFill="1" applyAlignment="1">
      <alignment horizontal="left" vertical="center"/>
    </xf>
    <xf numFmtId="0" fontId="34" fillId="25" borderId="0" xfId="0" applyFont="1" applyFill="1" applyAlignment="1">
      <alignment horizontal="left" vertical="center"/>
    </xf>
    <xf numFmtId="0" fontId="34" fillId="33" borderId="0" xfId="0" applyFont="1" applyFill="1" applyAlignment="1">
      <alignment horizontal="left" vertical="center"/>
    </xf>
    <xf numFmtId="0" fontId="12" fillId="9" borderId="0" xfId="0" applyFont="1" applyFill="1" applyAlignment="1">
      <alignment horizontal="left" vertical="center"/>
    </xf>
    <xf numFmtId="0" fontId="18" fillId="33" borderId="0" xfId="0" applyFont="1" applyFill="1" applyAlignment="1">
      <alignment horizontal="left" vertical="center"/>
    </xf>
    <xf numFmtId="0" fontId="15" fillId="25" borderId="0" xfId="0" applyFont="1" applyFill="1" applyAlignment="1">
      <alignment horizontal="left" vertical="center"/>
    </xf>
    <xf numFmtId="0" fontId="15" fillId="33" borderId="0" xfId="0" applyFont="1" applyFill="1" applyAlignment="1">
      <alignment horizontal="left" vertical="center"/>
    </xf>
    <xf numFmtId="0" fontId="34" fillId="24" borderId="0" xfId="0" applyFont="1" applyFill="1" applyAlignment="1">
      <alignment horizontal="left" vertical="center" wrapText="1"/>
    </xf>
    <xf numFmtId="0" fontId="36" fillId="24" borderId="0" xfId="0" applyFont="1" applyFill="1" applyAlignment="1">
      <alignment horizontal="left" vertical="center" wrapText="1"/>
    </xf>
    <xf numFmtId="0" fontId="36" fillId="24" borderId="0" xfId="0" applyFont="1" applyFill="1" applyAlignment="1">
      <alignment horizontal="left" vertical="center"/>
    </xf>
    <xf numFmtId="0" fontId="28" fillId="6" borderId="0" xfId="0" applyFont="1" applyFill="1" applyAlignment="1">
      <alignment vertical="center"/>
    </xf>
    <xf numFmtId="0" fontId="7" fillId="0" borderId="9" xfId="0" applyFont="1" applyBorder="1"/>
    <xf numFmtId="0" fontId="30" fillId="31" borderId="11" xfId="0" applyFont="1" applyFill="1" applyBorder="1" applyAlignment="1">
      <alignment horizontal="center" vertical="center"/>
    </xf>
    <xf numFmtId="0" fontId="7" fillId="0" borderId="11" xfId="0" applyFont="1" applyBorder="1"/>
    <xf numFmtId="0" fontId="7" fillId="0" borderId="12" xfId="0" applyFont="1" applyBorder="1"/>
    <xf numFmtId="0" fontId="31" fillId="32" borderId="13" xfId="0" applyFont="1" applyFill="1" applyBorder="1" applyAlignment="1">
      <alignment horizontal="center" vertical="center"/>
    </xf>
    <xf numFmtId="0" fontId="7" fillId="0" borderId="14" xfId="0" applyFont="1" applyBorder="1"/>
    <xf numFmtId="0" fontId="7" fillId="0" borderId="15" xfId="0" applyFont="1" applyBorder="1"/>
    <xf numFmtId="0" fontId="33" fillId="25" borderId="13" xfId="0" applyFont="1" applyFill="1" applyBorder="1" applyAlignment="1">
      <alignment horizontal="left" vertical="center"/>
    </xf>
    <xf numFmtId="0" fontId="33" fillId="25" borderId="13" xfId="0" applyFont="1" applyFill="1" applyBorder="1" applyAlignment="1">
      <alignment horizontal="left" vertical="center" wrapText="1"/>
    </xf>
    <xf numFmtId="0" fontId="12" fillId="25" borderId="0" xfId="0" applyFont="1" applyFill="1" applyAlignment="1">
      <alignment vertical="center"/>
    </xf>
    <xf numFmtId="0" fontId="33" fillId="6" borderId="0" xfId="0" applyFont="1" applyFill="1" applyAlignment="1">
      <alignment vertical="center"/>
    </xf>
    <xf numFmtId="0" fontId="12" fillId="10" borderId="0" xfId="0" applyFont="1" applyFill="1" applyAlignment="1">
      <alignment vertical="center"/>
    </xf>
    <xf numFmtId="0" fontId="33" fillId="32" borderId="0" xfId="0" applyFont="1" applyFill="1" applyAlignment="1">
      <alignment vertical="center"/>
    </xf>
    <xf numFmtId="0" fontId="16" fillId="33" borderId="0" xfId="0" applyFont="1" applyFill="1" applyAlignment="1">
      <alignment vertical="center"/>
    </xf>
    <xf numFmtId="0" fontId="10" fillId="6" borderId="0" xfId="0" applyFont="1" applyFill="1" applyAlignment="1">
      <alignment horizontal="left" vertical="center"/>
    </xf>
    <xf numFmtId="0" fontId="37" fillId="6" borderId="0" xfId="0" applyFont="1" applyFill="1" applyAlignment="1">
      <alignment vertical="center"/>
    </xf>
    <xf numFmtId="0" fontId="38" fillId="3" borderId="0" xfId="0" applyFont="1" applyFill="1" applyAlignment="1">
      <alignment vertical="center"/>
    </xf>
    <xf numFmtId="0" fontId="8" fillId="14" borderId="0" xfId="0" applyFont="1" applyFill="1" applyAlignment="1">
      <alignment vertical="center"/>
    </xf>
    <xf numFmtId="0" fontId="33" fillId="3" borderId="0" xfId="0" applyFont="1" applyFill="1" applyAlignment="1">
      <alignment vertical="center" wrapText="1"/>
    </xf>
    <xf numFmtId="0" fontId="12" fillId="13" borderId="0" xfId="0" applyFont="1" applyFill="1" applyAlignment="1">
      <alignment vertical="center" wrapText="1"/>
    </xf>
    <xf numFmtId="0" fontId="11" fillId="12" borderId="0" xfId="0" applyFont="1" applyFill="1" applyAlignment="1">
      <alignment horizontal="center" vertical="center"/>
    </xf>
    <xf numFmtId="0" fontId="7" fillId="0" borderId="16" xfId="0" applyFont="1" applyBorder="1"/>
    <xf numFmtId="0" fontId="16" fillId="14" borderId="0" xfId="0" applyFont="1" applyFill="1" applyAlignment="1">
      <alignment vertical="center"/>
    </xf>
    <xf numFmtId="0" fontId="13" fillId="12" borderId="0" xfId="0" applyFont="1" applyFill="1" applyAlignment="1">
      <alignment vertical="center" wrapText="1"/>
    </xf>
    <xf numFmtId="0" fontId="40" fillId="12" borderId="0" xfId="0" applyFont="1" applyFill="1" applyAlignment="1">
      <alignment horizontal="center" vertical="center"/>
    </xf>
    <xf numFmtId="0" fontId="11" fillId="14" borderId="0" xfId="0" applyFont="1" applyFill="1" applyAlignment="1">
      <alignment vertical="center"/>
    </xf>
    <xf numFmtId="0" fontId="39" fillId="12" borderId="0" xfId="0" applyFont="1" applyFill="1" applyAlignment="1">
      <alignment vertical="center" wrapText="1"/>
    </xf>
    <xf numFmtId="0" fontId="40" fillId="12" borderId="0" xfId="0" applyFont="1" applyFill="1" applyAlignment="1">
      <alignment horizontal="center" vertical="center" wrapText="1"/>
    </xf>
    <xf numFmtId="0" fontId="13" fillId="12" borderId="0" xfId="0" applyFont="1" applyFill="1" applyAlignment="1">
      <alignment vertical="center"/>
    </xf>
    <xf numFmtId="0" fontId="38" fillId="4" borderId="0" xfId="0" applyFont="1" applyFill="1" applyAlignment="1">
      <alignment vertical="center"/>
    </xf>
    <xf numFmtId="0" fontId="8" fillId="18" borderId="0" xfId="0" applyFont="1" applyFill="1" applyAlignment="1">
      <alignment vertical="center"/>
    </xf>
    <xf numFmtId="0" fontId="33" fillId="4" borderId="0" xfId="0" applyFont="1" applyFill="1" applyAlignment="1">
      <alignment vertical="center" wrapText="1"/>
    </xf>
    <xf numFmtId="0" fontId="12" fillId="17" borderId="0" xfId="0" applyFont="1" applyFill="1" applyAlignment="1">
      <alignment vertical="center" wrapText="1"/>
    </xf>
    <xf numFmtId="0" fontId="19" fillId="18" borderId="0" xfId="0" applyFont="1" applyFill="1" applyAlignment="1">
      <alignment vertical="center"/>
    </xf>
    <xf numFmtId="0" fontId="7" fillId="0" borderId="17" xfId="0" applyFont="1" applyBorder="1"/>
    <xf numFmtId="0" fontId="19" fillId="16" borderId="0" xfId="0" applyFont="1" applyFill="1" applyAlignment="1">
      <alignment horizontal="center" vertical="center"/>
    </xf>
    <xf numFmtId="0" fontId="40" fillId="16" borderId="0" xfId="0" applyFont="1" applyFill="1" applyAlignment="1">
      <alignment horizontal="center" vertical="center"/>
    </xf>
    <xf numFmtId="0" fontId="9" fillId="17" borderId="0" xfId="0" applyFont="1" applyFill="1" applyAlignment="1">
      <alignment vertical="center" wrapText="1"/>
    </xf>
    <xf numFmtId="0" fontId="10" fillId="4" borderId="0" xfId="0" applyFont="1" applyFill="1" applyAlignment="1">
      <alignment vertical="center" wrapText="1"/>
    </xf>
    <xf numFmtId="0" fontId="19" fillId="16" borderId="0" xfId="0" applyFont="1" applyFill="1" applyAlignment="1">
      <alignment horizontal="left" vertical="center" wrapText="1"/>
    </xf>
    <xf numFmtId="0" fontId="45" fillId="22" borderId="0" xfId="0" applyFont="1" applyFill="1" applyAlignment="1">
      <alignment vertical="center"/>
    </xf>
    <xf numFmtId="0" fontId="10" fillId="5" borderId="0" xfId="0" applyFont="1" applyFill="1" applyAlignment="1">
      <alignment vertical="center" wrapText="1"/>
    </xf>
    <xf numFmtId="0" fontId="9" fillId="21" borderId="0" xfId="0" applyFont="1" applyFill="1" applyAlignment="1">
      <alignment vertical="center" wrapText="1"/>
    </xf>
    <xf numFmtId="0" fontId="40" fillId="16" borderId="0" xfId="0" applyFont="1" applyFill="1" applyAlignment="1">
      <alignment horizontal="center" vertical="center" wrapText="1"/>
    </xf>
    <xf numFmtId="0" fontId="22" fillId="22" borderId="0" xfId="0" applyFont="1" applyFill="1" applyAlignment="1">
      <alignment vertical="center"/>
    </xf>
    <xf numFmtId="0" fontId="7" fillId="0" borderId="18" xfId="0" applyFont="1" applyBorder="1"/>
    <xf numFmtId="0" fontId="22" fillId="20" borderId="0" xfId="0" applyFont="1" applyFill="1" applyAlignment="1">
      <alignment horizontal="center" vertical="center"/>
    </xf>
    <xf numFmtId="0" fontId="8" fillId="5" borderId="0" xfId="0" applyFont="1" applyFill="1" applyAlignment="1">
      <alignment vertical="center"/>
    </xf>
    <xf numFmtId="0" fontId="22" fillId="20" borderId="0" xfId="0" applyFont="1" applyFill="1" applyAlignment="1">
      <alignment horizontal="left" vertical="center"/>
    </xf>
    <xf numFmtId="0" fontId="40" fillId="20" borderId="0" xfId="0" applyFont="1" applyFill="1" applyAlignment="1">
      <alignment horizontal="center" vertical="center"/>
    </xf>
    <xf numFmtId="0" fontId="40" fillId="20" borderId="0" xfId="0" applyFont="1" applyFill="1" applyAlignment="1">
      <alignment horizontal="center" vertical="center" wrapText="1"/>
    </xf>
    <xf numFmtId="0" fontId="44" fillId="16" borderId="0" xfId="0" applyFont="1" applyFill="1" applyAlignment="1">
      <alignment horizontal="center" vertical="center"/>
    </xf>
    <xf numFmtId="0" fontId="43" fillId="18" borderId="0" xfId="0" applyFont="1" applyFill="1" applyAlignment="1">
      <alignment vertical="center"/>
    </xf>
    <xf numFmtId="0" fontId="43" fillId="16" borderId="0" xfId="0" applyFont="1" applyFill="1" applyAlignment="1">
      <alignment vertical="center"/>
    </xf>
    <xf numFmtId="0" fontId="43" fillId="16" borderId="0" xfId="0" applyFont="1" applyFill="1" applyAlignment="1">
      <alignment vertical="center" wrapText="1"/>
    </xf>
    <xf numFmtId="0" fontId="20" fillId="16" borderId="0" xfId="0" applyFont="1" applyFill="1" applyAlignment="1">
      <alignment horizontal="left" vertical="center"/>
    </xf>
    <xf numFmtId="0" fontId="22" fillId="20" borderId="0" xfId="0" applyFont="1" applyFill="1" applyAlignment="1">
      <alignment horizontal="left" vertical="center" wrapText="1"/>
    </xf>
    <xf numFmtId="0" fontId="24" fillId="34" borderId="0" xfId="0" applyFont="1" applyFill="1" applyAlignment="1">
      <alignment vertical="center"/>
    </xf>
    <xf numFmtId="0" fontId="7" fillId="0" borderId="20" xfId="0" applyFont="1" applyBorder="1"/>
    <xf numFmtId="0" fontId="24" fillId="28" borderId="0" xfId="0" applyFont="1" applyFill="1" applyAlignment="1">
      <alignment horizontal="center" vertical="center"/>
    </xf>
    <xf numFmtId="0" fontId="40" fillId="28" borderId="0" xfId="0" applyFont="1" applyFill="1" applyAlignment="1">
      <alignment horizontal="center" vertical="center"/>
    </xf>
    <xf numFmtId="0" fontId="9" fillId="29" borderId="0" xfId="0" applyFont="1" applyFill="1" applyAlignment="1">
      <alignment vertical="center" wrapText="1"/>
    </xf>
    <xf numFmtId="0" fontId="10" fillId="7" borderId="0" xfId="0" applyFont="1" applyFill="1" applyAlignment="1">
      <alignment vertical="center" wrapText="1"/>
    </xf>
    <xf numFmtId="0" fontId="8" fillId="3" borderId="0" xfId="0" applyFont="1" applyFill="1" applyAlignment="1">
      <alignment vertical="center"/>
    </xf>
    <xf numFmtId="0" fontId="10" fillId="3" borderId="0" xfId="0" applyFont="1" applyFill="1" applyAlignment="1">
      <alignment vertical="center" wrapText="1"/>
    </xf>
    <xf numFmtId="0" fontId="9" fillId="13" borderId="0" xfId="0" applyFont="1" applyFill="1" applyAlignment="1">
      <alignment vertical="center" wrapText="1"/>
    </xf>
    <xf numFmtId="0" fontId="37" fillId="13" borderId="0" xfId="0" applyFont="1" applyFill="1" applyAlignment="1">
      <alignment vertical="center" wrapText="1"/>
    </xf>
    <xf numFmtId="0" fontId="50" fillId="12" borderId="0" xfId="0" applyFont="1" applyFill="1" applyAlignment="1">
      <alignment vertical="center" wrapText="1"/>
    </xf>
    <xf numFmtId="0" fontId="50" fillId="14" borderId="0" xfId="0" applyFont="1" applyFill="1" applyAlignment="1">
      <alignment vertical="center"/>
    </xf>
    <xf numFmtId="0" fontId="8" fillId="22" borderId="0" xfId="0" applyFont="1" applyFill="1" applyAlignment="1">
      <alignment vertical="center"/>
    </xf>
    <xf numFmtId="0" fontId="8" fillId="4" borderId="0" xfId="0" applyFont="1" applyFill="1" applyAlignment="1">
      <alignment vertical="center"/>
    </xf>
    <xf numFmtId="0" fontId="19" fillId="16" borderId="0" xfId="0" applyFont="1" applyFill="1" applyAlignment="1">
      <alignment horizontal="left" vertical="center"/>
    </xf>
    <xf numFmtId="0" fontId="19" fillId="16" borderId="0" xfId="0" applyFont="1" applyFill="1" applyAlignment="1">
      <alignment horizontal="right" vertical="center"/>
    </xf>
    <xf numFmtId="0" fontId="37" fillId="17" borderId="0" xfId="0" applyFont="1" applyFill="1" applyAlignment="1">
      <alignment vertical="center" wrapText="1"/>
    </xf>
    <xf numFmtId="0" fontId="37" fillId="9" borderId="0" xfId="0" applyFont="1" applyFill="1" applyAlignment="1">
      <alignment vertical="center" wrapText="1"/>
    </xf>
    <xf numFmtId="0" fontId="43" fillId="16" borderId="0" xfId="0" applyFont="1" applyFill="1" applyAlignment="1">
      <alignment horizontal="center" vertical="center"/>
    </xf>
    <xf numFmtId="0" fontId="8" fillId="26" borderId="0" xfId="0" applyFont="1" applyFill="1" applyAlignment="1">
      <alignment vertical="center"/>
    </xf>
    <xf numFmtId="0" fontId="10" fillId="6" borderId="0" xfId="0" applyFont="1" applyFill="1" applyAlignment="1">
      <alignment vertical="center" wrapText="1"/>
    </xf>
    <xf numFmtId="0" fontId="9" fillId="25" borderId="0" xfId="0" applyFont="1" applyFill="1" applyAlignment="1">
      <alignment vertical="center" wrapText="1"/>
    </xf>
    <xf numFmtId="0" fontId="21" fillId="26" borderId="0" xfId="0" applyFont="1" applyFill="1" applyAlignment="1">
      <alignment vertical="center"/>
    </xf>
    <xf numFmtId="0" fontId="7" fillId="0" borderId="19" xfId="0" applyFont="1" applyBorder="1"/>
    <xf numFmtId="0" fontId="21" fillId="24" borderId="0" xfId="0" applyFont="1" applyFill="1" applyAlignment="1">
      <alignment horizontal="center" vertical="center"/>
    </xf>
    <xf numFmtId="0" fontId="8" fillId="6" borderId="0" xfId="0" applyFont="1" applyFill="1" applyAlignment="1">
      <alignment vertical="center"/>
    </xf>
    <xf numFmtId="0" fontId="40" fillId="24" borderId="0" xfId="0" applyFont="1" applyFill="1" applyAlignment="1">
      <alignment horizontal="center" vertical="center"/>
    </xf>
    <xf numFmtId="0" fontId="47" fillId="26" borderId="0" xfId="0" applyFont="1" applyFill="1" applyAlignment="1">
      <alignment vertical="center"/>
    </xf>
    <xf numFmtId="0" fontId="18" fillId="24" borderId="0" xfId="0" applyFont="1" applyFill="1" applyAlignment="1">
      <alignment vertical="center" wrapText="1"/>
    </xf>
    <xf numFmtId="0" fontId="18" fillId="24" borderId="0" xfId="0" applyFont="1" applyFill="1" applyAlignment="1">
      <alignment horizontal="center" vertical="center"/>
    </xf>
    <xf numFmtId="0" fontId="18" fillId="24" borderId="0" xfId="0" applyFont="1" applyFill="1" applyAlignment="1">
      <alignment horizontal="right" vertical="center"/>
    </xf>
    <xf numFmtId="0" fontId="47" fillId="24" borderId="0" xfId="0" applyFont="1" applyFill="1" applyAlignment="1">
      <alignment vertical="center"/>
    </xf>
    <xf numFmtId="0" fontId="48" fillId="34" borderId="0" xfId="0" applyFont="1" applyFill="1" applyAlignment="1">
      <alignment vertical="center"/>
    </xf>
    <xf numFmtId="0" fontId="8" fillId="7" borderId="0" xfId="0" applyFont="1" applyFill="1" applyAlignment="1">
      <alignment vertical="center"/>
    </xf>
    <xf numFmtId="0" fontId="51" fillId="14" borderId="0" xfId="0" applyFont="1" applyFill="1" applyAlignment="1">
      <alignment vertical="center"/>
    </xf>
    <xf numFmtId="0" fontId="13" fillId="12" borderId="0" xfId="0" applyFont="1" applyFill="1" applyAlignment="1">
      <alignment horizontal="center" vertical="center"/>
    </xf>
    <xf numFmtId="0" fontId="51" fillId="12" borderId="0" xfId="0" applyFont="1" applyFill="1" applyAlignment="1">
      <alignment vertical="center"/>
    </xf>
    <xf numFmtId="0" fontId="23" fillId="20" borderId="0" xfId="0" applyFont="1" applyFill="1" applyAlignment="1">
      <alignment vertical="center" wrapText="1"/>
    </xf>
    <xf numFmtId="0" fontId="37" fillId="13" borderId="0" xfId="0" applyFont="1" applyFill="1" applyAlignment="1">
      <alignment vertical="center"/>
    </xf>
    <xf numFmtId="0" fontId="9" fillId="13" borderId="0" xfId="0" applyFont="1" applyFill="1" applyAlignment="1">
      <alignment vertical="center"/>
    </xf>
    <xf numFmtId="0" fontId="9" fillId="17" borderId="0" xfId="0" applyFont="1" applyFill="1" applyAlignment="1">
      <alignment vertical="center"/>
    </xf>
    <xf numFmtId="0" fontId="9" fillId="21" borderId="0" xfId="0" applyFont="1" applyFill="1" applyAlignment="1">
      <alignment vertical="center"/>
    </xf>
    <xf numFmtId="0" fontId="9" fillId="25" borderId="0" xfId="0" applyFont="1" applyFill="1" applyAlignment="1">
      <alignment vertical="center"/>
    </xf>
    <xf numFmtId="0" fontId="9" fillId="29" borderId="0" xfId="0" applyFont="1" applyFill="1" applyAlignment="1">
      <alignment vertical="center"/>
    </xf>
    <xf numFmtId="0" fontId="1" fillId="5" borderId="0" xfId="0" applyFont="1" applyFill="1"/>
    <xf numFmtId="0" fontId="1" fillId="4" borderId="0" xfId="0" applyFont="1" applyFill="1"/>
    <xf numFmtId="0" fontId="1" fillId="6" borderId="0" xfId="0" applyFont="1" applyFill="1"/>
    <xf numFmtId="0" fontId="1" fillId="3" borderId="0" xfId="0" applyFont="1" applyFill="1"/>
    <xf numFmtId="0" fontId="1" fillId="7" borderId="0" xfId="0" applyFont="1" applyFill="1"/>
    <xf numFmtId="0" fontId="54" fillId="24" borderId="0" xfId="0" applyFont="1" applyFill="1" applyAlignment="1">
      <alignment vertical="center" wrapText="1"/>
    </xf>
    <xf numFmtId="0" fontId="54" fillId="9" borderId="0" xfId="0" applyFont="1" applyFill="1" applyAlignment="1">
      <alignment horizontal="right"/>
    </xf>
    <xf numFmtId="0" fontId="54" fillId="24" borderId="0" xfId="0" applyFont="1" applyFill="1" applyAlignment="1">
      <alignment vertical="center"/>
    </xf>
    <xf numFmtId="0" fontId="15" fillId="24" borderId="23" xfId="0" applyFont="1" applyFill="1" applyBorder="1" applyAlignment="1">
      <alignment vertical="center"/>
    </xf>
    <xf numFmtId="0" fontId="7" fillId="0" borderId="25" xfId="0" applyFont="1" applyBorder="1"/>
    <xf numFmtId="0" fontId="7" fillId="0" borderId="26" xfId="0" applyFont="1" applyBorder="1"/>
    <xf numFmtId="0" fontId="54" fillId="18" borderId="0" xfId="0" applyFont="1" applyFill="1" applyAlignment="1">
      <alignment horizontal="right"/>
    </xf>
    <xf numFmtId="0" fontId="54" fillId="28" borderId="0" xfId="0" applyFont="1" applyFill="1" applyAlignment="1">
      <alignment horizontal="right"/>
    </xf>
    <xf numFmtId="0" fontId="54" fillId="22" borderId="0" xfId="0" applyFont="1" applyFill="1" applyAlignment="1">
      <alignment horizontal="right"/>
    </xf>
    <xf numFmtId="0" fontId="15" fillId="24" borderId="0" xfId="0" applyFont="1" applyFill="1" applyAlignment="1">
      <alignment horizontal="left"/>
    </xf>
    <xf numFmtId="0" fontId="9" fillId="36" borderId="0" xfId="0" applyFont="1" applyFill="1" applyAlignment="1">
      <alignment vertical="center" wrapText="1"/>
    </xf>
    <xf numFmtId="0" fontId="15" fillId="24" borderId="0" xfId="0" applyFont="1" applyFill="1" applyAlignment="1">
      <alignment vertical="center"/>
    </xf>
    <xf numFmtId="0" fontId="15" fillId="24" borderId="0" xfId="0" applyFont="1" applyFill="1" applyAlignment="1">
      <alignment horizontal="center" vertical="center"/>
    </xf>
    <xf numFmtId="0" fontId="15" fillId="24" borderId="0" xfId="0" applyFont="1" applyFill="1"/>
    <xf numFmtId="0" fontId="16" fillId="24" borderId="0" xfId="0" applyFont="1" applyFill="1" applyAlignment="1">
      <alignment vertical="center"/>
    </xf>
    <xf numFmtId="0" fontId="21" fillId="24" borderId="0" xfId="0" applyFont="1" applyFill="1" applyAlignment="1">
      <alignment horizontal="left" vertical="center"/>
    </xf>
    <xf numFmtId="0" fontId="18" fillId="24" borderId="0" xfId="0" applyFont="1" applyFill="1" applyAlignment="1">
      <alignment horizontal="left" vertical="center" wrapText="1"/>
    </xf>
    <xf numFmtId="0" fontId="15" fillId="24" borderId="0" xfId="0" applyFont="1" applyFill="1" applyAlignment="1">
      <alignment horizontal="left" vertical="center"/>
    </xf>
    <xf numFmtId="0" fontId="9" fillId="10" borderId="0" xfId="0" applyFont="1" applyFill="1"/>
    <xf numFmtId="0" fontId="21" fillId="23" borderId="0" xfId="0" applyFont="1" applyFill="1"/>
    <xf numFmtId="0" fontId="41" fillId="6" borderId="0" xfId="0" applyFont="1" applyFill="1" applyAlignment="1">
      <alignment horizontal="left" vertical="center"/>
    </xf>
    <xf numFmtId="0" fontId="18" fillId="24" borderId="0" xfId="0" applyFont="1" applyFill="1" applyAlignment="1">
      <alignment horizontal="left" vertical="center"/>
    </xf>
    <xf numFmtId="0" fontId="15" fillId="24" borderId="0" xfId="0" applyFont="1" applyFill="1" applyAlignment="1">
      <alignment vertical="center" wrapText="1"/>
    </xf>
    <xf numFmtId="0" fontId="1" fillId="10" borderId="0" xfId="0" applyFont="1" applyFill="1" applyAlignment="1">
      <alignment vertical="center"/>
    </xf>
    <xf numFmtId="0" fontId="66" fillId="24" borderId="0" xfId="0" applyFont="1" applyFill="1" applyAlignment="1">
      <alignment vertical="center"/>
    </xf>
    <xf numFmtId="0" fontId="67" fillId="36" borderId="0" xfId="0" applyFont="1" applyFill="1" applyAlignment="1">
      <alignment horizontal="center" vertical="center"/>
    </xf>
    <xf numFmtId="0" fontId="69" fillId="24" borderId="0" xfId="0" applyFont="1" applyFill="1" applyAlignment="1">
      <alignment vertical="center"/>
    </xf>
  </cellXfs>
  <cellStyles count="1">
    <cellStyle name="常规" xfId="0" builtinId="0"/>
  </cellStyles>
  <dxfs count="873">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6AA84F"/>
          <bgColor rgb="FF6AA84F"/>
        </patternFill>
      </fill>
    </dxf>
    <dxf>
      <font>
        <strike/>
        <color rgb="FFFFFFFF"/>
      </font>
      <fill>
        <patternFill patternType="solid">
          <fgColor rgb="FFE69138"/>
          <bgColor rgb="FFE69138"/>
        </patternFill>
      </fill>
    </dxf>
    <dxf>
      <font>
        <strike/>
        <color rgb="FFFFFFFF"/>
      </font>
      <fill>
        <patternFill patternType="solid">
          <fgColor rgb="FF3C78D8"/>
          <bgColor rgb="FF3C78D8"/>
        </patternFill>
      </fill>
    </dxf>
    <dxf>
      <font>
        <strike/>
        <color rgb="FFFFFFFF"/>
      </font>
      <fill>
        <patternFill patternType="solid">
          <fgColor rgb="FFF1C232"/>
          <bgColor rgb="FFF1C232"/>
        </patternFill>
      </fill>
    </dxf>
    <dxf>
      <font>
        <strike/>
        <color rgb="FFFFFFFF"/>
      </font>
      <fill>
        <patternFill patternType="solid">
          <fgColor rgb="FF999999"/>
          <bgColor rgb="FF999999"/>
        </patternFill>
      </fill>
    </dxf>
    <dxf>
      <font>
        <strike/>
        <color rgb="FFFFFFFF"/>
      </font>
      <fill>
        <patternFill patternType="solid">
          <fgColor rgb="FFE69138"/>
          <bgColor rgb="FFE69138"/>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
      <font>
        <strike/>
        <color rgb="FFFFFFFF"/>
      </font>
      <fill>
        <patternFill patternType="solid">
          <fgColor rgb="FFF1C232"/>
          <bgColor rgb="FFF1C232"/>
        </patternFill>
      </fill>
    </dxf>
    <dxf>
      <font>
        <strike/>
        <color rgb="FFFFFFFF"/>
      </font>
      <fill>
        <patternFill patternType="solid">
          <fgColor rgb="FFF1C232"/>
          <bgColor rgb="FFF1C232"/>
        </patternFill>
      </fill>
    </dxf>
    <dxf>
      <font>
        <strike/>
        <color rgb="FFFFFFFF"/>
      </font>
      <fill>
        <patternFill patternType="solid">
          <fgColor rgb="FF999999"/>
          <bgColor rgb="FF999999"/>
        </patternFill>
      </fill>
    </dxf>
    <dxf>
      <font>
        <strike/>
        <color rgb="FFFFFFFF"/>
      </font>
      <fill>
        <patternFill patternType="solid">
          <fgColor rgb="FF999999"/>
          <bgColor rgb="FF999999"/>
        </patternFill>
      </fill>
    </dxf>
    <dxf>
      <font>
        <strike/>
        <color rgb="FFFFFFFF"/>
      </font>
      <fill>
        <patternFill patternType="solid">
          <fgColor rgb="FFE69138"/>
          <bgColor rgb="FFE69138"/>
        </patternFill>
      </fill>
    </dxf>
    <dxf>
      <font>
        <strike/>
        <color rgb="FFFFFFFF"/>
      </font>
      <fill>
        <patternFill patternType="solid">
          <fgColor rgb="FFE69138"/>
          <bgColor rgb="FFE69138"/>
        </patternFill>
      </fill>
    </dxf>
    <dxf>
      <font>
        <strike/>
        <color rgb="FFFFFFFF"/>
      </font>
      <fill>
        <patternFill patternType="solid">
          <fgColor rgb="FF6AA84F"/>
          <bgColor rgb="FF6AA84F"/>
        </patternFill>
      </fill>
    </dxf>
    <dxf>
      <font>
        <strike/>
        <color rgb="FFFFFFFF"/>
      </font>
      <fill>
        <patternFill patternType="solid">
          <fgColor rgb="FF6AA84F"/>
          <bgColor rgb="FF6AA84F"/>
        </patternFill>
      </fill>
    </dxf>
    <dxf>
      <font>
        <strike/>
        <color rgb="FFFFFFFF"/>
      </font>
      <fill>
        <patternFill patternType="solid">
          <fgColor rgb="FF3C78D8"/>
          <bgColor rgb="FF3C78D8"/>
        </patternFill>
      </fill>
    </dxf>
    <dxf>
      <font>
        <strike/>
        <color rgb="FFFFFFFF"/>
      </font>
      <fill>
        <patternFill patternType="solid">
          <fgColor rgb="FF3C78D8"/>
          <bgColor rgb="FF3C78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3.png"/><Relationship Id="rId7" Type="http://schemas.openxmlformats.org/officeDocument/2006/relationships/image" Target="../media/image2.png"/><Relationship Id="rId12"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5.png"/><Relationship Id="rId6" Type="http://schemas.openxmlformats.org/officeDocument/2006/relationships/image" Target="../media/image4.png"/><Relationship Id="rId11" Type="http://schemas.openxmlformats.org/officeDocument/2006/relationships/image" Target="../media/image11.png"/><Relationship Id="rId5" Type="http://schemas.openxmlformats.org/officeDocument/2006/relationships/image" Target="../media/image6.png"/><Relationship Id="rId10" Type="http://schemas.openxmlformats.org/officeDocument/2006/relationships/image" Target="../media/image7.png"/><Relationship Id="rId4" Type="http://schemas.openxmlformats.org/officeDocument/2006/relationships/image" Target="../media/image8.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10.png"/><Relationship Id="rId7" Type="http://schemas.openxmlformats.org/officeDocument/2006/relationships/image" Target="../media/image3.png"/><Relationship Id="rId12"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11" Type="http://schemas.openxmlformats.org/officeDocument/2006/relationships/image" Target="../media/image4.png"/><Relationship Id="rId5" Type="http://schemas.openxmlformats.org/officeDocument/2006/relationships/image" Target="../media/image8.png"/><Relationship Id="rId10" Type="http://schemas.openxmlformats.org/officeDocument/2006/relationships/image" Target="../media/image11.png"/><Relationship Id="rId4" Type="http://schemas.openxmlformats.org/officeDocument/2006/relationships/image" Target="../media/image1.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4</xdr:col>
      <xdr:colOff>0</xdr:colOff>
      <xdr:row>4</xdr:row>
      <xdr:rowOff>0</xdr:rowOff>
    </xdr:from>
    <xdr:ext cx="200025" cy="2000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xdr:row>
      <xdr:rowOff>0</xdr:rowOff>
    </xdr:from>
    <xdr:ext cx="200025" cy="200025"/>
    <xdr:pic>
      <xdr:nvPicPr>
        <xdr:cNvPr id="3" name="image6.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xdr:row>
      <xdr:rowOff>0</xdr:rowOff>
    </xdr:from>
    <xdr:ext cx="200025" cy="200025"/>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xdr:row>
      <xdr:rowOff>0</xdr:rowOff>
    </xdr:from>
    <xdr:ext cx="200025" cy="200025"/>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4</xdr:row>
      <xdr:rowOff>0</xdr:rowOff>
    </xdr:from>
    <xdr:ext cx="200025" cy="200025"/>
    <xdr:pic>
      <xdr:nvPicPr>
        <xdr:cNvPr id="6" name="image10.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5</xdr:row>
      <xdr:rowOff>0</xdr:rowOff>
    </xdr:from>
    <xdr:ext cx="200025" cy="200025"/>
    <xdr:pic>
      <xdr:nvPicPr>
        <xdr:cNvPr id="7" name="image8.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xdr:row>
      <xdr:rowOff>0</xdr:rowOff>
    </xdr:from>
    <xdr:ext cx="200025" cy="200025"/>
    <xdr:pic>
      <xdr:nvPicPr>
        <xdr:cNvPr id="8" name="image6.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5</xdr:row>
      <xdr:rowOff>0</xdr:rowOff>
    </xdr:from>
    <xdr:ext cx="200025" cy="200025"/>
    <xdr:pic>
      <xdr:nvPicPr>
        <xdr:cNvPr id="9" name="image4.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5</xdr:row>
      <xdr:rowOff>0</xdr:rowOff>
    </xdr:from>
    <xdr:ext cx="200025" cy="200025"/>
    <xdr:pic>
      <xdr:nvPicPr>
        <xdr:cNvPr id="10" name="image8.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6</xdr:row>
      <xdr:rowOff>0</xdr:rowOff>
    </xdr:from>
    <xdr:ext cx="200025" cy="200025"/>
    <xdr:pic>
      <xdr:nvPicPr>
        <xdr:cNvPr id="11" name="image8.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6</xdr:row>
      <xdr:rowOff>0</xdr:rowOff>
    </xdr:from>
    <xdr:ext cx="200025" cy="200025"/>
    <xdr:pic>
      <xdr:nvPicPr>
        <xdr:cNvPr id="12" name="image1.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6</xdr:row>
      <xdr:rowOff>0</xdr:rowOff>
    </xdr:from>
    <xdr:ext cx="200025" cy="200025"/>
    <xdr:pic>
      <xdr:nvPicPr>
        <xdr:cNvPr id="13" name="image6.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6</xdr:row>
      <xdr:rowOff>0</xdr:rowOff>
    </xdr:from>
    <xdr:ext cx="200025" cy="200025"/>
    <xdr:pic>
      <xdr:nvPicPr>
        <xdr:cNvPr id="14" name="image11.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6</xdr:row>
      <xdr:rowOff>0</xdr:rowOff>
    </xdr:from>
    <xdr:ext cx="200025" cy="200025"/>
    <xdr:pic>
      <xdr:nvPicPr>
        <xdr:cNvPr id="15" name="image9.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7</xdr:row>
      <xdr:rowOff>0</xdr:rowOff>
    </xdr:from>
    <xdr:ext cx="200025" cy="200025"/>
    <xdr:pic>
      <xdr:nvPicPr>
        <xdr:cNvPr id="16" name="image6.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7</xdr:row>
      <xdr:rowOff>0</xdr:rowOff>
    </xdr:from>
    <xdr:ext cx="200025" cy="200025"/>
    <xdr:pic>
      <xdr:nvPicPr>
        <xdr:cNvPr id="17" name="image3.pn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0</xdr:colOff>
      <xdr:row>7</xdr:row>
      <xdr:rowOff>0</xdr:rowOff>
    </xdr:from>
    <xdr:ext cx="200025" cy="200025"/>
    <xdr:pic>
      <xdr:nvPicPr>
        <xdr:cNvPr id="18" name="image7.pn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xdr:row>
      <xdr:rowOff>0</xdr:rowOff>
    </xdr:from>
    <xdr:ext cx="200025" cy="200025"/>
    <xdr:pic>
      <xdr:nvPicPr>
        <xdr:cNvPr id="19" name="image10.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8</xdr:row>
      <xdr:rowOff>0</xdr:rowOff>
    </xdr:from>
    <xdr:ext cx="200025" cy="200025"/>
    <xdr:pic>
      <xdr:nvPicPr>
        <xdr:cNvPr id="20" name="image2.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8</xdr:row>
      <xdr:rowOff>0</xdr:rowOff>
    </xdr:from>
    <xdr:ext cx="200025" cy="200025"/>
    <xdr:pic>
      <xdr:nvPicPr>
        <xdr:cNvPr id="21" name="image6.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8</xdr:row>
      <xdr:rowOff>0</xdr:rowOff>
    </xdr:from>
    <xdr:ext cx="200025" cy="200025"/>
    <xdr:pic>
      <xdr:nvPicPr>
        <xdr:cNvPr id="22" name="image12.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8</xdr:row>
      <xdr:rowOff>0</xdr:rowOff>
    </xdr:from>
    <xdr:ext cx="200025" cy="200025"/>
    <xdr:pic>
      <xdr:nvPicPr>
        <xdr:cNvPr id="23" name="image7.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xdr:row>
      <xdr:rowOff>0</xdr:rowOff>
    </xdr:from>
    <xdr:ext cx="200025" cy="200025"/>
    <xdr:pic>
      <xdr:nvPicPr>
        <xdr:cNvPr id="24" name="image10.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9</xdr:row>
      <xdr:rowOff>0</xdr:rowOff>
    </xdr:from>
    <xdr:ext cx="200025" cy="200025"/>
    <xdr:pic>
      <xdr:nvPicPr>
        <xdr:cNvPr id="25" name="image9.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xdr:row>
      <xdr:rowOff>0</xdr:rowOff>
    </xdr:from>
    <xdr:ext cx="200025" cy="200025"/>
    <xdr:pic>
      <xdr:nvPicPr>
        <xdr:cNvPr id="26" name="image6.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9</xdr:row>
      <xdr:rowOff>0</xdr:rowOff>
    </xdr:from>
    <xdr:ext cx="200025" cy="200025"/>
    <xdr:pic>
      <xdr:nvPicPr>
        <xdr:cNvPr id="27" name="image8.pn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10</xdr:row>
      <xdr:rowOff>0</xdr:rowOff>
    </xdr:from>
    <xdr:ext cx="200025" cy="200025"/>
    <xdr:pic>
      <xdr:nvPicPr>
        <xdr:cNvPr id="28" name="image10.png">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xdr:row>
      <xdr:rowOff>0</xdr:rowOff>
    </xdr:from>
    <xdr:ext cx="200025" cy="200025"/>
    <xdr:pic>
      <xdr:nvPicPr>
        <xdr:cNvPr id="29" name="image2.pn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10</xdr:row>
      <xdr:rowOff>0</xdr:rowOff>
    </xdr:from>
    <xdr:ext cx="200025" cy="200025"/>
    <xdr:pic>
      <xdr:nvPicPr>
        <xdr:cNvPr id="30" name="image3.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11</xdr:row>
      <xdr:rowOff>0</xdr:rowOff>
    </xdr:from>
    <xdr:ext cx="200025" cy="200025"/>
    <xdr:pic>
      <xdr:nvPicPr>
        <xdr:cNvPr id="31" name="image10.pn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11</xdr:row>
      <xdr:rowOff>0</xdr:rowOff>
    </xdr:from>
    <xdr:ext cx="200025" cy="200025"/>
    <xdr:pic>
      <xdr:nvPicPr>
        <xdr:cNvPr id="32" name="image9.pn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11</xdr:row>
      <xdr:rowOff>0</xdr:rowOff>
    </xdr:from>
    <xdr:ext cx="200025" cy="200025"/>
    <xdr:pic>
      <xdr:nvPicPr>
        <xdr:cNvPr id="33" name="image2.pn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11</xdr:row>
      <xdr:rowOff>0</xdr:rowOff>
    </xdr:from>
    <xdr:ext cx="200025" cy="200025"/>
    <xdr:pic>
      <xdr:nvPicPr>
        <xdr:cNvPr id="34" name="image9.png">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12</xdr:row>
      <xdr:rowOff>0</xdr:rowOff>
    </xdr:from>
    <xdr:ext cx="200025" cy="200025"/>
    <xdr:pic>
      <xdr:nvPicPr>
        <xdr:cNvPr id="35" name="image8.pn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12</xdr:row>
      <xdr:rowOff>0</xdr:rowOff>
    </xdr:from>
    <xdr:ext cx="200025" cy="200025"/>
    <xdr:pic>
      <xdr:nvPicPr>
        <xdr:cNvPr id="36" name="image9.pn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12</xdr:row>
      <xdr:rowOff>0</xdr:rowOff>
    </xdr:from>
    <xdr:ext cx="200025" cy="200025"/>
    <xdr:pic>
      <xdr:nvPicPr>
        <xdr:cNvPr id="37" name="image1.pn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12</xdr:row>
      <xdr:rowOff>0</xdr:rowOff>
    </xdr:from>
    <xdr:ext cx="200025" cy="200025"/>
    <xdr:pic>
      <xdr:nvPicPr>
        <xdr:cNvPr id="38" name="image3.pn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12</xdr:row>
      <xdr:rowOff>0</xdr:rowOff>
    </xdr:from>
    <xdr:ext cx="200025" cy="200025"/>
    <xdr:pic>
      <xdr:nvPicPr>
        <xdr:cNvPr id="39" name="image11.pn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13</xdr:row>
      <xdr:rowOff>0</xdr:rowOff>
    </xdr:from>
    <xdr:ext cx="200025" cy="200025"/>
    <xdr:pic>
      <xdr:nvPicPr>
        <xdr:cNvPr id="40" name="image10.png">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13</xdr:row>
      <xdr:rowOff>0</xdr:rowOff>
    </xdr:from>
    <xdr:ext cx="200025" cy="200025"/>
    <xdr:pic>
      <xdr:nvPicPr>
        <xdr:cNvPr id="41" name="image2.png">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13</xdr:row>
      <xdr:rowOff>0</xdr:rowOff>
    </xdr:from>
    <xdr:ext cx="200025" cy="200025"/>
    <xdr:pic>
      <xdr:nvPicPr>
        <xdr:cNvPr id="42" name="image11.png">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13</xdr:row>
      <xdr:rowOff>0</xdr:rowOff>
    </xdr:from>
    <xdr:ext cx="200025" cy="200025"/>
    <xdr:pic>
      <xdr:nvPicPr>
        <xdr:cNvPr id="43" name="image8.png">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14</xdr:row>
      <xdr:rowOff>0</xdr:rowOff>
    </xdr:from>
    <xdr:ext cx="200025" cy="200025"/>
    <xdr:pic>
      <xdr:nvPicPr>
        <xdr:cNvPr id="44" name="image9.png">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14</xdr:row>
      <xdr:rowOff>0</xdr:rowOff>
    </xdr:from>
    <xdr:ext cx="200025" cy="200025"/>
    <xdr:pic>
      <xdr:nvPicPr>
        <xdr:cNvPr id="45" name="image5.png">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14</xdr:row>
      <xdr:rowOff>0</xdr:rowOff>
    </xdr:from>
    <xdr:ext cx="200025" cy="200025"/>
    <xdr:pic>
      <xdr:nvPicPr>
        <xdr:cNvPr id="46" name="image4.png">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15</xdr:row>
      <xdr:rowOff>0</xdr:rowOff>
    </xdr:from>
    <xdr:ext cx="200025" cy="200025"/>
    <xdr:pic>
      <xdr:nvPicPr>
        <xdr:cNvPr id="47" name="image8.png">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15</xdr:row>
      <xdr:rowOff>0</xdr:rowOff>
    </xdr:from>
    <xdr:ext cx="200025" cy="200025"/>
    <xdr:pic>
      <xdr:nvPicPr>
        <xdr:cNvPr id="48" name="image4.png">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15</xdr:row>
      <xdr:rowOff>0</xdr:rowOff>
    </xdr:from>
    <xdr:ext cx="200025" cy="200025"/>
    <xdr:pic>
      <xdr:nvPicPr>
        <xdr:cNvPr id="49" name="image7.png">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16</xdr:row>
      <xdr:rowOff>0</xdr:rowOff>
    </xdr:from>
    <xdr:ext cx="200025" cy="200025"/>
    <xdr:pic>
      <xdr:nvPicPr>
        <xdr:cNvPr id="50" name="image2.png">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16</xdr:row>
      <xdr:rowOff>0</xdr:rowOff>
    </xdr:from>
    <xdr:ext cx="200025" cy="200025"/>
    <xdr:pic>
      <xdr:nvPicPr>
        <xdr:cNvPr id="51" name="image6.png">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16</xdr:row>
      <xdr:rowOff>0</xdr:rowOff>
    </xdr:from>
    <xdr:ext cx="200025" cy="200025"/>
    <xdr:pic>
      <xdr:nvPicPr>
        <xdr:cNvPr id="52" name="image4.png">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16</xdr:row>
      <xdr:rowOff>0</xdr:rowOff>
    </xdr:from>
    <xdr:ext cx="200025" cy="200025"/>
    <xdr:pic>
      <xdr:nvPicPr>
        <xdr:cNvPr id="53" name="image7.png">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16</xdr:row>
      <xdr:rowOff>0</xdr:rowOff>
    </xdr:from>
    <xdr:ext cx="200025" cy="200025"/>
    <xdr:pic>
      <xdr:nvPicPr>
        <xdr:cNvPr id="54" name="image10.png">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xdr:row>
      <xdr:rowOff>0</xdr:rowOff>
    </xdr:from>
    <xdr:ext cx="200025" cy="200025"/>
    <xdr:pic>
      <xdr:nvPicPr>
        <xdr:cNvPr id="55" name="image10.png">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17</xdr:row>
      <xdr:rowOff>0</xdr:rowOff>
    </xdr:from>
    <xdr:ext cx="200025" cy="200025"/>
    <xdr:pic>
      <xdr:nvPicPr>
        <xdr:cNvPr id="56" name="image8.pn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17</xdr:row>
      <xdr:rowOff>0</xdr:rowOff>
    </xdr:from>
    <xdr:ext cx="200025" cy="200025"/>
    <xdr:pic>
      <xdr:nvPicPr>
        <xdr:cNvPr id="57" name="image1.pn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17</xdr:row>
      <xdr:rowOff>0</xdr:rowOff>
    </xdr:from>
    <xdr:ext cx="200025" cy="200025"/>
    <xdr:pic>
      <xdr:nvPicPr>
        <xdr:cNvPr id="58" name="image4.png">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18</xdr:row>
      <xdr:rowOff>0</xdr:rowOff>
    </xdr:from>
    <xdr:ext cx="200025" cy="200025"/>
    <xdr:pic>
      <xdr:nvPicPr>
        <xdr:cNvPr id="59" name="image9.png">
          <a:extLst>
            <a:ext uri="{FF2B5EF4-FFF2-40B4-BE49-F238E27FC236}">
              <a16:creationId xmlns:a16="http://schemas.microsoft.com/office/drawing/2014/main" id="{00000000-0008-0000-0100-00003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18</xdr:row>
      <xdr:rowOff>0</xdr:rowOff>
    </xdr:from>
    <xdr:ext cx="200025" cy="200025"/>
    <xdr:pic>
      <xdr:nvPicPr>
        <xdr:cNvPr id="60" name="image2.png">
          <a:extLst>
            <a:ext uri="{FF2B5EF4-FFF2-40B4-BE49-F238E27FC236}">
              <a16:creationId xmlns:a16="http://schemas.microsoft.com/office/drawing/2014/main" id="{00000000-0008-0000-01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18</xdr:row>
      <xdr:rowOff>0</xdr:rowOff>
    </xdr:from>
    <xdr:ext cx="200025" cy="200025"/>
    <xdr:pic>
      <xdr:nvPicPr>
        <xdr:cNvPr id="61" name="image3.png">
          <a:extLst>
            <a:ext uri="{FF2B5EF4-FFF2-40B4-BE49-F238E27FC236}">
              <a16:creationId xmlns:a16="http://schemas.microsoft.com/office/drawing/2014/main" id="{00000000-0008-0000-0100-00003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19</xdr:row>
      <xdr:rowOff>0</xdr:rowOff>
    </xdr:from>
    <xdr:ext cx="200025" cy="200025"/>
    <xdr:pic>
      <xdr:nvPicPr>
        <xdr:cNvPr id="62" name="image10.png">
          <a:extLst>
            <a:ext uri="{FF2B5EF4-FFF2-40B4-BE49-F238E27FC236}">
              <a16:creationId xmlns:a16="http://schemas.microsoft.com/office/drawing/2014/main" id="{00000000-0008-0000-0100-00003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19</xdr:row>
      <xdr:rowOff>0</xdr:rowOff>
    </xdr:from>
    <xdr:ext cx="200025" cy="200025"/>
    <xdr:pic>
      <xdr:nvPicPr>
        <xdr:cNvPr id="63" name="image2.png">
          <a:extLst>
            <a:ext uri="{FF2B5EF4-FFF2-40B4-BE49-F238E27FC236}">
              <a16:creationId xmlns:a16="http://schemas.microsoft.com/office/drawing/2014/main" id="{00000000-0008-0000-01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19</xdr:row>
      <xdr:rowOff>0</xdr:rowOff>
    </xdr:from>
    <xdr:ext cx="200025" cy="200025"/>
    <xdr:pic>
      <xdr:nvPicPr>
        <xdr:cNvPr id="64" name="image3.png">
          <a:extLst>
            <a:ext uri="{FF2B5EF4-FFF2-40B4-BE49-F238E27FC236}">
              <a16:creationId xmlns:a16="http://schemas.microsoft.com/office/drawing/2014/main" id="{00000000-0008-0000-0100-000040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19</xdr:row>
      <xdr:rowOff>0</xdr:rowOff>
    </xdr:from>
    <xdr:ext cx="200025" cy="200025"/>
    <xdr:pic>
      <xdr:nvPicPr>
        <xdr:cNvPr id="65" name="image4.png">
          <a:extLst>
            <a:ext uri="{FF2B5EF4-FFF2-40B4-BE49-F238E27FC236}">
              <a16:creationId xmlns:a16="http://schemas.microsoft.com/office/drawing/2014/main" id="{00000000-0008-0000-0100-00004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20</xdr:row>
      <xdr:rowOff>0</xdr:rowOff>
    </xdr:from>
    <xdr:ext cx="200025" cy="200025"/>
    <xdr:pic>
      <xdr:nvPicPr>
        <xdr:cNvPr id="66" name="image10.png">
          <a:extLst>
            <a:ext uri="{FF2B5EF4-FFF2-40B4-BE49-F238E27FC236}">
              <a16:creationId xmlns:a16="http://schemas.microsoft.com/office/drawing/2014/main" id="{00000000-0008-0000-0100-00004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xdr:row>
      <xdr:rowOff>0</xdr:rowOff>
    </xdr:from>
    <xdr:ext cx="200025" cy="200025"/>
    <xdr:pic>
      <xdr:nvPicPr>
        <xdr:cNvPr id="67" name="image9.png">
          <a:extLst>
            <a:ext uri="{FF2B5EF4-FFF2-40B4-BE49-F238E27FC236}">
              <a16:creationId xmlns:a16="http://schemas.microsoft.com/office/drawing/2014/main" id="{00000000-0008-0000-0100-000043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20</xdr:row>
      <xdr:rowOff>0</xdr:rowOff>
    </xdr:from>
    <xdr:ext cx="200025" cy="200025"/>
    <xdr:pic>
      <xdr:nvPicPr>
        <xdr:cNvPr id="68" name="image2.png">
          <a:extLst>
            <a:ext uri="{FF2B5EF4-FFF2-40B4-BE49-F238E27FC236}">
              <a16:creationId xmlns:a16="http://schemas.microsoft.com/office/drawing/2014/main" id="{00000000-0008-0000-01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xdr:row>
      <xdr:rowOff>0</xdr:rowOff>
    </xdr:from>
    <xdr:ext cx="200025" cy="200025"/>
    <xdr:pic>
      <xdr:nvPicPr>
        <xdr:cNvPr id="69" name="image7.png">
          <a:extLst>
            <a:ext uri="{FF2B5EF4-FFF2-40B4-BE49-F238E27FC236}">
              <a16:creationId xmlns:a16="http://schemas.microsoft.com/office/drawing/2014/main" id="{00000000-0008-0000-0100-00004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21</xdr:row>
      <xdr:rowOff>0</xdr:rowOff>
    </xdr:from>
    <xdr:ext cx="200025" cy="200025"/>
    <xdr:pic>
      <xdr:nvPicPr>
        <xdr:cNvPr id="70" name="image10.png">
          <a:extLst>
            <a:ext uri="{FF2B5EF4-FFF2-40B4-BE49-F238E27FC236}">
              <a16:creationId xmlns:a16="http://schemas.microsoft.com/office/drawing/2014/main" id="{00000000-0008-0000-0100-00004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21</xdr:row>
      <xdr:rowOff>0</xdr:rowOff>
    </xdr:from>
    <xdr:ext cx="200025" cy="200025"/>
    <xdr:pic>
      <xdr:nvPicPr>
        <xdr:cNvPr id="71" name="image9.png">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21</xdr:row>
      <xdr:rowOff>0</xdr:rowOff>
    </xdr:from>
    <xdr:ext cx="200025" cy="200025"/>
    <xdr:pic>
      <xdr:nvPicPr>
        <xdr:cNvPr id="72" name="image2.png">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21</xdr:row>
      <xdr:rowOff>0</xdr:rowOff>
    </xdr:from>
    <xdr:ext cx="200025" cy="200025"/>
    <xdr:pic>
      <xdr:nvPicPr>
        <xdr:cNvPr id="73" name="image7.png">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22</xdr:row>
      <xdr:rowOff>0</xdr:rowOff>
    </xdr:from>
    <xdr:ext cx="200025" cy="200025"/>
    <xdr:pic>
      <xdr:nvPicPr>
        <xdr:cNvPr id="74" name="image8.png">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22</xdr:row>
      <xdr:rowOff>0</xdr:rowOff>
    </xdr:from>
    <xdr:ext cx="200025" cy="200025"/>
    <xdr:pic>
      <xdr:nvPicPr>
        <xdr:cNvPr id="75" name="image9.png">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22</xdr:row>
      <xdr:rowOff>0</xdr:rowOff>
    </xdr:from>
    <xdr:ext cx="200025" cy="200025"/>
    <xdr:pic>
      <xdr:nvPicPr>
        <xdr:cNvPr id="76" name="image1.png">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22</xdr:row>
      <xdr:rowOff>0</xdr:rowOff>
    </xdr:from>
    <xdr:ext cx="200025" cy="200025"/>
    <xdr:pic>
      <xdr:nvPicPr>
        <xdr:cNvPr id="77" name="image12.png">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22</xdr:row>
      <xdr:rowOff>0</xdr:rowOff>
    </xdr:from>
    <xdr:ext cx="200025" cy="200025"/>
    <xdr:pic>
      <xdr:nvPicPr>
        <xdr:cNvPr id="78" name="image9.png">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23</xdr:row>
      <xdr:rowOff>0</xdr:rowOff>
    </xdr:from>
    <xdr:ext cx="200025" cy="200025"/>
    <xdr:pic>
      <xdr:nvPicPr>
        <xdr:cNvPr id="79" name="image8.png">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23</xdr:row>
      <xdr:rowOff>0</xdr:rowOff>
    </xdr:from>
    <xdr:ext cx="200025" cy="200025"/>
    <xdr:pic>
      <xdr:nvPicPr>
        <xdr:cNvPr id="80" name="image1.png">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23</xdr:row>
      <xdr:rowOff>0</xdr:rowOff>
    </xdr:from>
    <xdr:ext cx="200025" cy="200025"/>
    <xdr:pic>
      <xdr:nvPicPr>
        <xdr:cNvPr id="81" name="image4.png">
          <a:extLst>
            <a:ext uri="{FF2B5EF4-FFF2-40B4-BE49-F238E27FC236}">
              <a16:creationId xmlns:a16="http://schemas.microsoft.com/office/drawing/2014/main" id="{00000000-0008-0000-0100-00005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23</xdr:row>
      <xdr:rowOff>0</xdr:rowOff>
    </xdr:from>
    <xdr:ext cx="200025" cy="200025"/>
    <xdr:pic>
      <xdr:nvPicPr>
        <xdr:cNvPr id="82" name="image3.png">
          <a:extLst>
            <a:ext uri="{FF2B5EF4-FFF2-40B4-BE49-F238E27FC236}">
              <a16:creationId xmlns:a16="http://schemas.microsoft.com/office/drawing/2014/main" id="{00000000-0008-0000-0100-00005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24</xdr:row>
      <xdr:rowOff>0</xdr:rowOff>
    </xdr:from>
    <xdr:ext cx="200025" cy="200025"/>
    <xdr:pic>
      <xdr:nvPicPr>
        <xdr:cNvPr id="83" name="image9.png">
          <a:extLst>
            <a:ext uri="{FF2B5EF4-FFF2-40B4-BE49-F238E27FC236}">
              <a16:creationId xmlns:a16="http://schemas.microsoft.com/office/drawing/2014/main" id="{00000000-0008-0000-0100-000053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24</xdr:row>
      <xdr:rowOff>0</xdr:rowOff>
    </xdr:from>
    <xdr:ext cx="200025" cy="200025"/>
    <xdr:pic>
      <xdr:nvPicPr>
        <xdr:cNvPr id="84" name="image2.png">
          <a:extLst>
            <a:ext uri="{FF2B5EF4-FFF2-40B4-BE49-F238E27FC236}">
              <a16:creationId xmlns:a16="http://schemas.microsoft.com/office/drawing/2014/main" id="{00000000-0008-0000-01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24</xdr:row>
      <xdr:rowOff>0</xdr:rowOff>
    </xdr:from>
    <xdr:ext cx="200025" cy="200025"/>
    <xdr:pic>
      <xdr:nvPicPr>
        <xdr:cNvPr id="85" name="image3.png">
          <a:extLst>
            <a:ext uri="{FF2B5EF4-FFF2-40B4-BE49-F238E27FC236}">
              <a16:creationId xmlns:a16="http://schemas.microsoft.com/office/drawing/2014/main" id="{00000000-0008-0000-0100-000055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24</xdr:row>
      <xdr:rowOff>0</xdr:rowOff>
    </xdr:from>
    <xdr:ext cx="200025" cy="200025"/>
    <xdr:pic>
      <xdr:nvPicPr>
        <xdr:cNvPr id="86" name="image12.png">
          <a:extLst>
            <a:ext uri="{FF2B5EF4-FFF2-40B4-BE49-F238E27FC236}">
              <a16:creationId xmlns:a16="http://schemas.microsoft.com/office/drawing/2014/main" id="{00000000-0008-0000-0100-00005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25</xdr:row>
      <xdr:rowOff>0</xdr:rowOff>
    </xdr:from>
    <xdr:ext cx="200025" cy="200025"/>
    <xdr:pic>
      <xdr:nvPicPr>
        <xdr:cNvPr id="87" name="image10.png">
          <a:extLst>
            <a:ext uri="{FF2B5EF4-FFF2-40B4-BE49-F238E27FC236}">
              <a16:creationId xmlns:a16="http://schemas.microsoft.com/office/drawing/2014/main" id="{00000000-0008-0000-0100-00005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xdr:row>
      <xdr:rowOff>0</xdr:rowOff>
    </xdr:from>
    <xdr:ext cx="200025" cy="200025"/>
    <xdr:pic>
      <xdr:nvPicPr>
        <xdr:cNvPr id="88" name="image8.png">
          <a:extLst>
            <a:ext uri="{FF2B5EF4-FFF2-40B4-BE49-F238E27FC236}">
              <a16:creationId xmlns:a16="http://schemas.microsoft.com/office/drawing/2014/main" id="{00000000-0008-0000-0100-00005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25</xdr:row>
      <xdr:rowOff>0</xdr:rowOff>
    </xdr:from>
    <xdr:ext cx="200025" cy="200025"/>
    <xdr:pic>
      <xdr:nvPicPr>
        <xdr:cNvPr id="89" name="image2.png">
          <a:extLst>
            <a:ext uri="{FF2B5EF4-FFF2-40B4-BE49-F238E27FC236}">
              <a16:creationId xmlns:a16="http://schemas.microsoft.com/office/drawing/2014/main" id="{00000000-0008-0000-01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25</xdr:row>
      <xdr:rowOff>0</xdr:rowOff>
    </xdr:from>
    <xdr:ext cx="200025" cy="200025"/>
    <xdr:pic>
      <xdr:nvPicPr>
        <xdr:cNvPr id="90" name="image12.png">
          <a:extLst>
            <a:ext uri="{FF2B5EF4-FFF2-40B4-BE49-F238E27FC236}">
              <a16:creationId xmlns:a16="http://schemas.microsoft.com/office/drawing/2014/main" id="{00000000-0008-0000-0100-00005A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25</xdr:row>
      <xdr:rowOff>0</xdr:rowOff>
    </xdr:from>
    <xdr:ext cx="200025" cy="200025"/>
    <xdr:pic>
      <xdr:nvPicPr>
        <xdr:cNvPr id="91" name="image5.png">
          <a:extLst>
            <a:ext uri="{FF2B5EF4-FFF2-40B4-BE49-F238E27FC236}">
              <a16:creationId xmlns:a16="http://schemas.microsoft.com/office/drawing/2014/main" id="{00000000-0008-0000-0100-00005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26</xdr:row>
      <xdr:rowOff>0</xdr:rowOff>
    </xdr:from>
    <xdr:ext cx="200025" cy="200025"/>
    <xdr:pic>
      <xdr:nvPicPr>
        <xdr:cNvPr id="92" name="image10.png">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xdr:row>
      <xdr:rowOff>0</xdr:rowOff>
    </xdr:from>
    <xdr:ext cx="200025" cy="200025"/>
    <xdr:pic>
      <xdr:nvPicPr>
        <xdr:cNvPr id="93" name="image1.png">
          <a:extLst>
            <a:ext uri="{FF2B5EF4-FFF2-40B4-BE49-F238E27FC236}">
              <a16:creationId xmlns:a16="http://schemas.microsoft.com/office/drawing/2014/main" id="{00000000-0008-0000-0100-00005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26</xdr:row>
      <xdr:rowOff>0</xdr:rowOff>
    </xdr:from>
    <xdr:ext cx="200025" cy="200025"/>
    <xdr:pic>
      <xdr:nvPicPr>
        <xdr:cNvPr id="94" name="image6.png">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26</xdr:row>
      <xdr:rowOff>0</xdr:rowOff>
    </xdr:from>
    <xdr:ext cx="200025" cy="200025"/>
    <xdr:pic>
      <xdr:nvPicPr>
        <xdr:cNvPr id="95" name="image12.png">
          <a:extLst>
            <a:ext uri="{FF2B5EF4-FFF2-40B4-BE49-F238E27FC236}">
              <a16:creationId xmlns:a16="http://schemas.microsoft.com/office/drawing/2014/main" id="{00000000-0008-0000-0100-00005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26</xdr:row>
      <xdr:rowOff>0</xdr:rowOff>
    </xdr:from>
    <xdr:ext cx="200025" cy="200025"/>
    <xdr:pic>
      <xdr:nvPicPr>
        <xdr:cNvPr id="96" name="image2.png">
          <a:extLst>
            <a:ext uri="{FF2B5EF4-FFF2-40B4-BE49-F238E27FC236}">
              <a16:creationId xmlns:a16="http://schemas.microsoft.com/office/drawing/2014/main" id="{00000000-0008-0000-01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27</xdr:row>
      <xdr:rowOff>0</xdr:rowOff>
    </xdr:from>
    <xdr:ext cx="200025" cy="200025"/>
    <xdr:pic>
      <xdr:nvPicPr>
        <xdr:cNvPr id="97" name="image10.png">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xdr:row>
      <xdr:rowOff>0</xdr:rowOff>
    </xdr:from>
    <xdr:ext cx="200025" cy="200025"/>
    <xdr:pic>
      <xdr:nvPicPr>
        <xdr:cNvPr id="98" name="image8.png">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27</xdr:row>
      <xdr:rowOff>0</xdr:rowOff>
    </xdr:from>
    <xdr:ext cx="200025" cy="200025"/>
    <xdr:pic>
      <xdr:nvPicPr>
        <xdr:cNvPr id="99" name="image2.png">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27</xdr:row>
      <xdr:rowOff>0</xdr:rowOff>
    </xdr:from>
    <xdr:ext cx="200025" cy="200025"/>
    <xdr:pic>
      <xdr:nvPicPr>
        <xdr:cNvPr id="100" name="image11.png">
          <a:extLst>
            <a:ext uri="{FF2B5EF4-FFF2-40B4-BE49-F238E27FC236}">
              <a16:creationId xmlns:a16="http://schemas.microsoft.com/office/drawing/2014/main" id="{00000000-0008-0000-0100-00006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27</xdr:row>
      <xdr:rowOff>0</xdr:rowOff>
    </xdr:from>
    <xdr:ext cx="200025" cy="200025"/>
    <xdr:pic>
      <xdr:nvPicPr>
        <xdr:cNvPr id="101" name="image5.png">
          <a:extLst>
            <a:ext uri="{FF2B5EF4-FFF2-40B4-BE49-F238E27FC236}">
              <a16:creationId xmlns:a16="http://schemas.microsoft.com/office/drawing/2014/main" id="{00000000-0008-0000-0100-00006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28</xdr:row>
      <xdr:rowOff>0</xdr:rowOff>
    </xdr:from>
    <xdr:ext cx="200025" cy="200025"/>
    <xdr:pic>
      <xdr:nvPicPr>
        <xdr:cNvPr id="102" name="image10.png">
          <a:extLst>
            <a:ext uri="{FF2B5EF4-FFF2-40B4-BE49-F238E27FC236}">
              <a16:creationId xmlns:a16="http://schemas.microsoft.com/office/drawing/2014/main" id="{00000000-0008-0000-0100-00006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28</xdr:row>
      <xdr:rowOff>0</xdr:rowOff>
    </xdr:from>
    <xdr:ext cx="200025" cy="200025"/>
    <xdr:pic>
      <xdr:nvPicPr>
        <xdr:cNvPr id="103" name="image7.png">
          <a:extLst>
            <a:ext uri="{FF2B5EF4-FFF2-40B4-BE49-F238E27FC236}">
              <a16:creationId xmlns:a16="http://schemas.microsoft.com/office/drawing/2014/main" id="{00000000-0008-0000-0100-00006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28</xdr:row>
      <xdr:rowOff>0</xdr:rowOff>
    </xdr:from>
    <xdr:ext cx="200025" cy="200025"/>
    <xdr:pic>
      <xdr:nvPicPr>
        <xdr:cNvPr id="104" name="image8.png">
          <a:extLst>
            <a:ext uri="{FF2B5EF4-FFF2-40B4-BE49-F238E27FC236}">
              <a16:creationId xmlns:a16="http://schemas.microsoft.com/office/drawing/2014/main" id="{00000000-0008-0000-0100-00006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29</xdr:row>
      <xdr:rowOff>0</xdr:rowOff>
    </xdr:from>
    <xdr:ext cx="200025" cy="200025"/>
    <xdr:pic>
      <xdr:nvPicPr>
        <xdr:cNvPr id="105" name="image10.png">
          <a:extLst>
            <a:ext uri="{FF2B5EF4-FFF2-40B4-BE49-F238E27FC236}">
              <a16:creationId xmlns:a16="http://schemas.microsoft.com/office/drawing/2014/main" id="{00000000-0008-0000-0100-00006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xdr:row>
      <xdr:rowOff>0</xdr:rowOff>
    </xdr:from>
    <xdr:ext cx="200025" cy="200025"/>
    <xdr:pic>
      <xdr:nvPicPr>
        <xdr:cNvPr id="106" name="image2.png">
          <a:extLst>
            <a:ext uri="{FF2B5EF4-FFF2-40B4-BE49-F238E27FC236}">
              <a16:creationId xmlns:a16="http://schemas.microsoft.com/office/drawing/2014/main" id="{00000000-0008-0000-01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29</xdr:row>
      <xdr:rowOff>0</xdr:rowOff>
    </xdr:from>
    <xdr:ext cx="200025" cy="200025"/>
    <xdr:pic>
      <xdr:nvPicPr>
        <xdr:cNvPr id="107" name="image6.png">
          <a:extLst>
            <a:ext uri="{FF2B5EF4-FFF2-40B4-BE49-F238E27FC236}">
              <a16:creationId xmlns:a16="http://schemas.microsoft.com/office/drawing/2014/main" id="{00000000-0008-0000-0100-00006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29</xdr:row>
      <xdr:rowOff>0</xdr:rowOff>
    </xdr:from>
    <xdr:ext cx="200025" cy="200025"/>
    <xdr:pic>
      <xdr:nvPicPr>
        <xdr:cNvPr id="108" name="image12.png">
          <a:extLst>
            <a:ext uri="{FF2B5EF4-FFF2-40B4-BE49-F238E27FC236}">
              <a16:creationId xmlns:a16="http://schemas.microsoft.com/office/drawing/2014/main" id="{00000000-0008-0000-0100-00006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29</xdr:row>
      <xdr:rowOff>0</xdr:rowOff>
    </xdr:from>
    <xdr:ext cx="200025" cy="200025"/>
    <xdr:pic>
      <xdr:nvPicPr>
        <xdr:cNvPr id="109" name="image8.png">
          <a:extLst>
            <a:ext uri="{FF2B5EF4-FFF2-40B4-BE49-F238E27FC236}">
              <a16:creationId xmlns:a16="http://schemas.microsoft.com/office/drawing/2014/main" id="{00000000-0008-0000-0100-00006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30</xdr:row>
      <xdr:rowOff>0</xdr:rowOff>
    </xdr:from>
    <xdr:ext cx="200025" cy="200025"/>
    <xdr:pic>
      <xdr:nvPicPr>
        <xdr:cNvPr id="110" name="image10.png">
          <a:extLst>
            <a:ext uri="{FF2B5EF4-FFF2-40B4-BE49-F238E27FC236}">
              <a16:creationId xmlns:a16="http://schemas.microsoft.com/office/drawing/2014/main" id="{00000000-0008-0000-0100-00006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xdr:row>
      <xdr:rowOff>0</xdr:rowOff>
    </xdr:from>
    <xdr:ext cx="200025" cy="200025"/>
    <xdr:pic>
      <xdr:nvPicPr>
        <xdr:cNvPr id="111" name="image7.pn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30</xdr:row>
      <xdr:rowOff>0</xdr:rowOff>
    </xdr:from>
    <xdr:ext cx="200025" cy="200025"/>
    <xdr:pic>
      <xdr:nvPicPr>
        <xdr:cNvPr id="112" name="image8.pn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xdr:row>
      <xdr:rowOff>0</xdr:rowOff>
    </xdr:from>
    <xdr:ext cx="200025" cy="200025"/>
    <xdr:pic>
      <xdr:nvPicPr>
        <xdr:cNvPr id="113" name="image8.png">
          <a:extLst>
            <a:ext uri="{FF2B5EF4-FFF2-40B4-BE49-F238E27FC236}">
              <a16:creationId xmlns:a16="http://schemas.microsoft.com/office/drawing/2014/main" id="{00000000-0008-0000-0100-00007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31</xdr:row>
      <xdr:rowOff>0</xdr:rowOff>
    </xdr:from>
    <xdr:ext cx="200025" cy="200025"/>
    <xdr:pic>
      <xdr:nvPicPr>
        <xdr:cNvPr id="114" name="image2.png">
          <a:extLst>
            <a:ext uri="{FF2B5EF4-FFF2-40B4-BE49-F238E27FC236}">
              <a16:creationId xmlns:a16="http://schemas.microsoft.com/office/drawing/2014/main" id="{00000000-0008-0000-01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31</xdr:row>
      <xdr:rowOff>0</xdr:rowOff>
    </xdr:from>
    <xdr:ext cx="200025" cy="200025"/>
    <xdr:pic>
      <xdr:nvPicPr>
        <xdr:cNvPr id="115" name="image12.png">
          <a:extLst>
            <a:ext uri="{FF2B5EF4-FFF2-40B4-BE49-F238E27FC236}">
              <a16:creationId xmlns:a16="http://schemas.microsoft.com/office/drawing/2014/main" id="{00000000-0008-0000-0100-00007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32</xdr:row>
      <xdr:rowOff>0</xdr:rowOff>
    </xdr:from>
    <xdr:ext cx="200025" cy="200025"/>
    <xdr:pic>
      <xdr:nvPicPr>
        <xdr:cNvPr id="116" name="image8.png">
          <a:extLst>
            <a:ext uri="{FF2B5EF4-FFF2-40B4-BE49-F238E27FC236}">
              <a16:creationId xmlns:a16="http://schemas.microsoft.com/office/drawing/2014/main" id="{00000000-0008-0000-0100-00007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32</xdr:row>
      <xdr:rowOff>0</xdr:rowOff>
    </xdr:from>
    <xdr:ext cx="200025" cy="200025"/>
    <xdr:pic>
      <xdr:nvPicPr>
        <xdr:cNvPr id="117" name="image2.png">
          <a:extLst>
            <a:ext uri="{FF2B5EF4-FFF2-40B4-BE49-F238E27FC236}">
              <a16:creationId xmlns:a16="http://schemas.microsoft.com/office/drawing/2014/main" id="{00000000-0008-0000-01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32</xdr:row>
      <xdr:rowOff>0</xdr:rowOff>
    </xdr:from>
    <xdr:ext cx="200025" cy="200025"/>
    <xdr:pic>
      <xdr:nvPicPr>
        <xdr:cNvPr id="118" name="image12.png">
          <a:extLst>
            <a:ext uri="{FF2B5EF4-FFF2-40B4-BE49-F238E27FC236}">
              <a16:creationId xmlns:a16="http://schemas.microsoft.com/office/drawing/2014/main" id="{00000000-0008-0000-0100-00007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33</xdr:row>
      <xdr:rowOff>0</xdr:rowOff>
    </xdr:from>
    <xdr:ext cx="200025" cy="200025"/>
    <xdr:pic>
      <xdr:nvPicPr>
        <xdr:cNvPr id="119" name="image2.png">
          <a:extLst>
            <a:ext uri="{FF2B5EF4-FFF2-40B4-BE49-F238E27FC236}">
              <a16:creationId xmlns:a16="http://schemas.microsoft.com/office/drawing/2014/main" id="{00000000-0008-0000-01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33</xdr:row>
      <xdr:rowOff>0</xdr:rowOff>
    </xdr:from>
    <xdr:ext cx="200025" cy="200025"/>
    <xdr:pic>
      <xdr:nvPicPr>
        <xdr:cNvPr id="120" name="image6.png">
          <a:extLst>
            <a:ext uri="{FF2B5EF4-FFF2-40B4-BE49-F238E27FC236}">
              <a16:creationId xmlns:a16="http://schemas.microsoft.com/office/drawing/2014/main" id="{00000000-0008-0000-0100-00007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33</xdr:row>
      <xdr:rowOff>0</xdr:rowOff>
    </xdr:from>
    <xdr:ext cx="200025" cy="200025"/>
    <xdr:pic>
      <xdr:nvPicPr>
        <xdr:cNvPr id="121" name="image5.png">
          <a:extLst>
            <a:ext uri="{FF2B5EF4-FFF2-40B4-BE49-F238E27FC236}">
              <a16:creationId xmlns:a16="http://schemas.microsoft.com/office/drawing/2014/main" id="{00000000-0008-0000-0100-00007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33</xdr:row>
      <xdr:rowOff>0</xdr:rowOff>
    </xdr:from>
    <xdr:ext cx="200025" cy="200025"/>
    <xdr:pic>
      <xdr:nvPicPr>
        <xdr:cNvPr id="122" name="image7.png">
          <a:extLst>
            <a:ext uri="{FF2B5EF4-FFF2-40B4-BE49-F238E27FC236}">
              <a16:creationId xmlns:a16="http://schemas.microsoft.com/office/drawing/2014/main" id="{00000000-0008-0000-0100-00007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33</xdr:row>
      <xdr:rowOff>0</xdr:rowOff>
    </xdr:from>
    <xdr:ext cx="200025" cy="200025"/>
    <xdr:pic>
      <xdr:nvPicPr>
        <xdr:cNvPr id="123" name="image10.png">
          <a:extLst>
            <a:ext uri="{FF2B5EF4-FFF2-40B4-BE49-F238E27FC236}">
              <a16:creationId xmlns:a16="http://schemas.microsoft.com/office/drawing/2014/main" id="{00000000-0008-0000-0100-00007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34</xdr:row>
      <xdr:rowOff>0</xdr:rowOff>
    </xdr:from>
    <xdr:ext cx="200025" cy="200025"/>
    <xdr:pic>
      <xdr:nvPicPr>
        <xdr:cNvPr id="124" name="image10.png">
          <a:extLst>
            <a:ext uri="{FF2B5EF4-FFF2-40B4-BE49-F238E27FC236}">
              <a16:creationId xmlns:a16="http://schemas.microsoft.com/office/drawing/2014/main" id="{00000000-0008-0000-0100-00007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xdr:row>
      <xdr:rowOff>0</xdr:rowOff>
    </xdr:from>
    <xdr:ext cx="200025" cy="200025"/>
    <xdr:pic>
      <xdr:nvPicPr>
        <xdr:cNvPr id="125" name="image9.png">
          <a:extLst>
            <a:ext uri="{FF2B5EF4-FFF2-40B4-BE49-F238E27FC236}">
              <a16:creationId xmlns:a16="http://schemas.microsoft.com/office/drawing/2014/main" id="{00000000-0008-0000-0100-00007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34</xdr:row>
      <xdr:rowOff>0</xdr:rowOff>
    </xdr:from>
    <xdr:ext cx="200025" cy="200025"/>
    <xdr:pic>
      <xdr:nvPicPr>
        <xdr:cNvPr id="126" name="image3.png">
          <a:extLst>
            <a:ext uri="{FF2B5EF4-FFF2-40B4-BE49-F238E27FC236}">
              <a16:creationId xmlns:a16="http://schemas.microsoft.com/office/drawing/2014/main" id="{00000000-0008-0000-0100-00007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34</xdr:row>
      <xdr:rowOff>0</xdr:rowOff>
    </xdr:from>
    <xdr:ext cx="200025" cy="200025"/>
    <xdr:pic>
      <xdr:nvPicPr>
        <xdr:cNvPr id="127" name="image11.png">
          <a:extLst>
            <a:ext uri="{FF2B5EF4-FFF2-40B4-BE49-F238E27FC236}">
              <a16:creationId xmlns:a16="http://schemas.microsoft.com/office/drawing/2014/main" id="{00000000-0008-0000-0100-00007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35</xdr:row>
      <xdr:rowOff>0</xdr:rowOff>
    </xdr:from>
    <xdr:ext cx="200025" cy="200025"/>
    <xdr:pic>
      <xdr:nvPicPr>
        <xdr:cNvPr id="128" name="image10.png">
          <a:extLst>
            <a:ext uri="{FF2B5EF4-FFF2-40B4-BE49-F238E27FC236}">
              <a16:creationId xmlns:a16="http://schemas.microsoft.com/office/drawing/2014/main" id="{00000000-0008-0000-0100-00008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xdr:row>
      <xdr:rowOff>0</xdr:rowOff>
    </xdr:from>
    <xdr:ext cx="200025" cy="200025"/>
    <xdr:pic>
      <xdr:nvPicPr>
        <xdr:cNvPr id="129" name="image9.png">
          <a:extLst>
            <a:ext uri="{FF2B5EF4-FFF2-40B4-BE49-F238E27FC236}">
              <a16:creationId xmlns:a16="http://schemas.microsoft.com/office/drawing/2014/main" id="{00000000-0008-0000-0100-00008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35</xdr:row>
      <xdr:rowOff>0</xdr:rowOff>
    </xdr:from>
    <xdr:ext cx="200025" cy="200025"/>
    <xdr:pic>
      <xdr:nvPicPr>
        <xdr:cNvPr id="130" name="image3.png">
          <a:extLst>
            <a:ext uri="{FF2B5EF4-FFF2-40B4-BE49-F238E27FC236}">
              <a16:creationId xmlns:a16="http://schemas.microsoft.com/office/drawing/2014/main" id="{00000000-0008-0000-0100-00008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35</xdr:row>
      <xdr:rowOff>0</xdr:rowOff>
    </xdr:from>
    <xdr:ext cx="200025" cy="200025"/>
    <xdr:pic>
      <xdr:nvPicPr>
        <xdr:cNvPr id="131" name="image11.png">
          <a:extLst>
            <a:ext uri="{FF2B5EF4-FFF2-40B4-BE49-F238E27FC236}">
              <a16:creationId xmlns:a16="http://schemas.microsoft.com/office/drawing/2014/main" id="{00000000-0008-0000-0100-000083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36</xdr:row>
      <xdr:rowOff>0</xdr:rowOff>
    </xdr:from>
    <xdr:ext cx="200025" cy="200025"/>
    <xdr:pic>
      <xdr:nvPicPr>
        <xdr:cNvPr id="132" name="image10.png">
          <a:extLst>
            <a:ext uri="{FF2B5EF4-FFF2-40B4-BE49-F238E27FC236}">
              <a16:creationId xmlns:a16="http://schemas.microsoft.com/office/drawing/2014/main" id="{00000000-0008-0000-0100-00008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xdr:row>
      <xdr:rowOff>0</xdr:rowOff>
    </xdr:from>
    <xdr:ext cx="200025" cy="200025"/>
    <xdr:pic>
      <xdr:nvPicPr>
        <xdr:cNvPr id="133" name="image9.png">
          <a:extLst>
            <a:ext uri="{FF2B5EF4-FFF2-40B4-BE49-F238E27FC236}">
              <a16:creationId xmlns:a16="http://schemas.microsoft.com/office/drawing/2014/main" id="{00000000-0008-0000-0100-000085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36</xdr:row>
      <xdr:rowOff>0</xdr:rowOff>
    </xdr:from>
    <xdr:ext cx="200025" cy="200025"/>
    <xdr:pic>
      <xdr:nvPicPr>
        <xdr:cNvPr id="134" name="image4.png">
          <a:extLst>
            <a:ext uri="{FF2B5EF4-FFF2-40B4-BE49-F238E27FC236}">
              <a16:creationId xmlns:a16="http://schemas.microsoft.com/office/drawing/2014/main" id="{00000000-0008-0000-0100-00008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36</xdr:row>
      <xdr:rowOff>0</xdr:rowOff>
    </xdr:from>
    <xdr:ext cx="200025" cy="200025"/>
    <xdr:pic>
      <xdr:nvPicPr>
        <xdr:cNvPr id="135" name="image11.png">
          <a:extLst>
            <a:ext uri="{FF2B5EF4-FFF2-40B4-BE49-F238E27FC236}">
              <a16:creationId xmlns:a16="http://schemas.microsoft.com/office/drawing/2014/main" id="{00000000-0008-0000-0100-00008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37</xdr:row>
      <xdr:rowOff>0</xdr:rowOff>
    </xdr:from>
    <xdr:ext cx="200025" cy="200025"/>
    <xdr:pic>
      <xdr:nvPicPr>
        <xdr:cNvPr id="136" name="image2.png">
          <a:extLst>
            <a:ext uri="{FF2B5EF4-FFF2-40B4-BE49-F238E27FC236}">
              <a16:creationId xmlns:a16="http://schemas.microsoft.com/office/drawing/2014/main" id="{00000000-0008-0000-01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37</xdr:row>
      <xdr:rowOff>0</xdr:rowOff>
    </xdr:from>
    <xdr:ext cx="200025" cy="200025"/>
    <xdr:pic>
      <xdr:nvPicPr>
        <xdr:cNvPr id="137" name="image6.png">
          <a:extLst>
            <a:ext uri="{FF2B5EF4-FFF2-40B4-BE49-F238E27FC236}">
              <a16:creationId xmlns:a16="http://schemas.microsoft.com/office/drawing/2014/main" id="{00000000-0008-0000-0100-00008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37</xdr:row>
      <xdr:rowOff>0</xdr:rowOff>
    </xdr:from>
    <xdr:ext cx="200025" cy="200025"/>
    <xdr:pic>
      <xdr:nvPicPr>
        <xdr:cNvPr id="138" name="image5.png">
          <a:extLst>
            <a:ext uri="{FF2B5EF4-FFF2-40B4-BE49-F238E27FC236}">
              <a16:creationId xmlns:a16="http://schemas.microsoft.com/office/drawing/2014/main" id="{00000000-0008-0000-0100-00008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37</xdr:row>
      <xdr:rowOff>0</xdr:rowOff>
    </xdr:from>
    <xdr:ext cx="200025" cy="200025"/>
    <xdr:pic>
      <xdr:nvPicPr>
        <xdr:cNvPr id="139" name="image7.png">
          <a:extLst>
            <a:ext uri="{FF2B5EF4-FFF2-40B4-BE49-F238E27FC236}">
              <a16:creationId xmlns:a16="http://schemas.microsoft.com/office/drawing/2014/main" id="{00000000-0008-0000-0100-00008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37</xdr:row>
      <xdr:rowOff>0</xdr:rowOff>
    </xdr:from>
    <xdr:ext cx="200025" cy="200025"/>
    <xdr:pic>
      <xdr:nvPicPr>
        <xdr:cNvPr id="140" name="image10.png">
          <a:extLst>
            <a:ext uri="{FF2B5EF4-FFF2-40B4-BE49-F238E27FC236}">
              <a16:creationId xmlns:a16="http://schemas.microsoft.com/office/drawing/2014/main" id="{00000000-0008-0000-0100-00008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38</xdr:row>
      <xdr:rowOff>0</xdr:rowOff>
    </xdr:from>
    <xdr:ext cx="200025" cy="200025"/>
    <xdr:pic>
      <xdr:nvPicPr>
        <xdr:cNvPr id="141" name="image9.png">
          <a:extLst>
            <a:ext uri="{FF2B5EF4-FFF2-40B4-BE49-F238E27FC236}">
              <a16:creationId xmlns:a16="http://schemas.microsoft.com/office/drawing/2014/main" id="{00000000-0008-0000-0100-00008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38</xdr:row>
      <xdr:rowOff>0</xdr:rowOff>
    </xdr:from>
    <xdr:ext cx="200025" cy="200025"/>
    <xdr:pic>
      <xdr:nvPicPr>
        <xdr:cNvPr id="142" name="image2.png">
          <a:extLst>
            <a:ext uri="{FF2B5EF4-FFF2-40B4-BE49-F238E27FC236}">
              <a16:creationId xmlns:a16="http://schemas.microsoft.com/office/drawing/2014/main" id="{00000000-0008-0000-01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38</xdr:row>
      <xdr:rowOff>0</xdr:rowOff>
    </xdr:from>
    <xdr:ext cx="200025" cy="200025"/>
    <xdr:pic>
      <xdr:nvPicPr>
        <xdr:cNvPr id="143" name="image5.png">
          <a:extLst>
            <a:ext uri="{FF2B5EF4-FFF2-40B4-BE49-F238E27FC236}">
              <a16:creationId xmlns:a16="http://schemas.microsoft.com/office/drawing/2014/main" id="{00000000-0008-0000-0100-00008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38</xdr:row>
      <xdr:rowOff>0</xdr:rowOff>
    </xdr:from>
    <xdr:ext cx="200025" cy="200025"/>
    <xdr:pic>
      <xdr:nvPicPr>
        <xdr:cNvPr id="144" name="image7.png">
          <a:extLst>
            <a:ext uri="{FF2B5EF4-FFF2-40B4-BE49-F238E27FC236}">
              <a16:creationId xmlns:a16="http://schemas.microsoft.com/office/drawing/2014/main" id="{00000000-0008-0000-0100-00009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39</xdr:row>
      <xdr:rowOff>0</xdr:rowOff>
    </xdr:from>
    <xdr:ext cx="200025" cy="200025"/>
    <xdr:pic>
      <xdr:nvPicPr>
        <xdr:cNvPr id="145" name="image9.png">
          <a:extLst>
            <a:ext uri="{FF2B5EF4-FFF2-40B4-BE49-F238E27FC236}">
              <a16:creationId xmlns:a16="http://schemas.microsoft.com/office/drawing/2014/main" id="{00000000-0008-0000-0100-00009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39</xdr:row>
      <xdr:rowOff>0</xdr:rowOff>
    </xdr:from>
    <xdr:ext cx="200025" cy="200025"/>
    <xdr:pic>
      <xdr:nvPicPr>
        <xdr:cNvPr id="146" name="image2.png">
          <a:extLst>
            <a:ext uri="{FF2B5EF4-FFF2-40B4-BE49-F238E27FC236}">
              <a16:creationId xmlns:a16="http://schemas.microsoft.com/office/drawing/2014/main" id="{00000000-0008-0000-01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39</xdr:row>
      <xdr:rowOff>0</xdr:rowOff>
    </xdr:from>
    <xdr:ext cx="200025" cy="200025"/>
    <xdr:pic>
      <xdr:nvPicPr>
        <xdr:cNvPr id="147" name="image5.png">
          <a:extLst>
            <a:ext uri="{FF2B5EF4-FFF2-40B4-BE49-F238E27FC236}">
              <a16:creationId xmlns:a16="http://schemas.microsoft.com/office/drawing/2014/main" id="{00000000-0008-0000-0100-00009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39</xdr:row>
      <xdr:rowOff>0</xdr:rowOff>
    </xdr:from>
    <xdr:ext cx="200025" cy="200025"/>
    <xdr:pic>
      <xdr:nvPicPr>
        <xdr:cNvPr id="148" name="image7.png">
          <a:extLst>
            <a:ext uri="{FF2B5EF4-FFF2-40B4-BE49-F238E27FC236}">
              <a16:creationId xmlns:a16="http://schemas.microsoft.com/office/drawing/2014/main" id="{00000000-0008-0000-0100-00009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xdr:row>
      <xdr:rowOff>0</xdr:rowOff>
    </xdr:from>
    <xdr:ext cx="200025" cy="200025"/>
    <xdr:pic>
      <xdr:nvPicPr>
        <xdr:cNvPr id="149" name="image2.png">
          <a:extLst>
            <a:ext uri="{FF2B5EF4-FFF2-40B4-BE49-F238E27FC236}">
              <a16:creationId xmlns:a16="http://schemas.microsoft.com/office/drawing/2014/main" id="{00000000-0008-0000-01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40</xdr:row>
      <xdr:rowOff>0</xdr:rowOff>
    </xdr:from>
    <xdr:ext cx="200025" cy="200025"/>
    <xdr:pic>
      <xdr:nvPicPr>
        <xdr:cNvPr id="150" name="image5.png">
          <a:extLst>
            <a:ext uri="{FF2B5EF4-FFF2-40B4-BE49-F238E27FC236}">
              <a16:creationId xmlns:a16="http://schemas.microsoft.com/office/drawing/2014/main" id="{00000000-0008-0000-0100-00009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40</xdr:row>
      <xdr:rowOff>0</xdr:rowOff>
    </xdr:from>
    <xdr:ext cx="200025" cy="200025"/>
    <xdr:pic>
      <xdr:nvPicPr>
        <xdr:cNvPr id="151" name="image7.png">
          <a:extLst>
            <a:ext uri="{FF2B5EF4-FFF2-40B4-BE49-F238E27FC236}">
              <a16:creationId xmlns:a16="http://schemas.microsoft.com/office/drawing/2014/main" id="{00000000-0008-0000-0100-00009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41</xdr:row>
      <xdr:rowOff>0</xdr:rowOff>
    </xdr:from>
    <xdr:ext cx="200025" cy="200025"/>
    <xdr:pic>
      <xdr:nvPicPr>
        <xdr:cNvPr id="152" name="image8.png">
          <a:extLst>
            <a:ext uri="{FF2B5EF4-FFF2-40B4-BE49-F238E27FC236}">
              <a16:creationId xmlns:a16="http://schemas.microsoft.com/office/drawing/2014/main" id="{00000000-0008-0000-0100-00009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41</xdr:row>
      <xdr:rowOff>0</xdr:rowOff>
    </xdr:from>
    <xdr:ext cx="200025" cy="200025"/>
    <xdr:pic>
      <xdr:nvPicPr>
        <xdr:cNvPr id="153" name="image5.png">
          <a:extLst>
            <a:ext uri="{FF2B5EF4-FFF2-40B4-BE49-F238E27FC236}">
              <a16:creationId xmlns:a16="http://schemas.microsoft.com/office/drawing/2014/main" id="{00000000-0008-0000-0100-00009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42</xdr:row>
      <xdr:rowOff>0</xdr:rowOff>
    </xdr:from>
    <xdr:ext cx="200025" cy="200025"/>
    <xdr:pic>
      <xdr:nvPicPr>
        <xdr:cNvPr id="154" name="image8.png">
          <a:extLst>
            <a:ext uri="{FF2B5EF4-FFF2-40B4-BE49-F238E27FC236}">
              <a16:creationId xmlns:a16="http://schemas.microsoft.com/office/drawing/2014/main" id="{00000000-0008-0000-0100-00009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42</xdr:row>
      <xdr:rowOff>0</xdr:rowOff>
    </xdr:from>
    <xdr:ext cx="200025" cy="200025"/>
    <xdr:pic>
      <xdr:nvPicPr>
        <xdr:cNvPr id="155" name="image5.png">
          <a:extLst>
            <a:ext uri="{FF2B5EF4-FFF2-40B4-BE49-F238E27FC236}">
              <a16:creationId xmlns:a16="http://schemas.microsoft.com/office/drawing/2014/main" id="{00000000-0008-0000-0100-00009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43</xdr:row>
      <xdr:rowOff>0</xdr:rowOff>
    </xdr:from>
    <xdr:ext cx="200025" cy="200025"/>
    <xdr:pic>
      <xdr:nvPicPr>
        <xdr:cNvPr id="156" name="image8.png">
          <a:extLst>
            <a:ext uri="{FF2B5EF4-FFF2-40B4-BE49-F238E27FC236}">
              <a16:creationId xmlns:a16="http://schemas.microsoft.com/office/drawing/2014/main" id="{00000000-0008-0000-0100-00009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43</xdr:row>
      <xdr:rowOff>0</xdr:rowOff>
    </xdr:from>
    <xdr:ext cx="200025" cy="200025"/>
    <xdr:pic>
      <xdr:nvPicPr>
        <xdr:cNvPr id="157" name="image1.png">
          <a:extLst>
            <a:ext uri="{FF2B5EF4-FFF2-40B4-BE49-F238E27FC236}">
              <a16:creationId xmlns:a16="http://schemas.microsoft.com/office/drawing/2014/main" id="{00000000-0008-0000-0100-00009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43</xdr:row>
      <xdr:rowOff>0</xdr:rowOff>
    </xdr:from>
    <xdr:ext cx="200025" cy="200025"/>
    <xdr:pic>
      <xdr:nvPicPr>
        <xdr:cNvPr id="158" name="image4.png">
          <a:extLst>
            <a:ext uri="{FF2B5EF4-FFF2-40B4-BE49-F238E27FC236}">
              <a16:creationId xmlns:a16="http://schemas.microsoft.com/office/drawing/2014/main" id="{00000000-0008-0000-0100-00009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43</xdr:row>
      <xdr:rowOff>0</xdr:rowOff>
    </xdr:from>
    <xdr:ext cx="200025" cy="200025"/>
    <xdr:pic>
      <xdr:nvPicPr>
        <xdr:cNvPr id="159" name="image7.png">
          <a:extLst>
            <a:ext uri="{FF2B5EF4-FFF2-40B4-BE49-F238E27FC236}">
              <a16:creationId xmlns:a16="http://schemas.microsoft.com/office/drawing/2014/main" id="{00000000-0008-0000-0100-00009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44</xdr:row>
      <xdr:rowOff>0</xdr:rowOff>
    </xdr:from>
    <xdr:ext cx="200025" cy="200025"/>
    <xdr:pic>
      <xdr:nvPicPr>
        <xdr:cNvPr id="160" name="image8.png">
          <a:extLst>
            <a:ext uri="{FF2B5EF4-FFF2-40B4-BE49-F238E27FC236}">
              <a16:creationId xmlns:a16="http://schemas.microsoft.com/office/drawing/2014/main" id="{00000000-0008-0000-0100-0000A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xdr:row>
      <xdr:rowOff>0</xdr:rowOff>
    </xdr:from>
    <xdr:ext cx="200025" cy="200025"/>
    <xdr:pic>
      <xdr:nvPicPr>
        <xdr:cNvPr id="161" name="image1.png">
          <a:extLst>
            <a:ext uri="{FF2B5EF4-FFF2-40B4-BE49-F238E27FC236}">
              <a16:creationId xmlns:a16="http://schemas.microsoft.com/office/drawing/2014/main" id="{00000000-0008-0000-0100-0000A1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44</xdr:row>
      <xdr:rowOff>0</xdr:rowOff>
    </xdr:from>
    <xdr:ext cx="200025" cy="200025"/>
    <xdr:pic>
      <xdr:nvPicPr>
        <xdr:cNvPr id="162" name="image4.png">
          <a:extLst>
            <a:ext uri="{FF2B5EF4-FFF2-40B4-BE49-F238E27FC236}">
              <a16:creationId xmlns:a16="http://schemas.microsoft.com/office/drawing/2014/main" id="{00000000-0008-0000-0100-0000A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44</xdr:row>
      <xdr:rowOff>0</xdr:rowOff>
    </xdr:from>
    <xdr:ext cx="200025" cy="200025"/>
    <xdr:pic>
      <xdr:nvPicPr>
        <xdr:cNvPr id="163" name="image7.png">
          <a:extLst>
            <a:ext uri="{FF2B5EF4-FFF2-40B4-BE49-F238E27FC236}">
              <a16:creationId xmlns:a16="http://schemas.microsoft.com/office/drawing/2014/main" id="{00000000-0008-0000-0100-0000A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xdr:row>
      <xdr:rowOff>0</xdr:rowOff>
    </xdr:from>
    <xdr:ext cx="200025" cy="200025"/>
    <xdr:pic>
      <xdr:nvPicPr>
        <xdr:cNvPr id="164" name="image9.png">
          <a:extLst>
            <a:ext uri="{FF2B5EF4-FFF2-40B4-BE49-F238E27FC236}">
              <a16:creationId xmlns:a16="http://schemas.microsoft.com/office/drawing/2014/main" id="{00000000-0008-0000-0100-0000A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45</xdr:row>
      <xdr:rowOff>0</xdr:rowOff>
    </xdr:from>
    <xdr:ext cx="200025" cy="200025"/>
    <xdr:pic>
      <xdr:nvPicPr>
        <xdr:cNvPr id="165" name="image6.png">
          <a:extLst>
            <a:ext uri="{FF2B5EF4-FFF2-40B4-BE49-F238E27FC236}">
              <a16:creationId xmlns:a16="http://schemas.microsoft.com/office/drawing/2014/main" id="{00000000-0008-0000-0100-0000A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45</xdr:row>
      <xdr:rowOff>0</xdr:rowOff>
    </xdr:from>
    <xdr:ext cx="200025" cy="200025"/>
    <xdr:pic>
      <xdr:nvPicPr>
        <xdr:cNvPr id="166" name="image4.png">
          <a:extLst>
            <a:ext uri="{FF2B5EF4-FFF2-40B4-BE49-F238E27FC236}">
              <a16:creationId xmlns:a16="http://schemas.microsoft.com/office/drawing/2014/main" id="{00000000-0008-0000-0100-0000A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45</xdr:row>
      <xdr:rowOff>0</xdr:rowOff>
    </xdr:from>
    <xdr:ext cx="200025" cy="200025"/>
    <xdr:pic>
      <xdr:nvPicPr>
        <xdr:cNvPr id="167" name="image7.png">
          <a:extLst>
            <a:ext uri="{FF2B5EF4-FFF2-40B4-BE49-F238E27FC236}">
              <a16:creationId xmlns:a16="http://schemas.microsoft.com/office/drawing/2014/main" id="{00000000-0008-0000-0100-0000A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45</xdr:row>
      <xdr:rowOff>0</xdr:rowOff>
    </xdr:from>
    <xdr:ext cx="200025" cy="200025"/>
    <xdr:pic>
      <xdr:nvPicPr>
        <xdr:cNvPr id="168" name="image10.png">
          <a:extLst>
            <a:ext uri="{FF2B5EF4-FFF2-40B4-BE49-F238E27FC236}">
              <a16:creationId xmlns:a16="http://schemas.microsoft.com/office/drawing/2014/main" id="{00000000-0008-0000-0100-0000A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46</xdr:row>
      <xdr:rowOff>0</xdr:rowOff>
    </xdr:from>
    <xdr:ext cx="200025" cy="200025"/>
    <xdr:pic>
      <xdr:nvPicPr>
        <xdr:cNvPr id="169" name="image8.png">
          <a:extLst>
            <a:ext uri="{FF2B5EF4-FFF2-40B4-BE49-F238E27FC236}">
              <a16:creationId xmlns:a16="http://schemas.microsoft.com/office/drawing/2014/main" id="{00000000-0008-0000-0100-0000A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46</xdr:row>
      <xdr:rowOff>0</xdr:rowOff>
    </xdr:from>
    <xdr:ext cx="200025" cy="200025"/>
    <xdr:pic>
      <xdr:nvPicPr>
        <xdr:cNvPr id="170" name="image12.png">
          <a:extLst>
            <a:ext uri="{FF2B5EF4-FFF2-40B4-BE49-F238E27FC236}">
              <a16:creationId xmlns:a16="http://schemas.microsoft.com/office/drawing/2014/main" id="{00000000-0008-0000-0100-0000AA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46</xdr:row>
      <xdr:rowOff>0</xdr:rowOff>
    </xdr:from>
    <xdr:ext cx="200025" cy="200025"/>
    <xdr:pic>
      <xdr:nvPicPr>
        <xdr:cNvPr id="171" name="image11.png">
          <a:extLst>
            <a:ext uri="{FF2B5EF4-FFF2-40B4-BE49-F238E27FC236}">
              <a16:creationId xmlns:a16="http://schemas.microsoft.com/office/drawing/2014/main" id="{00000000-0008-0000-0100-0000A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46</xdr:row>
      <xdr:rowOff>0</xdr:rowOff>
    </xdr:from>
    <xdr:ext cx="200025" cy="200025"/>
    <xdr:pic>
      <xdr:nvPicPr>
        <xdr:cNvPr id="172" name="image8.png">
          <a:extLst>
            <a:ext uri="{FF2B5EF4-FFF2-40B4-BE49-F238E27FC236}">
              <a16:creationId xmlns:a16="http://schemas.microsoft.com/office/drawing/2014/main" id="{00000000-0008-0000-0100-0000A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47</xdr:row>
      <xdr:rowOff>0</xdr:rowOff>
    </xdr:from>
    <xdr:ext cx="200025" cy="200025"/>
    <xdr:pic>
      <xdr:nvPicPr>
        <xdr:cNvPr id="173" name="image10.png">
          <a:extLst>
            <a:ext uri="{FF2B5EF4-FFF2-40B4-BE49-F238E27FC236}">
              <a16:creationId xmlns:a16="http://schemas.microsoft.com/office/drawing/2014/main" id="{00000000-0008-0000-0100-0000A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xdr:row>
      <xdr:rowOff>0</xdr:rowOff>
    </xdr:from>
    <xdr:ext cx="200025" cy="200025"/>
    <xdr:pic>
      <xdr:nvPicPr>
        <xdr:cNvPr id="174" name="image9.png">
          <a:extLst>
            <a:ext uri="{FF2B5EF4-FFF2-40B4-BE49-F238E27FC236}">
              <a16:creationId xmlns:a16="http://schemas.microsoft.com/office/drawing/2014/main" id="{00000000-0008-0000-0100-0000A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47</xdr:row>
      <xdr:rowOff>0</xdr:rowOff>
    </xdr:from>
    <xdr:ext cx="200025" cy="200025"/>
    <xdr:pic>
      <xdr:nvPicPr>
        <xdr:cNvPr id="175" name="image2.png">
          <a:extLst>
            <a:ext uri="{FF2B5EF4-FFF2-40B4-BE49-F238E27FC236}">
              <a16:creationId xmlns:a16="http://schemas.microsoft.com/office/drawing/2014/main" id="{00000000-0008-0000-01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47</xdr:row>
      <xdr:rowOff>0</xdr:rowOff>
    </xdr:from>
    <xdr:ext cx="200025" cy="200025"/>
    <xdr:pic>
      <xdr:nvPicPr>
        <xdr:cNvPr id="176" name="image6.png">
          <a:extLst>
            <a:ext uri="{FF2B5EF4-FFF2-40B4-BE49-F238E27FC236}">
              <a16:creationId xmlns:a16="http://schemas.microsoft.com/office/drawing/2014/main" id="{00000000-0008-0000-0100-0000B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48</xdr:row>
      <xdr:rowOff>0</xdr:rowOff>
    </xdr:from>
    <xdr:ext cx="200025" cy="200025"/>
    <xdr:pic>
      <xdr:nvPicPr>
        <xdr:cNvPr id="177" name="image8.png">
          <a:extLst>
            <a:ext uri="{FF2B5EF4-FFF2-40B4-BE49-F238E27FC236}">
              <a16:creationId xmlns:a16="http://schemas.microsoft.com/office/drawing/2014/main" id="{00000000-0008-0000-0100-0000B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48</xdr:row>
      <xdr:rowOff>0</xdr:rowOff>
    </xdr:from>
    <xdr:ext cx="200025" cy="200025"/>
    <xdr:pic>
      <xdr:nvPicPr>
        <xdr:cNvPr id="178" name="image1.png">
          <a:extLst>
            <a:ext uri="{FF2B5EF4-FFF2-40B4-BE49-F238E27FC236}">
              <a16:creationId xmlns:a16="http://schemas.microsoft.com/office/drawing/2014/main" id="{00000000-0008-0000-0100-0000B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48</xdr:row>
      <xdr:rowOff>0</xdr:rowOff>
    </xdr:from>
    <xdr:ext cx="200025" cy="200025"/>
    <xdr:pic>
      <xdr:nvPicPr>
        <xdr:cNvPr id="179" name="image3.png">
          <a:extLst>
            <a:ext uri="{FF2B5EF4-FFF2-40B4-BE49-F238E27FC236}">
              <a16:creationId xmlns:a16="http://schemas.microsoft.com/office/drawing/2014/main" id="{00000000-0008-0000-0100-0000B3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48</xdr:row>
      <xdr:rowOff>0</xdr:rowOff>
    </xdr:from>
    <xdr:ext cx="200025" cy="200025"/>
    <xdr:pic>
      <xdr:nvPicPr>
        <xdr:cNvPr id="180" name="image3.png">
          <a:extLst>
            <a:ext uri="{FF2B5EF4-FFF2-40B4-BE49-F238E27FC236}">
              <a16:creationId xmlns:a16="http://schemas.microsoft.com/office/drawing/2014/main" id="{00000000-0008-0000-0100-0000B4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49</xdr:row>
      <xdr:rowOff>0</xdr:rowOff>
    </xdr:from>
    <xdr:ext cx="200025" cy="200025"/>
    <xdr:pic>
      <xdr:nvPicPr>
        <xdr:cNvPr id="181" name="image10.png">
          <a:extLst>
            <a:ext uri="{FF2B5EF4-FFF2-40B4-BE49-F238E27FC236}">
              <a16:creationId xmlns:a16="http://schemas.microsoft.com/office/drawing/2014/main" id="{00000000-0008-0000-0100-0000B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xdr:row>
      <xdr:rowOff>0</xdr:rowOff>
    </xdr:from>
    <xdr:ext cx="200025" cy="200025"/>
    <xdr:pic>
      <xdr:nvPicPr>
        <xdr:cNvPr id="182" name="image8.png">
          <a:extLst>
            <a:ext uri="{FF2B5EF4-FFF2-40B4-BE49-F238E27FC236}">
              <a16:creationId xmlns:a16="http://schemas.microsoft.com/office/drawing/2014/main" id="{00000000-0008-0000-0100-0000B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49</xdr:row>
      <xdr:rowOff>0</xdr:rowOff>
    </xdr:from>
    <xdr:ext cx="200025" cy="200025"/>
    <xdr:pic>
      <xdr:nvPicPr>
        <xdr:cNvPr id="183" name="image1.png">
          <a:extLst>
            <a:ext uri="{FF2B5EF4-FFF2-40B4-BE49-F238E27FC236}">
              <a16:creationId xmlns:a16="http://schemas.microsoft.com/office/drawing/2014/main" id="{00000000-0008-0000-0100-0000B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49</xdr:row>
      <xdr:rowOff>0</xdr:rowOff>
    </xdr:from>
    <xdr:ext cx="200025" cy="200025"/>
    <xdr:pic>
      <xdr:nvPicPr>
        <xdr:cNvPr id="184" name="image12.png">
          <a:extLst>
            <a:ext uri="{FF2B5EF4-FFF2-40B4-BE49-F238E27FC236}">
              <a16:creationId xmlns:a16="http://schemas.microsoft.com/office/drawing/2014/main" id="{00000000-0008-0000-0100-0000B8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49</xdr:row>
      <xdr:rowOff>0</xdr:rowOff>
    </xdr:from>
    <xdr:ext cx="200025" cy="200025"/>
    <xdr:pic>
      <xdr:nvPicPr>
        <xdr:cNvPr id="185" name="image9.png">
          <a:extLst>
            <a:ext uri="{FF2B5EF4-FFF2-40B4-BE49-F238E27FC236}">
              <a16:creationId xmlns:a16="http://schemas.microsoft.com/office/drawing/2014/main" id="{00000000-0008-0000-0100-0000B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50</xdr:row>
      <xdr:rowOff>0</xdr:rowOff>
    </xdr:from>
    <xdr:ext cx="200025" cy="200025"/>
    <xdr:pic>
      <xdr:nvPicPr>
        <xdr:cNvPr id="186" name="image9.png">
          <a:extLst>
            <a:ext uri="{FF2B5EF4-FFF2-40B4-BE49-F238E27FC236}">
              <a16:creationId xmlns:a16="http://schemas.microsoft.com/office/drawing/2014/main" id="{00000000-0008-0000-0100-0000B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50</xdr:row>
      <xdr:rowOff>0</xdr:rowOff>
    </xdr:from>
    <xdr:ext cx="200025" cy="200025"/>
    <xdr:pic>
      <xdr:nvPicPr>
        <xdr:cNvPr id="187" name="image6.png">
          <a:extLst>
            <a:ext uri="{FF2B5EF4-FFF2-40B4-BE49-F238E27FC236}">
              <a16:creationId xmlns:a16="http://schemas.microsoft.com/office/drawing/2014/main" id="{00000000-0008-0000-0100-0000B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50</xdr:row>
      <xdr:rowOff>0</xdr:rowOff>
    </xdr:from>
    <xdr:ext cx="200025" cy="200025"/>
    <xdr:pic>
      <xdr:nvPicPr>
        <xdr:cNvPr id="188" name="image5.png">
          <a:extLst>
            <a:ext uri="{FF2B5EF4-FFF2-40B4-BE49-F238E27FC236}">
              <a16:creationId xmlns:a16="http://schemas.microsoft.com/office/drawing/2014/main" id="{00000000-0008-0000-0100-0000B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51</xdr:row>
      <xdr:rowOff>0</xdr:rowOff>
    </xdr:from>
    <xdr:ext cx="200025" cy="200025"/>
    <xdr:pic>
      <xdr:nvPicPr>
        <xdr:cNvPr id="189" name="image8.png">
          <a:extLst>
            <a:ext uri="{FF2B5EF4-FFF2-40B4-BE49-F238E27FC236}">
              <a16:creationId xmlns:a16="http://schemas.microsoft.com/office/drawing/2014/main" id="{00000000-0008-0000-0100-0000B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51</xdr:row>
      <xdr:rowOff>0</xdr:rowOff>
    </xdr:from>
    <xdr:ext cx="200025" cy="200025"/>
    <xdr:pic>
      <xdr:nvPicPr>
        <xdr:cNvPr id="190" name="image6.png">
          <a:extLst>
            <a:ext uri="{FF2B5EF4-FFF2-40B4-BE49-F238E27FC236}">
              <a16:creationId xmlns:a16="http://schemas.microsoft.com/office/drawing/2014/main" id="{00000000-0008-0000-0100-0000B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51</xdr:row>
      <xdr:rowOff>0</xdr:rowOff>
    </xdr:from>
    <xdr:ext cx="200025" cy="200025"/>
    <xdr:pic>
      <xdr:nvPicPr>
        <xdr:cNvPr id="191" name="image4.png">
          <a:extLst>
            <a:ext uri="{FF2B5EF4-FFF2-40B4-BE49-F238E27FC236}">
              <a16:creationId xmlns:a16="http://schemas.microsoft.com/office/drawing/2014/main" id="{00000000-0008-0000-0100-0000B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51</xdr:row>
      <xdr:rowOff>0</xdr:rowOff>
    </xdr:from>
    <xdr:ext cx="200025" cy="200025"/>
    <xdr:pic>
      <xdr:nvPicPr>
        <xdr:cNvPr id="192" name="image11.png">
          <a:extLst>
            <a:ext uri="{FF2B5EF4-FFF2-40B4-BE49-F238E27FC236}">
              <a16:creationId xmlns:a16="http://schemas.microsoft.com/office/drawing/2014/main" id="{00000000-0008-0000-0100-0000C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52</xdr:row>
      <xdr:rowOff>0</xdr:rowOff>
    </xdr:from>
    <xdr:ext cx="200025" cy="200025"/>
    <xdr:pic>
      <xdr:nvPicPr>
        <xdr:cNvPr id="193" name="image10.png">
          <a:extLst>
            <a:ext uri="{FF2B5EF4-FFF2-40B4-BE49-F238E27FC236}">
              <a16:creationId xmlns:a16="http://schemas.microsoft.com/office/drawing/2014/main" id="{00000000-0008-0000-0100-0000C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52</xdr:row>
      <xdr:rowOff>0</xdr:rowOff>
    </xdr:from>
    <xdr:ext cx="200025" cy="200025"/>
    <xdr:pic>
      <xdr:nvPicPr>
        <xdr:cNvPr id="194" name="image9.png">
          <a:extLst>
            <a:ext uri="{FF2B5EF4-FFF2-40B4-BE49-F238E27FC236}">
              <a16:creationId xmlns:a16="http://schemas.microsoft.com/office/drawing/2014/main" id="{00000000-0008-0000-0100-0000C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52</xdr:row>
      <xdr:rowOff>0</xdr:rowOff>
    </xdr:from>
    <xdr:ext cx="200025" cy="200025"/>
    <xdr:pic>
      <xdr:nvPicPr>
        <xdr:cNvPr id="195" name="image2.png">
          <a:extLst>
            <a:ext uri="{FF2B5EF4-FFF2-40B4-BE49-F238E27FC236}">
              <a16:creationId xmlns:a16="http://schemas.microsoft.com/office/drawing/2014/main" id="{00000000-0008-0000-01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52</xdr:row>
      <xdr:rowOff>0</xdr:rowOff>
    </xdr:from>
    <xdr:ext cx="200025" cy="200025"/>
    <xdr:pic>
      <xdr:nvPicPr>
        <xdr:cNvPr id="196" name="image6.png">
          <a:extLst>
            <a:ext uri="{FF2B5EF4-FFF2-40B4-BE49-F238E27FC236}">
              <a16:creationId xmlns:a16="http://schemas.microsoft.com/office/drawing/2014/main" id="{00000000-0008-0000-01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53</xdr:row>
      <xdr:rowOff>0</xdr:rowOff>
    </xdr:from>
    <xdr:ext cx="200025" cy="200025"/>
    <xdr:pic>
      <xdr:nvPicPr>
        <xdr:cNvPr id="197" name="image10.png">
          <a:extLst>
            <a:ext uri="{FF2B5EF4-FFF2-40B4-BE49-F238E27FC236}">
              <a16:creationId xmlns:a16="http://schemas.microsoft.com/office/drawing/2014/main" id="{00000000-0008-0000-0100-0000C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53</xdr:row>
      <xdr:rowOff>0</xdr:rowOff>
    </xdr:from>
    <xdr:ext cx="200025" cy="200025"/>
    <xdr:pic>
      <xdr:nvPicPr>
        <xdr:cNvPr id="198" name="image8.png">
          <a:extLst>
            <a:ext uri="{FF2B5EF4-FFF2-40B4-BE49-F238E27FC236}">
              <a16:creationId xmlns:a16="http://schemas.microsoft.com/office/drawing/2014/main" id="{00000000-0008-0000-0100-0000C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53</xdr:row>
      <xdr:rowOff>0</xdr:rowOff>
    </xdr:from>
    <xdr:ext cx="200025" cy="200025"/>
    <xdr:pic>
      <xdr:nvPicPr>
        <xdr:cNvPr id="199" name="image2.png">
          <a:extLst>
            <a:ext uri="{FF2B5EF4-FFF2-40B4-BE49-F238E27FC236}">
              <a16:creationId xmlns:a16="http://schemas.microsoft.com/office/drawing/2014/main" id="{00000000-0008-0000-01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53</xdr:row>
      <xdr:rowOff>0</xdr:rowOff>
    </xdr:from>
    <xdr:ext cx="200025" cy="200025"/>
    <xdr:pic>
      <xdr:nvPicPr>
        <xdr:cNvPr id="200" name="image7.png">
          <a:extLst>
            <a:ext uri="{FF2B5EF4-FFF2-40B4-BE49-F238E27FC236}">
              <a16:creationId xmlns:a16="http://schemas.microsoft.com/office/drawing/2014/main" id="{00000000-0008-0000-0100-0000C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53</xdr:row>
      <xdr:rowOff>0</xdr:rowOff>
    </xdr:from>
    <xdr:ext cx="200025" cy="200025"/>
    <xdr:pic>
      <xdr:nvPicPr>
        <xdr:cNvPr id="201" name="image9.png">
          <a:extLst>
            <a:ext uri="{FF2B5EF4-FFF2-40B4-BE49-F238E27FC236}">
              <a16:creationId xmlns:a16="http://schemas.microsoft.com/office/drawing/2014/main" id="{00000000-0008-0000-0100-0000C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54</xdr:row>
      <xdr:rowOff>0</xdr:rowOff>
    </xdr:from>
    <xdr:ext cx="200025" cy="200025"/>
    <xdr:pic>
      <xdr:nvPicPr>
        <xdr:cNvPr id="202" name="image10.png">
          <a:extLst>
            <a:ext uri="{FF2B5EF4-FFF2-40B4-BE49-F238E27FC236}">
              <a16:creationId xmlns:a16="http://schemas.microsoft.com/office/drawing/2014/main" id="{00000000-0008-0000-0100-0000C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54</xdr:row>
      <xdr:rowOff>0</xdr:rowOff>
    </xdr:from>
    <xdr:ext cx="200025" cy="200025"/>
    <xdr:pic>
      <xdr:nvPicPr>
        <xdr:cNvPr id="203" name="image8.png">
          <a:extLst>
            <a:ext uri="{FF2B5EF4-FFF2-40B4-BE49-F238E27FC236}">
              <a16:creationId xmlns:a16="http://schemas.microsoft.com/office/drawing/2014/main" id="{00000000-0008-0000-0100-0000C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54</xdr:row>
      <xdr:rowOff>0</xdr:rowOff>
    </xdr:from>
    <xdr:ext cx="200025" cy="200025"/>
    <xdr:pic>
      <xdr:nvPicPr>
        <xdr:cNvPr id="204" name="image2.png">
          <a:extLst>
            <a:ext uri="{FF2B5EF4-FFF2-40B4-BE49-F238E27FC236}">
              <a16:creationId xmlns:a16="http://schemas.microsoft.com/office/drawing/2014/main" id="{00000000-0008-0000-01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54</xdr:row>
      <xdr:rowOff>0</xdr:rowOff>
    </xdr:from>
    <xdr:ext cx="200025" cy="200025"/>
    <xdr:pic>
      <xdr:nvPicPr>
        <xdr:cNvPr id="205" name="image7.png">
          <a:extLst>
            <a:ext uri="{FF2B5EF4-FFF2-40B4-BE49-F238E27FC236}">
              <a16:creationId xmlns:a16="http://schemas.microsoft.com/office/drawing/2014/main" id="{00000000-0008-0000-0100-0000C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54</xdr:row>
      <xdr:rowOff>0</xdr:rowOff>
    </xdr:from>
    <xdr:ext cx="200025" cy="200025"/>
    <xdr:pic>
      <xdr:nvPicPr>
        <xdr:cNvPr id="206" name="image9.png">
          <a:extLst>
            <a:ext uri="{FF2B5EF4-FFF2-40B4-BE49-F238E27FC236}">
              <a16:creationId xmlns:a16="http://schemas.microsoft.com/office/drawing/2014/main" id="{00000000-0008-0000-0100-0000C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55</xdr:row>
      <xdr:rowOff>0</xdr:rowOff>
    </xdr:from>
    <xdr:ext cx="200025" cy="200025"/>
    <xdr:pic>
      <xdr:nvPicPr>
        <xdr:cNvPr id="207" name="image8.png">
          <a:extLst>
            <a:ext uri="{FF2B5EF4-FFF2-40B4-BE49-F238E27FC236}">
              <a16:creationId xmlns:a16="http://schemas.microsoft.com/office/drawing/2014/main" id="{00000000-0008-0000-0100-0000C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55</xdr:row>
      <xdr:rowOff>0</xdr:rowOff>
    </xdr:from>
    <xdr:ext cx="200025" cy="200025"/>
    <xdr:pic>
      <xdr:nvPicPr>
        <xdr:cNvPr id="208" name="image9.png">
          <a:extLst>
            <a:ext uri="{FF2B5EF4-FFF2-40B4-BE49-F238E27FC236}">
              <a16:creationId xmlns:a16="http://schemas.microsoft.com/office/drawing/2014/main" id="{00000000-0008-0000-0100-0000D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55</xdr:row>
      <xdr:rowOff>0</xdr:rowOff>
    </xdr:from>
    <xdr:ext cx="200025" cy="200025"/>
    <xdr:pic>
      <xdr:nvPicPr>
        <xdr:cNvPr id="209" name="image5.png">
          <a:extLst>
            <a:ext uri="{FF2B5EF4-FFF2-40B4-BE49-F238E27FC236}">
              <a16:creationId xmlns:a16="http://schemas.microsoft.com/office/drawing/2014/main" id="{00000000-0008-0000-0100-0000D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55</xdr:row>
      <xdr:rowOff>0</xdr:rowOff>
    </xdr:from>
    <xdr:ext cx="200025" cy="200025"/>
    <xdr:pic>
      <xdr:nvPicPr>
        <xdr:cNvPr id="210" name="image11.png">
          <a:extLst>
            <a:ext uri="{FF2B5EF4-FFF2-40B4-BE49-F238E27FC236}">
              <a16:creationId xmlns:a16="http://schemas.microsoft.com/office/drawing/2014/main" id="{00000000-0008-0000-0100-0000D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55</xdr:row>
      <xdr:rowOff>0</xdr:rowOff>
    </xdr:from>
    <xdr:ext cx="200025" cy="200025"/>
    <xdr:pic>
      <xdr:nvPicPr>
        <xdr:cNvPr id="211" name="image9.png">
          <a:extLst>
            <a:ext uri="{FF2B5EF4-FFF2-40B4-BE49-F238E27FC236}">
              <a16:creationId xmlns:a16="http://schemas.microsoft.com/office/drawing/2014/main" id="{00000000-0008-0000-0100-0000D3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56</xdr:row>
      <xdr:rowOff>0</xdr:rowOff>
    </xdr:from>
    <xdr:ext cx="200025" cy="200025"/>
    <xdr:pic>
      <xdr:nvPicPr>
        <xdr:cNvPr id="212" name="image10.png">
          <a:extLst>
            <a:ext uri="{FF2B5EF4-FFF2-40B4-BE49-F238E27FC236}">
              <a16:creationId xmlns:a16="http://schemas.microsoft.com/office/drawing/2014/main" id="{00000000-0008-0000-0100-0000D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56</xdr:row>
      <xdr:rowOff>0</xdr:rowOff>
    </xdr:from>
    <xdr:ext cx="200025" cy="200025"/>
    <xdr:pic>
      <xdr:nvPicPr>
        <xdr:cNvPr id="213" name="image8.png">
          <a:extLst>
            <a:ext uri="{FF2B5EF4-FFF2-40B4-BE49-F238E27FC236}">
              <a16:creationId xmlns:a16="http://schemas.microsoft.com/office/drawing/2014/main" id="{00000000-0008-0000-0100-0000D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56</xdr:row>
      <xdr:rowOff>0</xdr:rowOff>
    </xdr:from>
    <xdr:ext cx="200025" cy="200025"/>
    <xdr:pic>
      <xdr:nvPicPr>
        <xdr:cNvPr id="214" name="image2.png">
          <a:extLst>
            <a:ext uri="{FF2B5EF4-FFF2-40B4-BE49-F238E27FC236}">
              <a16:creationId xmlns:a16="http://schemas.microsoft.com/office/drawing/2014/main" id="{00000000-0008-0000-01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56</xdr:row>
      <xdr:rowOff>0</xdr:rowOff>
    </xdr:from>
    <xdr:ext cx="200025" cy="200025"/>
    <xdr:pic>
      <xdr:nvPicPr>
        <xdr:cNvPr id="215" name="image4.png">
          <a:extLst>
            <a:ext uri="{FF2B5EF4-FFF2-40B4-BE49-F238E27FC236}">
              <a16:creationId xmlns:a16="http://schemas.microsoft.com/office/drawing/2014/main" id="{00000000-0008-0000-0100-0000D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56</xdr:row>
      <xdr:rowOff>0</xdr:rowOff>
    </xdr:from>
    <xdr:ext cx="200025" cy="200025"/>
    <xdr:pic>
      <xdr:nvPicPr>
        <xdr:cNvPr id="216" name="image9.png">
          <a:extLst>
            <a:ext uri="{FF2B5EF4-FFF2-40B4-BE49-F238E27FC236}">
              <a16:creationId xmlns:a16="http://schemas.microsoft.com/office/drawing/2014/main" id="{00000000-0008-0000-0100-0000D8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57</xdr:row>
      <xdr:rowOff>0</xdr:rowOff>
    </xdr:from>
    <xdr:ext cx="200025" cy="200025"/>
    <xdr:pic>
      <xdr:nvPicPr>
        <xdr:cNvPr id="217" name="image10.png">
          <a:extLst>
            <a:ext uri="{FF2B5EF4-FFF2-40B4-BE49-F238E27FC236}">
              <a16:creationId xmlns:a16="http://schemas.microsoft.com/office/drawing/2014/main" id="{00000000-0008-0000-0100-0000D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57</xdr:row>
      <xdr:rowOff>0</xdr:rowOff>
    </xdr:from>
    <xdr:ext cx="200025" cy="200025"/>
    <xdr:pic>
      <xdr:nvPicPr>
        <xdr:cNvPr id="218" name="image8.png">
          <a:extLst>
            <a:ext uri="{FF2B5EF4-FFF2-40B4-BE49-F238E27FC236}">
              <a16:creationId xmlns:a16="http://schemas.microsoft.com/office/drawing/2014/main" id="{00000000-0008-0000-0100-0000D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57</xdr:row>
      <xdr:rowOff>0</xdr:rowOff>
    </xdr:from>
    <xdr:ext cx="200025" cy="200025"/>
    <xdr:pic>
      <xdr:nvPicPr>
        <xdr:cNvPr id="219" name="image2.png">
          <a:extLst>
            <a:ext uri="{FF2B5EF4-FFF2-40B4-BE49-F238E27FC236}">
              <a16:creationId xmlns:a16="http://schemas.microsoft.com/office/drawing/2014/main" id="{00000000-0008-0000-01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57</xdr:row>
      <xdr:rowOff>0</xdr:rowOff>
    </xdr:from>
    <xdr:ext cx="200025" cy="200025"/>
    <xdr:pic>
      <xdr:nvPicPr>
        <xdr:cNvPr id="220" name="image4.png">
          <a:extLst>
            <a:ext uri="{FF2B5EF4-FFF2-40B4-BE49-F238E27FC236}">
              <a16:creationId xmlns:a16="http://schemas.microsoft.com/office/drawing/2014/main" id="{00000000-0008-0000-0100-0000D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57</xdr:row>
      <xdr:rowOff>0</xdr:rowOff>
    </xdr:from>
    <xdr:ext cx="200025" cy="200025"/>
    <xdr:pic>
      <xdr:nvPicPr>
        <xdr:cNvPr id="221" name="image9.png">
          <a:extLst>
            <a:ext uri="{FF2B5EF4-FFF2-40B4-BE49-F238E27FC236}">
              <a16:creationId xmlns:a16="http://schemas.microsoft.com/office/drawing/2014/main" id="{00000000-0008-0000-0100-0000D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58</xdr:row>
      <xdr:rowOff>0</xdr:rowOff>
    </xdr:from>
    <xdr:ext cx="200025" cy="200025"/>
    <xdr:pic>
      <xdr:nvPicPr>
        <xdr:cNvPr id="222" name="image8.png">
          <a:extLst>
            <a:ext uri="{FF2B5EF4-FFF2-40B4-BE49-F238E27FC236}">
              <a16:creationId xmlns:a16="http://schemas.microsoft.com/office/drawing/2014/main" id="{00000000-0008-0000-0100-0000D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58</xdr:row>
      <xdr:rowOff>0</xdr:rowOff>
    </xdr:from>
    <xdr:ext cx="200025" cy="200025"/>
    <xdr:pic>
      <xdr:nvPicPr>
        <xdr:cNvPr id="223" name="image2.png">
          <a:extLst>
            <a:ext uri="{FF2B5EF4-FFF2-40B4-BE49-F238E27FC236}">
              <a16:creationId xmlns:a16="http://schemas.microsoft.com/office/drawing/2014/main" id="{00000000-0008-0000-01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58</xdr:row>
      <xdr:rowOff>0</xdr:rowOff>
    </xdr:from>
    <xdr:ext cx="200025" cy="200025"/>
    <xdr:pic>
      <xdr:nvPicPr>
        <xdr:cNvPr id="224" name="image11.png">
          <a:extLst>
            <a:ext uri="{FF2B5EF4-FFF2-40B4-BE49-F238E27FC236}">
              <a16:creationId xmlns:a16="http://schemas.microsoft.com/office/drawing/2014/main" id="{00000000-0008-0000-0100-0000E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58</xdr:row>
      <xdr:rowOff>0</xdr:rowOff>
    </xdr:from>
    <xdr:ext cx="200025" cy="200025"/>
    <xdr:pic>
      <xdr:nvPicPr>
        <xdr:cNvPr id="225" name="image9.png">
          <a:extLst>
            <a:ext uri="{FF2B5EF4-FFF2-40B4-BE49-F238E27FC236}">
              <a16:creationId xmlns:a16="http://schemas.microsoft.com/office/drawing/2014/main" id="{00000000-0008-0000-0100-0000E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59</xdr:row>
      <xdr:rowOff>0</xdr:rowOff>
    </xdr:from>
    <xdr:ext cx="200025" cy="200025"/>
    <xdr:pic>
      <xdr:nvPicPr>
        <xdr:cNvPr id="226" name="image10.png">
          <a:extLst>
            <a:ext uri="{FF2B5EF4-FFF2-40B4-BE49-F238E27FC236}">
              <a16:creationId xmlns:a16="http://schemas.microsoft.com/office/drawing/2014/main" id="{00000000-0008-0000-0100-0000E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59</xdr:row>
      <xdr:rowOff>0</xdr:rowOff>
    </xdr:from>
    <xdr:ext cx="200025" cy="200025"/>
    <xdr:pic>
      <xdr:nvPicPr>
        <xdr:cNvPr id="227" name="image8.png">
          <a:extLst>
            <a:ext uri="{FF2B5EF4-FFF2-40B4-BE49-F238E27FC236}">
              <a16:creationId xmlns:a16="http://schemas.microsoft.com/office/drawing/2014/main" id="{00000000-0008-0000-0100-0000E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59</xdr:row>
      <xdr:rowOff>0</xdr:rowOff>
    </xdr:from>
    <xdr:ext cx="200025" cy="200025"/>
    <xdr:pic>
      <xdr:nvPicPr>
        <xdr:cNvPr id="228" name="image6.png">
          <a:extLst>
            <a:ext uri="{FF2B5EF4-FFF2-40B4-BE49-F238E27FC236}">
              <a16:creationId xmlns:a16="http://schemas.microsoft.com/office/drawing/2014/main" id="{00000000-0008-0000-0100-0000E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59</xdr:row>
      <xdr:rowOff>0</xdr:rowOff>
    </xdr:from>
    <xdr:ext cx="200025" cy="200025"/>
    <xdr:pic>
      <xdr:nvPicPr>
        <xdr:cNvPr id="229" name="image4.png">
          <a:extLst>
            <a:ext uri="{FF2B5EF4-FFF2-40B4-BE49-F238E27FC236}">
              <a16:creationId xmlns:a16="http://schemas.microsoft.com/office/drawing/2014/main" id="{00000000-0008-0000-0100-0000E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59</xdr:row>
      <xdr:rowOff>0</xdr:rowOff>
    </xdr:from>
    <xdr:ext cx="200025" cy="200025"/>
    <xdr:pic>
      <xdr:nvPicPr>
        <xdr:cNvPr id="230" name="image1.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60</xdr:row>
      <xdr:rowOff>0</xdr:rowOff>
    </xdr:from>
    <xdr:ext cx="200025" cy="200025"/>
    <xdr:pic>
      <xdr:nvPicPr>
        <xdr:cNvPr id="231" name="image10.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60</xdr:row>
      <xdr:rowOff>0</xdr:rowOff>
    </xdr:from>
    <xdr:ext cx="200025" cy="200025"/>
    <xdr:pic>
      <xdr:nvPicPr>
        <xdr:cNvPr id="232" name="image8.png">
          <a:extLst>
            <a:ext uri="{FF2B5EF4-FFF2-40B4-BE49-F238E27FC236}">
              <a16:creationId xmlns:a16="http://schemas.microsoft.com/office/drawing/2014/main" id="{00000000-0008-0000-0100-0000E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60</xdr:row>
      <xdr:rowOff>0</xdr:rowOff>
    </xdr:from>
    <xdr:ext cx="200025" cy="200025"/>
    <xdr:pic>
      <xdr:nvPicPr>
        <xdr:cNvPr id="233" name="image6.png">
          <a:extLst>
            <a:ext uri="{FF2B5EF4-FFF2-40B4-BE49-F238E27FC236}">
              <a16:creationId xmlns:a16="http://schemas.microsoft.com/office/drawing/2014/main" id="{00000000-0008-0000-0100-0000E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60</xdr:row>
      <xdr:rowOff>0</xdr:rowOff>
    </xdr:from>
    <xdr:ext cx="200025" cy="200025"/>
    <xdr:pic>
      <xdr:nvPicPr>
        <xdr:cNvPr id="234" name="image4.png">
          <a:extLst>
            <a:ext uri="{FF2B5EF4-FFF2-40B4-BE49-F238E27FC236}">
              <a16:creationId xmlns:a16="http://schemas.microsoft.com/office/drawing/2014/main" id="{00000000-0008-0000-0100-0000E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60</xdr:row>
      <xdr:rowOff>0</xdr:rowOff>
    </xdr:from>
    <xdr:ext cx="200025" cy="200025"/>
    <xdr:pic>
      <xdr:nvPicPr>
        <xdr:cNvPr id="235" name="image1.png">
          <a:extLst>
            <a:ext uri="{FF2B5EF4-FFF2-40B4-BE49-F238E27FC236}">
              <a16:creationId xmlns:a16="http://schemas.microsoft.com/office/drawing/2014/main" id="{00000000-0008-0000-0100-0000E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61</xdr:row>
      <xdr:rowOff>0</xdr:rowOff>
    </xdr:from>
    <xdr:ext cx="200025" cy="200025"/>
    <xdr:pic>
      <xdr:nvPicPr>
        <xdr:cNvPr id="236" name="image8.png">
          <a:extLst>
            <a:ext uri="{FF2B5EF4-FFF2-40B4-BE49-F238E27FC236}">
              <a16:creationId xmlns:a16="http://schemas.microsoft.com/office/drawing/2014/main" id="{00000000-0008-0000-0100-0000E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61</xdr:row>
      <xdr:rowOff>0</xdr:rowOff>
    </xdr:from>
    <xdr:ext cx="200025" cy="200025"/>
    <xdr:pic>
      <xdr:nvPicPr>
        <xdr:cNvPr id="237" name="image9.png">
          <a:extLst>
            <a:ext uri="{FF2B5EF4-FFF2-40B4-BE49-F238E27FC236}">
              <a16:creationId xmlns:a16="http://schemas.microsoft.com/office/drawing/2014/main" id="{00000000-0008-0000-0100-0000E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61</xdr:row>
      <xdr:rowOff>0</xdr:rowOff>
    </xdr:from>
    <xdr:ext cx="200025" cy="200025"/>
    <xdr:pic>
      <xdr:nvPicPr>
        <xdr:cNvPr id="238" name="image2.png">
          <a:extLst>
            <a:ext uri="{FF2B5EF4-FFF2-40B4-BE49-F238E27FC236}">
              <a16:creationId xmlns:a16="http://schemas.microsoft.com/office/drawing/2014/main" id="{00000000-0008-0000-0100-0000E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61</xdr:row>
      <xdr:rowOff>0</xdr:rowOff>
    </xdr:from>
    <xdr:ext cx="200025" cy="200025"/>
    <xdr:pic>
      <xdr:nvPicPr>
        <xdr:cNvPr id="239" name="image1.png">
          <a:extLst>
            <a:ext uri="{FF2B5EF4-FFF2-40B4-BE49-F238E27FC236}">
              <a16:creationId xmlns:a16="http://schemas.microsoft.com/office/drawing/2014/main" id="{00000000-0008-0000-0100-0000E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62</xdr:row>
      <xdr:rowOff>0</xdr:rowOff>
    </xdr:from>
    <xdr:ext cx="200025" cy="200025"/>
    <xdr:pic>
      <xdr:nvPicPr>
        <xdr:cNvPr id="240" name="image9.png">
          <a:extLst>
            <a:ext uri="{FF2B5EF4-FFF2-40B4-BE49-F238E27FC236}">
              <a16:creationId xmlns:a16="http://schemas.microsoft.com/office/drawing/2014/main" id="{00000000-0008-0000-0100-0000F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62</xdr:row>
      <xdr:rowOff>0</xdr:rowOff>
    </xdr:from>
    <xdr:ext cx="200025" cy="200025"/>
    <xdr:pic>
      <xdr:nvPicPr>
        <xdr:cNvPr id="241" name="image12.png">
          <a:extLst>
            <a:ext uri="{FF2B5EF4-FFF2-40B4-BE49-F238E27FC236}">
              <a16:creationId xmlns:a16="http://schemas.microsoft.com/office/drawing/2014/main" id="{00000000-0008-0000-0100-0000F1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62</xdr:row>
      <xdr:rowOff>0</xdr:rowOff>
    </xdr:from>
    <xdr:ext cx="200025" cy="200025"/>
    <xdr:pic>
      <xdr:nvPicPr>
        <xdr:cNvPr id="242" name="image7.png">
          <a:extLst>
            <a:ext uri="{FF2B5EF4-FFF2-40B4-BE49-F238E27FC236}">
              <a16:creationId xmlns:a16="http://schemas.microsoft.com/office/drawing/2014/main" id="{00000000-0008-0000-0100-0000F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62</xdr:row>
      <xdr:rowOff>0</xdr:rowOff>
    </xdr:from>
    <xdr:ext cx="200025" cy="200025"/>
    <xdr:pic>
      <xdr:nvPicPr>
        <xdr:cNvPr id="243" name="image8.png">
          <a:extLst>
            <a:ext uri="{FF2B5EF4-FFF2-40B4-BE49-F238E27FC236}">
              <a16:creationId xmlns:a16="http://schemas.microsoft.com/office/drawing/2014/main" id="{00000000-0008-0000-0100-0000F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63</xdr:row>
      <xdr:rowOff>0</xdr:rowOff>
    </xdr:from>
    <xdr:ext cx="200025" cy="200025"/>
    <xdr:pic>
      <xdr:nvPicPr>
        <xdr:cNvPr id="244" name="image8.png">
          <a:extLst>
            <a:ext uri="{FF2B5EF4-FFF2-40B4-BE49-F238E27FC236}">
              <a16:creationId xmlns:a16="http://schemas.microsoft.com/office/drawing/2014/main" id="{00000000-0008-0000-0100-0000F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63</xdr:row>
      <xdr:rowOff>0</xdr:rowOff>
    </xdr:from>
    <xdr:ext cx="200025" cy="200025"/>
    <xdr:pic>
      <xdr:nvPicPr>
        <xdr:cNvPr id="245" name="image2.png">
          <a:extLst>
            <a:ext uri="{FF2B5EF4-FFF2-40B4-BE49-F238E27FC236}">
              <a16:creationId xmlns:a16="http://schemas.microsoft.com/office/drawing/2014/main" id="{00000000-0008-0000-01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63</xdr:row>
      <xdr:rowOff>0</xdr:rowOff>
    </xdr:from>
    <xdr:ext cx="200025" cy="200025"/>
    <xdr:pic>
      <xdr:nvPicPr>
        <xdr:cNvPr id="246" name="image1.png">
          <a:extLst>
            <a:ext uri="{FF2B5EF4-FFF2-40B4-BE49-F238E27FC236}">
              <a16:creationId xmlns:a16="http://schemas.microsoft.com/office/drawing/2014/main" id="{00000000-0008-0000-0100-0000F6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63</xdr:row>
      <xdr:rowOff>0</xdr:rowOff>
    </xdr:from>
    <xdr:ext cx="200025" cy="200025"/>
    <xdr:pic>
      <xdr:nvPicPr>
        <xdr:cNvPr id="247" name="image11.png">
          <a:extLst>
            <a:ext uri="{FF2B5EF4-FFF2-40B4-BE49-F238E27FC236}">
              <a16:creationId xmlns:a16="http://schemas.microsoft.com/office/drawing/2014/main" id="{00000000-0008-0000-0100-0000F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64</xdr:row>
      <xdr:rowOff>0</xdr:rowOff>
    </xdr:from>
    <xdr:ext cx="200025" cy="200025"/>
    <xdr:pic>
      <xdr:nvPicPr>
        <xdr:cNvPr id="248" name="image10.png">
          <a:extLst>
            <a:ext uri="{FF2B5EF4-FFF2-40B4-BE49-F238E27FC236}">
              <a16:creationId xmlns:a16="http://schemas.microsoft.com/office/drawing/2014/main" id="{00000000-0008-0000-0100-0000F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64</xdr:row>
      <xdr:rowOff>0</xdr:rowOff>
    </xdr:from>
    <xdr:ext cx="200025" cy="200025"/>
    <xdr:pic>
      <xdr:nvPicPr>
        <xdr:cNvPr id="249" name="image12.png">
          <a:extLst>
            <a:ext uri="{FF2B5EF4-FFF2-40B4-BE49-F238E27FC236}">
              <a16:creationId xmlns:a16="http://schemas.microsoft.com/office/drawing/2014/main" id="{00000000-0008-0000-0100-0000F9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64</xdr:row>
      <xdr:rowOff>0</xdr:rowOff>
    </xdr:from>
    <xdr:ext cx="200025" cy="200025"/>
    <xdr:pic>
      <xdr:nvPicPr>
        <xdr:cNvPr id="250" name="image3.png">
          <a:extLst>
            <a:ext uri="{FF2B5EF4-FFF2-40B4-BE49-F238E27FC236}">
              <a16:creationId xmlns:a16="http://schemas.microsoft.com/office/drawing/2014/main" id="{00000000-0008-0000-0100-0000FA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64</xdr:row>
      <xdr:rowOff>0</xdr:rowOff>
    </xdr:from>
    <xdr:ext cx="200025" cy="200025"/>
    <xdr:pic>
      <xdr:nvPicPr>
        <xdr:cNvPr id="251" name="image7.png">
          <a:extLst>
            <a:ext uri="{FF2B5EF4-FFF2-40B4-BE49-F238E27FC236}">
              <a16:creationId xmlns:a16="http://schemas.microsoft.com/office/drawing/2014/main" id="{00000000-0008-0000-0100-0000F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65</xdr:row>
      <xdr:rowOff>0</xdr:rowOff>
    </xdr:from>
    <xdr:ext cx="200025" cy="200025"/>
    <xdr:pic>
      <xdr:nvPicPr>
        <xdr:cNvPr id="252" name="image10.png">
          <a:extLst>
            <a:ext uri="{FF2B5EF4-FFF2-40B4-BE49-F238E27FC236}">
              <a16:creationId xmlns:a16="http://schemas.microsoft.com/office/drawing/2014/main" id="{00000000-0008-0000-0100-0000F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65</xdr:row>
      <xdr:rowOff>0</xdr:rowOff>
    </xdr:from>
    <xdr:ext cx="200025" cy="200025"/>
    <xdr:pic>
      <xdr:nvPicPr>
        <xdr:cNvPr id="253" name="image2.png">
          <a:extLst>
            <a:ext uri="{FF2B5EF4-FFF2-40B4-BE49-F238E27FC236}">
              <a16:creationId xmlns:a16="http://schemas.microsoft.com/office/drawing/2014/main" id="{00000000-0008-0000-0100-0000F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65</xdr:row>
      <xdr:rowOff>0</xdr:rowOff>
    </xdr:from>
    <xdr:ext cx="200025" cy="200025"/>
    <xdr:pic>
      <xdr:nvPicPr>
        <xdr:cNvPr id="254" name="image4.png">
          <a:extLst>
            <a:ext uri="{FF2B5EF4-FFF2-40B4-BE49-F238E27FC236}">
              <a16:creationId xmlns:a16="http://schemas.microsoft.com/office/drawing/2014/main" id="{00000000-0008-0000-0100-0000F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65</xdr:row>
      <xdr:rowOff>0</xdr:rowOff>
    </xdr:from>
    <xdr:ext cx="200025" cy="200025"/>
    <xdr:pic>
      <xdr:nvPicPr>
        <xdr:cNvPr id="255" name="image1.png">
          <a:extLst>
            <a:ext uri="{FF2B5EF4-FFF2-40B4-BE49-F238E27FC236}">
              <a16:creationId xmlns:a16="http://schemas.microsoft.com/office/drawing/2014/main" id="{00000000-0008-0000-0100-0000F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66</xdr:row>
      <xdr:rowOff>0</xdr:rowOff>
    </xdr:from>
    <xdr:ext cx="200025" cy="200025"/>
    <xdr:pic>
      <xdr:nvPicPr>
        <xdr:cNvPr id="256" name="image2.png">
          <a:extLst>
            <a:ext uri="{FF2B5EF4-FFF2-40B4-BE49-F238E27FC236}">
              <a16:creationId xmlns:a16="http://schemas.microsoft.com/office/drawing/2014/main" id="{00000000-0008-0000-01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66</xdr:row>
      <xdr:rowOff>0</xdr:rowOff>
    </xdr:from>
    <xdr:ext cx="200025" cy="200025"/>
    <xdr:pic>
      <xdr:nvPicPr>
        <xdr:cNvPr id="257" name="image5.png">
          <a:extLst>
            <a:ext uri="{FF2B5EF4-FFF2-40B4-BE49-F238E27FC236}">
              <a16:creationId xmlns:a16="http://schemas.microsoft.com/office/drawing/2014/main" id="{00000000-0008-0000-0100-000001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66</xdr:row>
      <xdr:rowOff>0</xdr:rowOff>
    </xdr:from>
    <xdr:ext cx="200025" cy="200025"/>
    <xdr:pic>
      <xdr:nvPicPr>
        <xdr:cNvPr id="258" name="image1.png">
          <a:extLst>
            <a:ext uri="{FF2B5EF4-FFF2-40B4-BE49-F238E27FC236}">
              <a16:creationId xmlns:a16="http://schemas.microsoft.com/office/drawing/2014/main" id="{00000000-0008-0000-0100-000002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67</xdr:row>
      <xdr:rowOff>0</xdr:rowOff>
    </xdr:from>
    <xdr:ext cx="200025" cy="200025"/>
    <xdr:pic>
      <xdr:nvPicPr>
        <xdr:cNvPr id="259" name="image10.png">
          <a:extLst>
            <a:ext uri="{FF2B5EF4-FFF2-40B4-BE49-F238E27FC236}">
              <a16:creationId xmlns:a16="http://schemas.microsoft.com/office/drawing/2014/main" id="{00000000-0008-0000-0100-000003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67</xdr:row>
      <xdr:rowOff>0</xdr:rowOff>
    </xdr:from>
    <xdr:ext cx="200025" cy="200025"/>
    <xdr:pic>
      <xdr:nvPicPr>
        <xdr:cNvPr id="260" name="image2.png">
          <a:extLst>
            <a:ext uri="{FF2B5EF4-FFF2-40B4-BE49-F238E27FC236}">
              <a16:creationId xmlns:a16="http://schemas.microsoft.com/office/drawing/2014/main" id="{00000000-0008-0000-01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67</xdr:row>
      <xdr:rowOff>0</xdr:rowOff>
    </xdr:from>
    <xdr:ext cx="200025" cy="200025"/>
    <xdr:pic>
      <xdr:nvPicPr>
        <xdr:cNvPr id="261" name="image4.png">
          <a:extLst>
            <a:ext uri="{FF2B5EF4-FFF2-40B4-BE49-F238E27FC236}">
              <a16:creationId xmlns:a16="http://schemas.microsoft.com/office/drawing/2014/main" id="{00000000-0008-0000-0100-000005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67</xdr:row>
      <xdr:rowOff>0</xdr:rowOff>
    </xdr:from>
    <xdr:ext cx="200025" cy="200025"/>
    <xdr:pic>
      <xdr:nvPicPr>
        <xdr:cNvPr id="262" name="image1.png">
          <a:extLst>
            <a:ext uri="{FF2B5EF4-FFF2-40B4-BE49-F238E27FC236}">
              <a16:creationId xmlns:a16="http://schemas.microsoft.com/office/drawing/2014/main" id="{00000000-0008-0000-0100-000006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68</xdr:row>
      <xdr:rowOff>0</xdr:rowOff>
    </xdr:from>
    <xdr:ext cx="200025" cy="200025"/>
    <xdr:pic>
      <xdr:nvPicPr>
        <xdr:cNvPr id="263" name="image10.png">
          <a:extLst>
            <a:ext uri="{FF2B5EF4-FFF2-40B4-BE49-F238E27FC236}">
              <a16:creationId xmlns:a16="http://schemas.microsoft.com/office/drawing/2014/main" id="{00000000-0008-0000-0100-000007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68</xdr:row>
      <xdr:rowOff>0</xdr:rowOff>
    </xdr:from>
    <xdr:ext cx="200025" cy="200025"/>
    <xdr:pic>
      <xdr:nvPicPr>
        <xdr:cNvPr id="264" name="image9.png">
          <a:extLst>
            <a:ext uri="{FF2B5EF4-FFF2-40B4-BE49-F238E27FC236}">
              <a16:creationId xmlns:a16="http://schemas.microsoft.com/office/drawing/2014/main" id="{00000000-0008-0000-0100-000008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68</xdr:row>
      <xdr:rowOff>0</xdr:rowOff>
    </xdr:from>
    <xdr:ext cx="200025" cy="200025"/>
    <xdr:pic>
      <xdr:nvPicPr>
        <xdr:cNvPr id="265" name="image2.png">
          <a:extLst>
            <a:ext uri="{FF2B5EF4-FFF2-40B4-BE49-F238E27FC236}">
              <a16:creationId xmlns:a16="http://schemas.microsoft.com/office/drawing/2014/main" id="{00000000-0008-0000-01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68</xdr:row>
      <xdr:rowOff>0</xdr:rowOff>
    </xdr:from>
    <xdr:ext cx="200025" cy="200025"/>
    <xdr:pic>
      <xdr:nvPicPr>
        <xdr:cNvPr id="266" name="image6.png">
          <a:extLst>
            <a:ext uri="{FF2B5EF4-FFF2-40B4-BE49-F238E27FC236}">
              <a16:creationId xmlns:a16="http://schemas.microsoft.com/office/drawing/2014/main" id="{00000000-0008-0000-01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69</xdr:row>
      <xdr:rowOff>0</xdr:rowOff>
    </xdr:from>
    <xdr:ext cx="200025" cy="200025"/>
    <xdr:pic>
      <xdr:nvPicPr>
        <xdr:cNvPr id="267" name="image8.png">
          <a:extLst>
            <a:ext uri="{FF2B5EF4-FFF2-40B4-BE49-F238E27FC236}">
              <a16:creationId xmlns:a16="http://schemas.microsoft.com/office/drawing/2014/main" id="{00000000-0008-0000-0100-00000B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69</xdr:row>
      <xdr:rowOff>0</xdr:rowOff>
    </xdr:from>
    <xdr:ext cx="200025" cy="200025"/>
    <xdr:pic>
      <xdr:nvPicPr>
        <xdr:cNvPr id="268" name="image9.png">
          <a:extLst>
            <a:ext uri="{FF2B5EF4-FFF2-40B4-BE49-F238E27FC236}">
              <a16:creationId xmlns:a16="http://schemas.microsoft.com/office/drawing/2014/main" id="{00000000-0008-0000-0100-00000C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69</xdr:row>
      <xdr:rowOff>0</xdr:rowOff>
    </xdr:from>
    <xdr:ext cx="200025" cy="200025"/>
    <xdr:pic>
      <xdr:nvPicPr>
        <xdr:cNvPr id="269" name="image1.png">
          <a:extLst>
            <a:ext uri="{FF2B5EF4-FFF2-40B4-BE49-F238E27FC236}">
              <a16:creationId xmlns:a16="http://schemas.microsoft.com/office/drawing/2014/main" id="{00000000-0008-0000-0100-00000D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69</xdr:row>
      <xdr:rowOff>0</xdr:rowOff>
    </xdr:from>
    <xdr:ext cx="200025" cy="200025"/>
    <xdr:pic>
      <xdr:nvPicPr>
        <xdr:cNvPr id="270" name="image6.png">
          <a:extLst>
            <a:ext uri="{FF2B5EF4-FFF2-40B4-BE49-F238E27FC236}">
              <a16:creationId xmlns:a16="http://schemas.microsoft.com/office/drawing/2014/main" id="{00000000-0008-0000-0100-00000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70</xdr:row>
      <xdr:rowOff>0</xdr:rowOff>
    </xdr:from>
    <xdr:ext cx="200025" cy="200025"/>
    <xdr:pic>
      <xdr:nvPicPr>
        <xdr:cNvPr id="271" name="image8.png">
          <a:extLst>
            <a:ext uri="{FF2B5EF4-FFF2-40B4-BE49-F238E27FC236}">
              <a16:creationId xmlns:a16="http://schemas.microsoft.com/office/drawing/2014/main" id="{00000000-0008-0000-0100-00000F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70</xdr:row>
      <xdr:rowOff>0</xdr:rowOff>
    </xdr:from>
    <xdr:ext cx="200025" cy="200025"/>
    <xdr:pic>
      <xdr:nvPicPr>
        <xdr:cNvPr id="272" name="image9.png">
          <a:extLst>
            <a:ext uri="{FF2B5EF4-FFF2-40B4-BE49-F238E27FC236}">
              <a16:creationId xmlns:a16="http://schemas.microsoft.com/office/drawing/2014/main" id="{00000000-0008-0000-0100-000010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70</xdr:row>
      <xdr:rowOff>0</xdr:rowOff>
    </xdr:from>
    <xdr:ext cx="200025" cy="200025"/>
    <xdr:pic>
      <xdr:nvPicPr>
        <xdr:cNvPr id="273" name="image1.png">
          <a:extLst>
            <a:ext uri="{FF2B5EF4-FFF2-40B4-BE49-F238E27FC236}">
              <a16:creationId xmlns:a16="http://schemas.microsoft.com/office/drawing/2014/main" id="{00000000-0008-0000-0100-000011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71</xdr:row>
      <xdr:rowOff>0</xdr:rowOff>
    </xdr:from>
    <xdr:ext cx="200025" cy="200025"/>
    <xdr:pic>
      <xdr:nvPicPr>
        <xdr:cNvPr id="274" name="image8.png">
          <a:extLst>
            <a:ext uri="{FF2B5EF4-FFF2-40B4-BE49-F238E27FC236}">
              <a16:creationId xmlns:a16="http://schemas.microsoft.com/office/drawing/2014/main" id="{00000000-0008-0000-0100-000012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71</xdr:row>
      <xdr:rowOff>0</xdr:rowOff>
    </xdr:from>
    <xdr:ext cx="200025" cy="200025"/>
    <xdr:pic>
      <xdr:nvPicPr>
        <xdr:cNvPr id="275" name="image1.png">
          <a:extLst>
            <a:ext uri="{FF2B5EF4-FFF2-40B4-BE49-F238E27FC236}">
              <a16:creationId xmlns:a16="http://schemas.microsoft.com/office/drawing/2014/main" id="{00000000-0008-0000-0100-000013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71</xdr:row>
      <xdr:rowOff>0</xdr:rowOff>
    </xdr:from>
    <xdr:ext cx="200025" cy="200025"/>
    <xdr:pic>
      <xdr:nvPicPr>
        <xdr:cNvPr id="276" name="image6.png">
          <a:extLst>
            <a:ext uri="{FF2B5EF4-FFF2-40B4-BE49-F238E27FC236}">
              <a16:creationId xmlns:a16="http://schemas.microsoft.com/office/drawing/2014/main" id="{00000000-0008-0000-0100-00001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71</xdr:row>
      <xdr:rowOff>0</xdr:rowOff>
    </xdr:from>
    <xdr:ext cx="200025" cy="200025"/>
    <xdr:pic>
      <xdr:nvPicPr>
        <xdr:cNvPr id="277" name="image7.png">
          <a:extLst>
            <a:ext uri="{FF2B5EF4-FFF2-40B4-BE49-F238E27FC236}">
              <a16:creationId xmlns:a16="http://schemas.microsoft.com/office/drawing/2014/main" id="{00000000-0008-0000-0100-00001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71</xdr:row>
      <xdr:rowOff>0</xdr:rowOff>
    </xdr:from>
    <xdr:ext cx="200025" cy="200025"/>
    <xdr:pic>
      <xdr:nvPicPr>
        <xdr:cNvPr id="278" name="image11.png">
          <a:extLst>
            <a:ext uri="{FF2B5EF4-FFF2-40B4-BE49-F238E27FC236}">
              <a16:creationId xmlns:a16="http://schemas.microsoft.com/office/drawing/2014/main" id="{00000000-0008-0000-0100-000016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72</xdr:row>
      <xdr:rowOff>0</xdr:rowOff>
    </xdr:from>
    <xdr:ext cx="200025" cy="200025"/>
    <xdr:pic>
      <xdr:nvPicPr>
        <xdr:cNvPr id="279" name="image8.png">
          <a:extLst>
            <a:ext uri="{FF2B5EF4-FFF2-40B4-BE49-F238E27FC236}">
              <a16:creationId xmlns:a16="http://schemas.microsoft.com/office/drawing/2014/main" id="{00000000-0008-0000-0100-000017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72</xdr:row>
      <xdr:rowOff>0</xdr:rowOff>
    </xdr:from>
    <xdr:ext cx="200025" cy="200025"/>
    <xdr:pic>
      <xdr:nvPicPr>
        <xdr:cNvPr id="280" name="image1.png">
          <a:extLst>
            <a:ext uri="{FF2B5EF4-FFF2-40B4-BE49-F238E27FC236}">
              <a16:creationId xmlns:a16="http://schemas.microsoft.com/office/drawing/2014/main" id="{00000000-0008-0000-0100-000018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72</xdr:row>
      <xdr:rowOff>0</xdr:rowOff>
    </xdr:from>
    <xdr:ext cx="200025" cy="200025"/>
    <xdr:pic>
      <xdr:nvPicPr>
        <xdr:cNvPr id="281" name="image7.png">
          <a:extLst>
            <a:ext uri="{FF2B5EF4-FFF2-40B4-BE49-F238E27FC236}">
              <a16:creationId xmlns:a16="http://schemas.microsoft.com/office/drawing/2014/main" id="{00000000-0008-0000-0100-00001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72</xdr:row>
      <xdr:rowOff>0</xdr:rowOff>
    </xdr:from>
    <xdr:ext cx="200025" cy="200025"/>
    <xdr:pic>
      <xdr:nvPicPr>
        <xdr:cNvPr id="282" name="image11.png">
          <a:extLst>
            <a:ext uri="{FF2B5EF4-FFF2-40B4-BE49-F238E27FC236}">
              <a16:creationId xmlns:a16="http://schemas.microsoft.com/office/drawing/2014/main" id="{00000000-0008-0000-0100-00001A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73</xdr:row>
      <xdr:rowOff>0</xdr:rowOff>
    </xdr:from>
    <xdr:ext cx="200025" cy="200025"/>
    <xdr:pic>
      <xdr:nvPicPr>
        <xdr:cNvPr id="283" name="image5.png">
          <a:extLst>
            <a:ext uri="{FF2B5EF4-FFF2-40B4-BE49-F238E27FC236}">
              <a16:creationId xmlns:a16="http://schemas.microsoft.com/office/drawing/2014/main" id="{00000000-0008-0000-0100-00001B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73</xdr:row>
      <xdr:rowOff>0</xdr:rowOff>
    </xdr:from>
    <xdr:ext cx="200025" cy="200025"/>
    <xdr:pic>
      <xdr:nvPicPr>
        <xdr:cNvPr id="284" name="image7.png">
          <a:extLst>
            <a:ext uri="{FF2B5EF4-FFF2-40B4-BE49-F238E27FC236}">
              <a16:creationId xmlns:a16="http://schemas.microsoft.com/office/drawing/2014/main" id="{00000000-0008-0000-0100-00001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73</xdr:row>
      <xdr:rowOff>0</xdr:rowOff>
    </xdr:from>
    <xdr:ext cx="200025" cy="200025"/>
    <xdr:pic>
      <xdr:nvPicPr>
        <xdr:cNvPr id="285" name="image11.png">
          <a:extLst>
            <a:ext uri="{FF2B5EF4-FFF2-40B4-BE49-F238E27FC236}">
              <a16:creationId xmlns:a16="http://schemas.microsoft.com/office/drawing/2014/main" id="{00000000-0008-0000-0100-00001D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74</xdr:row>
      <xdr:rowOff>0</xdr:rowOff>
    </xdr:from>
    <xdr:ext cx="200025" cy="200025"/>
    <xdr:pic>
      <xdr:nvPicPr>
        <xdr:cNvPr id="286" name="image10.png">
          <a:extLst>
            <a:ext uri="{FF2B5EF4-FFF2-40B4-BE49-F238E27FC236}">
              <a16:creationId xmlns:a16="http://schemas.microsoft.com/office/drawing/2014/main" id="{00000000-0008-0000-0100-00001E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74</xdr:row>
      <xdr:rowOff>0</xdr:rowOff>
    </xdr:from>
    <xdr:ext cx="200025" cy="200025"/>
    <xdr:pic>
      <xdr:nvPicPr>
        <xdr:cNvPr id="287" name="image9.png">
          <a:extLst>
            <a:ext uri="{FF2B5EF4-FFF2-40B4-BE49-F238E27FC236}">
              <a16:creationId xmlns:a16="http://schemas.microsoft.com/office/drawing/2014/main" id="{00000000-0008-0000-0100-00001F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74</xdr:row>
      <xdr:rowOff>0</xdr:rowOff>
    </xdr:from>
    <xdr:ext cx="200025" cy="200025"/>
    <xdr:pic>
      <xdr:nvPicPr>
        <xdr:cNvPr id="288" name="image1.png">
          <a:extLst>
            <a:ext uri="{FF2B5EF4-FFF2-40B4-BE49-F238E27FC236}">
              <a16:creationId xmlns:a16="http://schemas.microsoft.com/office/drawing/2014/main" id="{00000000-0008-0000-0100-000020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74</xdr:row>
      <xdr:rowOff>0</xdr:rowOff>
    </xdr:from>
    <xdr:ext cx="200025" cy="200025"/>
    <xdr:pic>
      <xdr:nvPicPr>
        <xdr:cNvPr id="289" name="image7.png">
          <a:extLst>
            <a:ext uri="{FF2B5EF4-FFF2-40B4-BE49-F238E27FC236}">
              <a16:creationId xmlns:a16="http://schemas.microsoft.com/office/drawing/2014/main" id="{00000000-0008-0000-0100-00002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74</xdr:row>
      <xdr:rowOff>0</xdr:rowOff>
    </xdr:from>
    <xdr:ext cx="200025" cy="200025"/>
    <xdr:pic>
      <xdr:nvPicPr>
        <xdr:cNvPr id="290" name="image11.png">
          <a:extLst>
            <a:ext uri="{FF2B5EF4-FFF2-40B4-BE49-F238E27FC236}">
              <a16:creationId xmlns:a16="http://schemas.microsoft.com/office/drawing/2014/main" id="{00000000-0008-0000-0100-000022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75</xdr:row>
      <xdr:rowOff>0</xdr:rowOff>
    </xdr:from>
    <xdr:ext cx="200025" cy="200025"/>
    <xdr:pic>
      <xdr:nvPicPr>
        <xdr:cNvPr id="291" name="image10.png">
          <a:extLst>
            <a:ext uri="{FF2B5EF4-FFF2-40B4-BE49-F238E27FC236}">
              <a16:creationId xmlns:a16="http://schemas.microsoft.com/office/drawing/2014/main" id="{00000000-0008-0000-0100-000023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75</xdr:row>
      <xdr:rowOff>0</xdr:rowOff>
    </xdr:from>
    <xdr:ext cx="200025" cy="200025"/>
    <xdr:pic>
      <xdr:nvPicPr>
        <xdr:cNvPr id="292" name="image9.png">
          <a:extLst>
            <a:ext uri="{FF2B5EF4-FFF2-40B4-BE49-F238E27FC236}">
              <a16:creationId xmlns:a16="http://schemas.microsoft.com/office/drawing/2014/main" id="{00000000-0008-0000-0100-000024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75</xdr:row>
      <xdr:rowOff>0</xdr:rowOff>
    </xdr:from>
    <xdr:ext cx="200025" cy="200025"/>
    <xdr:pic>
      <xdr:nvPicPr>
        <xdr:cNvPr id="293" name="image1.png">
          <a:extLst>
            <a:ext uri="{FF2B5EF4-FFF2-40B4-BE49-F238E27FC236}">
              <a16:creationId xmlns:a16="http://schemas.microsoft.com/office/drawing/2014/main" id="{00000000-0008-0000-0100-000025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75</xdr:row>
      <xdr:rowOff>0</xdr:rowOff>
    </xdr:from>
    <xdr:ext cx="200025" cy="200025"/>
    <xdr:pic>
      <xdr:nvPicPr>
        <xdr:cNvPr id="294" name="image7.png">
          <a:extLst>
            <a:ext uri="{FF2B5EF4-FFF2-40B4-BE49-F238E27FC236}">
              <a16:creationId xmlns:a16="http://schemas.microsoft.com/office/drawing/2014/main" id="{00000000-0008-0000-0100-00002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75</xdr:row>
      <xdr:rowOff>0</xdr:rowOff>
    </xdr:from>
    <xdr:ext cx="200025" cy="200025"/>
    <xdr:pic>
      <xdr:nvPicPr>
        <xdr:cNvPr id="295" name="image11.png">
          <a:extLst>
            <a:ext uri="{FF2B5EF4-FFF2-40B4-BE49-F238E27FC236}">
              <a16:creationId xmlns:a16="http://schemas.microsoft.com/office/drawing/2014/main" id="{00000000-0008-0000-0100-000027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76</xdr:row>
      <xdr:rowOff>0</xdr:rowOff>
    </xdr:from>
    <xdr:ext cx="200025" cy="200025"/>
    <xdr:pic>
      <xdr:nvPicPr>
        <xdr:cNvPr id="296" name="image10.png">
          <a:extLst>
            <a:ext uri="{FF2B5EF4-FFF2-40B4-BE49-F238E27FC236}">
              <a16:creationId xmlns:a16="http://schemas.microsoft.com/office/drawing/2014/main" id="{00000000-0008-0000-0100-000028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76</xdr:row>
      <xdr:rowOff>0</xdr:rowOff>
    </xdr:from>
    <xdr:ext cx="200025" cy="200025"/>
    <xdr:pic>
      <xdr:nvPicPr>
        <xdr:cNvPr id="297" name="image8.png">
          <a:extLst>
            <a:ext uri="{FF2B5EF4-FFF2-40B4-BE49-F238E27FC236}">
              <a16:creationId xmlns:a16="http://schemas.microsoft.com/office/drawing/2014/main" id="{00000000-0008-0000-0100-000029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76</xdr:row>
      <xdr:rowOff>0</xdr:rowOff>
    </xdr:from>
    <xdr:ext cx="200025" cy="200025"/>
    <xdr:pic>
      <xdr:nvPicPr>
        <xdr:cNvPr id="298" name="image2.png">
          <a:extLst>
            <a:ext uri="{FF2B5EF4-FFF2-40B4-BE49-F238E27FC236}">
              <a16:creationId xmlns:a16="http://schemas.microsoft.com/office/drawing/2014/main" id="{00000000-0008-0000-01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76</xdr:row>
      <xdr:rowOff>0</xdr:rowOff>
    </xdr:from>
    <xdr:ext cx="200025" cy="200025"/>
    <xdr:pic>
      <xdr:nvPicPr>
        <xdr:cNvPr id="299" name="image7.png">
          <a:extLst>
            <a:ext uri="{FF2B5EF4-FFF2-40B4-BE49-F238E27FC236}">
              <a16:creationId xmlns:a16="http://schemas.microsoft.com/office/drawing/2014/main" id="{00000000-0008-0000-0100-00002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76</xdr:row>
      <xdr:rowOff>0</xdr:rowOff>
    </xdr:from>
    <xdr:ext cx="200025" cy="200025"/>
    <xdr:pic>
      <xdr:nvPicPr>
        <xdr:cNvPr id="300" name="image11.png">
          <a:extLst>
            <a:ext uri="{FF2B5EF4-FFF2-40B4-BE49-F238E27FC236}">
              <a16:creationId xmlns:a16="http://schemas.microsoft.com/office/drawing/2014/main" id="{00000000-0008-0000-0100-00002C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77</xdr:row>
      <xdr:rowOff>0</xdr:rowOff>
    </xdr:from>
    <xdr:ext cx="200025" cy="200025"/>
    <xdr:pic>
      <xdr:nvPicPr>
        <xdr:cNvPr id="301" name="image10.png">
          <a:extLst>
            <a:ext uri="{FF2B5EF4-FFF2-40B4-BE49-F238E27FC236}">
              <a16:creationId xmlns:a16="http://schemas.microsoft.com/office/drawing/2014/main" id="{00000000-0008-0000-0100-00002D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77</xdr:row>
      <xdr:rowOff>0</xdr:rowOff>
    </xdr:from>
    <xdr:ext cx="200025" cy="200025"/>
    <xdr:pic>
      <xdr:nvPicPr>
        <xdr:cNvPr id="302" name="image1.png">
          <a:extLst>
            <a:ext uri="{FF2B5EF4-FFF2-40B4-BE49-F238E27FC236}">
              <a16:creationId xmlns:a16="http://schemas.microsoft.com/office/drawing/2014/main" id="{00000000-0008-0000-0100-00002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77</xdr:row>
      <xdr:rowOff>0</xdr:rowOff>
    </xdr:from>
    <xdr:ext cx="200025" cy="200025"/>
    <xdr:pic>
      <xdr:nvPicPr>
        <xdr:cNvPr id="303" name="image6.png">
          <a:extLst>
            <a:ext uri="{FF2B5EF4-FFF2-40B4-BE49-F238E27FC236}">
              <a16:creationId xmlns:a16="http://schemas.microsoft.com/office/drawing/2014/main" id="{00000000-0008-0000-0100-00002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77</xdr:row>
      <xdr:rowOff>0</xdr:rowOff>
    </xdr:from>
    <xdr:ext cx="200025" cy="200025"/>
    <xdr:pic>
      <xdr:nvPicPr>
        <xdr:cNvPr id="304" name="image7.png">
          <a:extLst>
            <a:ext uri="{FF2B5EF4-FFF2-40B4-BE49-F238E27FC236}">
              <a16:creationId xmlns:a16="http://schemas.microsoft.com/office/drawing/2014/main" id="{00000000-0008-0000-0100-00003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77</xdr:row>
      <xdr:rowOff>0</xdr:rowOff>
    </xdr:from>
    <xdr:ext cx="200025" cy="200025"/>
    <xdr:pic>
      <xdr:nvPicPr>
        <xdr:cNvPr id="305" name="image2.png">
          <a:extLst>
            <a:ext uri="{FF2B5EF4-FFF2-40B4-BE49-F238E27FC236}">
              <a16:creationId xmlns:a16="http://schemas.microsoft.com/office/drawing/2014/main" id="{00000000-0008-0000-01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78</xdr:row>
      <xdr:rowOff>0</xdr:rowOff>
    </xdr:from>
    <xdr:ext cx="200025" cy="200025"/>
    <xdr:pic>
      <xdr:nvPicPr>
        <xdr:cNvPr id="306" name="image9.png">
          <a:extLst>
            <a:ext uri="{FF2B5EF4-FFF2-40B4-BE49-F238E27FC236}">
              <a16:creationId xmlns:a16="http://schemas.microsoft.com/office/drawing/2014/main" id="{00000000-0008-0000-0100-000032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78</xdr:row>
      <xdr:rowOff>0</xdr:rowOff>
    </xdr:from>
    <xdr:ext cx="200025" cy="200025"/>
    <xdr:pic>
      <xdr:nvPicPr>
        <xdr:cNvPr id="307" name="image4.png">
          <a:extLst>
            <a:ext uri="{FF2B5EF4-FFF2-40B4-BE49-F238E27FC236}">
              <a16:creationId xmlns:a16="http://schemas.microsoft.com/office/drawing/2014/main" id="{00000000-0008-0000-0100-000033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78</xdr:row>
      <xdr:rowOff>0</xdr:rowOff>
    </xdr:from>
    <xdr:ext cx="200025" cy="200025"/>
    <xdr:pic>
      <xdr:nvPicPr>
        <xdr:cNvPr id="308" name="image8.png">
          <a:extLst>
            <a:ext uri="{FF2B5EF4-FFF2-40B4-BE49-F238E27FC236}">
              <a16:creationId xmlns:a16="http://schemas.microsoft.com/office/drawing/2014/main" id="{00000000-0008-0000-0100-000034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79</xdr:row>
      <xdr:rowOff>0</xdr:rowOff>
    </xdr:from>
    <xdr:ext cx="200025" cy="200025"/>
    <xdr:pic>
      <xdr:nvPicPr>
        <xdr:cNvPr id="309" name="image10.png">
          <a:extLst>
            <a:ext uri="{FF2B5EF4-FFF2-40B4-BE49-F238E27FC236}">
              <a16:creationId xmlns:a16="http://schemas.microsoft.com/office/drawing/2014/main" id="{00000000-0008-0000-0100-00003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79</xdr:row>
      <xdr:rowOff>0</xdr:rowOff>
    </xdr:from>
    <xdr:ext cx="200025" cy="200025"/>
    <xdr:pic>
      <xdr:nvPicPr>
        <xdr:cNvPr id="310" name="image8.png">
          <a:extLst>
            <a:ext uri="{FF2B5EF4-FFF2-40B4-BE49-F238E27FC236}">
              <a16:creationId xmlns:a16="http://schemas.microsoft.com/office/drawing/2014/main" id="{00000000-0008-0000-0100-000036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79</xdr:row>
      <xdr:rowOff>0</xdr:rowOff>
    </xdr:from>
    <xdr:ext cx="200025" cy="200025"/>
    <xdr:pic>
      <xdr:nvPicPr>
        <xdr:cNvPr id="311" name="image2.png">
          <a:extLst>
            <a:ext uri="{FF2B5EF4-FFF2-40B4-BE49-F238E27FC236}">
              <a16:creationId xmlns:a16="http://schemas.microsoft.com/office/drawing/2014/main" id="{00000000-0008-0000-01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79</xdr:row>
      <xdr:rowOff>0</xdr:rowOff>
    </xdr:from>
    <xdr:ext cx="200025" cy="200025"/>
    <xdr:pic>
      <xdr:nvPicPr>
        <xdr:cNvPr id="312" name="image6.png">
          <a:extLst>
            <a:ext uri="{FF2B5EF4-FFF2-40B4-BE49-F238E27FC236}">
              <a16:creationId xmlns:a16="http://schemas.microsoft.com/office/drawing/2014/main" id="{00000000-0008-0000-0100-00003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79</xdr:row>
      <xdr:rowOff>0</xdr:rowOff>
    </xdr:from>
    <xdr:ext cx="200025" cy="200025"/>
    <xdr:pic>
      <xdr:nvPicPr>
        <xdr:cNvPr id="313" name="image7.png">
          <a:extLst>
            <a:ext uri="{FF2B5EF4-FFF2-40B4-BE49-F238E27FC236}">
              <a16:creationId xmlns:a16="http://schemas.microsoft.com/office/drawing/2014/main" id="{00000000-0008-0000-0100-00003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79</xdr:row>
      <xdr:rowOff>0</xdr:rowOff>
    </xdr:from>
    <xdr:ext cx="200025" cy="200025"/>
    <xdr:pic>
      <xdr:nvPicPr>
        <xdr:cNvPr id="314" name="image11.png">
          <a:extLst>
            <a:ext uri="{FF2B5EF4-FFF2-40B4-BE49-F238E27FC236}">
              <a16:creationId xmlns:a16="http://schemas.microsoft.com/office/drawing/2014/main" id="{00000000-0008-0000-0100-00003A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80</xdr:row>
      <xdr:rowOff>0</xdr:rowOff>
    </xdr:from>
    <xdr:ext cx="200025" cy="200025"/>
    <xdr:pic>
      <xdr:nvPicPr>
        <xdr:cNvPr id="315" name="image10.png">
          <a:extLst>
            <a:ext uri="{FF2B5EF4-FFF2-40B4-BE49-F238E27FC236}">
              <a16:creationId xmlns:a16="http://schemas.microsoft.com/office/drawing/2014/main" id="{00000000-0008-0000-0100-00003B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80</xdr:row>
      <xdr:rowOff>0</xdr:rowOff>
    </xdr:from>
    <xdr:ext cx="200025" cy="200025"/>
    <xdr:pic>
      <xdr:nvPicPr>
        <xdr:cNvPr id="316" name="image8.png">
          <a:extLst>
            <a:ext uri="{FF2B5EF4-FFF2-40B4-BE49-F238E27FC236}">
              <a16:creationId xmlns:a16="http://schemas.microsoft.com/office/drawing/2014/main" id="{00000000-0008-0000-0100-00003C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80</xdr:row>
      <xdr:rowOff>0</xdr:rowOff>
    </xdr:from>
    <xdr:ext cx="200025" cy="200025"/>
    <xdr:pic>
      <xdr:nvPicPr>
        <xdr:cNvPr id="317" name="image2.png">
          <a:extLst>
            <a:ext uri="{FF2B5EF4-FFF2-40B4-BE49-F238E27FC236}">
              <a16:creationId xmlns:a16="http://schemas.microsoft.com/office/drawing/2014/main" id="{00000000-0008-0000-01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80</xdr:row>
      <xdr:rowOff>0</xdr:rowOff>
    </xdr:from>
    <xdr:ext cx="200025" cy="200025"/>
    <xdr:pic>
      <xdr:nvPicPr>
        <xdr:cNvPr id="318" name="image6.png">
          <a:extLst>
            <a:ext uri="{FF2B5EF4-FFF2-40B4-BE49-F238E27FC236}">
              <a16:creationId xmlns:a16="http://schemas.microsoft.com/office/drawing/2014/main" id="{00000000-0008-0000-0100-00003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80</xdr:row>
      <xdr:rowOff>0</xdr:rowOff>
    </xdr:from>
    <xdr:ext cx="200025" cy="200025"/>
    <xdr:pic>
      <xdr:nvPicPr>
        <xdr:cNvPr id="319" name="image7.png">
          <a:extLst>
            <a:ext uri="{FF2B5EF4-FFF2-40B4-BE49-F238E27FC236}">
              <a16:creationId xmlns:a16="http://schemas.microsoft.com/office/drawing/2014/main" id="{00000000-0008-0000-0100-00003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80</xdr:row>
      <xdr:rowOff>0</xdr:rowOff>
    </xdr:from>
    <xdr:ext cx="200025" cy="200025"/>
    <xdr:pic>
      <xdr:nvPicPr>
        <xdr:cNvPr id="320" name="image11.png">
          <a:extLst>
            <a:ext uri="{FF2B5EF4-FFF2-40B4-BE49-F238E27FC236}">
              <a16:creationId xmlns:a16="http://schemas.microsoft.com/office/drawing/2014/main" id="{00000000-0008-0000-0100-000040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81</xdr:row>
      <xdr:rowOff>0</xdr:rowOff>
    </xdr:from>
    <xdr:ext cx="200025" cy="200025"/>
    <xdr:pic>
      <xdr:nvPicPr>
        <xdr:cNvPr id="321" name="image2.png">
          <a:extLst>
            <a:ext uri="{FF2B5EF4-FFF2-40B4-BE49-F238E27FC236}">
              <a16:creationId xmlns:a16="http://schemas.microsoft.com/office/drawing/2014/main" id="{00000000-0008-0000-01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81</xdr:row>
      <xdr:rowOff>0</xdr:rowOff>
    </xdr:from>
    <xdr:ext cx="200025" cy="200025"/>
    <xdr:pic>
      <xdr:nvPicPr>
        <xdr:cNvPr id="322" name="image6.png">
          <a:extLst>
            <a:ext uri="{FF2B5EF4-FFF2-40B4-BE49-F238E27FC236}">
              <a16:creationId xmlns:a16="http://schemas.microsoft.com/office/drawing/2014/main" id="{00000000-0008-0000-01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81</xdr:row>
      <xdr:rowOff>0</xdr:rowOff>
    </xdr:from>
    <xdr:ext cx="200025" cy="200025"/>
    <xdr:pic>
      <xdr:nvPicPr>
        <xdr:cNvPr id="323" name="image3.png">
          <a:extLst>
            <a:ext uri="{FF2B5EF4-FFF2-40B4-BE49-F238E27FC236}">
              <a16:creationId xmlns:a16="http://schemas.microsoft.com/office/drawing/2014/main" id="{00000000-0008-0000-0100-000043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81</xdr:row>
      <xdr:rowOff>0</xdr:rowOff>
    </xdr:from>
    <xdr:ext cx="200025" cy="200025"/>
    <xdr:pic>
      <xdr:nvPicPr>
        <xdr:cNvPr id="324" name="image7.png">
          <a:extLst>
            <a:ext uri="{FF2B5EF4-FFF2-40B4-BE49-F238E27FC236}">
              <a16:creationId xmlns:a16="http://schemas.microsoft.com/office/drawing/2014/main" id="{00000000-0008-0000-0100-00004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81</xdr:row>
      <xdr:rowOff>0</xdr:rowOff>
    </xdr:from>
    <xdr:ext cx="200025" cy="200025"/>
    <xdr:pic>
      <xdr:nvPicPr>
        <xdr:cNvPr id="325" name="image10.png">
          <a:extLst>
            <a:ext uri="{FF2B5EF4-FFF2-40B4-BE49-F238E27FC236}">
              <a16:creationId xmlns:a16="http://schemas.microsoft.com/office/drawing/2014/main" id="{00000000-0008-0000-0100-00004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82</xdr:row>
      <xdr:rowOff>0</xdr:rowOff>
    </xdr:from>
    <xdr:ext cx="200025" cy="200025"/>
    <xdr:pic>
      <xdr:nvPicPr>
        <xdr:cNvPr id="326" name="image10.png">
          <a:extLst>
            <a:ext uri="{FF2B5EF4-FFF2-40B4-BE49-F238E27FC236}">
              <a16:creationId xmlns:a16="http://schemas.microsoft.com/office/drawing/2014/main" id="{00000000-0008-0000-0100-00004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82</xdr:row>
      <xdr:rowOff>0</xdr:rowOff>
    </xdr:from>
    <xdr:ext cx="200025" cy="200025"/>
    <xdr:pic>
      <xdr:nvPicPr>
        <xdr:cNvPr id="327" name="image2.png">
          <a:extLst>
            <a:ext uri="{FF2B5EF4-FFF2-40B4-BE49-F238E27FC236}">
              <a16:creationId xmlns:a16="http://schemas.microsoft.com/office/drawing/2014/main" id="{00000000-0008-0000-01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82</xdr:row>
      <xdr:rowOff>0</xdr:rowOff>
    </xdr:from>
    <xdr:ext cx="200025" cy="200025"/>
    <xdr:pic>
      <xdr:nvPicPr>
        <xdr:cNvPr id="328" name="image7.png">
          <a:extLst>
            <a:ext uri="{FF2B5EF4-FFF2-40B4-BE49-F238E27FC236}">
              <a16:creationId xmlns:a16="http://schemas.microsoft.com/office/drawing/2014/main" id="{00000000-0008-0000-0100-00004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82</xdr:row>
      <xdr:rowOff>0</xdr:rowOff>
    </xdr:from>
    <xdr:ext cx="200025" cy="200025"/>
    <xdr:pic>
      <xdr:nvPicPr>
        <xdr:cNvPr id="329" name="image12.png">
          <a:extLst>
            <a:ext uri="{FF2B5EF4-FFF2-40B4-BE49-F238E27FC236}">
              <a16:creationId xmlns:a16="http://schemas.microsoft.com/office/drawing/2014/main" id="{00000000-0008-0000-0100-000049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83</xdr:row>
      <xdr:rowOff>0</xdr:rowOff>
    </xdr:from>
    <xdr:ext cx="200025" cy="200025"/>
    <xdr:pic>
      <xdr:nvPicPr>
        <xdr:cNvPr id="330" name="image8.png">
          <a:extLst>
            <a:ext uri="{FF2B5EF4-FFF2-40B4-BE49-F238E27FC236}">
              <a16:creationId xmlns:a16="http://schemas.microsoft.com/office/drawing/2014/main" id="{00000000-0008-0000-0100-00004A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83</xdr:row>
      <xdr:rowOff>0</xdr:rowOff>
    </xdr:from>
    <xdr:ext cx="200025" cy="200025"/>
    <xdr:pic>
      <xdr:nvPicPr>
        <xdr:cNvPr id="331" name="image2.png">
          <a:extLst>
            <a:ext uri="{FF2B5EF4-FFF2-40B4-BE49-F238E27FC236}">
              <a16:creationId xmlns:a16="http://schemas.microsoft.com/office/drawing/2014/main" id="{00000000-0008-0000-01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83</xdr:row>
      <xdr:rowOff>0</xdr:rowOff>
    </xdr:from>
    <xdr:ext cx="200025" cy="200025"/>
    <xdr:pic>
      <xdr:nvPicPr>
        <xdr:cNvPr id="332" name="image4.png">
          <a:extLst>
            <a:ext uri="{FF2B5EF4-FFF2-40B4-BE49-F238E27FC236}">
              <a16:creationId xmlns:a16="http://schemas.microsoft.com/office/drawing/2014/main" id="{00000000-0008-0000-0100-00004C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83</xdr:row>
      <xdr:rowOff>0</xdr:rowOff>
    </xdr:from>
    <xdr:ext cx="200025" cy="200025"/>
    <xdr:pic>
      <xdr:nvPicPr>
        <xdr:cNvPr id="333" name="image11.png">
          <a:extLst>
            <a:ext uri="{FF2B5EF4-FFF2-40B4-BE49-F238E27FC236}">
              <a16:creationId xmlns:a16="http://schemas.microsoft.com/office/drawing/2014/main" id="{00000000-0008-0000-0100-00004D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83</xdr:row>
      <xdr:rowOff>0</xdr:rowOff>
    </xdr:from>
    <xdr:ext cx="200025" cy="200025"/>
    <xdr:pic>
      <xdr:nvPicPr>
        <xdr:cNvPr id="334" name="image8.png">
          <a:extLst>
            <a:ext uri="{FF2B5EF4-FFF2-40B4-BE49-F238E27FC236}">
              <a16:creationId xmlns:a16="http://schemas.microsoft.com/office/drawing/2014/main" id="{00000000-0008-0000-0100-00004E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84</xdr:row>
      <xdr:rowOff>0</xdr:rowOff>
    </xdr:from>
    <xdr:ext cx="200025" cy="200025"/>
    <xdr:pic>
      <xdr:nvPicPr>
        <xdr:cNvPr id="335" name="image10.png">
          <a:extLst>
            <a:ext uri="{FF2B5EF4-FFF2-40B4-BE49-F238E27FC236}">
              <a16:creationId xmlns:a16="http://schemas.microsoft.com/office/drawing/2014/main" id="{00000000-0008-0000-0100-00004F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84</xdr:row>
      <xdr:rowOff>0</xdr:rowOff>
    </xdr:from>
    <xdr:ext cx="200025" cy="200025"/>
    <xdr:pic>
      <xdr:nvPicPr>
        <xdr:cNvPr id="336" name="image8.png">
          <a:extLst>
            <a:ext uri="{FF2B5EF4-FFF2-40B4-BE49-F238E27FC236}">
              <a16:creationId xmlns:a16="http://schemas.microsoft.com/office/drawing/2014/main" id="{00000000-0008-0000-0100-000050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84</xdr:row>
      <xdr:rowOff>0</xdr:rowOff>
    </xdr:from>
    <xdr:ext cx="200025" cy="200025"/>
    <xdr:pic>
      <xdr:nvPicPr>
        <xdr:cNvPr id="337" name="image7.png">
          <a:extLst>
            <a:ext uri="{FF2B5EF4-FFF2-40B4-BE49-F238E27FC236}">
              <a16:creationId xmlns:a16="http://schemas.microsoft.com/office/drawing/2014/main" id="{00000000-0008-0000-0100-00005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84</xdr:row>
      <xdr:rowOff>0</xdr:rowOff>
    </xdr:from>
    <xdr:ext cx="200025" cy="200025"/>
    <xdr:pic>
      <xdr:nvPicPr>
        <xdr:cNvPr id="338" name="image8.png">
          <a:extLst>
            <a:ext uri="{FF2B5EF4-FFF2-40B4-BE49-F238E27FC236}">
              <a16:creationId xmlns:a16="http://schemas.microsoft.com/office/drawing/2014/main" id="{00000000-0008-0000-0100-000052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85</xdr:row>
      <xdr:rowOff>0</xdr:rowOff>
    </xdr:from>
    <xdr:ext cx="200025" cy="200025"/>
    <xdr:pic>
      <xdr:nvPicPr>
        <xdr:cNvPr id="339" name="image8.png">
          <a:extLst>
            <a:ext uri="{FF2B5EF4-FFF2-40B4-BE49-F238E27FC236}">
              <a16:creationId xmlns:a16="http://schemas.microsoft.com/office/drawing/2014/main" id="{00000000-0008-0000-0100-000053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85</xdr:row>
      <xdr:rowOff>0</xdr:rowOff>
    </xdr:from>
    <xdr:ext cx="200025" cy="200025"/>
    <xdr:pic>
      <xdr:nvPicPr>
        <xdr:cNvPr id="340" name="image2.png">
          <a:extLst>
            <a:ext uri="{FF2B5EF4-FFF2-40B4-BE49-F238E27FC236}">
              <a16:creationId xmlns:a16="http://schemas.microsoft.com/office/drawing/2014/main" id="{00000000-0008-0000-0100-00005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85</xdr:row>
      <xdr:rowOff>0</xdr:rowOff>
    </xdr:from>
    <xdr:ext cx="200025" cy="200025"/>
    <xdr:pic>
      <xdr:nvPicPr>
        <xdr:cNvPr id="341" name="image3.png">
          <a:extLst>
            <a:ext uri="{FF2B5EF4-FFF2-40B4-BE49-F238E27FC236}">
              <a16:creationId xmlns:a16="http://schemas.microsoft.com/office/drawing/2014/main" id="{00000000-0008-0000-0100-000055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85</xdr:row>
      <xdr:rowOff>0</xdr:rowOff>
    </xdr:from>
    <xdr:ext cx="200025" cy="200025"/>
    <xdr:pic>
      <xdr:nvPicPr>
        <xdr:cNvPr id="342" name="image7.png">
          <a:extLst>
            <a:ext uri="{FF2B5EF4-FFF2-40B4-BE49-F238E27FC236}">
              <a16:creationId xmlns:a16="http://schemas.microsoft.com/office/drawing/2014/main" id="{00000000-0008-0000-0100-00005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85</xdr:row>
      <xdr:rowOff>0</xdr:rowOff>
    </xdr:from>
    <xdr:ext cx="200025" cy="200025"/>
    <xdr:pic>
      <xdr:nvPicPr>
        <xdr:cNvPr id="343" name="image6.png">
          <a:extLst>
            <a:ext uri="{FF2B5EF4-FFF2-40B4-BE49-F238E27FC236}">
              <a16:creationId xmlns:a16="http://schemas.microsoft.com/office/drawing/2014/main" id="{00000000-0008-0000-0100-00005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86</xdr:row>
      <xdr:rowOff>0</xdr:rowOff>
    </xdr:from>
    <xdr:ext cx="200025" cy="200025"/>
    <xdr:pic>
      <xdr:nvPicPr>
        <xdr:cNvPr id="344" name="image2.png">
          <a:extLst>
            <a:ext uri="{FF2B5EF4-FFF2-40B4-BE49-F238E27FC236}">
              <a16:creationId xmlns:a16="http://schemas.microsoft.com/office/drawing/2014/main" id="{00000000-0008-0000-0100-00005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86</xdr:row>
      <xdr:rowOff>0</xdr:rowOff>
    </xdr:from>
    <xdr:ext cx="200025" cy="200025"/>
    <xdr:pic>
      <xdr:nvPicPr>
        <xdr:cNvPr id="345" name="image6.png">
          <a:extLst>
            <a:ext uri="{FF2B5EF4-FFF2-40B4-BE49-F238E27FC236}">
              <a16:creationId xmlns:a16="http://schemas.microsoft.com/office/drawing/2014/main" id="{00000000-0008-0000-0100-00005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86</xdr:row>
      <xdr:rowOff>0</xdr:rowOff>
    </xdr:from>
    <xdr:ext cx="200025" cy="200025"/>
    <xdr:pic>
      <xdr:nvPicPr>
        <xdr:cNvPr id="346" name="image4.png">
          <a:extLst>
            <a:ext uri="{FF2B5EF4-FFF2-40B4-BE49-F238E27FC236}">
              <a16:creationId xmlns:a16="http://schemas.microsoft.com/office/drawing/2014/main" id="{00000000-0008-0000-0100-00005A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86</xdr:row>
      <xdr:rowOff>0</xdr:rowOff>
    </xdr:from>
    <xdr:ext cx="200025" cy="200025"/>
    <xdr:pic>
      <xdr:nvPicPr>
        <xdr:cNvPr id="347" name="image3.png">
          <a:extLst>
            <a:ext uri="{FF2B5EF4-FFF2-40B4-BE49-F238E27FC236}">
              <a16:creationId xmlns:a16="http://schemas.microsoft.com/office/drawing/2014/main" id="{00000000-0008-0000-0100-00005B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86</xdr:row>
      <xdr:rowOff>0</xdr:rowOff>
    </xdr:from>
    <xdr:ext cx="200025" cy="200025"/>
    <xdr:pic>
      <xdr:nvPicPr>
        <xdr:cNvPr id="348" name="image11.png">
          <a:extLst>
            <a:ext uri="{FF2B5EF4-FFF2-40B4-BE49-F238E27FC236}">
              <a16:creationId xmlns:a16="http://schemas.microsoft.com/office/drawing/2014/main" id="{00000000-0008-0000-0100-00005C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86</xdr:row>
      <xdr:rowOff>0</xdr:rowOff>
    </xdr:from>
    <xdr:ext cx="200025" cy="200025"/>
    <xdr:pic>
      <xdr:nvPicPr>
        <xdr:cNvPr id="349" name="image8.png">
          <a:extLst>
            <a:ext uri="{FF2B5EF4-FFF2-40B4-BE49-F238E27FC236}">
              <a16:creationId xmlns:a16="http://schemas.microsoft.com/office/drawing/2014/main" id="{00000000-0008-0000-0100-00005D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87</xdr:row>
      <xdr:rowOff>0</xdr:rowOff>
    </xdr:from>
    <xdr:ext cx="200025" cy="200025"/>
    <xdr:pic>
      <xdr:nvPicPr>
        <xdr:cNvPr id="350" name="image10.png">
          <a:extLst>
            <a:ext uri="{FF2B5EF4-FFF2-40B4-BE49-F238E27FC236}">
              <a16:creationId xmlns:a16="http://schemas.microsoft.com/office/drawing/2014/main" id="{00000000-0008-0000-0100-00005E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87</xdr:row>
      <xdr:rowOff>0</xdr:rowOff>
    </xdr:from>
    <xdr:ext cx="200025" cy="200025"/>
    <xdr:pic>
      <xdr:nvPicPr>
        <xdr:cNvPr id="351" name="image9.png">
          <a:extLst>
            <a:ext uri="{FF2B5EF4-FFF2-40B4-BE49-F238E27FC236}">
              <a16:creationId xmlns:a16="http://schemas.microsoft.com/office/drawing/2014/main" id="{00000000-0008-0000-0100-00005F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87</xdr:row>
      <xdr:rowOff>0</xdr:rowOff>
    </xdr:from>
    <xdr:ext cx="200025" cy="200025"/>
    <xdr:pic>
      <xdr:nvPicPr>
        <xdr:cNvPr id="352" name="image2.png">
          <a:extLst>
            <a:ext uri="{FF2B5EF4-FFF2-40B4-BE49-F238E27FC236}">
              <a16:creationId xmlns:a16="http://schemas.microsoft.com/office/drawing/2014/main" id="{00000000-0008-0000-0100-00006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88</xdr:row>
      <xdr:rowOff>0</xdr:rowOff>
    </xdr:from>
    <xdr:ext cx="200025" cy="200025"/>
    <xdr:pic>
      <xdr:nvPicPr>
        <xdr:cNvPr id="353" name="image8.png">
          <a:extLst>
            <a:ext uri="{FF2B5EF4-FFF2-40B4-BE49-F238E27FC236}">
              <a16:creationId xmlns:a16="http://schemas.microsoft.com/office/drawing/2014/main" id="{00000000-0008-0000-0100-000061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88</xdr:row>
      <xdr:rowOff>0</xdr:rowOff>
    </xdr:from>
    <xdr:ext cx="200025" cy="200025"/>
    <xdr:pic>
      <xdr:nvPicPr>
        <xdr:cNvPr id="354" name="image9.png">
          <a:extLst>
            <a:ext uri="{FF2B5EF4-FFF2-40B4-BE49-F238E27FC236}">
              <a16:creationId xmlns:a16="http://schemas.microsoft.com/office/drawing/2014/main" id="{00000000-0008-0000-0100-000062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88</xdr:row>
      <xdr:rowOff>0</xdr:rowOff>
    </xdr:from>
    <xdr:ext cx="200025" cy="200025"/>
    <xdr:pic>
      <xdr:nvPicPr>
        <xdr:cNvPr id="355" name="image1.png">
          <a:extLst>
            <a:ext uri="{FF2B5EF4-FFF2-40B4-BE49-F238E27FC236}">
              <a16:creationId xmlns:a16="http://schemas.microsoft.com/office/drawing/2014/main" id="{00000000-0008-0000-0100-000063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88</xdr:row>
      <xdr:rowOff>0</xdr:rowOff>
    </xdr:from>
    <xdr:ext cx="200025" cy="200025"/>
    <xdr:pic>
      <xdr:nvPicPr>
        <xdr:cNvPr id="356" name="image3.png">
          <a:extLst>
            <a:ext uri="{FF2B5EF4-FFF2-40B4-BE49-F238E27FC236}">
              <a16:creationId xmlns:a16="http://schemas.microsoft.com/office/drawing/2014/main" id="{00000000-0008-0000-0100-000064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88</xdr:row>
      <xdr:rowOff>0</xdr:rowOff>
    </xdr:from>
    <xdr:ext cx="200025" cy="200025"/>
    <xdr:pic>
      <xdr:nvPicPr>
        <xdr:cNvPr id="357" name="image11.png">
          <a:extLst>
            <a:ext uri="{FF2B5EF4-FFF2-40B4-BE49-F238E27FC236}">
              <a16:creationId xmlns:a16="http://schemas.microsoft.com/office/drawing/2014/main" id="{00000000-0008-0000-0100-000065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89</xdr:row>
      <xdr:rowOff>0</xdr:rowOff>
    </xdr:from>
    <xdr:ext cx="200025" cy="200025"/>
    <xdr:pic>
      <xdr:nvPicPr>
        <xdr:cNvPr id="358" name="image8.png">
          <a:extLst>
            <a:ext uri="{FF2B5EF4-FFF2-40B4-BE49-F238E27FC236}">
              <a16:creationId xmlns:a16="http://schemas.microsoft.com/office/drawing/2014/main" id="{00000000-0008-0000-0100-000066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89</xdr:row>
      <xdr:rowOff>0</xdr:rowOff>
    </xdr:from>
    <xdr:ext cx="200025" cy="200025"/>
    <xdr:pic>
      <xdr:nvPicPr>
        <xdr:cNvPr id="359" name="image9.png">
          <a:extLst>
            <a:ext uri="{FF2B5EF4-FFF2-40B4-BE49-F238E27FC236}">
              <a16:creationId xmlns:a16="http://schemas.microsoft.com/office/drawing/2014/main" id="{00000000-0008-0000-0100-000067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89</xdr:row>
      <xdr:rowOff>0</xdr:rowOff>
    </xdr:from>
    <xdr:ext cx="200025" cy="200025"/>
    <xdr:pic>
      <xdr:nvPicPr>
        <xdr:cNvPr id="360" name="image1.png">
          <a:extLst>
            <a:ext uri="{FF2B5EF4-FFF2-40B4-BE49-F238E27FC236}">
              <a16:creationId xmlns:a16="http://schemas.microsoft.com/office/drawing/2014/main" id="{00000000-0008-0000-0100-000068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89</xdr:row>
      <xdr:rowOff>0</xdr:rowOff>
    </xdr:from>
    <xdr:ext cx="200025" cy="200025"/>
    <xdr:pic>
      <xdr:nvPicPr>
        <xdr:cNvPr id="361" name="image3.png">
          <a:extLst>
            <a:ext uri="{FF2B5EF4-FFF2-40B4-BE49-F238E27FC236}">
              <a16:creationId xmlns:a16="http://schemas.microsoft.com/office/drawing/2014/main" id="{00000000-0008-0000-0100-000069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89</xdr:row>
      <xdr:rowOff>0</xdr:rowOff>
    </xdr:from>
    <xdr:ext cx="200025" cy="200025"/>
    <xdr:pic>
      <xdr:nvPicPr>
        <xdr:cNvPr id="362" name="image10.png">
          <a:extLst>
            <a:ext uri="{FF2B5EF4-FFF2-40B4-BE49-F238E27FC236}">
              <a16:creationId xmlns:a16="http://schemas.microsoft.com/office/drawing/2014/main" id="{00000000-0008-0000-0100-00006A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90</xdr:row>
      <xdr:rowOff>0</xdr:rowOff>
    </xdr:from>
    <xdr:ext cx="200025" cy="200025"/>
    <xdr:pic>
      <xdr:nvPicPr>
        <xdr:cNvPr id="363" name="image9.png">
          <a:extLst>
            <a:ext uri="{FF2B5EF4-FFF2-40B4-BE49-F238E27FC236}">
              <a16:creationId xmlns:a16="http://schemas.microsoft.com/office/drawing/2014/main" id="{00000000-0008-0000-0100-00006B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90</xdr:row>
      <xdr:rowOff>0</xdr:rowOff>
    </xdr:from>
    <xdr:ext cx="200025" cy="200025"/>
    <xdr:pic>
      <xdr:nvPicPr>
        <xdr:cNvPr id="364" name="image4.png">
          <a:extLst>
            <a:ext uri="{FF2B5EF4-FFF2-40B4-BE49-F238E27FC236}">
              <a16:creationId xmlns:a16="http://schemas.microsoft.com/office/drawing/2014/main" id="{00000000-0008-0000-0100-00006C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90</xdr:row>
      <xdr:rowOff>0</xdr:rowOff>
    </xdr:from>
    <xdr:ext cx="200025" cy="200025"/>
    <xdr:pic>
      <xdr:nvPicPr>
        <xdr:cNvPr id="365" name="image8.png">
          <a:extLst>
            <a:ext uri="{FF2B5EF4-FFF2-40B4-BE49-F238E27FC236}">
              <a16:creationId xmlns:a16="http://schemas.microsoft.com/office/drawing/2014/main" id="{00000000-0008-0000-0100-00006D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91</xdr:row>
      <xdr:rowOff>0</xdr:rowOff>
    </xdr:from>
    <xdr:ext cx="200025" cy="200025"/>
    <xdr:pic>
      <xdr:nvPicPr>
        <xdr:cNvPr id="366" name="image8.png">
          <a:extLst>
            <a:ext uri="{FF2B5EF4-FFF2-40B4-BE49-F238E27FC236}">
              <a16:creationId xmlns:a16="http://schemas.microsoft.com/office/drawing/2014/main" id="{00000000-0008-0000-0100-00006E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91</xdr:row>
      <xdr:rowOff>0</xdr:rowOff>
    </xdr:from>
    <xdr:ext cx="200025" cy="200025"/>
    <xdr:pic>
      <xdr:nvPicPr>
        <xdr:cNvPr id="367" name="image9.png">
          <a:extLst>
            <a:ext uri="{FF2B5EF4-FFF2-40B4-BE49-F238E27FC236}">
              <a16:creationId xmlns:a16="http://schemas.microsoft.com/office/drawing/2014/main" id="{00000000-0008-0000-0100-00006F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91</xdr:row>
      <xdr:rowOff>0</xdr:rowOff>
    </xdr:from>
    <xdr:ext cx="200025" cy="200025"/>
    <xdr:pic>
      <xdr:nvPicPr>
        <xdr:cNvPr id="368" name="image1.png">
          <a:extLst>
            <a:ext uri="{FF2B5EF4-FFF2-40B4-BE49-F238E27FC236}">
              <a16:creationId xmlns:a16="http://schemas.microsoft.com/office/drawing/2014/main" id="{00000000-0008-0000-0100-000070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91</xdr:row>
      <xdr:rowOff>0</xdr:rowOff>
    </xdr:from>
    <xdr:ext cx="200025" cy="200025"/>
    <xdr:pic>
      <xdr:nvPicPr>
        <xdr:cNvPr id="369" name="image3.png">
          <a:extLst>
            <a:ext uri="{FF2B5EF4-FFF2-40B4-BE49-F238E27FC236}">
              <a16:creationId xmlns:a16="http://schemas.microsoft.com/office/drawing/2014/main" id="{00000000-0008-0000-0100-000071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91</xdr:row>
      <xdr:rowOff>0</xdr:rowOff>
    </xdr:from>
    <xdr:ext cx="200025" cy="200025"/>
    <xdr:pic>
      <xdr:nvPicPr>
        <xdr:cNvPr id="370" name="image11.png">
          <a:extLst>
            <a:ext uri="{FF2B5EF4-FFF2-40B4-BE49-F238E27FC236}">
              <a16:creationId xmlns:a16="http://schemas.microsoft.com/office/drawing/2014/main" id="{00000000-0008-0000-0100-000072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91</xdr:row>
      <xdr:rowOff>0</xdr:rowOff>
    </xdr:from>
    <xdr:ext cx="200025" cy="200025"/>
    <xdr:pic>
      <xdr:nvPicPr>
        <xdr:cNvPr id="371" name="image3.png">
          <a:extLst>
            <a:ext uri="{FF2B5EF4-FFF2-40B4-BE49-F238E27FC236}">
              <a16:creationId xmlns:a16="http://schemas.microsoft.com/office/drawing/2014/main" id="{00000000-0008-0000-0100-000073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92</xdr:row>
      <xdr:rowOff>0</xdr:rowOff>
    </xdr:from>
    <xdr:ext cx="200025" cy="200025"/>
    <xdr:pic>
      <xdr:nvPicPr>
        <xdr:cNvPr id="372" name="image8.png">
          <a:extLst>
            <a:ext uri="{FF2B5EF4-FFF2-40B4-BE49-F238E27FC236}">
              <a16:creationId xmlns:a16="http://schemas.microsoft.com/office/drawing/2014/main" id="{00000000-0008-0000-0100-000074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92</xdr:row>
      <xdr:rowOff>0</xdr:rowOff>
    </xdr:from>
    <xdr:ext cx="200025" cy="200025"/>
    <xdr:pic>
      <xdr:nvPicPr>
        <xdr:cNvPr id="373" name="image2.png">
          <a:extLst>
            <a:ext uri="{FF2B5EF4-FFF2-40B4-BE49-F238E27FC236}">
              <a16:creationId xmlns:a16="http://schemas.microsoft.com/office/drawing/2014/main" id="{00000000-0008-0000-0100-00007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92</xdr:row>
      <xdr:rowOff>0</xdr:rowOff>
    </xdr:from>
    <xdr:ext cx="200025" cy="200025"/>
    <xdr:pic>
      <xdr:nvPicPr>
        <xdr:cNvPr id="374" name="image11.png">
          <a:extLst>
            <a:ext uri="{FF2B5EF4-FFF2-40B4-BE49-F238E27FC236}">
              <a16:creationId xmlns:a16="http://schemas.microsoft.com/office/drawing/2014/main" id="{00000000-0008-0000-0100-000076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92</xdr:row>
      <xdr:rowOff>0</xdr:rowOff>
    </xdr:from>
    <xdr:ext cx="200025" cy="200025"/>
    <xdr:pic>
      <xdr:nvPicPr>
        <xdr:cNvPr id="375" name="image9.png">
          <a:extLst>
            <a:ext uri="{FF2B5EF4-FFF2-40B4-BE49-F238E27FC236}">
              <a16:creationId xmlns:a16="http://schemas.microsoft.com/office/drawing/2014/main" id="{00000000-0008-0000-0100-000077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93</xdr:row>
      <xdr:rowOff>0</xdr:rowOff>
    </xdr:from>
    <xdr:ext cx="200025" cy="200025"/>
    <xdr:pic>
      <xdr:nvPicPr>
        <xdr:cNvPr id="376" name="image8.png">
          <a:extLst>
            <a:ext uri="{FF2B5EF4-FFF2-40B4-BE49-F238E27FC236}">
              <a16:creationId xmlns:a16="http://schemas.microsoft.com/office/drawing/2014/main" id="{00000000-0008-0000-0100-000078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93</xdr:row>
      <xdr:rowOff>0</xdr:rowOff>
    </xdr:from>
    <xdr:ext cx="200025" cy="200025"/>
    <xdr:pic>
      <xdr:nvPicPr>
        <xdr:cNvPr id="377" name="image1.png">
          <a:extLst>
            <a:ext uri="{FF2B5EF4-FFF2-40B4-BE49-F238E27FC236}">
              <a16:creationId xmlns:a16="http://schemas.microsoft.com/office/drawing/2014/main" id="{00000000-0008-0000-0100-000079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93</xdr:row>
      <xdr:rowOff>0</xdr:rowOff>
    </xdr:from>
    <xdr:ext cx="200025" cy="200025"/>
    <xdr:pic>
      <xdr:nvPicPr>
        <xdr:cNvPr id="378" name="image4.png">
          <a:extLst>
            <a:ext uri="{FF2B5EF4-FFF2-40B4-BE49-F238E27FC236}">
              <a16:creationId xmlns:a16="http://schemas.microsoft.com/office/drawing/2014/main" id="{00000000-0008-0000-0100-00007A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93</xdr:row>
      <xdr:rowOff>0</xdr:rowOff>
    </xdr:from>
    <xdr:ext cx="200025" cy="200025"/>
    <xdr:pic>
      <xdr:nvPicPr>
        <xdr:cNvPr id="379" name="image7.png">
          <a:extLst>
            <a:ext uri="{FF2B5EF4-FFF2-40B4-BE49-F238E27FC236}">
              <a16:creationId xmlns:a16="http://schemas.microsoft.com/office/drawing/2014/main" id="{00000000-0008-0000-0100-00007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93</xdr:row>
      <xdr:rowOff>0</xdr:rowOff>
    </xdr:from>
    <xdr:ext cx="200025" cy="200025"/>
    <xdr:pic>
      <xdr:nvPicPr>
        <xdr:cNvPr id="380" name="image12.png">
          <a:extLst>
            <a:ext uri="{FF2B5EF4-FFF2-40B4-BE49-F238E27FC236}">
              <a16:creationId xmlns:a16="http://schemas.microsoft.com/office/drawing/2014/main" id="{00000000-0008-0000-0100-00007C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94</xdr:row>
      <xdr:rowOff>0</xdr:rowOff>
    </xdr:from>
    <xdr:ext cx="200025" cy="200025"/>
    <xdr:pic>
      <xdr:nvPicPr>
        <xdr:cNvPr id="381" name="image10.png">
          <a:extLst>
            <a:ext uri="{FF2B5EF4-FFF2-40B4-BE49-F238E27FC236}">
              <a16:creationId xmlns:a16="http://schemas.microsoft.com/office/drawing/2014/main" id="{00000000-0008-0000-0100-00007D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94</xdr:row>
      <xdr:rowOff>0</xdr:rowOff>
    </xdr:from>
    <xdr:ext cx="200025" cy="200025"/>
    <xdr:pic>
      <xdr:nvPicPr>
        <xdr:cNvPr id="382" name="image8.png">
          <a:extLst>
            <a:ext uri="{FF2B5EF4-FFF2-40B4-BE49-F238E27FC236}">
              <a16:creationId xmlns:a16="http://schemas.microsoft.com/office/drawing/2014/main" id="{00000000-0008-0000-0100-00007E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94</xdr:row>
      <xdr:rowOff>0</xdr:rowOff>
    </xdr:from>
    <xdr:ext cx="200025" cy="200025"/>
    <xdr:pic>
      <xdr:nvPicPr>
        <xdr:cNvPr id="383" name="image2.png">
          <a:extLst>
            <a:ext uri="{FF2B5EF4-FFF2-40B4-BE49-F238E27FC236}">
              <a16:creationId xmlns:a16="http://schemas.microsoft.com/office/drawing/2014/main" id="{00000000-0008-0000-0100-00007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94</xdr:row>
      <xdr:rowOff>0</xdr:rowOff>
    </xdr:from>
    <xdr:ext cx="200025" cy="200025"/>
    <xdr:pic>
      <xdr:nvPicPr>
        <xdr:cNvPr id="384" name="image8.png">
          <a:extLst>
            <a:ext uri="{FF2B5EF4-FFF2-40B4-BE49-F238E27FC236}">
              <a16:creationId xmlns:a16="http://schemas.microsoft.com/office/drawing/2014/main" id="{00000000-0008-0000-0100-000080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95</xdr:row>
      <xdr:rowOff>0</xdr:rowOff>
    </xdr:from>
    <xdr:ext cx="200025" cy="200025"/>
    <xdr:pic>
      <xdr:nvPicPr>
        <xdr:cNvPr id="385" name="image9.png">
          <a:extLst>
            <a:ext uri="{FF2B5EF4-FFF2-40B4-BE49-F238E27FC236}">
              <a16:creationId xmlns:a16="http://schemas.microsoft.com/office/drawing/2014/main" id="{00000000-0008-0000-0100-000081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95</xdr:row>
      <xdr:rowOff>0</xdr:rowOff>
    </xdr:from>
    <xdr:ext cx="200025" cy="200025"/>
    <xdr:pic>
      <xdr:nvPicPr>
        <xdr:cNvPr id="386" name="image2.png">
          <a:extLst>
            <a:ext uri="{FF2B5EF4-FFF2-40B4-BE49-F238E27FC236}">
              <a16:creationId xmlns:a16="http://schemas.microsoft.com/office/drawing/2014/main" id="{00000000-0008-0000-01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95</xdr:row>
      <xdr:rowOff>0</xdr:rowOff>
    </xdr:from>
    <xdr:ext cx="200025" cy="200025"/>
    <xdr:pic>
      <xdr:nvPicPr>
        <xdr:cNvPr id="387" name="image5.png">
          <a:extLst>
            <a:ext uri="{FF2B5EF4-FFF2-40B4-BE49-F238E27FC236}">
              <a16:creationId xmlns:a16="http://schemas.microsoft.com/office/drawing/2014/main" id="{00000000-0008-0000-0100-000083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95</xdr:row>
      <xdr:rowOff>0</xdr:rowOff>
    </xdr:from>
    <xdr:ext cx="200025" cy="200025"/>
    <xdr:pic>
      <xdr:nvPicPr>
        <xdr:cNvPr id="388" name="image9.png">
          <a:extLst>
            <a:ext uri="{FF2B5EF4-FFF2-40B4-BE49-F238E27FC236}">
              <a16:creationId xmlns:a16="http://schemas.microsoft.com/office/drawing/2014/main" id="{00000000-0008-0000-0100-000084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96</xdr:row>
      <xdr:rowOff>0</xdr:rowOff>
    </xdr:from>
    <xdr:ext cx="200025" cy="200025"/>
    <xdr:pic>
      <xdr:nvPicPr>
        <xdr:cNvPr id="389" name="image9.png">
          <a:extLst>
            <a:ext uri="{FF2B5EF4-FFF2-40B4-BE49-F238E27FC236}">
              <a16:creationId xmlns:a16="http://schemas.microsoft.com/office/drawing/2014/main" id="{00000000-0008-0000-0100-000085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96</xdr:row>
      <xdr:rowOff>0</xdr:rowOff>
    </xdr:from>
    <xdr:ext cx="200025" cy="200025"/>
    <xdr:pic>
      <xdr:nvPicPr>
        <xdr:cNvPr id="390" name="image2.png">
          <a:extLst>
            <a:ext uri="{FF2B5EF4-FFF2-40B4-BE49-F238E27FC236}">
              <a16:creationId xmlns:a16="http://schemas.microsoft.com/office/drawing/2014/main" id="{00000000-0008-0000-0100-00008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96</xdr:row>
      <xdr:rowOff>0</xdr:rowOff>
    </xdr:from>
    <xdr:ext cx="200025" cy="200025"/>
    <xdr:pic>
      <xdr:nvPicPr>
        <xdr:cNvPr id="391" name="image3.png">
          <a:extLst>
            <a:ext uri="{FF2B5EF4-FFF2-40B4-BE49-F238E27FC236}">
              <a16:creationId xmlns:a16="http://schemas.microsoft.com/office/drawing/2014/main" id="{00000000-0008-0000-0100-000087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96</xdr:row>
      <xdr:rowOff>0</xdr:rowOff>
    </xdr:from>
    <xdr:ext cx="200025" cy="200025"/>
    <xdr:pic>
      <xdr:nvPicPr>
        <xdr:cNvPr id="392" name="image11.png">
          <a:extLst>
            <a:ext uri="{FF2B5EF4-FFF2-40B4-BE49-F238E27FC236}">
              <a16:creationId xmlns:a16="http://schemas.microsoft.com/office/drawing/2014/main" id="{00000000-0008-0000-0100-000088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96</xdr:row>
      <xdr:rowOff>0</xdr:rowOff>
    </xdr:from>
    <xdr:ext cx="200025" cy="200025"/>
    <xdr:pic>
      <xdr:nvPicPr>
        <xdr:cNvPr id="393" name="image9.png">
          <a:extLst>
            <a:ext uri="{FF2B5EF4-FFF2-40B4-BE49-F238E27FC236}">
              <a16:creationId xmlns:a16="http://schemas.microsoft.com/office/drawing/2014/main" id="{00000000-0008-0000-0100-000089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97</xdr:row>
      <xdr:rowOff>0</xdr:rowOff>
    </xdr:from>
    <xdr:ext cx="200025" cy="200025"/>
    <xdr:pic>
      <xdr:nvPicPr>
        <xdr:cNvPr id="394" name="image9.png">
          <a:extLst>
            <a:ext uri="{FF2B5EF4-FFF2-40B4-BE49-F238E27FC236}">
              <a16:creationId xmlns:a16="http://schemas.microsoft.com/office/drawing/2014/main" id="{00000000-0008-0000-0100-00008A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97</xdr:row>
      <xdr:rowOff>0</xdr:rowOff>
    </xdr:from>
    <xdr:ext cx="200025" cy="200025"/>
    <xdr:pic>
      <xdr:nvPicPr>
        <xdr:cNvPr id="395" name="image2.png">
          <a:extLst>
            <a:ext uri="{FF2B5EF4-FFF2-40B4-BE49-F238E27FC236}">
              <a16:creationId xmlns:a16="http://schemas.microsoft.com/office/drawing/2014/main" id="{00000000-0008-0000-0100-00008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97</xdr:row>
      <xdr:rowOff>0</xdr:rowOff>
    </xdr:from>
    <xdr:ext cx="200025" cy="200025"/>
    <xdr:pic>
      <xdr:nvPicPr>
        <xdr:cNvPr id="396" name="image5.png">
          <a:extLst>
            <a:ext uri="{FF2B5EF4-FFF2-40B4-BE49-F238E27FC236}">
              <a16:creationId xmlns:a16="http://schemas.microsoft.com/office/drawing/2014/main" id="{00000000-0008-0000-0100-00008C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97</xdr:row>
      <xdr:rowOff>0</xdr:rowOff>
    </xdr:from>
    <xdr:ext cx="200025" cy="200025"/>
    <xdr:pic>
      <xdr:nvPicPr>
        <xdr:cNvPr id="397" name="image9.png">
          <a:extLst>
            <a:ext uri="{FF2B5EF4-FFF2-40B4-BE49-F238E27FC236}">
              <a16:creationId xmlns:a16="http://schemas.microsoft.com/office/drawing/2014/main" id="{00000000-0008-0000-0100-00008D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98</xdr:row>
      <xdr:rowOff>0</xdr:rowOff>
    </xdr:from>
    <xdr:ext cx="200025" cy="200025"/>
    <xdr:pic>
      <xdr:nvPicPr>
        <xdr:cNvPr id="398" name="image9.png">
          <a:extLst>
            <a:ext uri="{FF2B5EF4-FFF2-40B4-BE49-F238E27FC236}">
              <a16:creationId xmlns:a16="http://schemas.microsoft.com/office/drawing/2014/main" id="{00000000-0008-0000-0100-00008E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98</xdr:row>
      <xdr:rowOff>0</xdr:rowOff>
    </xdr:from>
    <xdr:ext cx="200025" cy="200025"/>
    <xdr:pic>
      <xdr:nvPicPr>
        <xdr:cNvPr id="399" name="image2.png">
          <a:extLst>
            <a:ext uri="{FF2B5EF4-FFF2-40B4-BE49-F238E27FC236}">
              <a16:creationId xmlns:a16="http://schemas.microsoft.com/office/drawing/2014/main" id="{00000000-0008-0000-0100-00008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98</xdr:row>
      <xdr:rowOff>0</xdr:rowOff>
    </xdr:from>
    <xdr:ext cx="200025" cy="200025"/>
    <xdr:pic>
      <xdr:nvPicPr>
        <xdr:cNvPr id="400" name="image12.png">
          <a:extLst>
            <a:ext uri="{FF2B5EF4-FFF2-40B4-BE49-F238E27FC236}">
              <a16:creationId xmlns:a16="http://schemas.microsoft.com/office/drawing/2014/main" id="{00000000-0008-0000-0100-000090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98</xdr:row>
      <xdr:rowOff>0</xdr:rowOff>
    </xdr:from>
    <xdr:ext cx="200025" cy="200025"/>
    <xdr:pic>
      <xdr:nvPicPr>
        <xdr:cNvPr id="401" name="image9.png">
          <a:extLst>
            <a:ext uri="{FF2B5EF4-FFF2-40B4-BE49-F238E27FC236}">
              <a16:creationId xmlns:a16="http://schemas.microsoft.com/office/drawing/2014/main" id="{00000000-0008-0000-0100-000091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99</xdr:row>
      <xdr:rowOff>0</xdr:rowOff>
    </xdr:from>
    <xdr:ext cx="200025" cy="200025"/>
    <xdr:pic>
      <xdr:nvPicPr>
        <xdr:cNvPr id="402" name="image12.png">
          <a:extLst>
            <a:ext uri="{FF2B5EF4-FFF2-40B4-BE49-F238E27FC236}">
              <a16:creationId xmlns:a16="http://schemas.microsoft.com/office/drawing/2014/main" id="{00000000-0008-0000-0100-000092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99</xdr:row>
      <xdr:rowOff>0</xdr:rowOff>
    </xdr:from>
    <xdr:ext cx="200025" cy="200025"/>
    <xdr:pic>
      <xdr:nvPicPr>
        <xdr:cNvPr id="403" name="image3.png">
          <a:extLst>
            <a:ext uri="{FF2B5EF4-FFF2-40B4-BE49-F238E27FC236}">
              <a16:creationId xmlns:a16="http://schemas.microsoft.com/office/drawing/2014/main" id="{00000000-0008-0000-0100-000093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99</xdr:row>
      <xdr:rowOff>0</xdr:rowOff>
    </xdr:from>
    <xdr:ext cx="200025" cy="200025"/>
    <xdr:pic>
      <xdr:nvPicPr>
        <xdr:cNvPr id="404" name="image5.png">
          <a:extLst>
            <a:ext uri="{FF2B5EF4-FFF2-40B4-BE49-F238E27FC236}">
              <a16:creationId xmlns:a16="http://schemas.microsoft.com/office/drawing/2014/main" id="{00000000-0008-0000-0100-000094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100</xdr:row>
      <xdr:rowOff>0</xdr:rowOff>
    </xdr:from>
    <xdr:ext cx="200025" cy="200025"/>
    <xdr:pic>
      <xdr:nvPicPr>
        <xdr:cNvPr id="405" name="image10.png">
          <a:extLst>
            <a:ext uri="{FF2B5EF4-FFF2-40B4-BE49-F238E27FC236}">
              <a16:creationId xmlns:a16="http://schemas.microsoft.com/office/drawing/2014/main" id="{00000000-0008-0000-0100-00009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100</xdr:row>
      <xdr:rowOff>0</xdr:rowOff>
    </xdr:from>
    <xdr:ext cx="200025" cy="200025"/>
    <xdr:pic>
      <xdr:nvPicPr>
        <xdr:cNvPr id="406" name="image9.png">
          <a:extLst>
            <a:ext uri="{FF2B5EF4-FFF2-40B4-BE49-F238E27FC236}">
              <a16:creationId xmlns:a16="http://schemas.microsoft.com/office/drawing/2014/main" id="{00000000-0008-0000-0100-000096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100</xdr:row>
      <xdr:rowOff>0</xdr:rowOff>
    </xdr:from>
    <xdr:ext cx="200025" cy="200025"/>
    <xdr:pic>
      <xdr:nvPicPr>
        <xdr:cNvPr id="407" name="image1.png">
          <a:extLst>
            <a:ext uri="{FF2B5EF4-FFF2-40B4-BE49-F238E27FC236}">
              <a16:creationId xmlns:a16="http://schemas.microsoft.com/office/drawing/2014/main" id="{00000000-0008-0000-0100-000097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100</xdr:row>
      <xdr:rowOff>0</xdr:rowOff>
    </xdr:from>
    <xdr:ext cx="200025" cy="200025"/>
    <xdr:pic>
      <xdr:nvPicPr>
        <xdr:cNvPr id="408" name="image12.png">
          <a:extLst>
            <a:ext uri="{FF2B5EF4-FFF2-40B4-BE49-F238E27FC236}">
              <a16:creationId xmlns:a16="http://schemas.microsoft.com/office/drawing/2014/main" id="{00000000-0008-0000-0100-000098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100</xdr:row>
      <xdr:rowOff>0</xdr:rowOff>
    </xdr:from>
    <xdr:ext cx="200025" cy="200025"/>
    <xdr:pic>
      <xdr:nvPicPr>
        <xdr:cNvPr id="409" name="image5.png">
          <a:extLst>
            <a:ext uri="{FF2B5EF4-FFF2-40B4-BE49-F238E27FC236}">
              <a16:creationId xmlns:a16="http://schemas.microsoft.com/office/drawing/2014/main" id="{00000000-0008-0000-0100-000099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101</xdr:row>
      <xdr:rowOff>0</xdr:rowOff>
    </xdr:from>
    <xdr:ext cx="200025" cy="200025"/>
    <xdr:pic>
      <xdr:nvPicPr>
        <xdr:cNvPr id="410" name="image10.png">
          <a:extLst>
            <a:ext uri="{FF2B5EF4-FFF2-40B4-BE49-F238E27FC236}">
              <a16:creationId xmlns:a16="http://schemas.microsoft.com/office/drawing/2014/main" id="{00000000-0008-0000-0100-00009A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101</xdr:row>
      <xdr:rowOff>0</xdr:rowOff>
    </xdr:from>
    <xdr:ext cx="200025" cy="200025"/>
    <xdr:pic>
      <xdr:nvPicPr>
        <xdr:cNvPr id="411" name="image8.png">
          <a:extLst>
            <a:ext uri="{FF2B5EF4-FFF2-40B4-BE49-F238E27FC236}">
              <a16:creationId xmlns:a16="http://schemas.microsoft.com/office/drawing/2014/main" id="{00000000-0008-0000-0100-00009B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101</xdr:row>
      <xdr:rowOff>0</xdr:rowOff>
    </xdr:from>
    <xdr:ext cx="200025" cy="200025"/>
    <xdr:pic>
      <xdr:nvPicPr>
        <xdr:cNvPr id="412" name="image2.png">
          <a:extLst>
            <a:ext uri="{FF2B5EF4-FFF2-40B4-BE49-F238E27FC236}">
              <a16:creationId xmlns:a16="http://schemas.microsoft.com/office/drawing/2014/main" id="{00000000-0008-0000-0100-00009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101</xdr:row>
      <xdr:rowOff>0</xdr:rowOff>
    </xdr:from>
    <xdr:ext cx="200025" cy="200025"/>
    <xdr:pic>
      <xdr:nvPicPr>
        <xdr:cNvPr id="413" name="image6.png">
          <a:extLst>
            <a:ext uri="{FF2B5EF4-FFF2-40B4-BE49-F238E27FC236}">
              <a16:creationId xmlns:a16="http://schemas.microsoft.com/office/drawing/2014/main" id="{00000000-0008-0000-0100-00009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101</xdr:row>
      <xdr:rowOff>0</xdr:rowOff>
    </xdr:from>
    <xdr:ext cx="200025" cy="200025"/>
    <xdr:pic>
      <xdr:nvPicPr>
        <xdr:cNvPr id="414" name="image12.png">
          <a:extLst>
            <a:ext uri="{FF2B5EF4-FFF2-40B4-BE49-F238E27FC236}">
              <a16:creationId xmlns:a16="http://schemas.microsoft.com/office/drawing/2014/main" id="{00000000-0008-0000-0100-00009E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101</xdr:row>
      <xdr:rowOff>0</xdr:rowOff>
    </xdr:from>
    <xdr:ext cx="200025" cy="200025"/>
    <xdr:pic>
      <xdr:nvPicPr>
        <xdr:cNvPr id="415" name="image5.png">
          <a:extLst>
            <a:ext uri="{FF2B5EF4-FFF2-40B4-BE49-F238E27FC236}">
              <a16:creationId xmlns:a16="http://schemas.microsoft.com/office/drawing/2014/main" id="{00000000-0008-0000-0100-00009F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102</xdr:row>
      <xdr:rowOff>0</xdr:rowOff>
    </xdr:from>
    <xdr:ext cx="200025" cy="200025"/>
    <xdr:pic>
      <xdr:nvPicPr>
        <xdr:cNvPr id="416" name="image12.png">
          <a:extLst>
            <a:ext uri="{FF2B5EF4-FFF2-40B4-BE49-F238E27FC236}">
              <a16:creationId xmlns:a16="http://schemas.microsoft.com/office/drawing/2014/main" id="{00000000-0008-0000-0100-0000A0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102</xdr:row>
      <xdr:rowOff>0</xdr:rowOff>
    </xdr:from>
    <xdr:ext cx="200025" cy="200025"/>
    <xdr:pic>
      <xdr:nvPicPr>
        <xdr:cNvPr id="417" name="image11.png">
          <a:extLst>
            <a:ext uri="{FF2B5EF4-FFF2-40B4-BE49-F238E27FC236}">
              <a16:creationId xmlns:a16="http://schemas.microsoft.com/office/drawing/2014/main" id="{00000000-0008-0000-0100-0000A1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102</xdr:row>
      <xdr:rowOff>0</xdr:rowOff>
    </xdr:from>
    <xdr:ext cx="200025" cy="200025"/>
    <xdr:pic>
      <xdr:nvPicPr>
        <xdr:cNvPr id="418" name="image5.png">
          <a:extLst>
            <a:ext uri="{FF2B5EF4-FFF2-40B4-BE49-F238E27FC236}">
              <a16:creationId xmlns:a16="http://schemas.microsoft.com/office/drawing/2014/main" id="{00000000-0008-0000-0100-0000A2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103</xdr:row>
      <xdr:rowOff>0</xdr:rowOff>
    </xdr:from>
    <xdr:ext cx="200025" cy="200025"/>
    <xdr:pic>
      <xdr:nvPicPr>
        <xdr:cNvPr id="419" name="image8.png">
          <a:extLst>
            <a:ext uri="{FF2B5EF4-FFF2-40B4-BE49-F238E27FC236}">
              <a16:creationId xmlns:a16="http://schemas.microsoft.com/office/drawing/2014/main" id="{00000000-0008-0000-0100-0000A3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103</xdr:row>
      <xdr:rowOff>0</xdr:rowOff>
    </xdr:from>
    <xdr:ext cx="200025" cy="200025"/>
    <xdr:pic>
      <xdr:nvPicPr>
        <xdr:cNvPr id="420" name="image1.png">
          <a:extLst>
            <a:ext uri="{FF2B5EF4-FFF2-40B4-BE49-F238E27FC236}">
              <a16:creationId xmlns:a16="http://schemas.microsoft.com/office/drawing/2014/main" id="{00000000-0008-0000-0100-0000A4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103</xdr:row>
      <xdr:rowOff>0</xdr:rowOff>
    </xdr:from>
    <xdr:ext cx="200025" cy="200025"/>
    <xdr:pic>
      <xdr:nvPicPr>
        <xdr:cNvPr id="421" name="image6.png">
          <a:extLst>
            <a:ext uri="{FF2B5EF4-FFF2-40B4-BE49-F238E27FC236}">
              <a16:creationId xmlns:a16="http://schemas.microsoft.com/office/drawing/2014/main" id="{00000000-0008-0000-0100-0000A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103</xdr:row>
      <xdr:rowOff>0</xdr:rowOff>
    </xdr:from>
    <xdr:ext cx="200025" cy="200025"/>
    <xdr:pic>
      <xdr:nvPicPr>
        <xdr:cNvPr id="422" name="image12.png">
          <a:extLst>
            <a:ext uri="{FF2B5EF4-FFF2-40B4-BE49-F238E27FC236}">
              <a16:creationId xmlns:a16="http://schemas.microsoft.com/office/drawing/2014/main" id="{00000000-0008-0000-0100-0000A6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103</xdr:row>
      <xdr:rowOff>0</xdr:rowOff>
    </xdr:from>
    <xdr:ext cx="200025" cy="200025"/>
    <xdr:pic>
      <xdr:nvPicPr>
        <xdr:cNvPr id="423" name="image5.png">
          <a:extLst>
            <a:ext uri="{FF2B5EF4-FFF2-40B4-BE49-F238E27FC236}">
              <a16:creationId xmlns:a16="http://schemas.microsoft.com/office/drawing/2014/main" id="{00000000-0008-0000-0100-0000A7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104</xdr:row>
      <xdr:rowOff>0</xdr:rowOff>
    </xdr:from>
    <xdr:ext cx="200025" cy="200025"/>
    <xdr:pic>
      <xdr:nvPicPr>
        <xdr:cNvPr id="424" name="image8.png">
          <a:extLst>
            <a:ext uri="{FF2B5EF4-FFF2-40B4-BE49-F238E27FC236}">
              <a16:creationId xmlns:a16="http://schemas.microsoft.com/office/drawing/2014/main" id="{00000000-0008-0000-0100-0000A8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104</xdr:row>
      <xdr:rowOff>0</xdr:rowOff>
    </xdr:from>
    <xdr:ext cx="200025" cy="200025"/>
    <xdr:pic>
      <xdr:nvPicPr>
        <xdr:cNvPr id="425" name="image1.png">
          <a:extLst>
            <a:ext uri="{FF2B5EF4-FFF2-40B4-BE49-F238E27FC236}">
              <a16:creationId xmlns:a16="http://schemas.microsoft.com/office/drawing/2014/main" id="{00000000-0008-0000-0100-0000A9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104</xdr:row>
      <xdr:rowOff>0</xdr:rowOff>
    </xdr:from>
    <xdr:ext cx="200025" cy="200025"/>
    <xdr:pic>
      <xdr:nvPicPr>
        <xdr:cNvPr id="426" name="image12.png">
          <a:extLst>
            <a:ext uri="{FF2B5EF4-FFF2-40B4-BE49-F238E27FC236}">
              <a16:creationId xmlns:a16="http://schemas.microsoft.com/office/drawing/2014/main" id="{00000000-0008-0000-0100-0000AA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104</xdr:row>
      <xdr:rowOff>0</xdr:rowOff>
    </xdr:from>
    <xdr:ext cx="200025" cy="200025"/>
    <xdr:pic>
      <xdr:nvPicPr>
        <xdr:cNvPr id="427" name="image5.png">
          <a:extLst>
            <a:ext uri="{FF2B5EF4-FFF2-40B4-BE49-F238E27FC236}">
              <a16:creationId xmlns:a16="http://schemas.microsoft.com/office/drawing/2014/main" id="{00000000-0008-0000-0100-0000AB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105</xdr:row>
      <xdr:rowOff>0</xdr:rowOff>
    </xdr:from>
    <xdr:ext cx="200025" cy="200025"/>
    <xdr:pic>
      <xdr:nvPicPr>
        <xdr:cNvPr id="428" name="image10.png">
          <a:extLst>
            <a:ext uri="{FF2B5EF4-FFF2-40B4-BE49-F238E27FC236}">
              <a16:creationId xmlns:a16="http://schemas.microsoft.com/office/drawing/2014/main" id="{00000000-0008-0000-0100-0000AC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105</xdr:row>
      <xdr:rowOff>0</xdr:rowOff>
    </xdr:from>
    <xdr:ext cx="200025" cy="200025"/>
    <xdr:pic>
      <xdr:nvPicPr>
        <xdr:cNvPr id="429" name="image9.png">
          <a:extLst>
            <a:ext uri="{FF2B5EF4-FFF2-40B4-BE49-F238E27FC236}">
              <a16:creationId xmlns:a16="http://schemas.microsoft.com/office/drawing/2014/main" id="{00000000-0008-0000-0100-0000AD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105</xdr:row>
      <xdr:rowOff>0</xdr:rowOff>
    </xdr:from>
    <xdr:ext cx="200025" cy="200025"/>
    <xdr:pic>
      <xdr:nvPicPr>
        <xdr:cNvPr id="430" name="image1.png">
          <a:extLst>
            <a:ext uri="{FF2B5EF4-FFF2-40B4-BE49-F238E27FC236}">
              <a16:creationId xmlns:a16="http://schemas.microsoft.com/office/drawing/2014/main" id="{00000000-0008-0000-0100-0000A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105</xdr:row>
      <xdr:rowOff>0</xdr:rowOff>
    </xdr:from>
    <xdr:ext cx="200025" cy="200025"/>
    <xdr:pic>
      <xdr:nvPicPr>
        <xdr:cNvPr id="431" name="image12.png">
          <a:extLst>
            <a:ext uri="{FF2B5EF4-FFF2-40B4-BE49-F238E27FC236}">
              <a16:creationId xmlns:a16="http://schemas.microsoft.com/office/drawing/2014/main" id="{00000000-0008-0000-0100-0000AF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105</xdr:row>
      <xdr:rowOff>0</xdr:rowOff>
    </xdr:from>
    <xdr:ext cx="200025" cy="200025"/>
    <xdr:pic>
      <xdr:nvPicPr>
        <xdr:cNvPr id="432" name="image5.png">
          <a:extLst>
            <a:ext uri="{FF2B5EF4-FFF2-40B4-BE49-F238E27FC236}">
              <a16:creationId xmlns:a16="http://schemas.microsoft.com/office/drawing/2014/main" id="{00000000-0008-0000-0100-0000B0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106</xdr:row>
      <xdr:rowOff>0</xdr:rowOff>
    </xdr:from>
    <xdr:ext cx="200025" cy="200025"/>
    <xdr:pic>
      <xdr:nvPicPr>
        <xdr:cNvPr id="433" name="image10.png">
          <a:extLst>
            <a:ext uri="{FF2B5EF4-FFF2-40B4-BE49-F238E27FC236}">
              <a16:creationId xmlns:a16="http://schemas.microsoft.com/office/drawing/2014/main" id="{00000000-0008-0000-0100-0000B1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106</xdr:row>
      <xdr:rowOff>0</xdr:rowOff>
    </xdr:from>
    <xdr:ext cx="200025" cy="200025"/>
    <xdr:pic>
      <xdr:nvPicPr>
        <xdr:cNvPr id="434" name="image8.png">
          <a:extLst>
            <a:ext uri="{FF2B5EF4-FFF2-40B4-BE49-F238E27FC236}">
              <a16:creationId xmlns:a16="http://schemas.microsoft.com/office/drawing/2014/main" id="{00000000-0008-0000-0100-0000B2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106</xdr:row>
      <xdr:rowOff>0</xdr:rowOff>
    </xdr:from>
    <xdr:ext cx="200025" cy="200025"/>
    <xdr:pic>
      <xdr:nvPicPr>
        <xdr:cNvPr id="435" name="image2.png">
          <a:extLst>
            <a:ext uri="{FF2B5EF4-FFF2-40B4-BE49-F238E27FC236}">
              <a16:creationId xmlns:a16="http://schemas.microsoft.com/office/drawing/2014/main" id="{00000000-0008-0000-0100-0000B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106</xdr:row>
      <xdr:rowOff>0</xdr:rowOff>
    </xdr:from>
    <xdr:ext cx="200025" cy="200025"/>
    <xdr:pic>
      <xdr:nvPicPr>
        <xdr:cNvPr id="436" name="image12.png">
          <a:extLst>
            <a:ext uri="{FF2B5EF4-FFF2-40B4-BE49-F238E27FC236}">
              <a16:creationId xmlns:a16="http://schemas.microsoft.com/office/drawing/2014/main" id="{00000000-0008-0000-0100-0000B4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106</xdr:row>
      <xdr:rowOff>0</xdr:rowOff>
    </xdr:from>
    <xdr:ext cx="200025" cy="200025"/>
    <xdr:pic>
      <xdr:nvPicPr>
        <xdr:cNvPr id="437" name="image5.png">
          <a:extLst>
            <a:ext uri="{FF2B5EF4-FFF2-40B4-BE49-F238E27FC236}">
              <a16:creationId xmlns:a16="http://schemas.microsoft.com/office/drawing/2014/main" id="{00000000-0008-0000-0100-0000B5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107</xdr:row>
      <xdr:rowOff>0</xdr:rowOff>
    </xdr:from>
    <xdr:ext cx="200025" cy="200025"/>
    <xdr:pic>
      <xdr:nvPicPr>
        <xdr:cNvPr id="438" name="image10.png">
          <a:extLst>
            <a:ext uri="{FF2B5EF4-FFF2-40B4-BE49-F238E27FC236}">
              <a16:creationId xmlns:a16="http://schemas.microsoft.com/office/drawing/2014/main" id="{00000000-0008-0000-0100-0000B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107</xdr:row>
      <xdr:rowOff>0</xdr:rowOff>
    </xdr:from>
    <xdr:ext cx="200025" cy="200025"/>
    <xdr:pic>
      <xdr:nvPicPr>
        <xdr:cNvPr id="439" name="image1.png">
          <a:extLst>
            <a:ext uri="{FF2B5EF4-FFF2-40B4-BE49-F238E27FC236}">
              <a16:creationId xmlns:a16="http://schemas.microsoft.com/office/drawing/2014/main" id="{00000000-0008-0000-0100-0000B7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107</xdr:row>
      <xdr:rowOff>0</xdr:rowOff>
    </xdr:from>
    <xdr:ext cx="200025" cy="200025"/>
    <xdr:pic>
      <xdr:nvPicPr>
        <xdr:cNvPr id="440" name="image6.png">
          <a:extLst>
            <a:ext uri="{FF2B5EF4-FFF2-40B4-BE49-F238E27FC236}">
              <a16:creationId xmlns:a16="http://schemas.microsoft.com/office/drawing/2014/main" id="{00000000-0008-0000-0100-0000B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107</xdr:row>
      <xdr:rowOff>0</xdr:rowOff>
    </xdr:from>
    <xdr:ext cx="200025" cy="200025"/>
    <xdr:pic>
      <xdr:nvPicPr>
        <xdr:cNvPr id="441" name="image12.png">
          <a:extLst>
            <a:ext uri="{FF2B5EF4-FFF2-40B4-BE49-F238E27FC236}">
              <a16:creationId xmlns:a16="http://schemas.microsoft.com/office/drawing/2014/main" id="{00000000-0008-0000-0100-0000B9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107</xdr:row>
      <xdr:rowOff>0</xdr:rowOff>
    </xdr:from>
    <xdr:ext cx="200025" cy="200025"/>
    <xdr:pic>
      <xdr:nvPicPr>
        <xdr:cNvPr id="442" name="image5.png">
          <a:extLst>
            <a:ext uri="{FF2B5EF4-FFF2-40B4-BE49-F238E27FC236}">
              <a16:creationId xmlns:a16="http://schemas.microsoft.com/office/drawing/2014/main" id="{00000000-0008-0000-0100-0000BA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108</xdr:row>
      <xdr:rowOff>0</xdr:rowOff>
    </xdr:from>
    <xdr:ext cx="200025" cy="200025"/>
    <xdr:pic>
      <xdr:nvPicPr>
        <xdr:cNvPr id="443" name="image10.png">
          <a:extLst>
            <a:ext uri="{FF2B5EF4-FFF2-40B4-BE49-F238E27FC236}">
              <a16:creationId xmlns:a16="http://schemas.microsoft.com/office/drawing/2014/main" id="{00000000-0008-0000-0100-0000BB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108</xdr:row>
      <xdr:rowOff>0</xdr:rowOff>
    </xdr:from>
    <xdr:ext cx="200025" cy="200025"/>
    <xdr:pic>
      <xdr:nvPicPr>
        <xdr:cNvPr id="444" name="image8.png">
          <a:extLst>
            <a:ext uri="{FF2B5EF4-FFF2-40B4-BE49-F238E27FC236}">
              <a16:creationId xmlns:a16="http://schemas.microsoft.com/office/drawing/2014/main" id="{00000000-0008-0000-0100-0000BC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108</xdr:row>
      <xdr:rowOff>0</xdr:rowOff>
    </xdr:from>
    <xdr:ext cx="200025" cy="200025"/>
    <xdr:pic>
      <xdr:nvPicPr>
        <xdr:cNvPr id="445" name="image2.png">
          <a:extLst>
            <a:ext uri="{FF2B5EF4-FFF2-40B4-BE49-F238E27FC236}">
              <a16:creationId xmlns:a16="http://schemas.microsoft.com/office/drawing/2014/main" id="{00000000-0008-0000-0100-0000B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108</xdr:row>
      <xdr:rowOff>0</xdr:rowOff>
    </xdr:from>
    <xdr:ext cx="200025" cy="200025"/>
    <xdr:pic>
      <xdr:nvPicPr>
        <xdr:cNvPr id="446" name="image6.png">
          <a:extLst>
            <a:ext uri="{FF2B5EF4-FFF2-40B4-BE49-F238E27FC236}">
              <a16:creationId xmlns:a16="http://schemas.microsoft.com/office/drawing/2014/main" id="{00000000-0008-0000-0100-0000B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108</xdr:row>
      <xdr:rowOff>0</xdr:rowOff>
    </xdr:from>
    <xdr:ext cx="200025" cy="200025"/>
    <xdr:pic>
      <xdr:nvPicPr>
        <xdr:cNvPr id="447" name="image12.png">
          <a:extLst>
            <a:ext uri="{FF2B5EF4-FFF2-40B4-BE49-F238E27FC236}">
              <a16:creationId xmlns:a16="http://schemas.microsoft.com/office/drawing/2014/main" id="{00000000-0008-0000-0100-0000BF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108</xdr:row>
      <xdr:rowOff>0</xdr:rowOff>
    </xdr:from>
    <xdr:ext cx="200025" cy="200025"/>
    <xdr:pic>
      <xdr:nvPicPr>
        <xdr:cNvPr id="448" name="image5.png">
          <a:extLst>
            <a:ext uri="{FF2B5EF4-FFF2-40B4-BE49-F238E27FC236}">
              <a16:creationId xmlns:a16="http://schemas.microsoft.com/office/drawing/2014/main" id="{00000000-0008-0000-0100-0000C0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109</xdr:row>
      <xdr:rowOff>0</xdr:rowOff>
    </xdr:from>
    <xdr:ext cx="200025" cy="200025"/>
    <xdr:pic>
      <xdr:nvPicPr>
        <xdr:cNvPr id="449" name="image1.png">
          <a:extLst>
            <a:ext uri="{FF2B5EF4-FFF2-40B4-BE49-F238E27FC236}">
              <a16:creationId xmlns:a16="http://schemas.microsoft.com/office/drawing/2014/main" id="{00000000-0008-0000-0100-0000C1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109</xdr:row>
      <xdr:rowOff>0</xdr:rowOff>
    </xdr:from>
    <xdr:ext cx="200025" cy="200025"/>
    <xdr:pic>
      <xdr:nvPicPr>
        <xdr:cNvPr id="450" name="image12.png">
          <a:extLst>
            <a:ext uri="{FF2B5EF4-FFF2-40B4-BE49-F238E27FC236}">
              <a16:creationId xmlns:a16="http://schemas.microsoft.com/office/drawing/2014/main" id="{00000000-0008-0000-0100-0000C2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109</xdr:row>
      <xdr:rowOff>0</xdr:rowOff>
    </xdr:from>
    <xdr:ext cx="200025" cy="200025"/>
    <xdr:pic>
      <xdr:nvPicPr>
        <xdr:cNvPr id="451" name="image7.png">
          <a:extLst>
            <a:ext uri="{FF2B5EF4-FFF2-40B4-BE49-F238E27FC236}">
              <a16:creationId xmlns:a16="http://schemas.microsoft.com/office/drawing/2014/main" id="{00000000-0008-0000-0100-0000C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109</xdr:row>
      <xdr:rowOff>0</xdr:rowOff>
    </xdr:from>
    <xdr:ext cx="200025" cy="200025"/>
    <xdr:pic>
      <xdr:nvPicPr>
        <xdr:cNvPr id="452" name="image8.png">
          <a:extLst>
            <a:ext uri="{FF2B5EF4-FFF2-40B4-BE49-F238E27FC236}">
              <a16:creationId xmlns:a16="http://schemas.microsoft.com/office/drawing/2014/main" id="{00000000-0008-0000-0100-0000C4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110</xdr:row>
      <xdr:rowOff>0</xdr:rowOff>
    </xdr:from>
    <xdr:ext cx="200025" cy="200025"/>
    <xdr:pic>
      <xdr:nvPicPr>
        <xdr:cNvPr id="453" name="image1.png">
          <a:extLst>
            <a:ext uri="{FF2B5EF4-FFF2-40B4-BE49-F238E27FC236}">
              <a16:creationId xmlns:a16="http://schemas.microsoft.com/office/drawing/2014/main" id="{00000000-0008-0000-0100-0000C5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110</xdr:row>
      <xdr:rowOff>0</xdr:rowOff>
    </xdr:from>
    <xdr:ext cx="200025" cy="200025"/>
    <xdr:pic>
      <xdr:nvPicPr>
        <xdr:cNvPr id="454" name="image12.png">
          <a:extLst>
            <a:ext uri="{FF2B5EF4-FFF2-40B4-BE49-F238E27FC236}">
              <a16:creationId xmlns:a16="http://schemas.microsoft.com/office/drawing/2014/main" id="{00000000-0008-0000-0100-0000C6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110</xdr:row>
      <xdr:rowOff>0</xdr:rowOff>
    </xdr:from>
    <xdr:ext cx="200025" cy="200025"/>
    <xdr:pic>
      <xdr:nvPicPr>
        <xdr:cNvPr id="455" name="image7.png">
          <a:extLst>
            <a:ext uri="{FF2B5EF4-FFF2-40B4-BE49-F238E27FC236}">
              <a16:creationId xmlns:a16="http://schemas.microsoft.com/office/drawing/2014/main" id="{00000000-0008-0000-0100-0000C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110</xdr:row>
      <xdr:rowOff>0</xdr:rowOff>
    </xdr:from>
    <xdr:ext cx="200025" cy="200025"/>
    <xdr:pic>
      <xdr:nvPicPr>
        <xdr:cNvPr id="456" name="image8.png">
          <a:extLst>
            <a:ext uri="{FF2B5EF4-FFF2-40B4-BE49-F238E27FC236}">
              <a16:creationId xmlns:a16="http://schemas.microsoft.com/office/drawing/2014/main" id="{00000000-0008-0000-0100-0000C8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111</xdr:row>
      <xdr:rowOff>0</xdr:rowOff>
    </xdr:from>
    <xdr:ext cx="200025" cy="200025"/>
    <xdr:pic>
      <xdr:nvPicPr>
        <xdr:cNvPr id="457" name="image2.png">
          <a:extLst>
            <a:ext uri="{FF2B5EF4-FFF2-40B4-BE49-F238E27FC236}">
              <a16:creationId xmlns:a16="http://schemas.microsoft.com/office/drawing/2014/main" id="{00000000-0008-0000-0100-0000C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111</xdr:row>
      <xdr:rowOff>0</xdr:rowOff>
    </xdr:from>
    <xdr:ext cx="200025" cy="200025"/>
    <xdr:pic>
      <xdr:nvPicPr>
        <xdr:cNvPr id="458" name="image6.png">
          <a:extLst>
            <a:ext uri="{FF2B5EF4-FFF2-40B4-BE49-F238E27FC236}">
              <a16:creationId xmlns:a16="http://schemas.microsoft.com/office/drawing/2014/main" id="{00000000-0008-0000-0100-0000C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111</xdr:row>
      <xdr:rowOff>0</xdr:rowOff>
    </xdr:from>
    <xdr:ext cx="200025" cy="200025"/>
    <xdr:pic>
      <xdr:nvPicPr>
        <xdr:cNvPr id="459" name="image12.png">
          <a:extLst>
            <a:ext uri="{FF2B5EF4-FFF2-40B4-BE49-F238E27FC236}">
              <a16:creationId xmlns:a16="http://schemas.microsoft.com/office/drawing/2014/main" id="{00000000-0008-0000-0100-0000CB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111</xdr:row>
      <xdr:rowOff>0</xdr:rowOff>
    </xdr:from>
    <xdr:ext cx="200025" cy="200025"/>
    <xdr:pic>
      <xdr:nvPicPr>
        <xdr:cNvPr id="460" name="image8.png">
          <a:extLst>
            <a:ext uri="{FF2B5EF4-FFF2-40B4-BE49-F238E27FC236}">
              <a16:creationId xmlns:a16="http://schemas.microsoft.com/office/drawing/2014/main" id="{00000000-0008-0000-0100-0000CC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112</xdr:row>
      <xdr:rowOff>0</xdr:rowOff>
    </xdr:from>
    <xdr:ext cx="200025" cy="200025"/>
    <xdr:pic>
      <xdr:nvPicPr>
        <xdr:cNvPr id="461" name="image9.png">
          <a:extLst>
            <a:ext uri="{FF2B5EF4-FFF2-40B4-BE49-F238E27FC236}">
              <a16:creationId xmlns:a16="http://schemas.microsoft.com/office/drawing/2014/main" id="{00000000-0008-0000-0100-0000CD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112</xdr:row>
      <xdr:rowOff>0</xdr:rowOff>
    </xdr:from>
    <xdr:ext cx="200025" cy="200025"/>
    <xdr:pic>
      <xdr:nvPicPr>
        <xdr:cNvPr id="462" name="image12.png">
          <a:extLst>
            <a:ext uri="{FF2B5EF4-FFF2-40B4-BE49-F238E27FC236}">
              <a16:creationId xmlns:a16="http://schemas.microsoft.com/office/drawing/2014/main" id="{00000000-0008-0000-0100-0000CE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112</xdr:row>
      <xdr:rowOff>0</xdr:rowOff>
    </xdr:from>
    <xdr:ext cx="200025" cy="200025"/>
    <xdr:pic>
      <xdr:nvPicPr>
        <xdr:cNvPr id="463" name="image7.png">
          <a:extLst>
            <a:ext uri="{FF2B5EF4-FFF2-40B4-BE49-F238E27FC236}">
              <a16:creationId xmlns:a16="http://schemas.microsoft.com/office/drawing/2014/main" id="{00000000-0008-0000-0100-0000C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112</xdr:row>
      <xdr:rowOff>0</xdr:rowOff>
    </xdr:from>
    <xdr:ext cx="200025" cy="200025"/>
    <xdr:pic>
      <xdr:nvPicPr>
        <xdr:cNvPr id="464" name="image8.png">
          <a:extLst>
            <a:ext uri="{FF2B5EF4-FFF2-40B4-BE49-F238E27FC236}">
              <a16:creationId xmlns:a16="http://schemas.microsoft.com/office/drawing/2014/main" id="{00000000-0008-0000-0100-0000D0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113</xdr:row>
      <xdr:rowOff>0</xdr:rowOff>
    </xdr:from>
    <xdr:ext cx="200025" cy="200025"/>
    <xdr:pic>
      <xdr:nvPicPr>
        <xdr:cNvPr id="465" name="image9.png">
          <a:extLst>
            <a:ext uri="{FF2B5EF4-FFF2-40B4-BE49-F238E27FC236}">
              <a16:creationId xmlns:a16="http://schemas.microsoft.com/office/drawing/2014/main" id="{00000000-0008-0000-0100-0000D1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113</xdr:row>
      <xdr:rowOff>0</xdr:rowOff>
    </xdr:from>
    <xdr:ext cx="200025" cy="200025"/>
    <xdr:pic>
      <xdr:nvPicPr>
        <xdr:cNvPr id="466" name="image12.png">
          <a:extLst>
            <a:ext uri="{FF2B5EF4-FFF2-40B4-BE49-F238E27FC236}">
              <a16:creationId xmlns:a16="http://schemas.microsoft.com/office/drawing/2014/main" id="{00000000-0008-0000-0100-0000D2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113</xdr:row>
      <xdr:rowOff>0</xdr:rowOff>
    </xdr:from>
    <xdr:ext cx="200025" cy="200025"/>
    <xdr:pic>
      <xdr:nvPicPr>
        <xdr:cNvPr id="467" name="image7.png">
          <a:extLst>
            <a:ext uri="{FF2B5EF4-FFF2-40B4-BE49-F238E27FC236}">
              <a16:creationId xmlns:a16="http://schemas.microsoft.com/office/drawing/2014/main" id="{00000000-0008-0000-0100-0000D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113</xdr:row>
      <xdr:rowOff>0</xdr:rowOff>
    </xdr:from>
    <xdr:ext cx="200025" cy="200025"/>
    <xdr:pic>
      <xdr:nvPicPr>
        <xdr:cNvPr id="468" name="image8.png">
          <a:extLst>
            <a:ext uri="{FF2B5EF4-FFF2-40B4-BE49-F238E27FC236}">
              <a16:creationId xmlns:a16="http://schemas.microsoft.com/office/drawing/2014/main" id="{00000000-0008-0000-0100-0000D4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114</xdr:row>
      <xdr:rowOff>0</xdr:rowOff>
    </xdr:from>
    <xdr:ext cx="200025" cy="200025"/>
    <xdr:pic>
      <xdr:nvPicPr>
        <xdr:cNvPr id="469" name="image2.png">
          <a:extLst>
            <a:ext uri="{FF2B5EF4-FFF2-40B4-BE49-F238E27FC236}">
              <a16:creationId xmlns:a16="http://schemas.microsoft.com/office/drawing/2014/main" id="{00000000-0008-0000-0100-0000D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114</xdr:row>
      <xdr:rowOff>0</xdr:rowOff>
    </xdr:from>
    <xdr:ext cx="200025" cy="200025"/>
    <xdr:pic>
      <xdr:nvPicPr>
        <xdr:cNvPr id="470" name="image1.png">
          <a:extLst>
            <a:ext uri="{FF2B5EF4-FFF2-40B4-BE49-F238E27FC236}">
              <a16:creationId xmlns:a16="http://schemas.microsoft.com/office/drawing/2014/main" id="{00000000-0008-0000-0100-0000D6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114</xdr:row>
      <xdr:rowOff>0</xdr:rowOff>
    </xdr:from>
    <xdr:ext cx="200025" cy="200025"/>
    <xdr:pic>
      <xdr:nvPicPr>
        <xdr:cNvPr id="471" name="image12.png">
          <a:extLst>
            <a:ext uri="{FF2B5EF4-FFF2-40B4-BE49-F238E27FC236}">
              <a16:creationId xmlns:a16="http://schemas.microsoft.com/office/drawing/2014/main" id="{00000000-0008-0000-0100-0000D7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114</xdr:row>
      <xdr:rowOff>0</xdr:rowOff>
    </xdr:from>
    <xdr:ext cx="200025" cy="200025"/>
    <xdr:pic>
      <xdr:nvPicPr>
        <xdr:cNvPr id="472" name="image8.png">
          <a:extLst>
            <a:ext uri="{FF2B5EF4-FFF2-40B4-BE49-F238E27FC236}">
              <a16:creationId xmlns:a16="http://schemas.microsoft.com/office/drawing/2014/main" id="{00000000-0008-0000-0100-0000D8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115</xdr:row>
      <xdr:rowOff>0</xdr:rowOff>
    </xdr:from>
    <xdr:ext cx="200025" cy="200025"/>
    <xdr:pic>
      <xdr:nvPicPr>
        <xdr:cNvPr id="473" name="image9.png">
          <a:extLst>
            <a:ext uri="{FF2B5EF4-FFF2-40B4-BE49-F238E27FC236}">
              <a16:creationId xmlns:a16="http://schemas.microsoft.com/office/drawing/2014/main" id="{00000000-0008-0000-0100-0000D9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115</xdr:row>
      <xdr:rowOff>0</xdr:rowOff>
    </xdr:from>
    <xdr:ext cx="200025" cy="200025"/>
    <xdr:pic>
      <xdr:nvPicPr>
        <xdr:cNvPr id="474" name="image6.png">
          <a:extLst>
            <a:ext uri="{FF2B5EF4-FFF2-40B4-BE49-F238E27FC236}">
              <a16:creationId xmlns:a16="http://schemas.microsoft.com/office/drawing/2014/main" id="{00000000-0008-0000-0100-0000D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115</xdr:row>
      <xdr:rowOff>0</xdr:rowOff>
    </xdr:from>
    <xdr:ext cx="200025" cy="200025"/>
    <xdr:pic>
      <xdr:nvPicPr>
        <xdr:cNvPr id="475" name="image12.png">
          <a:extLst>
            <a:ext uri="{FF2B5EF4-FFF2-40B4-BE49-F238E27FC236}">
              <a16:creationId xmlns:a16="http://schemas.microsoft.com/office/drawing/2014/main" id="{00000000-0008-0000-0100-0000DB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115</xdr:row>
      <xdr:rowOff>0</xdr:rowOff>
    </xdr:from>
    <xdr:ext cx="200025" cy="200025"/>
    <xdr:pic>
      <xdr:nvPicPr>
        <xdr:cNvPr id="476" name="image11.png">
          <a:extLst>
            <a:ext uri="{FF2B5EF4-FFF2-40B4-BE49-F238E27FC236}">
              <a16:creationId xmlns:a16="http://schemas.microsoft.com/office/drawing/2014/main" id="{00000000-0008-0000-0100-0000DC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115</xdr:row>
      <xdr:rowOff>0</xdr:rowOff>
    </xdr:from>
    <xdr:ext cx="200025" cy="200025"/>
    <xdr:pic>
      <xdr:nvPicPr>
        <xdr:cNvPr id="477" name="image2.png">
          <a:extLst>
            <a:ext uri="{FF2B5EF4-FFF2-40B4-BE49-F238E27FC236}">
              <a16:creationId xmlns:a16="http://schemas.microsoft.com/office/drawing/2014/main" id="{00000000-0008-0000-0100-0000D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116</xdr:row>
      <xdr:rowOff>0</xdr:rowOff>
    </xdr:from>
    <xdr:ext cx="200025" cy="200025"/>
    <xdr:pic>
      <xdr:nvPicPr>
        <xdr:cNvPr id="478" name="image9.png">
          <a:extLst>
            <a:ext uri="{FF2B5EF4-FFF2-40B4-BE49-F238E27FC236}">
              <a16:creationId xmlns:a16="http://schemas.microsoft.com/office/drawing/2014/main" id="{00000000-0008-0000-0100-0000DE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116</xdr:row>
      <xdr:rowOff>0</xdr:rowOff>
    </xdr:from>
    <xdr:ext cx="200025" cy="200025"/>
    <xdr:pic>
      <xdr:nvPicPr>
        <xdr:cNvPr id="479" name="image6.png">
          <a:extLst>
            <a:ext uri="{FF2B5EF4-FFF2-40B4-BE49-F238E27FC236}">
              <a16:creationId xmlns:a16="http://schemas.microsoft.com/office/drawing/2014/main" id="{00000000-0008-0000-0100-0000D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116</xdr:row>
      <xdr:rowOff>0</xdr:rowOff>
    </xdr:from>
    <xdr:ext cx="200025" cy="200025"/>
    <xdr:pic>
      <xdr:nvPicPr>
        <xdr:cNvPr id="480" name="image12.png">
          <a:extLst>
            <a:ext uri="{FF2B5EF4-FFF2-40B4-BE49-F238E27FC236}">
              <a16:creationId xmlns:a16="http://schemas.microsoft.com/office/drawing/2014/main" id="{00000000-0008-0000-0100-0000E0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116</xdr:row>
      <xdr:rowOff>0</xdr:rowOff>
    </xdr:from>
    <xdr:ext cx="200025" cy="200025"/>
    <xdr:pic>
      <xdr:nvPicPr>
        <xdr:cNvPr id="481" name="image11.png">
          <a:extLst>
            <a:ext uri="{FF2B5EF4-FFF2-40B4-BE49-F238E27FC236}">
              <a16:creationId xmlns:a16="http://schemas.microsoft.com/office/drawing/2014/main" id="{00000000-0008-0000-0100-0000E1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116</xdr:row>
      <xdr:rowOff>0</xdr:rowOff>
    </xdr:from>
    <xdr:ext cx="200025" cy="200025"/>
    <xdr:pic>
      <xdr:nvPicPr>
        <xdr:cNvPr id="482" name="image2.png">
          <a:extLst>
            <a:ext uri="{FF2B5EF4-FFF2-40B4-BE49-F238E27FC236}">
              <a16:creationId xmlns:a16="http://schemas.microsoft.com/office/drawing/2014/main" id="{00000000-0008-0000-0100-0000E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117</xdr:row>
      <xdr:rowOff>0</xdr:rowOff>
    </xdr:from>
    <xdr:ext cx="200025" cy="200025"/>
    <xdr:pic>
      <xdr:nvPicPr>
        <xdr:cNvPr id="483" name="image9.png">
          <a:extLst>
            <a:ext uri="{FF2B5EF4-FFF2-40B4-BE49-F238E27FC236}">
              <a16:creationId xmlns:a16="http://schemas.microsoft.com/office/drawing/2014/main" id="{00000000-0008-0000-0100-0000E3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117</xdr:row>
      <xdr:rowOff>0</xdr:rowOff>
    </xdr:from>
    <xdr:ext cx="200025" cy="200025"/>
    <xdr:pic>
      <xdr:nvPicPr>
        <xdr:cNvPr id="484" name="image1.png">
          <a:extLst>
            <a:ext uri="{FF2B5EF4-FFF2-40B4-BE49-F238E27FC236}">
              <a16:creationId xmlns:a16="http://schemas.microsoft.com/office/drawing/2014/main" id="{00000000-0008-0000-0100-0000E4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117</xdr:row>
      <xdr:rowOff>0</xdr:rowOff>
    </xdr:from>
    <xdr:ext cx="200025" cy="200025"/>
    <xdr:pic>
      <xdr:nvPicPr>
        <xdr:cNvPr id="485" name="image4.png">
          <a:extLst>
            <a:ext uri="{FF2B5EF4-FFF2-40B4-BE49-F238E27FC236}">
              <a16:creationId xmlns:a16="http://schemas.microsoft.com/office/drawing/2014/main" id="{00000000-0008-0000-0100-0000E5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117</xdr:row>
      <xdr:rowOff>0</xdr:rowOff>
    </xdr:from>
    <xdr:ext cx="200025" cy="200025"/>
    <xdr:pic>
      <xdr:nvPicPr>
        <xdr:cNvPr id="486" name="image2.png">
          <a:extLst>
            <a:ext uri="{FF2B5EF4-FFF2-40B4-BE49-F238E27FC236}">
              <a16:creationId xmlns:a16="http://schemas.microsoft.com/office/drawing/2014/main" id="{00000000-0008-0000-0100-0000E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118</xdr:row>
      <xdr:rowOff>0</xdr:rowOff>
    </xdr:from>
    <xdr:ext cx="200025" cy="200025"/>
    <xdr:pic>
      <xdr:nvPicPr>
        <xdr:cNvPr id="487" name="image10.png">
          <a:extLst>
            <a:ext uri="{FF2B5EF4-FFF2-40B4-BE49-F238E27FC236}">
              <a16:creationId xmlns:a16="http://schemas.microsoft.com/office/drawing/2014/main" id="{00000000-0008-0000-0100-0000E7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118</xdr:row>
      <xdr:rowOff>0</xdr:rowOff>
    </xdr:from>
    <xdr:ext cx="200025" cy="200025"/>
    <xdr:pic>
      <xdr:nvPicPr>
        <xdr:cNvPr id="488" name="image1.png">
          <a:extLst>
            <a:ext uri="{FF2B5EF4-FFF2-40B4-BE49-F238E27FC236}">
              <a16:creationId xmlns:a16="http://schemas.microsoft.com/office/drawing/2014/main" id="{00000000-0008-0000-0100-0000E8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118</xdr:row>
      <xdr:rowOff>0</xdr:rowOff>
    </xdr:from>
    <xdr:ext cx="200025" cy="200025"/>
    <xdr:pic>
      <xdr:nvPicPr>
        <xdr:cNvPr id="489" name="image4.png">
          <a:extLst>
            <a:ext uri="{FF2B5EF4-FFF2-40B4-BE49-F238E27FC236}">
              <a16:creationId xmlns:a16="http://schemas.microsoft.com/office/drawing/2014/main" id="{00000000-0008-0000-0100-0000E9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118</xdr:row>
      <xdr:rowOff>0</xdr:rowOff>
    </xdr:from>
    <xdr:ext cx="200025" cy="200025"/>
    <xdr:pic>
      <xdr:nvPicPr>
        <xdr:cNvPr id="490" name="image11.png">
          <a:extLst>
            <a:ext uri="{FF2B5EF4-FFF2-40B4-BE49-F238E27FC236}">
              <a16:creationId xmlns:a16="http://schemas.microsoft.com/office/drawing/2014/main" id="{00000000-0008-0000-0100-0000EA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118</xdr:row>
      <xdr:rowOff>0</xdr:rowOff>
    </xdr:from>
    <xdr:ext cx="200025" cy="200025"/>
    <xdr:pic>
      <xdr:nvPicPr>
        <xdr:cNvPr id="491" name="image8.png">
          <a:extLst>
            <a:ext uri="{FF2B5EF4-FFF2-40B4-BE49-F238E27FC236}">
              <a16:creationId xmlns:a16="http://schemas.microsoft.com/office/drawing/2014/main" id="{00000000-0008-0000-0100-0000EB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119</xdr:row>
      <xdr:rowOff>0</xdr:rowOff>
    </xdr:from>
    <xdr:ext cx="200025" cy="200025"/>
    <xdr:pic>
      <xdr:nvPicPr>
        <xdr:cNvPr id="492" name="image10.png">
          <a:extLst>
            <a:ext uri="{FF2B5EF4-FFF2-40B4-BE49-F238E27FC236}">
              <a16:creationId xmlns:a16="http://schemas.microsoft.com/office/drawing/2014/main" id="{00000000-0008-0000-0100-0000EC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119</xdr:row>
      <xdr:rowOff>0</xdr:rowOff>
    </xdr:from>
    <xdr:ext cx="200025" cy="200025"/>
    <xdr:pic>
      <xdr:nvPicPr>
        <xdr:cNvPr id="493" name="image9.png">
          <a:extLst>
            <a:ext uri="{FF2B5EF4-FFF2-40B4-BE49-F238E27FC236}">
              <a16:creationId xmlns:a16="http://schemas.microsoft.com/office/drawing/2014/main" id="{00000000-0008-0000-0100-0000ED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119</xdr:row>
      <xdr:rowOff>0</xdr:rowOff>
    </xdr:from>
    <xdr:ext cx="200025" cy="200025"/>
    <xdr:pic>
      <xdr:nvPicPr>
        <xdr:cNvPr id="494" name="image1.png">
          <a:extLst>
            <a:ext uri="{FF2B5EF4-FFF2-40B4-BE49-F238E27FC236}">
              <a16:creationId xmlns:a16="http://schemas.microsoft.com/office/drawing/2014/main" id="{00000000-0008-0000-0100-0000E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119</xdr:row>
      <xdr:rowOff>0</xdr:rowOff>
    </xdr:from>
    <xdr:ext cx="200025" cy="200025"/>
    <xdr:pic>
      <xdr:nvPicPr>
        <xdr:cNvPr id="495" name="image6.png">
          <a:extLst>
            <a:ext uri="{FF2B5EF4-FFF2-40B4-BE49-F238E27FC236}">
              <a16:creationId xmlns:a16="http://schemas.microsoft.com/office/drawing/2014/main" id="{00000000-0008-0000-0100-0000E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119</xdr:row>
      <xdr:rowOff>0</xdr:rowOff>
    </xdr:from>
    <xdr:ext cx="200025" cy="200025"/>
    <xdr:pic>
      <xdr:nvPicPr>
        <xdr:cNvPr id="496" name="image10.png">
          <a:extLst>
            <a:ext uri="{FF2B5EF4-FFF2-40B4-BE49-F238E27FC236}">
              <a16:creationId xmlns:a16="http://schemas.microsoft.com/office/drawing/2014/main" id="{00000000-0008-0000-0100-0000F0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120</xdr:row>
      <xdr:rowOff>0</xdr:rowOff>
    </xdr:from>
    <xdr:ext cx="200025" cy="200025"/>
    <xdr:pic>
      <xdr:nvPicPr>
        <xdr:cNvPr id="497" name="image9.png">
          <a:extLst>
            <a:ext uri="{FF2B5EF4-FFF2-40B4-BE49-F238E27FC236}">
              <a16:creationId xmlns:a16="http://schemas.microsoft.com/office/drawing/2014/main" id="{00000000-0008-0000-0100-0000F1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120</xdr:row>
      <xdr:rowOff>0</xdr:rowOff>
    </xdr:from>
    <xdr:ext cx="200025" cy="200025"/>
    <xdr:pic>
      <xdr:nvPicPr>
        <xdr:cNvPr id="498" name="image2.png">
          <a:extLst>
            <a:ext uri="{FF2B5EF4-FFF2-40B4-BE49-F238E27FC236}">
              <a16:creationId xmlns:a16="http://schemas.microsoft.com/office/drawing/2014/main" id="{00000000-0008-0000-0100-0000F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120</xdr:row>
      <xdr:rowOff>0</xdr:rowOff>
    </xdr:from>
    <xdr:ext cx="200025" cy="200025"/>
    <xdr:pic>
      <xdr:nvPicPr>
        <xdr:cNvPr id="499" name="image4.png">
          <a:extLst>
            <a:ext uri="{FF2B5EF4-FFF2-40B4-BE49-F238E27FC236}">
              <a16:creationId xmlns:a16="http://schemas.microsoft.com/office/drawing/2014/main" id="{00000000-0008-0000-0100-0000F3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120</xdr:row>
      <xdr:rowOff>0</xdr:rowOff>
    </xdr:from>
    <xdr:ext cx="200025" cy="200025"/>
    <xdr:pic>
      <xdr:nvPicPr>
        <xdr:cNvPr id="500" name="image7.png">
          <a:extLst>
            <a:ext uri="{FF2B5EF4-FFF2-40B4-BE49-F238E27FC236}">
              <a16:creationId xmlns:a16="http://schemas.microsoft.com/office/drawing/2014/main" id="{00000000-0008-0000-0100-0000F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120</xdr:row>
      <xdr:rowOff>0</xdr:rowOff>
    </xdr:from>
    <xdr:ext cx="200025" cy="200025"/>
    <xdr:pic>
      <xdr:nvPicPr>
        <xdr:cNvPr id="501" name="image1.png">
          <a:extLst>
            <a:ext uri="{FF2B5EF4-FFF2-40B4-BE49-F238E27FC236}">
              <a16:creationId xmlns:a16="http://schemas.microsoft.com/office/drawing/2014/main" id="{00000000-0008-0000-0100-0000F5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121</xdr:row>
      <xdr:rowOff>0</xdr:rowOff>
    </xdr:from>
    <xdr:ext cx="200025" cy="200025"/>
    <xdr:pic>
      <xdr:nvPicPr>
        <xdr:cNvPr id="502" name="image9.png">
          <a:extLst>
            <a:ext uri="{FF2B5EF4-FFF2-40B4-BE49-F238E27FC236}">
              <a16:creationId xmlns:a16="http://schemas.microsoft.com/office/drawing/2014/main" id="{00000000-0008-0000-0100-0000F6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121</xdr:row>
      <xdr:rowOff>0</xdr:rowOff>
    </xdr:from>
    <xdr:ext cx="200025" cy="200025"/>
    <xdr:pic>
      <xdr:nvPicPr>
        <xdr:cNvPr id="503" name="image2.png">
          <a:extLst>
            <a:ext uri="{FF2B5EF4-FFF2-40B4-BE49-F238E27FC236}">
              <a16:creationId xmlns:a16="http://schemas.microsoft.com/office/drawing/2014/main" id="{00000000-0008-0000-0100-0000F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121</xdr:row>
      <xdr:rowOff>0</xdr:rowOff>
    </xdr:from>
    <xdr:ext cx="200025" cy="200025"/>
    <xdr:pic>
      <xdr:nvPicPr>
        <xdr:cNvPr id="504" name="image4.png">
          <a:extLst>
            <a:ext uri="{FF2B5EF4-FFF2-40B4-BE49-F238E27FC236}">
              <a16:creationId xmlns:a16="http://schemas.microsoft.com/office/drawing/2014/main" id="{00000000-0008-0000-0100-0000F8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121</xdr:row>
      <xdr:rowOff>0</xdr:rowOff>
    </xdr:from>
    <xdr:ext cx="200025" cy="200025"/>
    <xdr:pic>
      <xdr:nvPicPr>
        <xdr:cNvPr id="505" name="image7.png">
          <a:extLst>
            <a:ext uri="{FF2B5EF4-FFF2-40B4-BE49-F238E27FC236}">
              <a16:creationId xmlns:a16="http://schemas.microsoft.com/office/drawing/2014/main" id="{00000000-0008-0000-0100-0000F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121</xdr:row>
      <xdr:rowOff>0</xdr:rowOff>
    </xdr:from>
    <xdr:ext cx="200025" cy="200025"/>
    <xdr:pic>
      <xdr:nvPicPr>
        <xdr:cNvPr id="506" name="image1.png">
          <a:extLst>
            <a:ext uri="{FF2B5EF4-FFF2-40B4-BE49-F238E27FC236}">
              <a16:creationId xmlns:a16="http://schemas.microsoft.com/office/drawing/2014/main" id="{00000000-0008-0000-0100-0000FA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122</xdr:row>
      <xdr:rowOff>0</xdr:rowOff>
    </xdr:from>
    <xdr:ext cx="200025" cy="200025"/>
    <xdr:pic>
      <xdr:nvPicPr>
        <xdr:cNvPr id="507" name="image8.png">
          <a:extLst>
            <a:ext uri="{FF2B5EF4-FFF2-40B4-BE49-F238E27FC236}">
              <a16:creationId xmlns:a16="http://schemas.microsoft.com/office/drawing/2014/main" id="{00000000-0008-0000-0100-0000FB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122</xdr:row>
      <xdr:rowOff>0</xdr:rowOff>
    </xdr:from>
    <xdr:ext cx="200025" cy="200025"/>
    <xdr:pic>
      <xdr:nvPicPr>
        <xdr:cNvPr id="508" name="image2.png">
          <a:extLst>
            <a:ext uri="{FF2B5EF4-FFF2-40B4-BE49-F238E27FC236}">
              <a16:creationId xmlns:a16="http://schemas.microsoft.com/office/drawing/2014/main" id="{00000000-0008-0000-0100-0000F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122</xdr:row>
      <xdr:rowOff>0</xdr:rowOff>
    </xdr:from>
    <xdr:ext cx="200025" cy="200025"/>
    <xdr:pic>
      <xdr:nvPicPr>
        <xdr:cNvPr id="509" name="image5.png">
          <a:extLst>
            <a:ext uri="{FF2B5EF4-FFF2-40B4-BE49-F238E27FC236}">
              <a16:creationId xmlns:a16="http://schemas.microsoft.com/office/drawing/2014/main" id="{00000000-0008-0000-0100-0000FD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122</xdr:row>
      <xdr:rowOff>0</xdr:rowOff>
    </xdr:from>
    <xdr:ext cx="200025" cy="200025"/>
    <xdr:pic>
      <xdr:nvPicPr>
        <xdr:cNvPr id="510" name="image1.png">
          <a:extLst>
            <a:ext uri="{FF2B5EF4-FFF2-40B4-BE49-F238E27FC236}">
              <a16:creationId xmlns:a16="http://schemas.microsoft.com/office/drawing/2014/main" id="{00000000-0008-0000-0100-0000F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123</xdr:row>
      <xdr:rowOff>0</xdr:rowOff>
    </xdr:from>
    <xdr:ext cx="200025" cy="200025"/>
    <xdr:pic>
      <xdr:nvPicPr>
        <xdr:cNvPr id="511" name="image10.png">
          <a:extLst>
            <a:ext uri="{FF2B5EF4-FFF2-40B4-BE49-F238E27FC236}">
              <a16:creationId xmlns:a16="http://schemas.microsoft.com/office/drawing/2014/main" id="{00000000-0008-0000-0100-0000FF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123</xdr:row>
      <xdr:rowOff>0</xdr:rowOff>
    </xdr:from>
    <xdr:ext cx="200025" cy="200025"/>
    <xdr:pic>
      <xdr:nvPicPr>
        <xdr:cNvPr id="512" name="image2.png">
          <a:extLst>
            <a:ext uri="{FF2B5EF4-FFF2-40B4-BE49-F238E27FC236}">
              <a16:creationId xmlns:a16="http://schemas.microsoft.com/office/drawing/2014/main" id="{00000000-0008-0000-0100-00000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123</xdr:row>
      <xdr:rowOff>0</xdr:rowOff>
    </xdr:from>
    <xdr:ext cx="200025" cy="200025"/>
    <xdr:pic>
      <xdr:nvPicPr>
        <xdr:cNvPr id="513" name="image3.png">
          <a:extLst>
            <a:ext uri="{FF2B5EF4-FFF2-40B4-BE49-F238E27FC236}">
              <a16:creationId xmlns:a16="http://schemas.microsoft.com/office/drawing/2014/main" id="{00000000-0008-0000-0100-000001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123</xdr:row>
      <xdr:rowOff>0</xdr:rowOff>
    </xdr:from>
    <xdr:ext cx="200025" cy="200025"/>
    <xdr:pic>
      <xdr:nvPicPr>
        <xdr:cNvPr id="514" name="image7.png">
          <a:extLst>
            <a:ext uri="{FF2B5EF4-FFF2-40B4-BE49-F238E27FC236}">
              <a16:creationId xmlns:a16="http://schemas.microsoft.com/office/drawing/2014/main" id="{00000000-0008-0000-0100-000002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123</xdr:row>
      <xdr:rowOff>0</xdr:rowOff>
    </xdr:from>
    <xdr:ext cx="200025" cy="200025"/>
    <xdr:pic>
      <xdr:nvPicPr>
        <xdr:cNvPr id="515" name="image1.png">
          <a:extLst>
            <a:ext uri="{FF2B5EF4-FFF2-40B4-BE49-F238E27FC236}">
              <a16:creationId xmlns:a16="http://schemas.microsoft.com/office/drawing/2014/main" id="{00000000-0008-0000-0100-000003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124</xdr:row>
      <xdr:rowOff>0</xdr:rowOff>
    </xdr:from>
    <xdr:ext cx="200025" cy="200025"/>
    <xdr:pic>
      <xdr:nvPicPr>
        <xdr:cNvPr id="516" name="image10.png">
          <a:extLst>
            <a:ext uri="{FF2B5EF4-FFF2-40B4-BE49-F238E27FC236}">
              <a16:creationId xmlns:a16="http://schemas.microsoft.com/office/drawing/2014/main" id="{00000000-0008-0000-0100-00000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124</xdr:row>
      <xdr:rowOff>0</xdr:rowOff>
    </xdr:from>
    <xdr:ext cx="200025" cy="200025"/>
    <xdr:pic>
      <xdr:nvPicPr>
        <xdr:cNvPr id="517" name="image2.png">
          <a:extLst>
            <a:ext uri="{FF2B5EF4-FFF2-40B4-BE49-F238E27FC236}">
              <a16:creationId xmlns:a16="http://schemas.microsoft.com/office/drawing/2014/main" id="{00000000-0008-0000-0100-00000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124</xdr:row>
      <xdr:rowOff>0</xdr:rowOff>
    </xdr:from>
    <xdr:ext cx="200025" cy="200025"/>
    <xdr:pic>
      <xdr:nvPicPr>
        <xdr:cNvPr id="518" name="image3.png">
          <a:extLst>
            <a:ext uri="{FF2B5EF4-FFF2-40B4-BE49-F238E27FC236}">
              <a16:creationId xmlns:a16="http://schemas.microsoft.com/office/drawing/2014/main" id="{00000000-0008-0000-0100-000006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124</xdr:row>
      <xdr:rowOff>0</xdr:rowOff>
    </xdr:from>
    <xdr:ext cx="200025" cy="200025"/>
    <xdr:pic>
      <xdr:nvPicPr>
        <xdr:cNvPr id="519" name="image7.png">
          <a:extLst>
            <a:ext uri="{FF2B5EF4-FFF2-40B4-BE49-F238E27FC236}">
              <a16:creationId xmlns:a16="http://schemas.microsoft.com/office/drawing/2014/main" id="{00000000-0008-0000-0100-000007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124</xdr:row>
      <xdr:rowOff>0</xdr:rowOff>
    </xdr:from>
    <xdr:ext cx="200025" cy="200025"/>
    <xdr:pic>
      <xdr:nvPicPr>
        <xdr:cNvPr id="520" name="image1.png">
          <a:extLst>
            <a:ext uri="{FF2B5EF4-FFF2-40B4-BE49-F238E27FC236}">
              <a16:creationId xmlns:a16="http://schemas.microsoft.com/office/drawing/2014/main" id="{00000000-0008-0000-0100-00000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125</xdr:row>
      <xdr:rowOff>0</xdr:rowOff>
    </xdr:from>
    <xdr:ext cx="200025" cy="200025"/>
    <xdr:pic>
      <xdr:nvPicPr>
        <xdr:cNvPr id="521" name="image8.png">
          <a:extLst>
            <a:ext uri="{FF2B5EF4-FFF2-40B4-BE49-F238E27FC236}">
              <a16:creationId xmlns:a16="http://schemas.microsoft.com/office/drawing/2014/main" id="{00000000-0008-0000-0100-000009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125</xdr:row>
      <xdr:rowOff>0</xdr:rowOff>
    </xdr:from>
    <xdr:ext cx="200025" cy="200025"/>
    <xdr:pic>
      <xdr:nvPicPr>
        <xdr:cNvPr id="522" name="image2.png">
          <a:extLst>
            <a:ext uri="{FF2B5EF4-FFF2-40B4-BE49-F238E27FC236}">
              <a16:creationId xmlns:a16="http://schemas.microsoft.com/office/drawing/2014/main" id="{00000000-0008-0000-0100-00000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125</xdr:row>
      <xdr:rowOff>0</xdr:rowOff>
    </xdr:from>
    <xdr:ext cx="200025" cy="200025"/>
    <xdr:pic>
      <xdr:nvPicPr>
        <xdr:cNvPr id="523" name="image5.png">
          <a:extLst>
            <a:ext uri="{FF2B5EF4-FFF2-40B4-BE49-F238E27FC236}">
              <a16:creationId xmlns:a16="http://schemas.microsoft.com/office/drawing/2014/main" id="{00000000-0008-0000-0100-00000B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125</xdr:row>
      <xdr:rowOff>0</xdr:rowOff>
    </xdr:from>
    <xdr:ext cx="200025" cy="200025"/>
    <xdr:pic>
      <xdr:nvPicPr>
        <xdr:cNvPr id="524" name="image1.png">
          <a:extLst>
            <a:ext uri="{FF2B5EF4-FFF2-40B4-BE49-F238E27FC236}">
              <a16:creationId xmlns:a16="http://schemas.microsoft.com/office/drawing/2014/main" id="{00000000-0008-0000-0100-00000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126</xdr:row>
      <xdr:rowOff>0</xdr:rowOff>
    </xdr:from>
    <xdr:ext cx="200025" cy="200025"/>
    <xdr:pic>
      <xdr:nvPicPr>
        <xdr:cNvPr id="525" name="image9.png">
          <a:extLst>
            <a:ext uri="{FF2B5EF4-FFF2-40B4-BE49-F238E27FC236}">
              <a16:creationId xmlns:a16="http://schemas.microsoft.com/office/drawing/2014/main" id="{00000000-0008-0000-0100-00000D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126</xdr:row>
      <xdr:rowOff>0</xdr:rowOff>
    </xdr:from>
    <xdr:ext cx="200025" cy="200025"/>
    <xdr:pic>
      <xdr:nvPicPr>
        <xdr:cNvPr id="526" name="image6.png">
          <a:extLst>
            <a:ext uri="{FF2B5EF4-FFF2-40B4-BE49-F238E27FC236}">
              <a16:creationId xmlns:a16="http://schemas.microsoft.com/office/drawing/2014/main" id="{00000000-0008-0000-0100-00000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126</xdr:row>
      <xdr:rowOff>0</xdr:rowOff>
    </xdr:from>
    <xdr:ext cx="200025" cy="200025"/>
    <xdr:pic>
      <xdr:nvPicPr>
        <xdr:cNvPr id="527" name="image12.png">
          <a:extLst>
            <a:ext uri="{FF2B5EF4-FFF2-40B4-BE49-F238E27FC236}">
              <a16:creationId xmlns:a16="http://schemas.microsoft.com/office/drawing/2014/main" id="{00000000-0008-0000-0100-00000F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126</xdr:row>
      <xdr:rowOff>0</xdr:rowOff>
    </xdr:from>
    <xdr:ext cx="200025" cy="200025"/>
    <xdr:pic>
      <xdr:nvPicPr>
        <xdr:cNvPr id="528" name="image3.png">
          <a:extLst>
            <a:ext uri="{FF2B5EF4-FFF2-40B4-BE49-F238E27FC236}">
              <a16:creationId xmlns:a16="http://schemas.microsoft.com/office/drawing/2014/main" id="{00000000-0008-0000-0100-000010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126</xdr:row>
      <xdr:rowOff>0</xdr:rowOff>
    </xdr:from>
    <xdr:ext cx="200025" cy="200025"/>
    <xdr:pic>
      <xdr:nvPicPr>
        <xdr:cNvPr id="529" name="image8.png">
          <a:extLst>
            <a:ext uri="{FF2B5EF4-FFF2-40B4-BE49-F238E27FC236}">
              <a16:creationId xmlns:a16="http://schemas.microsoft.com/office/drawing/2014/main" id="{00000000-0008-0000-0100-000011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127</xdr:row>
      <xdr:rowOff>0</xdr:rowOff>
    </xdr:from>
    <xdr:ext cx="200025" cy="200025"/>
    <xdr:pic>
      <xdr:nvPicPr>
        <xdr:cNvPr id="530" name="image9.png">
          <a:extLst>
            <a:ext uri="{FF2B5EF4-FFF2-40B4-BE49-F238E27FC236}">
              <a16:creationId xmlns:a16="http://schemas.microsoft.com/office/drawing/2014/main" id="{00000000-0008-0000-0100-000012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127</xdr:row>
      <xdr:rowOff>0</xdr:rowOff>
    </xdr:from>
    <xdr:ext cx="200025" cy="200025"/>
    <xdr:pic>
      <xdr:nvPicPr>
        <xdr:cNvPr id="531" name="image6.png">
          <a:extLst>
            <a:ext uri="{FF2B5EF4-FFF2-40B4-BE49-F238E27FC236}">
              <a16:creationId xmlns:a16="http://schemas.microsoft.com/office/drawing/2014/main" id="{00000000-0008-0000-0100-00001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127</xdr:row>
      <xdr:rowOff>0</xdr:rowOff>
    </xdr:from>
    <xdr:ext cx="200025" cy="200025"/>
    <xdr:pic>
      <xdr:nvPicPr>
        <xdr:cNvPr id="532" name="image12.png">
          <a:extLst>
            <a:ext uri="{FF2B5EF4-FFF2-40B4-BE49-F238E27FC236}">
              <a16:creationId xmlns:a16="http://schemas.microsoft.com/office/drawing/2014/main" id="{00000000-0008-0000-0100-000014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127</xdr:row>
      <xdr:rowOff>0</xdr:rowOff>
    </xdr:from>
    <xdr:ext cx="200025" cy="200025"/>
    <xdr:pic>
      <xdr:nvPicPr>
        <xdr:cNvPr id="533" name="image3.png">
          <a:extLst>
            <a:ext uri="{FF2B5EF4-FFF2-40B4-BE49-F238E27FC236}">
              <a16:creationId xmlns:a16="http://schemas.microsoft.com/office/drawing/2014/main" id="{00000000-0008-0000-0100-000015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127</xdr:row>
      <xdr:rowOff>0</xdr:rowOff>
    </xdr:from>
    <xdr:ext cx="200025" cy="200025"/>
    <xdr:pic>
      <xdr:nvPicPr>
        <xdr:cNvPr id="534" name="image8.png">
          <a:extLst>
            <a:ext uri="{FF2B5EF4-FFF2-40B4-BE49-F238E27FC236}">
              <a16:creationId xmlns:a16="http://schemas.microsoft.com/office/drawing/2014/main" id="{00000000-0008-0000-0100-000016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128</xdr:row>
      <xdr:rowOff>0</xdr:rowOff>
    </xdr:from>
    <xdr:ext cx="200025" cy="200025"/>
    <xdr:pic>
      <xdr:nvPicPr>
        <xdr:cNvPr id="535" name="image10.png">
          <a:extLst>
            <a:ext uri="{FF2B5EF4-FFF2-40B4-BE49-F238E27FC236}">
              <a16:creationId xmlns:a16="http://schemas.microsoft.com/office/drawing/2014/main" id="{00000000-0008-0000-0100-00001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128</xdr:row>
      <xdr:rowOff>0</xdr:rowOff>
    </xdr:from>
    <xdr:ext cx="200025" cy="200025"/>
    <xdr:pic>
      <xdr:nvPicPr>
        <xdr:cNvPr id="536" name="image2.png">
          <a:extLst>
            <a:ext uri="{FF2B5EF4-FFF2-40B4-BE49-F238E27FC236}">
              <a16:creationId xmlns:a16="http://schemas.microsoft.com/office/drawing/2014/main" id="{00000000-0008-0000-0100-00001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128</xdr:row>
      <xdr:rowOff>0</xdr:rowOff>
    </xdr:from>
    <xdr:ext cx="200025" cy="200025"/>
    <xdr:pic>
      <xdr:nvPicPr>
        <xdr:cNvPr id="537" name="image4.png">
          <a:extLst>
            <a:ext uri="{FF2B5EF4-FFF2-40B4-BE49-F238E27FC236}">
              <a16:creationId xmlns:a16="http://schemas.microsoft.com/office/drawing/2014/main" id="{00000000-0008-0000-0100-00001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128</xdr:row>
      <xdr:rowOff>0</xdr:rowOff>
    </xdr:from>
    <xdr:ext cx="200025" cy="200025"/>
    <xdr:pic>
      <xdr:nvPicPr>
        <xdr:cNvPr id="538" name="image8.png">
          <a:extLst>
            <a:ext uri="{FF2B5EF4-FFF2-40B4-BE49-F238E27FC236}">
              <a16:creationId xmlns:a16="http://schemas.microsoft.com/office/drawing/2014/main" id="{00000000-0008-0000-0100-00001A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129</xdr:row>
      <xdr:rowOff>0</xdr:rowOff>
    </xdr:from>
    <xdr:ext cx="200025" cy="200025"/>
    <xdr:pic>
      <xdr:nvPicPr>
        <xdr:cNvPr id="539" name="image8.png">
          <a:extLst>
            <a:ext uri="{FF2B5EF4-FFF2-40B4-BE49-F238E27FC236}">
              <a16:creationId xmlns:a16="http://schemas.microsoft.com/office/drawing/2014/main" id="{00000000-0008-0000-0100-00001B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129</xdr:row>
      <xdr:rowOff>0</xdr:rowOff>
    </xdr:from>
    <xdr:ext cx="200025" cy="200025"/>
    <xdr:pic>
      <xdr:nvPicPr>
        <xdr:cNvPr id="540" name="image2.png">
          <a:extLst>
            <a:ext uri="{FF2B5EF4-FFF2-40B4-BE49-F238E27FC236}">
              <a16:creationId xmlns:a16="http://schemas.microsoft.com/office/drawing/2014/main" id="{00000000-0008-0000-0100-00001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129</xdr:row>
      <xdr:rowOff>0</xdr:rowOff>
    </xdr:from>
    <xdr:ext cx="200025" cy="200025"/>
    <xdr:pic>
      <xdr:nvPicPr>
        <xdr:cNvPr id="541" name="image3.png">
          <a:extLst>
            <a:ext uri="{FF2B5EF4-FFF2-40B4-BE49-F238E27FC236}">
              <a16:creationId xmlns:a16="http://schemas.microsoft.com/office/drawing/2014/main" id="{00000000-0008-0000-0100-00001D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129</xdr:row>
      <xdr:rowOff>0</xdr:rowOff>
    </xdr:from>
    <xdr:ext cx="200025" cy="200025"/>
    <xdr:pic>
      <xdr:nvPicPr>
        <xdr:cNvPr id="542" name="image6.png">
          <a:extLst>
            <a:ext uri="{FF2B5EF4-FFF2-40B4-BE49-F238E27FC236}">
              <a16:creationId xmlns:a16="http://schemas.microsoft.com/office/drawing/2014/main" id="{00000000-0008-0000-0100-00001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130</xdr:row>
      <xdr:rowOff>0</xdr:rowOff>
    </xdr:from>
    <xdr:ext cx="200025" cy="200025"/>
    <xdr:pic>
      <xdr:nvPicPr>
        <xdr:cNvPr id="543" name="image1.png">
          <a:extLst>
            <a:ext uri="{FF2B5EF4-FFF2-40B4-BE49-F238E27FC236}">
              <a16:creationId xmlns:a16="http://schemas.microsoft.com/office/drawing/2014/main" id="{00000000-0008-0000-0100-00001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130</xdr:row>
      <xdr:rowOff>0</xdr:rowOff>
    </xdr:from>
    <xdr:ext cx="200025" cy="200025"/>
    <xdr:pic>
      <xdr:nvPicPr>
        <xdr:cNvPr id="544" name="image5.png">
          <a:extLst>
            <a:ext uri="{FF2B5EF4-FFF2-40B4-BE49-F238E27FC236}">
              <a16:creationId xmlns:a16="http://schemas.microsoft.com/office/drawing/2014/main" id="{00000000-0008-0000-0100-000020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130</xdr:row>
      <xdr:rowOff>0</xdr:rowOff>
    </xdr:from>
    <xdr:ext cx="200025" cy="200025"/>
    <xdr:pic>
      <xdr:nvPicPr>
        <xdr:cNvPr id="545" name="image7.png">
          <a:extLst>
            <a:ext uri="{FF2B5EF4-FFF2-40B4-BE49-F238E27FC236}">
              <a16:creationId xmlns:a16="http://schemas.microsoft.com/office/drawing/2014/main" id="{00000000-0008-0000-0100-000021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130</xdr:row>
      <xdr:rowOff>0</xdr:rowOff>
    </xdr:from>
    <xdr:ext cx="200025" cy="200025"/>
    <xdr:pic>
      <xdr:nvPicPr>
        <xdr:cNvPr id="546" name="image12.png">
          <a:extLst>
            <a:ext uri="{FF2B5EF4-FFF2-40B4-BE49-F238E27FC236}">
              <a16:creationId xmlns:a16="http://schemas.microsoft.com/office/drawing/2014/main" id="{00000000-0008-0000-0100-000022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131</xdr:row>
      <xdr:rowOff>0</xdr:rowOff>
    </xdr:from>
    <xdr:ext cx="200025" cy="200025"/>
    <xdr:pic>
      <xdr:nvPicPr>
        <xdr:cNvPr id="547" name="image8.png">
          <a:extLst>
            <a:ext uri="{FF2B5EF4-FFF2-40B4-BE49-F238E27FC236}">
              <a16:creationId xmlns:a16="http://schemas.microsoft.com/office/drawing/2014/main" id="{00000000-0008-0000-0100-00002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131</xdr:row>
      <xdr:rowOff>0</xdr:rowOff>
    </xdr:from>
    <xdr:ext cx="200025" cy="200025"/>
    <xdr:pic>
      <xdr:nvPicPr>
        <xdr:cNvPr id="548" name="image1.png">
          <a:extLst>
            <a:ext uri="{FF2B5EF4-FFF2-40B4-BE49-F238E27FC236}">
              <a16:creationId xmlns:a16="http://schemas.microsoft.com/office/drawing/2014/main" id="{00000000-0008-0000-0100-00002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131</xdr:row>
      <xdr:rowOff>0</xdr:rowOff>
    </xdr:from>
    <xdr:ext cx="200025" cy="200025"/>
    <xdr:pic>
      <xdr:nvPicPr>
        <xdr:cNvPr id="549" name="image5.png">
          <a:extLst>
            <a:ext uri="{FF2B5EF4-FFF2-40B4-BE49-F238E27FC236}">
              <a16:creationId xmlns:a16="http://schemas.microsoft.com/office/drawing/2014/main" id="{00000000-0008-0000-0100-000025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131</xdr:row>
      <xdr:rowOff>0</xdr:rowOff>
    </xdr:from>
    <xdr:ext cx="200025" cy="200025"/>
    <xdr:pic>
      <xdr:nvPicPr>
        <xdr:cNvPr id="550" name="image3.png">
          <a:extLst>
            <a:ext uri="{FF2B5EF4-FFF2-40B4-BE49-F238E27FC236}">
              <a16:creationId xmlns:a16="http://schemas.microsoft.com/office/drawing/2014/main" id="{00000000-0008-0000-0100-000026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131</xdr:row>
      <xdr:rowOff>0</xdr:rowOff>
    </xdr:from>
    <xdr:ext cx="200025" cy="200025"/>
    <xdr:pic>
      <xdr:nvPicPr>
        <xdr:cNvPr id="551" name="image3.png">
          <a:extLst>
            <a:ext uri="{FF2B5EF4-FFF2-40B4-BE49-F238E27FC236}">
              <a16:creationId xmlns:a16="http://schemas.microsoft.com/office/drawing/2014/main" id="{00000000-0008-0000-0100-000027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132</xdr:row>
      <xdr:rowOff>0</xdr:rowOff>
    </xdr:from>
    <xdr:ext cx="200025" cy="200025"/>
    <xdr:pic>
      <xdr:nvPicPr>
        <xdr:cNvPr id="552" name="image9.png">
          <a:extLst>
            <a:ext uri="{FF2B5EF4-FFF2-40B4-BE49-F238E27FC236}">
              <a16:creationId xmlns:a16="http://schemas.microsoft.com/office/drawing/2014/main" id="{00000000-0008-0000-0100-000028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132</xdr:row>
      <xdr:rowOff>0</xdr:rowOff>
    </xdr:from>
    <xdr:ext cx="200025" cy="200025"/>
    <xdr:pic>
      <xdr:nvPicPr>
        <xdr:cNvPr id="553" name="image6.png">
          <a:extLst>
            <a:ext uri="{FF2B5EF4-FFF2-40B4-BE49-F238E27FC236}">
              <a16:creationId xmlns:a16="http://schemas.microsoft.com/office/drawing/2014/main" id="{00000000-0008-0000-0100-000029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132</xdr:row>
      <xdr:rowOff>0</xdr:rowOff>
    </xdr:from>
    <xdr:ext cx="200025" cy="200025"/>
    <xdr:pic>
      <xdr:nvPicPr>
        <xdr:cNvPr id="554" name="image4.png">
          <a:extLst>
            <a:ext uri="{FF2B5EF4-FFF2-40B4-BE49-F238E27FC236}">
              <a16:creationId xmlns:a16="http://schemas.microsoft.com/office/drawing/2014/main" id="{00000000-0008-0000-0100-00002A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132</xdr:row>
      <xdr:rowOff>0</xdr:rowOff>
    </xdr:from>
    <xdr:ext cx="200025" cy="200025"/>
    <xdr:pic>
      <xdr:nvPicPr>
        <xdr:cNvPr id="555" name="image11.png">
          <a:extLst>
            <a:ext uri="{FF2B5EF4-FFF2-40B4-BE49-F238E27FC236}">
              <a16:creationId xmlns:a16="http://schemas.microsoft.com/office/drawing/2014/main" id="{00000000-0008-0000-0100-00002B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133</xdr:row>
      <xdr:rowOff>0</xdr:rowOff>
    </xdr:from>
    <xdr:ext cx="200025" cy="200025"/>
    <xdr:pic>
      <xdr:nvPicPr>
        <xdr:cNvPr id="556" name="image10.png">
          <a:extLst>
            <a:ext uri="{FF2B5EF4-FFF2-40B4-BE49-F238E27FC236}">
              <a16:creationId xmlns:a16="http://schemas.microsoft.com/office/drawing/2014/main" id="{00000000-0008-0000-0100-00002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133</xdr:row>
      <xdr:rowOff>0</xdr:rowOff>
    </xdr:from>
    <xdr:ext cx="200025" cy="200025"/>
    <xdr:pic>
      <xdr:nvPicPr>
        <xdr:cNvPr id="557" name="image2.png">
          <a:extLst>
            <a:ext uri="{FF2B5EF4-FFF2-40B4-BE49-F238E27FC236}">
              <a16:creationId xmlns:a16="http://schemas.microsoft.com/office/drawing/2014/main" id="{00000000-0008-0000-0100-00002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133</xdr:row>
      <xdr:rowOff>0</xdr:rowOff>
    </xdr:from>
    <xdr:ext cx="200025" cy="200025"/>
    <xdr:pic>
      <xdr:nvPicPr>
        <xdr:cNvPr id="558" name="image7.png">
          <a:extLst>
            <a:ext uri="{FF2B5EF4-FFF2-40B4-BE49-F238E27FC236}">
              <a16:creationId xmlns:a16="http://schemas.microsoft.com/office/drawing/2014/main" id="{00000000-0008-0000-0100-00002E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133</xdr:row>
      <xdr:rowOff>0</xdr:rowOff>
    </xdr:from>
    <xdr:ext cx="200025" cy="200025"/>
    <xdr:pic>
      <xdr:nvPicPr>
        <xdr:cNvPr id="559" name="image8.png">
          <a:extLst>
            <a:ext uri="{FF2B5EF4-FFF2-40B4-BE49-F238E27FC236}">
              <a16:creationId xmlns:a16="http://schemas.microsoft.com/office/drawing/2014/main" id="{00000000-0008-0000-0100-00002F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134</xdr:row>
      <xdr:rowOff>0</xdr:rowOff>
    </xdr:from>
    <xdr:ext cx="200025" cy="200025"/>
    <xdr:pic>
      <xdr:nvPicPr>
        <xdr:cNvPr id="560" name="image10.png">
          <a:extLst>
            <a:ext uri="{FF2B5EF4-FFF2-40B4-BE49-F238E27FC236}">
              <a16:creationId xmlns:a16="http://schemas.microsoft.com/office/drawing/2014/main" id="{00000000-0008-0000-0100-00003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134</xdr:row>
      <xdr:rowOff>0</xdr:rowOff>
    </xdr:from>
    <xdr:ext cx="200025" cy="200025"/>
    <xdr:pic>
      <xdr:nvPicPr>
        <xdr:cNvPr id="561" name="image1.png">
          <a:extLst>
            <a:ext uri="{FF2B5EF4-FFF2-40B4-BE49-F238E27FC236}">
              <a16:creationId xmlns:a16="http://schemas.microsoft.com/office/drawing/2014/main" id="{00000000-0008-0000-0100-000031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134</xdr:row>
      <xdr:rowOff>0</xdr:rowOff>
    </xdr:from>
    <xdr:ext cx="200025" cy="200025"/>
    <xdr:pic>
      <xdr:nvPicPr>
        <xdr:cNvPr id="562" name="image11.png">
          <a:extLst>
            <a:ext uri="{FF2B5EF4-FFF2-40B4-BE49-F238E27FC236}">
              <a16:creationId xmlns:a16="http://schemas.microsoft.com/office/drawing/2014/main" id="{00000000-0008-0000-0100-000032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134</xdr:row>
      <xdr:rowOff>0</xdr:rowOff>
    </xdr:from>
    <xdr:ext cx="200025" cy="200025"/>
    <xdr:pic>
      <xdr:nvPicPr>
        <xdr:cNvPr id="563" name="image8.png">
          <a:extLst>
            <a:ext uri="{FF2B5EF4-FFF2-40B4-BE49-F238E27FC236}">
              <a16:creationId xmlns:a16="http://schemas.microsoft.com/office/drawing/2014/main" id="{00000000-0008-0000-0100-00003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135</xdr:row>
      <xdr:rowOff>0</xdr:rowOff>
    </xdr:from>
    <xdr:ext cx="200025" cy="200025"/>
    <xdr:pic>
      <xdr:nvPicPr>
        <xdr:cNvPr id="564" name="image10.png">
          <a:extLst>
            <a:ext uri="{FF2B5EF4-FFF2-40B4-BE49-F238E27FC236}">
              <a16:creationId xmlns:a16="http://schemas.microsoft.com/office/drawing/2014/main" id="{00000000-0008-0000-0100-00003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135</xdr:row>
      <xdr:rowOff>0</xdr:rowOff>
    </xdr:from>
    <xdr:ext cx="200025" cy="200025"/>
    <xdr:pic>
      <xdr:nvPicPr>
        <xdr:cNvPr id="565" name="image1.png">
          <a:extLst>
            <a:ext uri="{FF2B5EF4-FFF2-40B4-BE49-F238E27FC236}">
              <a16:creationId xmlns:a16="http://schemas.microsoft.com/office/drawing/2014/main" id="{00000000-0008-0000-0100-000035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135</xdr:row>
      <xdr:rowOff>0</xdr:rowOff>
    </xdr:from>
    <xdr:ext cx="200025" cy="200025"/>
    <xdr:pic>
      <xdr:nvPicPr>
        <xdr:cNvPr id="566" name="image11.png">
          <a:extLst>
            <a:ext uri="{FF2B5EF4-FFF2-40B4-BE49-F238E27FC236}">
              <a16:creationId xmlns:a16="http://schemas.microsoft.com/office/drawing/2014/main" id="{00000000-0008-0000-0100-000036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135</xdr:row>
      <xdr:rowOff>0</xdr:rowOff>
    </xdr:from>
    <xdr:ext cx="200025" cy="200025"/>
    <xdr:pic>
      <xdr:nvPicPr>
        <xdr:cNvPr id="567" name="image8.png">
          <a:extLst>
            <a:ext uri="{FF2B5EF4-FFF2-40B4-BE49-F238E27FC236}">
              <a16:creationId xmlns:a16="http://schemas.microsoft.com/office/drawing/2014/main" id="{00000000-0008-0000-0100-000037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136</xdr:row>
      <xdr:rowOff>0</xdr:rowOff>
    </xdr:from>
    <xdr:ext cx="200025" cy="200025"/>
    <xdr:pic>
      <xdr:nvPicPr>
        <xdr:cNvPr id="568" name="image8.png">
          <a:extLst>
            <a:ext uri="{FF2B5EF4-FFF2-40B4-BE49-F238E27FC236}">
              <a16:creationId xmlns:a16="http://schemas.microsoft.com/office/drawing/2014/main" id="{00000000-0008-0000-0100-000038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0</xdr:colOff>
      <xdr:row>136</xdr:row>
      <xdr:rowOff>0</xdr:rowOff>
    </xdr:from>
    <xdr:ext cx="200025" cy="200025"/>
    <xdr:pic>
      <xdr:nvPicPr>
        <xdr:cNvPr id="569" name="image3.png">
          <a:extLst>
            <a:ext uri="{FF2B5EF4-FFF2-40B4-BE49-F238E27FC236}">
              <a16:creationId xmlns:a16="http://schemas.microsoft.com/office/drawing/2014/main" id="{00000000-0008-0000-0100-000039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137</xdr:row>
      <xdr:rowOff>0</xdr:rowOff>
    </xdr:from>
    <xdr:ext cx="200025" cy="200025"/>
    <xdr:pic>
      <xdr:nvPicPr>
        <xdr:cNvPr id="570" name="image8.png">
          <a:extLst>
            <a:ext uri="{FF2B5EF4-FFF2-40B4-BE49-F238E27FC236}">
              <a16:creationId xmlns:a16="http://schemas.microsoft.com/office/drawing/2014/main" id="{00000000-0008-0000-0100-00003A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137</xdr:row>
      <xdr:rowOff>0</xdr:rowOff>
    </xdr:from>
    <xdr:ext cx="200025" cy="200025"/>
    <xdr:pic>
      <xdr:nvPicPr>
        <xdr:cNvPr id="571" name="image9.png">
          <a:extLst>
            <a:ext uri="{FF2B5EF4-FFF2-40B4-BE49-F238E27FC236}">
              <a16:creationId xmlns:a16="http://schemas.microsoft.com/office/drawing/2014/main" id="{00000000-0008-0000-0100-00003B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137</xdr:row>
      <xdr:rowOff>0</xdr:rowOff>
    </xdr:from>
    <xdr:ext cx="200025" cy="200025"/>
    <xdr:pic>
      <xdr:nvPicPr>
        <xdr:cNvPr id="572" name="image1.png">
          <a:extLst>
            <a:ext uri="{FF2B5EF4-FFF2-40B4-BE49-F238E27FC236}">
              <a16:creationId xmlns:a16="http://schemas.microsoft.com/office/drawing/2014/main" id="{00000000-0008-0000-0100-00003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137</xdr:row>
      <xdr:rowOff>0</xdr:rowOff>
    </xdr:from>
    <xdr:ext cx="200025" cy="200025"/>
    <xdr:pic>
      <xdr:nvPicPr>
        <xdr:cNvPr id="573" name="image3.png">
          <a:extLst>
            <a:ext uri="{FF2B5EF4-FFF2-40B4-BE49-F238E27FC236}">
              <a16:creationId xmlns:a16="http://schemas.microsoft.com/office/drawing/2014/main" id="{00000000-0008-0000-0100-00003D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137</xdr:row>
      <xdr:rowOff>0</xdr:rowOff>
    </xdr:from>
    <xdr:ext cx="200025" cy="200025"/>
    <xdr:pic>
      <xdr:nvPicPr>
        <xdr:cNvPr id="574" name="image11.png">
          <a:extLst>
            <a:ext uri="{FF2B5EF4-FFF2-40B4-BE49-F238E27FC236}">
              <a16:creationId xmlns:a16="http://schemas.microsoft.com/office/drawing/2014/main" id="{00000000-0008-0000-0100-00003E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137</xdr:row>
      <xdr:rowOff>0</xdr:rowOff>
    </xdr:from>
    <xdr:ext cx="200025" cy="200025"/>
    <xdr:pic>
      <xdr:nvPicPr>
        <xdr:cNvPr id="575" name="image3.png">
          <a:extLst>
            <a:ext uri="{FF2B5EF4-FFF2-40B4-BE49-F238E27FC236}">
              <a16:creationId xmlns:a16="http://schemas.microsoft.com/office/drawing/2014/main" id="{00000000-0008-0000-0100-00003F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138</xdr:row>
      <xdr:rowOff>0</xdr:rowOff>
    </xdr:from>
    <xdr:ext cx="200025" cy="200025"/>
    <xdr:pic>
      <xdr:nvPicPr>
        <xdr:cNvPr id="576" name="image8.png">
          <a:extLst>
            <a:ext uri="{FF2B5EF4-FFF2-40B4-BE49-F238E27FC236}">
              <a16:creationId xmlns:a16="http://schemas.microsoft.com/office/drawing/2014/main" id="{00000000-0008-0000-0100-000040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138</xdr:row>
      <xdr:rowOff>0</xdr:rowOff>
    </xdr:from>
    <xdr:ext cx="200025" cy="200025"/>
    <xdr:pic>
      <xdr:nvPicPr>
        <xdr:cNvPr id="577" name="image2.png">
          <a:extLst>
            <a:ext uri="{FF2B5EF4-FFF2-40B4-BE49-F238E27FC236}">
              <a16:creationId xmlns:a16="http://schemas.microsoft.com/office/drawing/2014/main" id="{00000000-0008-0000-0100-00004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138</xdr:row>
      <xdr:rowOff>0</xdr:rowOff>
    </xdr:from>
    <xdr:ext cx="200025" cy="200025"/>
    <xdr:pic>
      <xdr:nvPicPr>
        <xdr:cNvPr id="578" name="image4.png">
          <a:extLst>
            <a:ext uri="{FF2B5EF4-FFF2-40B4-BE49-F238E27FC236}">
              <a16:creationId xmlns:a16="http://schemas.microsoft.com/office/drawing/2014/main" id="{00000000-0008-0000-0100-000042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138</xdr:row>
      <xdr:rowOff>0</xdr:rowOff>
    </xdr:from>
    <xdr:ext cx="200025" cy="200025"/>
    <xdr:pic>
      <xdr:nvPicPr>
        <xdr:cNvPr id="579" name="image9.png">
          <a:extLst>
            <a:ext uri="{FF2B5EF4-FFF2-40B4-BE49-F238E27FC236}">
              <a16:creationId xmlns:a16="http://schemas.microsoft.com/office/drawing/2014/main" id="{00000000-0008-0000-0100-000043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139</xdr:row>
      <xdr:rowOff>0</xdr:rowOff>
    </xdr:from>
    <xdr:ext cx="200025" cy="200025"/>
    <xdr:pic>
      <xdr:nvPicPr>
        <xdr:cNvPr id="580" name="image8.png">
          <a:extLst>
            <a:ext uri="{FF2B5EF4-FFF2-40B4-BE49-F238E27FC236}">
              <a16:creationId xmlns:a16="http://schemas.microsoft.com/office/drawing/2014/main" id="{00000000-0008-0000-0100-000044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139</xdr:row>
      <xdr:rowOff>0</xdr:rowOff>
    </xdr:from>
    <xdr:ext cx="200025" cy="200025"/>
    <xdr:pic>
      <xdr:nvPicPr>
        <xdr:cNvPr id="581" name="image12.png">
          <a:extLst>
            <a:ext uri="{FF2B5EF4-FFF2-40B4-BE49-F238E27FC236}">
              <a16:creationId xmlns:a16="http://schemas.microsoft.com/office/drawing/2014/main" id="{00000000-0008-0000-0100-000045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139</xdr:row>
      <xdr:rowOff>0</xdr:rowOff>
    </xdr:from>
    <xdr:ext cx="200025" cy="200025"/>
    <xdr:pic>
      <xdr:nvPicPr>
        <xdr:cNvPr id="582" name="image3.png">
          <a:extLst>
            <a:ext uri="{FF2B5EF4-FFF2-40B4-BE49-F238E27FC236}">
              <a16:creationId xmlns:a16="http://schemas.microsoft.com/office/drawing/2014/main" id="{00000000-0008-0000-0100-000046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139</xdr:row>
      <xdr:rowOff>0</xdr:rowOff>
    </xdr:from>
    <xdr:ext cx="200025" cy="200025"/>
    <xdr:pic>
      <xdr:nvPicPr>
        <xdr:cNvPr id="583" name="image10.png">
          <a:extLst>
            <a:ext uri="{FF2B5EF4-FFF2-40B4-BE49-F238E27FC236}">
              <a16:creationId xmlns:a16="http://schemas.microsoft.com/office/drawing/2014/main" id="{00000000-0008-0000-0100-00004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140</xdr:row>
      <xdr:rowOff>0</xdr:rowOff>
    </xdr:from>
    <xdr:ext cx="200025" cy="200025"/>
    <xdr:pic>
      <xdr:nvPicPr>
        <xdr:cNvPr id="584" name="image1.png">
          <a:extLst>
            <a:ext uri="{FF2B5EF4-FFF2-40B4-BE49-F238E27FC236}">
              <a16:creationId xmlns:a16="http://schemas.microsoft.com/office/drawing/2014/main" id="{00000000-0008-0000-0100-00004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140</xdr:row>
      <xdr:rowOff>0</xdr:rowOff>
    </xdr:from>
    <xdr:ext cx="200025" cy="200025"/>
    <xdr:pic>
      <xdr:nvPicPr>
        <xdr:cNvPr id="585" name="image11.png">
          <a:extLst>
            <a:ext uri="{FF2B5EF4-FFF2-40B4-BE49-F238E27FC236}">
              <a16:creationId xmlns:a16="http://schemas.microsoft.com/office/drawing/2014/main" id="{00000000-0008-0000-0100-000049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141</xdr:row>
      <xdr:rowOff>0</xdr:rowOff>
    </xdr:from>
    <xdr:ext cx="200025" cy="200025"/>
    <xdr:pic>
      <xdr:nvPicPr>
        <xdr:cNvPr id="586" name="image9.png">
          <a:extLst>
            <a:ext uri="{FF2B5EF4-FFF2-40B4-BE49-F238E27FC236}">
              <a16:creationId xmlns:a16="http://schemas.microsoft.com/office/drawing/2014/main" id="{00000000-0008-0000-0100-00004A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141</xdr:row>
      <xdr:rowOff>0</xdr:rowOff>
    </xdr:from>
    <xdr:ext cx="200025" cy="200025"/>
    <xdr:pic>
      <xdr:nvPicPr>
        <xdr:cNvPr id="587" name="image12.png">
          <a:extLst>
            <a:ext uri="{FF2B5EF4-FFF2-40B4-BE49-F238E27FC236}">
              <a16:creationId xmlns:a16="http://schemas.microsoft.com/office/drawing/2014/main" id="{00000000-0008-0000-0100-00004B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141</xdr:row>
      <xdr:rowOff>0</xdr:rowOff>
    </xdr:from>
    <xdr:ext cx="200025" cy="200025"/>
    <xdr:pic>
      <xdr:nvPicPr>
        <xdr:cNvPr id="588" name="image11.png">
          <a:extLst>
            <a:ext uri="{FF2B5EF4-FFF2-40B4-BE49-F238E27FC236}">
              <a16:creationId xmlns:a16="http://schemas.microsoft.com/office/drawing/2014/main" id="{00000000-0008-0000-0100-00004C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141</xdr:row>
      <xdr:rowOff>0</xdr:rowOff>
    </xdr:from>
    <xdr:ext cx="200025" cy="200025"/>
    <xdr:pic>
      <xdr:nvPicPr>
        <xdr:cNvPr id="589" name="image8.png">
          <a:extLst>
            <a:ext uri="{FF2B5EF4-FFF2-40B4-BE49-F238E27FC236}">
              <a16:creationId xmlns:a16="http://schemas.microsoft.com/office/drawing/2014/main" id="{00000000-0008-0000-0100-00004D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142</xdr:row>
      <xdr:rowOff>0</xdr:rowOff>
    </xdr:from>
    <xdr:ext cx="200025" cy="200025"/>
    <xdr:pic>
      <xdr:nvPicPr>
        <xdr:cNvPr id="590" name="image9.png">
          <a:extLst>
            <a:ext uri="{FF2B5EF4-FFF2-40B4-BE49-F238E27FC236}">
              <a16:creationId xmlns:a16="http://schemas.microsoft.com/office/drawing/2014/main" id="{00000000-0008-0000-0100-00004E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142</xdr:row>
      <xdr:rowOff>0</xdr:rowOff>
    </xdr:from>
    <xdr:ext cx="200025" cy="200025"/>
    <xdr:pic>
      <xdr:nvPicPr>
        <xdr:cNvPr id="591" name="image7.png">
          <a:extLst>
            <a:ext uri="{FF2B5EF4-FFF2-40B4-BE49-F238E27FC236}">
              <a16:creationId xmlns:a16="http://schemas.microsoft.com/office/drawing/2014/main" id="{00000000-0008-0000-0100-00004F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143</xdr:row>
      <xdr:rowOff>0</xdr:rowOff>
    </xdr:from>
    <xdr:ext cx="200025" cy="200025"/>
    <xdr:pic>
      <xdr:nvPicPr>
        <xdr:cNvPr id="592" name="image8.png">
          <a:extLst>
            <a:ext uri="{FF2B5EF4-FFF2-40B4-BE49-F238E27FC236}">
              <a16:creationId xmlns:a16="http://schemas.microsoft.com/office/drawing/2014/main" id="{00000000-0008-0000-0100-000050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143</xdr:row>
      <xdr:rowOff>0</xdr:rowOff>
    </xdr:from>
    <xdr:ext cx="200025" cy="200025"/>
    <xdr:pic>
      <xdr:nvPicPr>
        <xdr:cNvPr id="593" name="image1.png">
          <a:extLst>
            <a:ext uri="{FF2B5EF4-FFF2-40B4-BE49-F238E27FC236}">
              <a16:creationId xmlns:a16="http://schemas.microsoft.com/office/drawing/2014/main" id="{00000000-0008-0000-0100-000051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143</xdr:row>
      <xdr:rowOff>0</xdr:rowOff>
    </xdr:from>
    <xdr:ext cx="200025" cy="200025"/>
    <xdr:pic>
      <xdr:nvPicPr>
        <xdr:cNvPr id="594" name="image3.png">
          <a:extLst>
            <a:ext uri="{FF2B5EF4-FFF2-40B4-BE49-F238E27FC236}">
              <a16:creationId xmlns:a16="http://schemas.microsoft.com/office/drawing/2014/main" id="{00000000-0008-0000-0100-000052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144</xdr:row>
      <xdr:rowOff>0</xdr:rowOff>
    </xdr:from>
    <xdr:ext cx="200025" cy="200025"/>
    <xdr:pic>
      <xdr:nvPicPr>
        <xdr:cNvPr id="595" name="image8.png">
          <a:extLst>
            <a:ext uri="{FF2B5EF4-FFF2-40B4-BE49-F238E27FC236}">
              <a16:creationId xmlns:a16="http://schemas.microsoft.com/office/drawing/2014/main" id="{00000000-0008-0000-0100-00005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144</xdr:row>
      <xdr:rowOff>0</xdr:rowOff>
    </xdr:from>
    <xdr:ext cx="200025" cy="200025"/>
    <xdr:pic>
      <xdr:nvPicPr>
        <xdr:cNvPr id="596" name="image1.png">
          <a:extLst>
            <a:ext uri="{FF2B5EF4-FFF2-40B4-BE49-F238E27FC236}">
              <a16:creationId xmlns:a16="http://schemas.microsoft.com/office/drawing/2014/main" id="{00000000-0008-0000-0100-00005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144</xdr:row>
      <xdr:rowOff>0</xdr:rowOff>
    </xdr:from>
    <xdr:ext cx="200025" cy="200025"/>
    <xdr:pic>
      <xdr:nvPicPr>
        <xdr:cNvPr id="597" name="image3.png">
          <a:extLst>
            <a:ext uri="{FF2B5EF4-FFF2-40B4-BE49-F238E27FC236}">
              <a16:creationId xmlns:a16="http://schemas.microsoft.com/office/drawing/2014/main" id="{00000000-0008-0000-0100-000055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144</xdr:row>
      <xdr:rowOff>0</xdr:rowOff>
    </xdr:from>
    <xdr:ext cx="200025" cy="200025"/>
    <xdr:pic>
      <xdr:nvPicPr>
        <xdr:cNvPr id="598" name="image12.png">
          <a:extLst>
            <a:ext uri="{FF2B5EF4-FFF2-40B4-BE49-F238E27FC236}">
              <a16:creationId xmlns:a16="http://schemas.microsoft.com/office/drawing/2014/main" id="{00000000-0008-0000-0100-000056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145</xdr:row>
      <xdr:rowOff>0</xdr:rowOff>
    </xdr:from>
    <xdr:ext cx="200025" cy="200025"/>
    <xdr:pic>
      <xdr:nvPicPr>
        <xdr:cNvPr id="599" name="image9.png">
          <a:extLst>
            <a:ext uri="{FF2B5EF4-FFF2-40B4-BE49-F238E27FC236}">
              <a16:creationId xmlns:a16="http://schemas.microsoft.com/office/drawing/2014/main" id="{00000000-0008-0000-0100-000057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145</xdr:row>
      <xdr:rowOff>0</xdr:rowOff>
    </xdr:from>
    <xdr:ext cx="200025" cy="200025"/>
    <xdr:pic>
      <xdr:nvPicPr>
        <xdr:cNvPr id="600" name="image2.png">
          <a:extLst>
            <a:ext uri="{FF2B5EF4-FFF2-40B4-BE49-F238E27FC236}">
              <a16:creationId xmlns:a16="http://schemas.microsoft.com/office/drawing/2014/main" id="{00000000-0008-0000-0100-00005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145</xdr:row>
      <xdr:rowOff>0</xdr:rowOff>
    </xdr:from>
    <xdr:ext cx="200025" cy="200025"/>
    <xdr:pic>
      <xdr:nvPicPr>
        <xdr:cNvPr id="601" name="image4.png">
          <a:extLst>
            <a:ext uri="{FF2B5EF4-FFF2-40B4-BE49-F238E27FC236}">
              <a16:creationId xmlns:a16="http://schemas.microsoft.com/office/drawing/2014/main" id="{00000000-0008-0000-0100-00005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146</xdr:row>
      <xdr:rowOff>0</xdr:rowOff>
    </xdr:from>
    <xdr:ext cx="200025" cy="200025"/>
    <xdr:pic>
      <xdr:nvPicPr>
        <xdr:cNvPr id="602" name="image9.png">
          <a:extLst>
            <a:ext uri="{FF2B5EF4-FFF2-40B4-BE49-F238E27FC236}">
              <a16:creationId xmlns:a16="http://schemas.microsoft.com/office/drawing/2014/main" id="{00000000-0008-0000-0100-00005A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146</xdr:row>
      <xdr:rowOff>0</xdr:rowOff>
    </xdr:from>
    <xdr:ext cx="200025" cy="200025"/>
    <xdr:pic>
      <xdr:nvPicPr>
        <xdr:cNvPr id="603" name="image2.png">
          <a:extLst>
            <a:ext uri="{FF2B5EF4-FFF2-40B4-BE49-F238E27FC236}">
              <a16:creationId xmlns:a16="http://schemas.microsoft.com/office/drawing/2014/main" id="{00000000-0008-0000-0100-00005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146</xdr:row>
      <xdr:rowOff>0</xdr:rowOff>
    </xdr:from>
    <xdr:ext cx="200025" cy="200025"/>
    <xdr:pic>
      <xdr:nvPicPr>
        <xdr:cNvPr id="604" name="image5.png">
          <a:extLst>
            <a:ext uri="{FF2B5EF4-FFF2-40B4-BE49-F238E27FC236}">
              <a16:creationId xmlns:a16="http://schemas.microsoft.com/office/drawing/2014/main" id="{00000000-0008-0000-0100-00005C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146</xdr:row>
      <xdr:rowOff>0</xdr:rowOff>
    </xdr:from>
    <xdr:ext cx="200025" cy="200025"/>
    <xdr:pic>
      <xdr:nvPicPr>
        <xdr:cNvPr id="605" name="image4.png">
          <a:extLst>
            <a:ext uri="{FF2B5EF4-FFF2-40B4-BE49-F238E27FC236}">
              <a16:creationId xmlns:a16="http://schemas.microsoft.com/office/drawing/2014/main" id="{00000000-0008-0000-0100-00005D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146</xdr:row>
      <xdr:rowOff>0</xdr:rowOff>
    </xdr:from>
    <xdr:ext cx="200025" cy="200025"/>
    <xdr:pic>
      <xdr:nvPicPr>
        <xdr:cNvPr id="606" name="image10.png">
          <a:extLst>
            <a:ext uri="{FF2B5EF4-FFF2-40B4-BE49-F238E27FC236}">
              <a16:creationId xmlns:a16="http://schemas.microsoft.com/office/drawing/2014/main" id="{00000000-0008-0000-0100-00005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147</xdr:row>
      <xdr:rowOff>0</xdr:rowOff>
    </xdr:from>
    <xdr:ext cx="200025" cy="200025"/>
    <xdr:pic>
      <xdr:nvPicPr>
        <xdr:cNvPr id="607" name="image10.png">
          <a:extLst>
            <a:ext uri="{FF2B5EF4-FFF2-40B4-BE49-F238E27FC236}">
              <a16:creationId xmlns:a16="http://schemas.microsoft.com/office/drawing/2014/main" id="{00000000-0008-0000-0100-00005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147</xdr:row>
      <xdr:rowOff>0</xdr:rowOff>
    </xdr:from>
    <xdr:ext cx="200025" cy="200025"/>
    <xdr:pic>
      <xdr:nvPicPr>
        <xdr:cNvPr id="608" name="image8.png">
          <a:extLst>
            <a:ext uri="{FF2B5EF4-FFF2-40B4-BE49-F238E27FC236}">
              <a16:creationId xmlns:a16="http://schemas.microsoft.com/office/drawing/2014/main" id="{00000000-0008-0000-0100-000060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147</xdr:row>
      <xdr:rowOff>0</xdr:rowOff>
    </xdr:from>
    <xdr:ext cx="200025" cy="200025"/>
    <xdr:pic>
      <xdr:nvPicPr>
        <xdr:cNvPr id="609" name="image9.png">
          <a:extLst>
            <a:ext uri="{FF2B5EF4-FFF2-40B4-BE49-F238E27FC236}">
              <a16:creationId xmlns:a16="http://schemas.microsoft.com/office/drawing/2014/main" id="{00000000-0008-0000-0100-000061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0</xdr:colOff>
      <xdr:row>147</xdr:row>
      <xdr:rowOff>0</xdr:rowOff>
    </xdr:from>
    <xdr:ext cx="200025" cy="200025"/>
    <xdr:pic>
      <xdr:nvPicPr>
        <xdr:cNvPr id="610" name="image1.png">
          <a:extLst>
            <a:ext uri="{FF2B5EF4-FFF2-40B4-BE49-F238E27FC236}">
              <a16:creationId xmlns:a16="http://schemas.microsoft.com/office/drawing/2014/main" id="{00000000-0008-0000-0100-000062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147</xdr:row>
      <xdr:rowOff>0</xdr:rowOff>
    </xdr:from>
    <xdr:ext cx="200025" cy="200025"/>
    <xdr:pic>
      <xdr:nvPicPr>
        <xdr:cNvPr id="611" name="image2.png">
          <a:extLst>
            <a:ext uri="{FF2B5EF4-FFF2-40B4-BE49-F238E27FC236}">
              <a16:creationId xmlns:a16="http://schemas.microsoft.com/office/drawing/2014/main" id="{00000000-0008-0000-0100-00006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148</xdr:row>
      <xdr:rowOff>0</xdr:rowOff>
    </xdr:from>
    <xdr:ext cx="200025" cy="200025"/>
    <xdr:pic>
      <xdr:nvPicPr>
        <xdr:cNvPr id="612" name="image10.png">
          <a:extLst>
            <a:ext uri="{FF2B5EF4-FFF2-40B4-BE49-F238E27FC236}">
              <a16:creationId xmlns:a16="http://schemas.microsoft.com/office/drawing/2014/main" id="{00000000-0008-0000-0100-00006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148</xdr:row>
      <xdr:rowOff>0</xdr:rowOff>
    </xdr:from>
    <xdr:ext cx="200025" cy="200025"/>
    <xdr:pic>
      <xdr:nvPicPr>
        <xdr:cNvPr id="613" name="image8.png">
          <a:extLst>
            <a:ext uri="{FF2B5EF4-FFF2-40B4-BE49-F238E27FC236}">
              <a16:creationId xmlns:a16="http://schemas.microsoft.com/office/drawing/2014/main" id="{00000000-0008-0000-0100-000065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148</xdr:row>
      <xdr:rowOff>0</xdr:rowOff>
    </xdr:from>
    <xdr:ext cx="200025" cy="200025"/>
    <xdr:pic>
      <xdr:nvPicPr>
        <xdr:cNvPr id="614" name="image9.png">
          <a:extLst>
            <a:ext uri="{FF2B5EF4-FFF2-40B4-BE49-F238E27FC236}">
              <a16:creationId xmlns:a16="http://schemas.microsoft.com/office/drawing/2014/main" id="{00000000-0008-0000-0100-000066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0</xdr:colOff>
      <xdr:row>148</xdr:row>
      <xdr:rowOff>0</xdr:rowOff>
    </xdr:from>
    <xdr:ext cx="200025" cy="200025"/>
    <xdr:pic>
      <xdr:nvPicPr>
        <xdr:cNvPr id="615" name="image1.png">
          <a:extLst>
            <a:ext uri="{FF2B5EF4-FFF2-40B4-BE49-F238E27FC236}">
              <a16:creationId xmlns:a16="http://schemas.microsoft.com/office/drawing/2014/main" id="{00000000-0008-0000-0100-000067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148</xdr:row>
      <xdr:rowOff>0</xdr:rowOff>
    </xdr:from>
    <xdr:ext cx="200025" cy="200025"/>
    <xdr:pic>
      <xdr:nvPicPr>
        <xdr:cNvPr id="616" name="image2.png">
          <a:extLst>
            <a:ext uri="{FF2B5EF4-FFF2-40B4-BE49-F238E27FC236}">
              <a16:creationId xmlns:a16="http://schemas.microsoft.com/office/drawing/2014/main" id="{00000000-0008-0000-0100-00006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149</xdr:row>
      <xdr:rowOff>0</xdr:rowOff>
    </xdr:from>
    <xdr:ext cx="200025" cy="200025"/>
    <xdr:pic>
      <xdr:nvPicPr>
        <xdr:cNvPr id="617" name="image10.png">
          <a:extLst>
            <a:ext uri="{FF2B5EF4-FFF2-40B4-BE49-F238E27FC236}">
              <a16:creationId xmlns:a16="http://schemas.microsoft.com/office/drawing/2014/main" id="{00000000-0008-0000-0100-00006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149</xdr:row>
      <xdr:rowOff>0</xdr:rowOff>
    </xdr:from>
    <xdr:ext cx="200025" cy="200025"/>
    <xdr:pic>
      <xdr:nvPicPr>
        <xdr:cNvPr id="618" name="image8.png">
          <a:extLst>
            <a:ext uri="{FF2B5EF4-FFF2-40B4-BE49-F238E27FC236}">
              <a16:creationId xmlns:a16="http://schemas.microsoft.com/office/drawing/2014/main" id="{00000000-0008-0000-0100-00006A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149</xdr:row>
      <xdr:rowOff>0</xdr:rowOff>
    </xdr:from>
    <xdr:ext cx="200025" cy="200025"/>
    <xdr:pic>
      <xdr:nvPicPr>
        <xdr:cNvPr id="619" name="image2.png">
          <a:extLst>
            <a:ext uri="{FF2B5EF4-FFF2-40B4-BE49-F238E27FC236}">
              <a16:creationId xmlns:a16="http://schemas.microsoft.com/office/drawing/2014/main" id="{00000000-0008-0000-0100-00006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149</xdr:row>
      <xdr:rowOff>0</xdr:rowOff>
    </xdr:from>
    <xdr:ext cx="200025" cy="200025"/>
    <xdr:pic>
      <xdr:nvPicPr>
        <xdr:cNvPr id="620" name="image8.png">
          <a:extLst>
            <a:ext uri="{FF2B5EF4-FFF2-40B4-BE49-F238E27FC236}">
              <a16:creationId xmlns:a16="http://schemas.microsoft.com/office/drawing/2014/main" id="{00000000-0008-0000-0100-00006C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150</xdr:row>
      <xdr:rowOff>0</xdr:rowOff>
    </xdr:from>
    <xdr:ext cx="200025" cy="200025"/>
    <xdr:pic>
      <xdr:nvPicPr>
        <xdr:cNvPr id="621" name="image10.png">
          <a:extLst>
            <a:ext uri="{FF2B5EF4-FFF2-40B4-BE49-F238E27FC236}">
              <a16:creationId xmlns:a16="http://schemas.microsoft.com/office/drawing/2014/main" id="{00000000-0008-0000-0100-00006D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150</xdr:row>
      <xdr:rowOff>0</xdr:rowOff>
    </xdr:from>
    <xdr:ext cx="200025" cy="200025"/>
    <xdr:pic>
      <xdr:nvPicPr>
        <xdr:cNvPr id="622" name="image8.png">
          <a:extLst>
            <a:ext uri="{FF2B5EF4-FFF2-40B4-BE49-F238E27FC236}">
              <a16:creationId xmlns:a16="http://schemas.microsoft.com/office/drawing/2014/main" id="{00000000-0008-0000-0100-00006E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150</xdr:row>
      <xdr:rowOff>0</xdr:rowOff>
    </xdr:from>
    <xdr:ext cx="200025" cy="200025"/>
    <xdr:pic>
      <xdr:nvPicPr>
        <xdr:cNvPr id="623" name="image12.png">
          <a:extLst>
            <a:ext uri="{FF2B5EF4-FFF2-40B4-BE49-F238E27FC236}">
              <a16:creationId xmlns:a16="http://schemas.microsoft.com/office/drawing/2014/main" id="{00000000-0008-0000-0100-00006F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150</xdr:row>
      <xdr:rowOff>0</xdr:rowOff>
    </xdr:from>
    <xdr:ext cx="200025" cy="200025"/>
    <xdr:pic>
      <xdr:nvPicPr>
        <xdr:cNvPr id="624" name="image8.png">
          <a:extLst>
            <a:ext uri="{FF2B5EF4-FFF2-40B4-BE49-F238E27FC236}">
              <a16:creationId xmlns:a16="http://schemas.microsoft.com/office/drawing/2014/main" id="{00000000-0008-0000-0100-000070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151</xdr:row>
      <xdr:rowOff>0</xdr:rowOff>
    </xdr:from>
    <xdr:ext cx="200025" cy="200025"/>
    <xdr:pic>
      <xdr:nvPicPr>
        <xdr:cNvPr id="625" name="image2.png">
          <a:extLst>
            <a:ext uri="{FF2B5EF4-FFF2-40B4-BE49-F238E27FC236}">
              <a16:creationId xmlns:a16="http://schemas.microsoft.com/office/drawing/2014/main" id="{00000000-0008-0000-0100-00007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151</xdr:row>
      <xdr:rowOff>0</xdr:rowOff>
    </xdr:from>
    <xdr:ext cx="200025" cy="200025"/>
    <xdr:pic>
      <xdr:nvPicPr>
        <xdr:cNvPr id="626" name="image6.png">
          <a:extLst>
            <a:ext uri="{FF2B5EF4-FFF2-40B4-BE49-F238E27FC236}">
              <a16:creationId xmlns:a16="http://schemas.microsoft.com/office/drawing/2014/main" id="{00000000-0008-0000-0100-00007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151</xdr:row>
      <xdr:rowOff>0</xdr:rowOff>
    </xdr:from>
    <xdr:ext cx="200025" cy="200025"/>
    <xdr:pic>
      <xdr:nvPicPr>
        <xdr:cNvPr id="627" name="image5.png">
          <a:extLst>
            <a:ext uri="{FF2B5EF4-FFF2-40B4-BE49-F238E27FC236}">
              <a16:creationId xmlns:a16="http://schemas.microsoft.com/office/drawing/2014/main" id="{00000000-0008-0000-0100-000073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151</xdr:row>
      <xdr:rowOff>0</xdr:rowOff>
    </xdr:from>
    <xdr:ext cx="200025" cy="200025"/>
    <xdr:pic>
      <xdr:nvPicPr>
        <xdr:cNvPr id="628" name="image10.png">
          <a:extLst>
            <a:ext uri="{FF2B5EF4-FFF2-40B4-BE49-F238E27FC236}">
              <a16:creationId xmlns:a16="http://schemas.microsoft.com/office/drawing/2014/main" id="{00000000-0008-0000-0100-00007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152</xdr:row>
      <xdr:rowOff>0</xdr:rowOff>
    </xdr:from>
    <xdr:ext cx="200025" cy="200025"/>
    <xdr:pic>
      <xdr:nvPicPr>
        <xdr:cNvPr id="629" name="image10.png">
          <a:extLst>
            <a:ext uri="{FF2B5EF4-FFF2-40B4-BE49-F238E27FC236}">
              <a16:creationId xmlns:a16="http://schemas.microsoft.com/office/drawing/2014/main" id="{00000000-0008-0000-0100-000075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152</xdr:row>
      <xdr:rowOff>0</xdr:rowOff>
    </xdr:from>
    <xdr:ext cx="200025" cy="200025"/>
    <xdr:pic>
      <xdr:nvPicPr>
        <xdr:cNvPr id="630" name="image8.png">
          <a:extLst>
            <a:ext uri="{FF2B5EF4-FFF2-40B4-BE49-F238E27FC236}">
              <a16:creationId xmlns:a16="http://schemas.microsoft.com/office/drawing/2014/main" id="{00000000-0008-0000-0100-000076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152</xdr:row>
      <xdr:rowOff>0</xdr:rowOff>
    </xdr:from>
    <xdr:ext cx="200025" cy="200025"/>
    <xdr:pic>
      <xdr:nvPicPr>
        <xdr:cNvPr id="631" name="image7.png">
          <a:extLst>
            <a:ext uri="{FF2B5EF4-FFF2-40B4-BE49-F238E27FC236}">
              <a16:creationId xmlns:a16="http://schemas.microsoft.com/office/drawing/2014/main" id="{00000000-0008-0000-0100-000077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152</xdr:row>
      <xdr:rowOff>0</xdr:rowOff>
    </xdr:from>
    <xdr:ext cx="200025" cy="200025"/>
    <xdr:pic>
      <xdr:nvPicPr>
        <xdr:cNvPr id="632" name="image8.png">
          <a:extLst>
            <a:ext uri="{FF2B5EF4-FFF2-40B4-BE49-F238E27FC236}">
              <a16:creationId xmlns:a16="http://schemas.microsoft.com/office/drawing/2014/main" id="{00000000-0008-0000-0100-000078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153</xdr:row>
      <xdr:rowOff>0</xdr:rowOff>
    </xdr:from>
    <xdr:ext cx="200025" cy="200025"/>
    <xdr:pic>
      <xdr:nvPicPr>
        <xdr:cNvPr id="633" name="image10.png">
          <a:extLst>
            <a:ext uri="{FF2B5EF4-FFF2-40B4-BE49-F238E27FC236}">
              <a16:creationId xmlns:a16="http://schemas.microsoft.com/office/drawing/2014/main" id="{00000000-0008-0000-0100-00007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153</xdr:row>
      <xdr:rowOff>0</xdr:rowOff>
    </xdr:from>
    <xdr:ext cx="200025" cy="200025"/>
    <xdr:pic>
      <xdr:nvPicPr>
        <xdr:cNvPr id="634" name="image9.png">
          <a:extLst>
            <a:ext uri="{FF2B5EF4-FFF2-40B4-BE49-F238E27FC236}">
              <a16:creationId xmlns:a16="http://schemas.microsoft.com/office/drawing/2014/main" id="{00000000-0008-0000-0100-00007A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153</xdr:row>
      <xdr:rowOff>0</xdr:rowOff>
    </xdr:from>
    <xdr:ext cx="200025" cy="200025"/>
    <xdr:pic>
      <xdr:nvPicPr>
        <xdr:cNvPr id="635" name="image1.png">
          <a:extLst>
            <a:ext uri="{FF2B5EF4-FFF2-40B4-BE49-F238E27FC236}">
              <a16:creationId xmlns:a16="http://schemas.microsoft.com/office/drawing/2014/main" id="{00000000-0008-0000-0100-00007B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153</xdr:row>
      <xdr:rowOff>0</xdr:rowOff>
    </xdr:from>
    <xdr:ext cx="200025" cy="200025"/>
    <xdr:pic>
      <xdr:nvPicPr>
        <xdr:cNvPr id="636" name="image7.png">
          <a:extLst>
            <a:ext uri="{FF2B5EF4-FFF2-40B4-BE49-F238E27FC236}">
              <a16:creationId xmlns:a16="http://schemas.microsoft.com/office/drawing/2014/main" id="{00000000-0008-0000-0100-00007C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153</xdr:row>
      <xdr:rowOff>0</xdr:rowOff>
    </xdr:from>
    <xdr:ext cx="200025" cy="200025"/>
    <xdr:pic>
      <xdr:nvPicPr>
        <xdr:cNvPr id="637" name="image9.png">
          <a:extLst>
            <a:ext uri="{FF2B5EF4-FFF2-40B4-BE49-F238E27FC236}">
              <a16:creationId xmlns:a16="http://schemas.microsoft.com/office/drawing/2014/main" id="{00000000-0008-0000-0100-00007D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154</xdr:row>
      <xdr:rowOff>0</xdr:rowOff>
    </xdr:from>
    <xdr:ext cx="200025" cy="200025"/>
    <xdr:pic>
      <xdr:nvPicPr>
        <xdr:cNvPr id="638" name="image10.png">
          <a:extLst>
            <a:ext uri="{FF2B5EF4-FFF2-40B4-BE49-F238E27FC236}">
              <a16:creationId xmlns:a16="http://schemas.microsoft.com/office/drawing/2014/main" id="{00000000-0008-0000-0100-00007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154</xdr:row>
      <xdr:rowOff>0</xdr:rowOff>
    </xdr:from>
    <xdr:ext cx="200025" cy="200025"/>
    <xdr:pic>
      <xdr:nvPicPr>
        <xdr:cNvPr id="639" name="image9.png">
          <a:extLst>
            <a:ext uri="{FF2B5EF4-FFF2-40B4-BE49-F238E27FC236}">
              <a16:creationId xmlns:a16="http://schemas.microsoft.com/office/drawing/2014/main" id="{00000000-0008-0000-0100-00007F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154</xdr:row>
      <xdr:rowOff>0</xdr:rowOff>
    </xdr:from>
    <xdr:ext cx="200025" cy="200025"/>
    <xdr:pic>
      <xdr:nvPicPr>
        <xdr:cNvPr id="640" name="image1.png">
          <a:extLst>
            <a:ext uri="{FF2B5EF4-FFF2-40B4-BE49-F238E27FC236}">
              <a16:creationId xmlns:a16="http://schemas.microsoft.com/office/drawing/2014/main" id="{00000000-0008-0000-0100-000080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154</xdr:row>
      <xdr:rowOff>0</xdr:rowOff>
    </xdr:from>
    <xdr:ext cx="200025" cy="200025"/>
    <xdr:pic>
      <xdr:nvPicPr>
        <xdr:cNvPr id="641" name="image7.png">
          <a:extLst>
            <a:ext uri="{FF2B5EF4-FFF2-40B4-BE49-F238E27FC236}">
              <a16:creationId xmlns:a16="http://schemas.microsoft.com/office/drawing/2014/main" id="{00000000-0008-0000-0100-000081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154</xdr:row>
      <xdr:rowOff>0</xdr:rowOff>
    </xdr:from>
    <xdr:ext cx="200025" cy="200025"/>
    <xdr:pic>
      <xdr:nvPicPr>
        <xdr:cNvPr id="642" name="image9.png">
          <a:extLst>
            <a:ext uri="{FF2B5EF4-FFF2-40B4-BE49-F238E27FC236}">
              <a16:creationId xmlns:a16="http://schemas.microsoft.com/office/drawing/2014/main" id="{00000000-0008-0000-0100-000082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155</xdr:row>
      <xdr:rowOff>0</xdr:rowOff>
    </xdr:from>
    <xdr:ext cx="200025" cy="200025"/>
    <xdr:pic>
      <xdr:nvPicPr>
        <xdr:cNvPr id="643" name="image8.png">
          <a:extLst>
            <a:ext uri="{FF2B5EF4-FFF2-40B4-BE49-F238E27FC236}">
              <a16:creationId xmlns:a16="http://schemas.microsoft.com/office/drawing/2014/main" id="{00000000-0008-0000-0100-00008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155</xdr:row>
      <xdr:rowOff>0</xdr:rowOff>
    </xdr:from>
    <xdr:ext cx="200025" cy="200025"/>
    <xdr:pic>
      <xdr:nvPicPr>
        <xdr:cNvPr id="644" name="image1.png">
          <a:extLst>
            <a:ext uri="{FF2B5EF4-FFF2-40B4-BE49-F238E27FC236}">
              <a16:creationId xmlns:a16="http://schemas.microsoft.com/office/drawing/2014/main" id="{00000000-0008-0000-0100-00008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155</xdr:row>
      <xdr:rowOff>0</xdr:rowOff>
    </xdr:from>
    <xdr:ext cx="200025" cy="200025"/>
    <xdr:pic>
      <xdr:nvPicPr>
        <xdr:cNvPr id="645" name="image11.png">
          <a:extLst>
            <a:ext uri="{FF2B5EF4-FFF2-40B4-BE49-F238E27FC236}">
              <a16:creationId xmlns:a16="http://schemas.microsoft.com/office/drawing/2014/main" id="{00000000-0008-0000-0100-000085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155</xdr:row>
      <xdr:rowOff>0</xdr:rowOff>
    </xdr:from>
    <xdr:ext cx="200025" cy="200025"/>
    <xdr:pic>
      <xdr:nvPicPr>
        <xdr:cNvPr id="646" name="image9.png">
          <a:extLst>
            <a:ext uri="{FF2B5EF4-FFF2-40B4-BE49-F238E27FC236}">
              <a16:creationId xmlns:a16="http://schemas.microsoft.com/office/drawing/2014/main" id="{00000000-0008-0000-0100-000086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156</xdr:row>
      <xdr:rowOff>0</xdr:rowOff>
    </xdr:from>
    <xdr:ext cx="200025" cy="200025"/>
    <xdr:pic>
      <xdr:nvPicPr>
        <xdr:cNvPr id="647" name="image10.png">
          <a:extLst>
            <a:ext uri="{FF2B5EF4-FFF2-40B4-BE49-F238E27FC236}">
              <a16:creationId xmlns:a16="http://schemas.microsoft.com/office/drawing/2014/main" id="{00000000-0008-0000-0100-00008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156</xdr:row>
      <xdr:rowOff>0</xdr:rowOff>
    </xdr:from>
    <xdr:ext cx="200025" cy="200025"/>
    <xdr:pic>
      <xdr:nvPicPr>
        <xdr:cNvPr id="648" name="image1.png">
          <a:extLst>
            <a:ext uri="{FF2B5EF4-FFF2-40B4-BE49-F238E27FC236}">
              <a16:creationId xmlns:a16="http://schemas.microsoft.com/office/drawing/2014/main" id="{00000000-0008-0000-0100-00008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156</xdr:row>
      <xdr:rowOff>0</xdr:rowOff>
    </xdr:from>
    <xdr:ext cx="200025" cy="200025"/>
    <xdr:pic>
      <xdr:nvPicPr>
        <xdr:cNvPr id="649" name="image3.png">
          <a:extLst>
            <a:ext uri="{FF2B5EF4-FFF2-40B4-BE49-F238E27FC236}">
              <a16:creationId xmlns:a16="http://schemas.microsoft.com/office/drawing/2014/main" id="{00000000-0008-0000-0100-000089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156</xdr:row>
      <xdr:rowOff>0</xdr:rowOff>
    </xdr:from>
    <xdr:ext cx="200025" cy="200025"/>
    <xdr:pic>
      <xdr:nvPicPr>
        <xdr:cNvPr id="650" name="image7.png">
          <a:extLst>
            <a:ext uri="{FF2B5EF4-FFF2-40B4-BE49-F238E27FC236}">
              <a16:creationId xmlns:a16="http://schemas.microsoft.com/office/drawing/2014/main" id="{00000000-0008-0000-0100-00008A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156</xdr:row>
      <xdr:rowOff>0</xdr:rowOff>
    </xdr:from>
    <xdr:ext cx="200025" cy="200025"/>
    <xdr:pic>
      <xdr:nvPicPr>
        <xdr:cNvPr id="651" name="image9.png">
          <a:extLst>
            <a:ext uri="{FF2B5EF4-FFF2-40B4-BE49-F238E27FC236}">
              <a16:creationId xmlns:a16="http://schemas.microsoft.com/office/drawing/2014/main" id="{00000000-0008-0000-0100-00008B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157</xdr:row>
      <xdr:rowOff>0</xdr:rowOff>
    </xdr:from>
    <xdr:ext cx="200025" cy="200025"/>
    <xdr:pic>
      <xdr:nvPicPr>
        <xdr:cNvPr id="652" name="image10.png">
          <a:extLst>
            <a:ext uri="{FF2B5EF4-FFF2-40B4-BE49-F238E27FC236}">
              <a16:creationId xmlns:a16="http://schemas.microsoft.com/office/drawing/2014/main" id="{00000000-0008-0000-0100-00008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157</xdr:row>
      <xdr:rowOff>0</xdr:rowOff>
    </xdr:from>
    <xdr:ext cx="200025" cy="200025"/>
    <xdr:pic>
      <xdr:nvPicPr>
        <xdr:cNvPr id="653" name="image1.png">
          <a:extLst>
            <a:ext uri="{FF2B5EF4-FFF2-40B4-BE49-F238E27FC236}">
              <a16:creationId xmlns:a16="http://schemas.microsoft.com/office/drawing/2014/main" id="{00000000-0008-0000-0100-00008D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157</xdr:row>
      <xdr:rowOff>0</xdr:rowOff>
    </xdr:from>
    <xdr:ext cx="200025" cy="200025"/>
    <xdr:pic>
      <xdr:nvPicPr>
        <xdr:cNvPr id="654" name="image3.png">
          <a:extLst>
            <a:ext uri="{FF2B5EF4-FFF2-40B4-BE49-F238E27FC236}">
              <a16:creationId xmlns:a16="http://schemas.microsoft.com/office/drawing/2014/main" id="{00000000-0008-0000-0100-00008E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157</xdr:row>
      <xdr:rowOff>0</xdr:rowOff>
    </xdr:from>
    <xdr:ext cx="200025" cy="200025"/>
    <xdr:pic>
      <xdr:nvPicPr>
        <xdr:cNvPr id="655" name="image7.png">
          <a:extLst>
            <a:ext uri="{FF2B5EF4-FFF2-40B4-BE49-F238E27FC236}">
              <a16:creationId xmlns:a16="http://schemas.microsoft.com/office/drawing/2014/main" id="{00000000-0008-0000-0100-00008F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157</xdr:row>
      <xdr:rowOff>0</xdr:rowOff>
    </xdr:from>
    <xdr:ext cx="200025" cy="200025"/>
    <xdr:pic>
      <xdr:nvPicPr>
        <xdr:cNvPr id="656" name="image9.png">
          <a:extLst>
            <a:ext uri="{FF2B5EF4-FFF2-40B4-BE49-F238E27FC236}">
              <a16:creationId xmlns:a16="http://schemas.microsoft.com/office/drawing/2014/main" id="{00000000-0008-0000-0100-00009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158</xdr:row>
      <xdr:rowOff>0</xdr:rowOff>
    </xdr:from>
    <xdr:ext cx="200025" cy="200025"/>
    <xdr:pic>
      <xdr:nvPicPr>
        <xdr:cNvPr id="657" name="image8.png">
          <a:extLst>
            <a:ext uri="{FF2B5EF4-FFF2-40B4-BE49-F238E27FC236}">
              <a16:creationId xmlns:a16="http://schemas.microsoft.com/office/drawing/2014/main" id="{00000000-0008-0000-0100-000091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158</xdr:row>
      <xdr:rowOff>0</xdr:rowOff>
    </xdr:from>
    <xdr:ext cx="200025" cy="200025"/>
    <xdr:pic>
      <xdr:nvPicPr>
        <xdr:cNvPr id="658" name="image2.png">
          <a:extLst>
            <a:ext uri="{FF2B5EF4-FFF2-40B4-BE49-F238E27FC236}">
              <a16:creationId xmlns:a16="http://schemas.microsoft.com/office/drawing/2014/main" id="{00000000-0008-0000-0100-00009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158</xdr:row>
      <xdr:rowOff>0</xdr:rowOff>
    </xdr:from>
    <xdr:ext cx="200025" cy="200025"/>
    <xdr:pic>
      <xdr:nvPicPr>
        <xdr:cNvPr id="659" name="image11.png">
          <a:extLst>
            <a:ext uri="{FF2B5EF4-FFF2-40B4-BE49-F238E27FC236}">
              <a16:creationId xmlns:a16="http://schemas.microsoft.com/office/drawing/2014/main" id="{00000000-0008-0000-0100-000093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158</xdr:row>
      <xdr:rowOff>0</xdr:rowOff>
    </xdr:from>
    <xdr:ext cx="200025" cy="200025"/>
    <xdr:pic>
      <xdr:nvPicPr>
        <xdr:cNvPr id="660" name="image9.png">
          <a:extLst>
            <a:ext uri="{FF2B5EF4-FFF2-40B4-BE49-F238E27FC236}">
              <a16:creationId xmlns:a16="http://schemas.microsoft.com/office/drawing/2014/main" id="{00000000-0008-0000-0100-000094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159</xdr:row>
      <xdr:rowOff>0</xdr:rowOff>
    </xdr:from>
    <xdr:ext cx="200025" cy="200025"/>
    <xdr:pic>
      <xdr:nvPicPr>
        <xdr:cNvPr id="661" name="image8.png">
          <a:extLst>
            <a:ext uri="{FF2B5EF4-FFF2-40B4-BE49-F238E27FC236}">
              <a16:creationId xmlns:a16="http://schemas.microsoft.com/office/drawing/2014/main" id="{00000000-0008-0000-0100-000095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159</xdr:row>
      <xdr:rowOff>0</xdr:rowOff>
    </xdr:from>
    <xdr:ext cx="200025" cy="200025"/>
    <xdr:pic>
      <xdr:nvPicPr>
        <xdr:cNvPr id="662" name="image6.png">
          <a:extLst>
            <a:ext uri="{FF2B5EF4-FFF2-40B4-BE49-F238E27FC236}">
              <a16:creationId xmlns:a16="http://schemas.microsoft.com/office/drawing/2014/main" id="{00000000-0008-0000-0100-00009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159</xdr:row>
      <xdr:rowOff>0</xdr:rowOff>
    </xdr:from>
    <xdr:ext cx="200025" cy="200025"/>
    <xdr:pic>
      <xdr:nvPicPr>
        <xdr:cNvPr id="663" name="image4.png">
          <a:extLst>
            <a:ext uri="{FF2B5EF4-FFF2-40B4-BE49-F238E27FC236}">
              <a16:creationId xmlns:a16="http://schemas.microsoft.com/office/drawing/2014/main" id="{00000000-0008-0000-0100-000097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159</xdr:row>
      <xdr:rowOff>0</xdr:rowOff>
    </xdr:from>
    <xdr:ext cx="200025" cy="200025"/>
    <xdr:pic>
      <xdr:nvPicPr>
        <xdr:cNvPr id="664" name="image7.png">
          <a:extLst>
            <a:ext uri="{FF2B5EF4-FFF2-40B4-BE49-F238E27FC236}">
              <a16:creationId xmlns:a16="http://schemas.microsoft.com/office/drawing/2014/main" id="{00000000-0008-0000-0100-000098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159</xdr:row>
      <xdr:rowOff>0</xdr:rowOff>
    </xdr:from>
    <xdr:ext cx="200025" cy="200025"/>
    <xdr:pic>
      <xdr:nvPicPr>
        <xdr:cNvPr id="665" name="image2.png">
          <a:extLst>
            <a:ext uri="{FF2B5EF4-FFF2-40B4-BE49-F238E27FC236}">
              <a16:creationId xmlns:a16="http://schemas.microsoft.com/office/drawing/2014/main" id="{00000000-0008-0000-0100-00009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160</xdr:row>
      <xdr:rowOff>0</xdr:rowOff>
    </xdr:from>
    <xdr:ext cx="200025" cy="200025"/>
    <xdr:pic>
      <xdr:nvPicPr>
        <xdr:cNvPr id="666" name="image8.png">
          <a:extLst>
            <a:ext uri="{FF2B5EF4-FFF2-40B4-BE49-F238E27FC236}">
              <a16:creationId xmlns:a16="http://schemas.microsoft.com/office/drawing/2014/main" id="{00000000-0008-0000-0100-00009A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160</xdr:row>
      <xdr:rowOff>0</xdr:rowOff>
    </xdr:from>
    <xdr:ext cx="200025" cy="200025"/>
    <xdr:pic>
      <xdr:nvPicPr>
        <xdr:cNvPr id="667" name="image6.png">
          <a:extLst>
            <a:ext uri="{FF2B5EF4-FFF2-40B4-BE49-F238E27FC236}">
              <a16:creationId xmlns:a16="http://schemas.microsoft.com/office/drawing/2014/main" id="{00000000-0008-0000-0100-00009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160</xdr:row>
      <xdr:rowOff>0</xdr:rowOff>
    </xdr:from>
    <xdr:ext cx="200025" cy="200025"/>
    <xdr:pic>
      <xdr:nvPicPr>
        <xdr:cNvPr id="668" name="image4.png">
          <a:extLst>
            <a:ext uri="{FF2B5EF4-FFF2-40B4-BE49-F238E27FC236}">
              <a16:creationId xmlns:a16="http://schemas.microsoft.com/office/drawing/2014/main" id="{00000000-0008-0000-0100-00009C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160</xdr:row>
      <xdr:rowOff>0</xdr:rowOff>
    </xdr:from>
    <xdr:ext cx="200025" cy="200025"/>
    <xdr:pic>
      <xdr:nvPicPr>
        <xdr:cNvPr id="669" name="image7.png">
          <a:extLst>
            <a:ext uri="{FF2B5EF4-FFF2-40B4-BE49-F238E27FC236}">
              <a16:creationId xmlns:a16="http://schemas.microsoft.com/office/drawing/2014/main" id="{00000000-0008-0000-0100-00009D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160</xdr:row>
      <xdr:rowOff>0</xdr:rowOff>
    </xdr:from>
    <xdr:ext cx="200025" cy="200025"/>
    <xdr:pic>
      <xdr:nvPicPr>
        <xdr:cNvPr id="670" name="image2.png">
          <a:extLst>
            <a:ext uri="{FF2B5EF4-FFF2-40B4-BE49-F238E27FC236}">
              <a16:creationId xmlns:a16="http://schemas.microsoft.com/office/drawing/2014/main" id="{00000000-0008-0000-0100-00009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161</xdr:row>
      <xdr:rowOff>0</xdr:rowOff>
    </xdr:from>
    <xdr:ext cx="200025" cy="200025"/>
    <xdr:pic>
      <xdr:nvPicPr>
        <xdr:cNvPr id="671" name="image10.png">
          <a:extLst>
            <a:ext uri="{FF2B5EF4-FFF2-40B4-BE49-F238E27FC236}">
              <a16:creationId xmlns:a16="http://schemas.microsoft.com/office/drawing/2014/main" id="{00000000-0008-0000-0100-00009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161</xdr:row>
      <xdr:rowOff>0</xdr:rowOff>
    </xdr:from>
    <xdr:ext cx="200025" cy="200025"/>
    <xdr:pic>
      <xdr:nvPicPr>
        <xdr:cNvPr id="672" name="image9.png">
          <a:extLst>
            <a:ext uri="{FF2B5EF4-FFF2-40B4-BE49-F238E27FC236}">
              <a16:creationId xmlns:a16="http://schemas.microsoft.com/office/drawing/2014/main" id="{00000000-0008-0000-0100-0000A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161</xdr:row>
      <xdr:rowOff>0</xdr:rowOff>
    </xdr:from>
    <xdr:ext cx="200025" cy="200025"/>
    <xdr:pic>
      <xdr:nvPicPr>
        <xdr:cNvPr id="673" name="image11.png">
          <a:extLst>
            <a:ext uri="{FF2B5EF4-FFF2-40B4-BE49-F238E27FC236}">
              <a16:creationId xmlns:a16="http://schemas.microsoft.com/office/drawing/2014/main" id="{00000000-0008-0000-0100-0000A1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161</xdr:row>
      <xdr:rowOff>0</xdr:rowOff>
    </xdr:from>
    <xdr:ext cx="200025" cy="200025"/>
    <xdr:pic>
      <xdr:nvPicPr>
        <xdr:cNvPr id="674" name="image2.png">
          <a:extLst>
            <a:ext uri="{FF2B5EF4-FFF2-40B4-BE49-F238E27FC236}">
              <a16:creationId xmlns:a16="http://schemas.microsoft.com/office/drawing/2014/main" id="{00000000-0008-0000-0100-0000A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162</xdr:row>
      <xdr:rowOff>0</xdr:rowOff>
    </xdr:from>
    <xdr:ext cx="200025" cy="200025"/>
    <xdr:pic>
      <xdr:nvPicPr>
        <xdr:cNvPr id="675" name="image8.png">
          <a:extLst>
            <a:ext uri="{FF2B5EF4-FFF2-40B4-BE49-F238E27FC236}">
              <a16:creationId xmlns:a16="http://schemas.microsoft.com/office/drawing/2014/main" id="{00000000-0008-0000-0100-0000A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162</xdr:row>
      <xdr:rowOff>0</xdr:rowOff>
    </xdr:from>
    <xdr:ext cx="200025" cy="200025"/>
    <xdr:pic>
      <xdr:nvPicPr>
        <xdr:cNvPr id="676" name="image2.png">
          <a:extLst>
            <a:ext uri="{FF2B5EF4-FFF2-40B4-BE49-F238E27FC236}">
              <a16:creationId xmlns:a16="http://schemas.microsoft.com/office/drawing/2014/main" id="{00000000-0008-0000-0100-0000A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162</xdr:row>
      <xdr:rowOff>0</xdr:rowOff>
    </xdr:from>
    <xdr:ext cx="200025" cy="200025"/>
    <xdr:pic>
      <xdr:nvPicPr>
        <xdr:cNvPr id="677" name="image3.png">
          <a:extLst>
            <a:ext uri="{FF2B5EF4-FFF2-40B4-BE49-F238E27FC236}">
              <a16:creationId xmlns:a16="http://schemas.microsoft.com/office/drawing/2014/main" id="{00000000-0008-0000-0100-0000A5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162</xdr:row>
      <xdr:rowOff>0</xdr:rowOff>
    </xdr:from>
    <xdr:ext cx="200025" cy="200025"/>
    <xdr:pic>
      <xdr:nvPicPr>
        <xdr:cNvPr id="678" name="image6.png">
          <a:extLst>
            <a:ext uri="{FF2B5EF4-FFF2-40B4-BE49-F238E27FC236}">
              <a16:creationId xmlns:a16="http://schemas.microsoft.com/office/drawing/2014/main" id="{00000000-0008-0000-0100-0000A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163</xdr:row>
      <xdr:rowOff>0</xdr:rowOff>
    </xdr:from>
    <xdr:ext cx="200025" cy="200025"/>
    <xdr:pic>
      <xdr:nvPicPr>
        <xdr:cNvPr id="679" name="image10.png">
          <a:extLst>
            <a:ext uri="{FF2B5EF4-FFF2-40B4-BE49-F238E27FC236}">
              <a16:creationId xmlns:a16="http://schemas.microsoft.com/office/drawing/2014/main" id="{00000000-0008-0000-0100-0000A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163</xdr:row>
      <xdr:rowOff>0</xdr:rowOff>
    </xdr:from>
    <xdr:ext cx="200025" cy="200025"/>
    <xdr:pic>
      <xdr:nvPicPr>
        <xdr:cNvPr id="680" name="image8.png">
          <a:extLst>
            <a:ext uri="{FF2B5EF4-FFF2-40B4-BE49-F238E27FC236}">
              <a16:creationId xmlns:a16="http://schemas.microsoft.com/office/drawing/2014/main" id="{00000000-0008-0000-0100-0000A8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163</xdr:row>
      <xdr:rowOff>0</xdr:rowOff>
    </xdr:from>
    <xdr:ext cx="200025" cy="200025"/>
    <xdr:pic>
      <xdr:nvPicPr>
        <xdr:cNvPr id="681" name="image1.png">
          <a:extLst>
            <a:ext uri="{FF2B5EF4-FFF2-40B4-BE49-F238E27FC236}">
              <a16:creationId xmlns:a16="http://schemas.microsoft.com/office/drawing/2014/main" id="{00000000-0008-0000-0100-0000A9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163</xdr:row>
      <xdr:rowOff>0</xdr:rowOff>
    </xdr:from>
    <xdr:ext cx="200025" cy="200025"/>
    <xdr:pic>
      <xdr:nvPicPr>
        <xdr:cNvPr id="682" name="image3.png">
          <a:extLst>
            <a:ext uri="{FF2B5EF4-FFF2-40B4-BE49-F238E27FC236}">
              <a16:creationId xmlns:a16="http://schemas.microsoft.com/office/drawing/2014/main" id="{00000000-0008-0000-0100-0000AA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163</xdr:row>
      <xdr:rowOff>0</xdr:rowOff>
    </xdr:from>
    <xdr:ext cx="200025" cy="200025"/>
    <xdr:pic>
      <xdr:nvPicPr>
        <xdr:cNvPr id="683" name="image9.png">
          <a:extLst>
            <a:ext uri="{FF2B5EF4-FFF2-40B4-BE49-F238E27FC236}">
              <a16:creationId xmlns:a16="http://schemas.microsoft.com/office/drawing/2014/main" id="{00000000-0008-0000-0100-0000AB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164</xdr:row>
      <xdr:rowOff>0</xdr:rowOff>
    </xdr:from>
    <xdr:ext cx="200025" cy="200025"/>
    <xdr:pic>
      <xdr:nvPicPr>
        <xdr:cNvPr id="684" name="image8.png">
          <a:extLst>
            <a:ext uri="{FF2B5EF4-FFF2-40B4-BE49-F238E27FC236}">
              <a16:creationId xmlns:a16="http://schemas.microsoft.com/office/drawing/2014/main" id="{00000000-0008-0000-0100-0000AC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164</xdr:row>
      <xdr:rowOff>0</xdr:rowOff>
    </xdr:from>
    <xdr:ext cx="200025" cy="200025"/>
    <xdr:pic>
      <xdr:nvPicPr>
        <xdr:cNvPr id="685" name="image1.png">
          <a:extLst>
            <a:ext uri="{FF2B5EF4-FFF2-40B4-BE49-F238E27FC236}">
              <a16:creationId xmlns:a16="http://schemas.microsoft.com/office/drawing/2014/main" id="{00000000-0008-0000-0100-0000AD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164</xdr:row>
      <xdr:rowOff>0</xdr:rowOff>
    </xdr:from>
    <xdr:ext cx="200025" cy="200025"/>
    <xdr:pic>
      <xdr:nvPicPr>
        <xdr:cNvPr id="686" name="image12.png">
          <a:extLst>
            <a:ext uri="{FF2B5EF4-FFF2-40B4-BE49-F238E27FC236}">
              <a16:creationId xmlns:a16="http://schemas.microsoft.com/office/drawing/2014/main" id="{00000000-0008-0000-0100-0000AE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164</xdr:row>
      <xdr:rowOff>0</xdr:rowOff>
    </xdr:from>
    <xdr:ext cx="200025" cy="200025"/>
    <xdr:pic>
      <xdr:nvPicPr>
        <xdr:cNvPr id="687" name="image3.png">
          <a:extLst>
            <a:ext uri="{FF2B5EF4-FFF2-40B4-BE49-F238E27FC236}">
              <a16:creationId xmlns:a16="http://schemas.microsoft.com/office/drawing/2014/main" id="{00000000-0008-0000-0100-0000AF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164</xdr:row>
      <xdr:rowOff>0</xdr:rowOff>
    </xdr:from>
    <xdr:ext cx="200025" cy="200025"/>
    <xdr:pic>
      <xdr:nvPicPr>
        <xdr:cNvPr id="688" name="image10.png">
          <a:extLst>
            <a:ext uri="{FF2B5EF4-FFF2-40B4-BE49-F238E27FC236}">
              <a16:creationId xmlns:a16="http://schemas.microsoft.com/office/drawing/2014/main" id="{00000000-0008-0000-0100-0000B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165</xdr:row>
      <xdr:rowOff>0</xdr:rowOff>
    </xdr:from>
    <xdr:ext cx="200025" cy="200025"/>
    <xdr:pic>
      <xdr:nvPicPr>
        <xdr:cNvPr id="689" name="image8.png">
          <a:extLst>
            <a:ext uri="{FF2B5EF4-FFF2-40B4-BE49-F238E27FC236}">
              <a16:creationId xmlns:a16="http://schemas.microsoft.com/office/drawing/2014/main" id="{00000000-0008-0000-0100-0000B1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165</xdr:row>
      <xdr:rowOff>0</xdr:rowOff>
    </xdr:from>
    <xdr:ext cx="200025" cy="200025"/>
    <xdr:pic>
      <xdr:nvPicPr>
        <xdr:cNvPr id="690" name="image1.png">
          <a:extLst>
            <a:ext uri="{FF2B5EF4-FFF2-40B4-BE49-F238E27FC236}">
              <a16:creationId xmlns:a16="http://schemas.microsoft.com/office/drawing/2014/main" id="{00000000-0008-0000-0100-0000B2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165</xdr:row>
      <xdr:rowOff>0</xdr:rowOff>
    </xdr:from>
    <xdr:ext cx="200025" cy="200025"/>
    <xdr:pic>
      <xdr:nvPicPr>
        <xdr:cNvPr id="691" name="image4.png">
          <a:extLst>
            <a:ext uri="{FF2B5EF4-FFF2-40B4-BE49-F238E27FC236}">
              <a16:creationId xmlns:a16="http://schemas.microsoft.com/office/drawing/2014/main" id="{00000000-0008-0000-0100-0000B3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165</xdr:row>
      <xdr:rowOff>0</xdr:rowOff>
    </xdr:from>
    <xdr:ext cx="200025" cy="200025"/>
    <xdr:pic>
      <xdr:nvPicPr>
        <xdr:cNvPr id="692" name="image3.png">
          <a:extLst>
            <a:ext uri="{FF2B5EF4-FFF2-40B4-BE49-F238E27FC236}">
              <a16:creationId xmlns:a16="http://schemas.microsoft.com/office/drawing/2014/main" id="{00000000-0008-0000-0100-0000B4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166</xdr:row>
      <xdr:rowOff>0</xdr:rowOff>
    </xdr:from>
    <xdr:ext cx="200025" cy="200025"/>
    <xdr:pic>
      <xdr:nvPicPr>
        <xdr:cNvPr id="693" name="image8.png">
          <a:extLst>
            <a:ext uri="{FF2B5EF4-FFF2-40B4-BE49-F238E27FC236}">
              <a16:creationId xmlns:a16="http://schemas.microsoft.com/office/drawing/2014/main" id="{00000000-0008-0000-0100-0000B5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166</xdr:row>
      <xdr:rowOff>0</xdr:rowOff>
    </xdr:from>
    <xdr:ext cx="200025" cy="200025"/>
    <xdr:pic>
      <xdr:nvPicPr>
        <xdr:cNvPr id="694" name="image1.png">
          <a:extLst>
            <a:ext uri="{FF2B5EF4-FFF2-40B4-BE49-F238E27FC236}">
              <a16:creationId xmlns:a16="http://schemas.microsoft.com/office/drawing/2014/main" id="{00000000-0008-0000-0100-0000B6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166</xdr:row>
      <xdr:rowOff>0</xdr:rowOff>
    </xdr:from>
    <xdr:ext cx="200025" cy="200025"/>
    <xdr:pic>
      <xdr:nvPicPr>
        <xdr:cNvPr id="695" name="image12.png">
          <a:extLst>
            <a:ext uri="{FF2B5EF4-FFF2-40B4-BE49-F238E27FC236}">
              <a16:creationId xmlns:a16="http://schemas.microsoft.com/office/drawing/2014/main" id="{00000000-0008-0000-0100-0000B7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166</xdr:row>
      <xdr:rowOff>0</xdr:rowOff>
    </xdr:from>
    <xdr:ext cx="200025" cy="200025"/>
    <xdr:pic>
      <xdr:nvPicPr>
        <xdr:cNvPr id="696" name="image3.png">
          <a:extLst>
            <a:ext uri="{FF2B5EF4-FFF2-40B4-BE49-F238E27FC236}">
              <a16:creationId xmlns:a16="http://schemas.microsoft.com/office/drawing/2014/main" id="{00000000-0008-0000-0100-0000B8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166</xdr:row>
      <xdr:rowOff>0</xdr:rowOff>
    </xdr:from>
    <xdr:ext cx="200025" cy="200025"/>
    <xdr:pic>
      <xdr:nvPicPr>
        <xdr:cNvPr id="697" name="image10.png">
          <a:extLst>
            <a:ext uri="{FF2B5EF4-FFF2-40B4-BE49-F238E27FC236}">
              <a16:creationId xmlns:a16="http://schemas.microsoft.com/office/drawing/2014/main" id="{00000000-0008-0000-0100-0000B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167</xdr:row>
      <xdr:rowOff>0</xdr:rowOff>
    </xdr:from>
    <xdr:ext cx="200025" cy="200025"/>
    <xdr:pic>
      <xdr:nvPicPr>
        <xdr:cNvPr id="698" name="image8.png">
          <a:extLst>
            <a:ext uri="{FF2B5EF4-FFF2-40B4-BE49-F238E27FC236}">
              <a16:creationId xmlns:a16="http://schemas.microsoft.com/office/drawing/2014/main" id="{00000000-0008-0000-0100-0000BA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167</xdr:row>
      <xdr:rowOff>0</xdr:rowOff>
    </xdr:from>
    <xdr:ext cx="200025" cy="200025"/>
    <xdr:pic>
      <xdr:nvPicPr>
        <xdr:cNvPr id="699" name="image1.png">
          <a:extLst>
            <a:ext uri="{FF2B5EF4-FFF2-40B4-BE49-F238E27FC236}">
              <a16:creationId xmlns:a16="http://schemas.microsoft.com/office/drawing/2014/main" id="{00000000-0008-0000-0100-0000BB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167</xdr:row>
      <xdr:rowOff>0</xdr:rowOff>
    </xdr:from>
    <xdr:ext cx="200025" cy="200025"/>
    <xdr:pic>
      <xdr:nvPicPr>
        <xdr:cNvPr id="700" name="image4.png">
          <a:extLst>
            <a:ext uri="{FF2B5EF4-FFF2-40B4-BE49-F238E27FC236}">
              <a16:creationId xmlns:a16="http://schemas.microsoft.com/office/drawing/2014/main" id="{00000000-0008-0000-0100-0000BC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167</xdr:row>
      <xdr:rowOff>0</xdr:rowOff>
    </xdr:from>
    <xdr:ext cx="200025" cy="200025"/>
    <xdr:pic>
      <xdr:nvPicPr>
        <xdr:cNvPr id="701" name="image3.png">
          <a:extLst>
            <a:ext uri="{FF2B5EF4-FFF2-40B4-BE49-F238E27FC236}">
              <a16:creationId xmlns:a16="http://schemas.microsoft.com/office/drawing/2014/main" id="{00000000-0008-0000-0100-0000BD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168</xdr:row>
      <xdr:rowOff>0</xdr:rowOff>
    </xdr:from>
    <xdr:ext cx="200025" cy="200025"/>
    <xdr:pic>
      <xdr:nvPicPr>
        <xdr:cNvPr id="702" name="image8.png">
          <a:extLst>
            <a:ext uri="{FF2B5EF4-FFF2-40B4-BE49-F238E27FC236}">
              <a16:creationId xmlns:a16="http://schemas.microsoft.com/office/drawing/2014/main" id="{00000000-0008-0000-0100-0000BE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168</xdr:row>
      <xdr:rowOff>0</xdr:rowOff>
    </xdr:from>
    <xdr:ext cx="200025" cy="200025"/>
    <xdr:pic>
      <xdr:nvPicPr>
        <xdr:cNvPr id="703" name="image1.png">
          <a:extLst>
            <a:ext uri="{FF2B5EF4-FFF2-40B4-BE49-F238E27FC236}">
              <a16:creationId xmlns:a16="http://schemas.microsoft.com/office/drawing/2014/main" id="{00000000-0008-0000-0100-0000B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168</xdr:row>
      <xdr:rowOff>0</xdr:rowOff>
    </xdr:from>
    <xdr:ext cx="200025" cy="200025"/>
    <xdr:pic>
      <xdr:nvPicPr>
        <xdr:cNvPr id="704" name="image6.png">
          <a:extLst>
            <a:ext uri="{FF2B5EF4-FFF2-40B4-BE49-F238E27FC236}">
              <a16:creationId xmlns:a16="http://schemas.microsoft.com/office/drawing/2014/main" id="{00000000-0008-0000-0100-0000C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168</xdr:row>
      <xdr:rowOff>0</xdr:rowOff>
    </xdr:from>
    <xdr:ext cx="200025" cy="200025"/>
    <xdr:pic>
      <xdr:nvPicPr>
        <xdr:cNvPr id="705" name="image5.png">
          <a:extLst>
            <a:ext uri="{FF2B5EF4-FFF2-40B4-BE49-F238E27FC236}">
              <a16:creationId xmlns:a16="http://schemas.microsoft.com/office/drawing/2014/main" id="{00000000-0008-0000-0100-0000C1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168</xdr:row>
      <xdr:rowOff>0</xdr:rowOff>
    </xdr:from>
    <xdr:ext cx="200025" cy="200025"/>
    <xdr:pic>
      <xdr:nvPicPr>
        <xdr:cNvPr id="706" name="image12.png">
          <a:extLst>
            <a:ext uri="{FF2B5EF4-FFF2-40B4-BE49-F238E27FC236}">
              <a16:creationId xmlns:a16="http://schemas.microsoft.com/office/drawing/2014/main" id="{00000000-0008-0000-0100-0000C2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169</xdr:row>
      <xdr:rowOff>0</xdr:rowOff>
    </xdr:from>
    <xdr:ext cx="200025" cy="200025"/>
    <xdr:pic>
      <xdr:nvPicPr>
        <xdr:cNvPr id="707" name="image8.png">
          <a:extLst>
            <a:ext uri="{FF2B5EF4-FFF2-40B4-BE49-F238E27FC236}">
              <a16:creationId xmlns:a16="http://schemas.microsoft.com/office/drawing/2014/main" id="{00000000-0008-0000-0100-0000C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169</xdr:row>
      <xdr:rowOff>0</xdr:rowOff>
    </xdr:from>
    <xdr:ext cx="200025" cy="200025"/>
    <xdr:pic>
      <xdr:nvPicPr>
        <xdr:cNvPr id="708" name="image1.png">
          <a:extLst>
            <a:ext uri="{FF2B5EF4-FFF2-40B4-BE49-F238E27FC236}">
              <a16:creationId xmlns:a16="http://schemas.microsoft.com/office/drawing/2014/main" id="{00000000-0008-0000-0100-0000C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169</xdr:row>
      <xdr:rowOff>0</xdr:rowOff>
    </xdr:from>
    <xdr:ext cx="200025" cy="200025"/>
    <xdr:pic>
      <xdr:nvPicPr>
        <xdr:cNvPr id="709" name="image5.png">
          <a:extLst>
            <a:ext uri="{FF2B5EF4-FFF2-40B4-BE49-F238E27FC236}">
              <a16:creationId xmlns:a16="http://schemas.microsoft.com/office/drawing/2014/main" id="{00000000-0008-0000-0100-0000C5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169</xdr:row>
      <xdr:rowOff>0</xdr:rowOff>
    </xdr:from>
    <xdr:ext cx="200025" cy="200025"/>
    <xdr:pic>
      <xdr:nvPicPr>
        <xdr:cNvPr id="710" name="image12.png">
          <a:extLst>
            <a:ext uri="{FF2B5EF4-FFF2-40B4-BE49-F238E27FC236}">
              <a16:creationId xmlns:a16="http://schemas.microsoft.com/office/drawing/2014/main" id="{00000000-0008-0000-0100-0000C6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170</xdr:row>
      <xdr:rowOff>0</xdr:rowOff>
    </xdr:from>
    <xdr:ext cx="200025" cy="200025"/>
    <xdr:pic>
      <xdr:nvPicPr>
        <xdr:cNvPr id="711" name="image5.png">
          <a:extLst>
            <a:ext uri="{FF2B5EF4-FFF2-40B4-BE49-F238E27FC236}">
              <a16:creationId xmlns:a16="http://schemas.microsoft.com/office/drawing/2014/main" id="{00000000-0008-0000-0100-0000C7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170</xdr:row>
      <xdr:rowOff>0</xdr:rowOff>
    </xdr:from>
    <xdr:ext cx="200025" cy="200025"/>
    <xdr:pic>
      <xdr:nvPicPr>
        <xdr:cNvPr id="712" name="image4.png">
          <a:extLst>
            <a:ext uri="{FF2B5EF4-FFF2-40B4-BE49-F238E27FC236}">
              <a16:creationId xmlns:a16="http://schemas.microsoft.com/office/drawing/2014/main" id="{00000000-0008-0000-0100-0000C8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170</xdr:row>
      <xdr:rowOff>0</xdr:rowOff>
    </xdr:from>
    <xdr:ext cx="200025" cy="200025"/>
    <xdr:pic>
      <xdr:nvPicPr>
        <xdr:cNvPr id="713" name="image12.png">
          <a:extLst>
            <a:ext uri="{FF2B5EF4-FFF2-40B4-BE49-F238E27FC236}">
              <a16:creationId xmlns:a16="http://schemas.microsoft.com/office/drawing/2014/main" id="{00000000-0008-0000-0100-0000C9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171</xdr:row>
      <xdr:rowOff>0</xdr:rowOff>
    </xdr:from>
    <xdr:ext cx="200025" cy="200025"/>
    <xdr:pic>
      <xdr:nvPicPr>
        <xdr:cNvPr id="714" name="image10.png">
          <a:extLst>
            <a:ext uri="{FF2B5EF4-FFF2-40B4-BE49-F238E27FC236}">
              <a16:creationId xmlns:a16="http://schemas.microsoft.com/office/drawing/2014/main" id="{00000000-0008-0000-0100-0000CA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171</xdr:row>
      <xdr:rowOff>0</xdr:rowOff>
    </xdr:from>
    <xdr:ext cx="200025" cy="200025"/>
    <xdr:pic>
      <xdr:nvPicPr>
        <xdr:cNvPr id="715" name="image9.png">
          <a:extLst>
            <a:ext uri="{FF2B5EF4-FFF2-40B4-BE49-F238E27FC236}">
              <a16:creationId xmlns:a16="http://schemas.microsoft.com/office/drawing/2014/main" id="{00000000-0008-0000-0100-0000CB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171</xdr:row>
      <xdr:rowOff>0</xdr:rowOff>
    </xdr:from>
    <xdr:ext cx="200025" cy="200025"/>
    <xdr:pic>
      <xdr:nvPicPr>
        <xdr:cNvPr id="716" name="image1.png">
          <a:extLst>
            <a:ext uri="{FF2B5EF4-FFF2-40B4-BE49-F238E27FC236}">
              <a16:creationId xmlns:a16="http://schemas.microsoft.com/office/drawing/2014/main" id="{00000000-0008-0000-0100-0000C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171</xdr:row>
      <xdr:rowOff>0</xdr:rowOff>
    </xdr:from>
    <xdr:ext cx="200025" cy="200025"/>
    <xdr:pic>
      <xdr:nvPicPr>
        <xdr:cNvPr id="717" name="image5.png">
          <a:extLst>
            <a:ext uri="{FF2B5EF4-FFF2-40B4-BE49-F238E27FC236}">
              <a16:creationId xmlns:a16="http://schemas.microsoft.com/office/drawing/2014/main" id="{00000000-0008-0000-0100-0000CD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171</xdr:row>
      <xdr:rowOff>0</xdr:rowOff>
    </xdr:from>
    <xdr:ext cx="200025" cy="200025"/>
    <xdr:pic>
      <xdr:nvPicPr>
        <xdr:cNvPr id="718" name="image12.png">
          <a:extLst>
            <a:ext uri="{FF2B5EF4-FFF2-40B4-BE49-F238E27FC236}">
              <a16:creationId xmlns:a16="http://schemas.microsoft.com/office/drawing/2014/main" id="{00000000-0008-0000-0100-0000CE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172</xdr:row>
      <xdr:rowOff>0</xdr:rowOff>
    </xdr:from>
    <xdr:ext cx="200025" cy="200025"/>
    <xdr:pic>
      <xdr:nvPicPr>
        <xdr:cNvPr id="719" name="image10.png">
          <a:extLst>
            <a:ext uri="{FF2B5EF4-FFF2-40B4-BE49-F238E27FC236}">
              <a16:creationId xmlns:a16="http://schemas.microsoft.com/office/drawing/2014/main" id="{00000000-0008-0000-0100-0000C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172</xdr:row>
      <xdr:rowOff>0</xdr:rowOff>
    </xdr:from>
    <xdr:ext cx="200025" cy="200025"/>
    <xdr:pic>
      <xdr:nvPicPr>
        <xdr:cNvPr id="720" name="image9.png">
          <a:extLst>
            <a:ext uri="{FF2B5EF4-FFF2-40B4-BE49-F238E27FC236}">
              <a16:creationId xmlns:a16="http://schemas.microsoft.com/office/drawing/2014/main" id="{00000000-0008-0000-0100-0000D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172</xdr:row>
      <xdr:rowOff>0</xdr:rowOff>
    </xdr:from>
    <xdr:ext cx="200025" cy="200025"/>
    <xdr:pic>
      <xdr:nvPicPr>
        <xdr:cNvPr id="721" name="image1.png">
          <a:extLst>
            <a:ext uri="{FF2B5EF4-FFF2-40B4-BE49-F238E27FC236}">
              <a16:creationId xmlns:a16="http://schemas.microsoft.com/office/drawing/2014/main" id="{00000000-0008-0000-0100-0000D1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172</xdr:row>
      <xdr:rowOff>0</xdr:rowOff>
    </xdr:from>
    <xdr:ext cx="200025" cy="200025"/>
    <xdr:pic>
      <xdr:nvPicPr>
        <xdr:cNvPr id="722" name="image5.png">
          <a:extLst>
            <a:ext uri="{FF2B5EF4-FFF2-40B4-BE49-F238E27FC236}">
              <a16:creationId xmlns:a16="http://schemas.microsoft.com/office/drawing/2014/main" id="{00000000-0008-0000-0100-0000D2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172</xdr:row>
      <xdr:rowOff>0</xdr:rowOff>
    </xdr:from>
    <xdr:ext cx="200025" cy="200025"/>
    <xdr:pic>
      <xdr:nvPicPr>
        <xdr:cNvPr id="723" name="image12.png">
          <a:extLst>
            <a:ext uri="{FF2B5EF4-FFF2-40B4-BE49-F238E27FC236}">
              <a16:creationId xmlns:a16="http://schemas.microsoft.com/office/drawing/2014/main" id="{00000000-0008-0000-0100-0000D3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173</xdr:row>
      <xdr:rowOff>0</xdr:rowOff>
    </xdr:from>
    <xdr:ext cx="200025" cy="200025"/>
    <xdr:pic>
      <xdr:nvPicPr>
        <xdr:cNvPr id="724" name="image8.png">
          <a:extLst>
            <a:ext uri="{FF2B5EF4-FFF2-40B4-BE49-F238E27FC236}">
              <a16:creationId xmlns:a16="http://schemas.microsoft.com/office/drawing/2014/main" id="{00000000-0008-0000-0100-0000D4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173</xdr:row>
      <xdr:rowOff>0</xdr:rowOff>
    </xdr:from>
    <xdr:ext cx="200025" cy="200025"/>
    <xdr:pic>
      <xdr:nvPicPr>
        <xdr:cNvPr id="725" name="image9.png">
          <a:extLst>
            <a:ext uri="{FF2B5EF4-FFF2-40B4-BE49-F238E27FC236}">
              <a16:creationId xmlns:a16="http://schemas.microsoft.com/office/drawing/2014/main" id="{00000000-0008-0000-0100-0000D5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173</xdr:row>
      <xdr:rowOff>0</xdr:rowOff>
    </xdr:from>
    <xdr:ext cx="200025" cy="200025"/>
    <xdr:pic>
      <xdr:nvPicPr>
        <xdr:cNvPr id="726" name="image5.png">
          <a:extLst>
            <a:ext uri="{FF2B5EF4-FFF2-40B4-BE49-F238E27FC236}">
              <a16:creationId xmlns:a16="http://schemas.microsoft.com/office/drawing/2014/main" id="{00000000-0008-0000-0100-0000D6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173</xdr:row>
      <xdr:rowOff>0</xdr:rowOff>
    </xdr:from>
    <xdr:ext cx="200025" cy="200025"/>
    <xdr:pic>
      <xdr:nvPicPr>
        <xdr:cNvPr id="727" name="image10.png">
          <a:extLst>
            <a:ext uri="{FF2B5EF4-FFF2-40B4-BE49-F238E27FC236}">
              <a16:creationId xmlns:a16="http://schemas.microsoft.com/office/drawing/2014/main" id="{00000000-0008-0000-0100-0000D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174</xdr:row>
      <xdr:rowOff>0</xdr:rowOff>
    </xdr:from>
    <xdr:ext cx="200025" cy="200025"/>
    <xdr:pic>
      <xdr:nvPicPr>
        <xdr:cNvPr id="728" name="image8.png">
          <a:extLst>
            <a:ext uri="{FF2B5EF4-FFF2-40B4-BE49-F238E27FC236}">
              <a16:creationId xmlns:a16="http://schemas.microsoft.com/office/drawing/2014/main" id="{00000000-0008-0000-0100-0000D8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174</xdr:row>
      <xdr:rowOff>0</xdr:rowOff>
    </xdr:from>
    <xdr:ext cx="200025" cy="200025"/>
    <xdr:pic>
      <xdr:nvPicPr>
        <xdr:cNvPr id="729" name="image9.png">
          <a:extLst>
            <a:ext uri="{FF2B5EF4-FFF2-40B4-BE49-F238E27FC236}">
              <a16:creationId xmlns:a16="http://schemas.microsoft.com/office/drawing/2014/main" id="{00000000-0008-0000-0100-0000D9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174</xdr:row>
      <xdr:rowOff>0</xdr:rowOff>
    </xdr:from>
    <xdr:ext cx="200025" cy="200025"/>
    <xdr:pic>
      <xdr:nvPicPr>
        <xdr:cNvPr id="730" name="image5.png">
          <a:extLst>
            <a:ext uri="{FF2B5EF4-FFF2-40B4-BE49-F238E27FC236}">
              <a16:creationId xmlns:a16="http://schemas.microsoft.com/office/drawing/2014/main" id="{00000000-0008-0000-0100-0000DA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174</xdr:row>
      <xdr:rowOff>0</xdr:rowOff>
    </xdr:from>
    <xdr:ext cx="200025" cy="200025"/>
    <xdr:pic>
      <xdr:nvPicPr>
        <xdr:cNvPr id="731" name="image10.png">
          <a:extLst>
            <a:ext uri="{FF2B5EF4-FFF2-40B4-BE49-F238E27FC236}">
              <a16:creationId xmlns:a16="http://schemas.microsoft.com/office/drawing/2014/main" id="{00000000-0008-0000-0100-0000DB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175</xdr:row>
      <xdr:rowOff>0</xdr:rowOff>
    </xdr:from>
    <xdr:ext cx="200025" cy="200025"/>
    <xdr:pic>
      <xdr:nvPicPr>
        <xdr:cNvPr id="732" name="image1.png">
          <a:extLst>
            <a:ext uri="{FF2B5EF4-FFF2-40B4-BE49-F238E27FC236}">
              <a16:creationId xmlns:a16="http://schemas.microsoft.com/office/drawing/2014/main" id="{00000000-0008-0000-0100-0000D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175</xdr:row>
      <xdr:rowOff>0</xdr:rowOff>
    </xdr:from>
    <xdr:ext cx="200025" cy="200025"/>
    <xdr:pic>
      <xdr:nvPicPr>
        <xdr:cNvPr id="733" name="image6.png">
          <a:extLst>
            <a:ext uri="{FF2B5EF4-FFF2-40B4-BE49-F238E27FC236}">
              <a16:creationId xmlns:a16="http://schemas.microsoft.com/office/drawing/2014/main" id="{00000000-0008-0000-0100-0000D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175</xdr:row>
      <xdr:rowOff>0</xdr:rowOff>
    </xdr:from>
    <xdr:ext cx="200025" cy="200025"/>
    <xdr:pic>
      <xdr:nvPicPr>
        <xdr:cNvPr id="734" name="image11.png">
          <a:extLst>
            <a:ext uri="{FF2B5EF4-FFF2-40B4-BE49-F238E27FC236}">
              <a16:creationId xmlns:a16="http://schemas.microsoft.com/office/drawing/2014/main" id="{00000000-0008-0000-0100-0000DE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175</xdr:row>
      <xdr:rowOff>0</xdr:rowOff>
    </xdr:from>
    <xdr:ext cx="200025" cy="200025"/>
    <xdr:pic>
      <xdr:nvPicPr>
        <xdr:cNvPr id="735" name="image10.png">
          <a:extLst>
            <a:ext uri="{FF2B5EF4-FFF2-40B4-BE49-F238E27FC236}">
              <a16:creationId xmlns:a16="http://schemas.microsoft.com/office/drawing/2014/main" id="{00000000-0008-0000-0100-0000D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176</xdr:row>
      <xdr:rowOff>0</xdr:rowOff>
    </xdr:from>
    <xdr:ext cx="200025" cy="200025"/>
    <xdr:pic>
      <xdr:nvPicPr>
        <xdr:cNvPr id="736" name="image2.png">
          <a:extLst>
            <a:ext uri="{FF2B5EF4-FFF2-40B4-BE49-F238E27FC236}">
              <a16:creationId xmlns:a16="http://schemas.microsoft.com/office/drawing/2014/main" id="{00000000-0008-0000-0100-0000E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176</xdr:row>
      <xdr:rowOff>0</xdr:rowOff>
    </xdr:from>
    <xdr:ext cx="200025" cy="200025"/>
    <xdr:pic>
      <xdr:nvPicPr>
        <xdr:cNvPr id="737" name="image6.png">
          <a:extLst>
            <a:ext uri="{FF2B5EF4-FFF2-40B4-BE49-F238E27FC236}">
              <a16:creationId xmlns:a16="http://schemas.microsoft.com/office/drawing/2014/main" id="{00000000-0008-0000-0100-0000E1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176</xdr:row>
      <xdr:rowOff>0</xdr:rowOff>
    </xdr:from>
    <xdr:ext cx="200025" cy="200025"/>
    <xdr:pic>
      <xdr:nvPicPr>
        <xdr:cNvPr id="738" name="image5.png">
          <a:extLst>
            <a:ext uri="{FF2B5EF4-FFF2-40B4-BE49-F238E27FC236}">
              <a16:creationId xmlns:a16="http://schemas.microsoft.com/office/drawing/2014/main" id="{00000000-0008-0000-0100-0000E2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176</xdr:row>
      <xdr:rowOff>0</xdr:rowOff>
    </xdr:from>
    <xdr:ext cx="200025" cy="200025"/>
    <xdr:pic>
      <xdr:nvPicPr>
        <xdr:cNvPr id="739" name="image4.png">
          <a:extLst>
            <a:ext uri="{FF2B5EF4-FFF2-40B4-BE49-F238E27FC236}">
              <a16:creationId xmlns:a16="http://schemas.microsoft.com/office/drawing/2014/main" id="{00000000-0008-0000-0100-0000E3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176</xdr:row>
      <xdr:rowOff>0</xdr:rowOff>
    </xdr:from>
    <xdr:ext cx="200025" cy="200025"/>
    <xdr:pic>
      <xdr:nvPicPr>
        <xdr:cNvPr id="740" name="image8.png">
          <a:extLst>
            <a:ext uri="{FF2B5EF4-FFF2-40B4-BE49-F238E27FC236}">
              <a16:creationId xmlns:a16="http://schemas.microsoft.com/office/drawing/2014/main" id="{00000000-0008-0000-0100-0000E4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177</xdr:row>
      <xdr:rowOff>0</xdr:rowOff>
    </xdr:from>
    <xdr:ext cx="200025" cy="200025"/>
    <xdr:pic>
      <xdr:nvPicPr>
        <xdr:cNvPr id="741" name="image2.png">
          <a:extLst>
            <a:ext uri="{FF2B5EF4-FFF2-40B4-BE49-F238E27FC236}">
              <a16:creationId xmlns:a16="http://schemas.microsoft.com/office/drawing/2014/main" id="{00000000-0008-0000-0100-0000E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177</xdr:row>
      <xdr:rowOff>0</xdr:rowOff>
    </xdr:from>
    <xdr:ext cx="200025" cy="200025"/>
    <xdr:pic>
      <xdr:nvPicPr>
        <xdr:cNvPr id="742" name="image6.png">
          <a:extLst>
            <a:ext uri="{FF2B5EF4-FFF2-40B4-BE49-F238E27FC236}">
              <a16:creationId xmlns:a16="http://schemas.microsoft.com/office/drawing/2014/main" id="{00000000-0008-0000-0100-0000E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177</xdr:row>
      <xdr:rowOff>0</xdr:rowOff>
    </xdr:from>
    <xdr:ext cx="200025" cy="200025"/>
    <xdr:pic>
      <xdr:nvPicPr>
        <xdr:cNvPr id="743" name="image5.png">
          <a:extLst>
            <a:ext uri="{FF2B5EF4-FFF2-40B4-BE49-F238E27FC236}">
              <a16:creationId xmlns:a16="http://schemas.microsoft.com/office/drawing/2014/main" id="{00000000-0008-0000-0100-0000E7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177</xdr:row>
      <xdr:rowOff>0</xdr:rowOff>
    </xdr:from>
    <xdr:ext cx="200025" cy="200025"/>
    <xdr:pic>
      <xdr:nvPicPr>
        <xdr:cNvPr id="744" name="image4.png">
          <a:extLst>
            <a:ext uri="{FF2B5EF4-FFF2-40B4-BE49-F238E27FC236}">
              <a16:creationId xmlns:a16="http://schemas.microsoft.com/office/drawing/2014/main" id="{00000000-0008-0000-0100-0000E8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177</xdr:row>
      <xdr:rowOff>0</xdr:rowOff>
    </xdr:from>
    <xdr:ext cx="200025" cy="200025"/>
    <xdr:pic>
      <xdr:nvPicPr>
        <xdr:cNvPr id="745" name="image8.png">
          <a:extLst>
            <a:ext uri="{FF2B5EF4-FFF2-40B4-BE49-F238E27FC236}">
              <a16:creationId xmlns:a16="http://schemas.microsoft.com/office/drawing/2014/main" id="{00000000-0008-0000-0100-0000E9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178</xdr:row>
      <xdr:rowOff>0</xdr:rowOff>
    </xdr:from>
    <xdr:ext cx="200025" cy="200025"/>
    <xdr:pic>
      <xdr:nvPicPr>
        <xdr:cNvPr id="746" name="image6.png">
          <a:extLst>
            <a:ext uri="{FF2B5EF4-FFF2-40B4-BE49-F238E27FC236}">
              <a16:creationId xmlns:a16="http://schemas.microsoft.com/office/drawing/2014/main" id="{00000000-0008-0000-0100-0000EA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178</xdr:row>
      <xdr:rowOff>0</xdr:rowOff>
    </xdr:from>
    <xdr:ext cx="200025" cy="200025"/>
    <xdr:pic>
      <xdr:nvPicPr>
        <xdr:cNvPr id="747" name="image4.png">
          <a:extLst>
            <a:ext uri="{FF2B5EF4-FFF2-40B4-BE49-F238E27FC236}">
              <a16:creationId xmlns:a16="http://schemas.microsoft.com/office/drawing/2014/main" id="{00000000-0008-0000-0100-0000EB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178</xdr:row>
      <xdr:rowOff>0</xdr:rowOff>
    </xdr:from>
    <xdr:ext cx="200025" cy="200025"/>
    <xdr:pic>
      <xdr:nvPicPr>
        <xdr:cNvPr id="748" name="image11.png">
          <a:extLst>
            <a:ext uri="{FF2B5EF4-FFF2-40B4-BE49-F238E27FC236}">
              <a16:creationId xmlns:a16="http://schemas.microsoft.com/office/drawing/2014/main" id="{00000000-0008-0000-0100-0000EC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178</xdr:row>
      <xdr:rowOff>0</xdr:rowOff>
    </xdr:from>
    <xdr:ext cx="200025" cy="200025"/>
    <xdr:pic>
      <xdr:nvPicPr>
        <xdr:cNvPr id="749" name="image8.png">
          <a:extLst>
            <a:ext uri="{FF2B5EF4-FFF2-40B4-BE49-F238E27FC236}">
              <a16:creationId xmlns:a16="http://schemas.microsoft.com/office/drawing/2014/main" id="{00000000-0008-0000-0100-0000ED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179</xdr:row>
      <xdr:rowOff>0</xdr:rowOff>
    </xdr:from>
    <xdr:ext cx="200025" cy="200025"/>
    <xdr:pic>
      <xdr:nvPicPr>
        <xdr:cNvPr id="750" name="image9.png">
          <a:extLst>
            <a:ext uri="{FF2B5EF4-FFF2-40B4-BE49-F238E27FC236}">
              <a16:creationId xmlns:a16="http://schemas.microsoft.com/office/drawing/2014/main" id="{00000000-0008-0000-0100-0000EE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179</xdr:row>
      <xdr:rowOff>0</xdr:rowOff>
    </xdr:from>
    <xdr:ext cx="200025" cy="200025"/>
    <xdr:pic>
      <xdr:nvPicPr>
        <xdr:cNvPr id="751" name="image2.png">
          <a:extLst>
            <a:ext uri="{FF2B5EF4-FFF2-40B4-BE49-F238E27FC236}">
              <a16:creationId xmlns:a16="http://schemas.microsoft.com/office/drawing/2014/main" id="{00000000-0008-0000-0100-0000E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179</xdr:row>
      <xdr:rowOff>0</xdr:rowOff>
    </xdr:from>
    <xdr:ext cx="200025" cy="200025"/>
    <xdr:pic>
      <xdr:nvPicPr>
        <xdr:cNvPr id="752" name="image6.png">
          <a:extLst>
            <a:ext uri="{FF2B5EF4-FFF2-40B4-BE49-F238E27FC236}">
              <a16:creationId xmlns:a16="http://schemas.microsoft.com/office/drawing/2014/main" id="{00000000-0008-0000-0100-0000F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179</xdr:row>
      <xdr:rowOff>0</xdr:rowOff>
    </xdr:from>
    <xdr:ext cx="200025" cy="200025"/>
    <xdr:pic>
      <xdr:nvPicPr>
        <xdr:cNvPr id="753" name="image5.png">
          <a:extLst>
            <a:ext uri="{FF2B5EF4-FFF2-40B4-BE49-F238E27FC236}">
              <a16:creationId xmlns:a16="http://schemas.microsoft.com/office/drawing/2014/main" id="{00000000-0008-0000-0100-0000F1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179</xdr:row>
      <xdr:rowOff>0</xdr:rowOff>
    </xdr:from>
    <xdr:ext cx="200025" cy="200025"/>
    <xdr:pic>
      <xdr:nvPicPr>
        <xdr:cNvPr id="754" name="image8.png">
          <a:extLst>
            <a:ext uri="{FF2B5EF4-FFF2-40B4-BE49-F238E27FC236}">
              <a16:creationId xmlns:a16="http://schemas.microsoft.com/office/drawing/2014/main" id="{00000000-0008-0000-0100-0000F2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180</xdr:row>
      <xdr:rowOff>0</xdr:rowOff>
    </xdr:from>
    <xdr:ext cx="200025" cy="200025"/>
    <xdr:pic>
      <xdr:nvPicPr>
        <xdr:cNvPr id="755" name="image9.png">
          <a:extLst>
            <a:ext uri="{FF2B5EF4-FFF2-40B4-BE49-F238E27FC236}">
              <a16:creationId xmlns:a16="http://schemas.microsoft.com/office/drawing/2014/main" id="{00000000-0008-0000-0100-0000F3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180</xdr:row>
      <xdr:rowOff>0</xdr:rowOff>
    </xdr:from>
    <xdr:ext cx="200025" cy="200025"/>
    <xdr:pic>
      <xdr:nvPicPr>
        <xdr:cNvPr id="756" name="image2.png">
          <a:extLst>
            <a:ext uri="{FF2B5EF4-FFF2-40B4-BE49-F238E27FC236}">
              <a16:creationId xmlns:a16="http://schemas.microsoft.com/office/drawing/2014/main" id="{00000000-0008-0000-0100-0000F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180</xdr:row>
      <xdr:rowOff>0</xdr:rowOff>
    </xdr:from>
    <xdr:ext cx="200025" cy="200025"/>
    <xdr:pic>
      <xdr:nvPicPr>
        <xdr:cNvPr id="757" name="image6.png">
          <a:extLst>
            <a:ext uri="{FF2B5EF4-FFF2-40B4-BE49-F238E27FC236}">
              <a16:creationId xmlns:a16="http://schemas.microsoft.com/office/drawing/2014/main" id="{00000000-0008-0000-0100-0000F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180</xdr:row>
      <xdr:rowOff>0</xdr:rowOff>
    </xdr:from>
    <xdr:ext cx="200025" cy="200025"/>
    <xdr:pic>
      <xdr:nvPicPr>
        <xdr:cNvPr id="758" name="image5.png">
          <a:extLst>
            <a:ext uri="{FF2B5EF4-FFF2-40B4-BE49-F238E27FC236}">
              <a16:creationId xmlns:a16="http://schemas.microsoft.com/office/drawing/2014/main" id="{00000000-0008-0000-0100-0000F6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180</xdr:row>
      <xdr:rowOff>0</xdr:rowOff>
    </xdr:from>
    <xdr:ext cx="200025" cy="200025"/>
    <xdr:pic>
      <xdr:nvPicPr>
        <xdr:cNvPr id="759" name="image8.png">
          <a:extLst>
            <a:ext uri="{FF2B5EF4-FFF2-40B4-BE49-F238E27FC236}">
              <a16:creationId xmlns:a16="http://schemas.microsoft.com/office/drawing/2014/main" id="{00000000-0008-0000-0100-0000F7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181</xdr:row>
      <xdr:rowOff>0</xdr:rowOff>
    </xdr:from>
    <xdr:ext cx="200025" cy="200025"/>
    <xdr:pic>
      <xdr:nvPicPr>
        <xdr:cNvPr id="760" name="image1.png">
          <a:extLst>
            <a:ext uri="{FF2B5EF4-FFF2-40B4-BE49-F238E27FC236}">
              <a16:creationId xmlns:a16="http://schemas.microsoft.com/office/drawing/2014/main" id="{00000000-0008-0000-0100-0000F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181</xdr:row>
      <xdr:rowOff>0</xdr:rowOff>
    </xdr:from>
    <xdr:ext cx="200025" cy="200025"/>
    <xdr:pic>
      <xdr:nvPicPr>
        <xdr:cNvPr id="761" name="image6.png">
          <a:extLst>
            <a:ext uri="{FF2B5EF4-FFF2-40B4-BE49-F238E27FC236}">
              <a16:creationId xmlns:a16="http://schemas.microsoft.com/office/drawing/2014/main" id="{00000000-0008-0000-0100-0000F9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181</xdr:row>
      <xdr:rowOff>0</xdr:rowOff>
    </xdr:from>
    <xdr:ext cx="200025" cy="200025"/>
    <xdr:pic>
      <xdr:nvPicPr>
        <xdr:cNvPr id="762" name="image11.png">
          <a:extLst>
            <a:ext uri="{FF2B5EF4-FFF2-40B4-BE49-F238E27FC236}">
              <a16:creationId xmlns:a16="http://schemas.microsoft.com/office/drawing/2014/main" id="{00000000-0008-0000-0100-0000FA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181</xdr:row>
      <xdr:rowOff>0</xdr:rowOff>
    </xdr:from>
    <xdr:ext cx="200025" cy="200025"/>
    <xdr:pic>
      <xdr:nvPicPr>
        <xdr:cNvPr id="763" name="image8.png">
          <a:extLst>
            <a:ext uri="{FF2B5EF4-FFF2-40B4-BE49-F238E27FC236}">
              <a16:creationId xmlns:a16="http://schemas.microsoft.com/office/drawing/2014/main" id="{00000000-0008-0000-0100-0000FB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182</xdr:row>
      <xdr:rowOff>0</xdr:rowOff>
    </xdr:from>
    <xdr:ext cx="200025" cy="200025"/>
    <xdr:pic>
      <xdr:nvPicPr>
        <xdr:cNvPr id="764" name="image10.png">
          <a:extLst>
            <a:ext uri="{FF2B5EF4-FFF2-40B4-BE49-F238E27FC236}">
              <a16:creationId xmlns:a16="http://schemas.microsoft.com/office/drawing/2014/main" id="{00000000-0008-0000-0100-0000F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182</xdr:row>
      <xdr:rowOff>0</xdr:rowOff>
    </xdr:from>
    <xdr:ext cx="200025" cy="200025"/>
    <xdr:pic>
      <xdr:nvPicPr>
        <xdr:cNvPr id="765" name="image8.png">
          <a:extLst>
            <a:ext uri="{FF2B5EF4-FFF2-40B4-BE49-F238E27FC236}">
              <a16:creationId xmlns:a16="http://schemas.microsoft.com/office/drawing/2014/main" id="{00000000-0008-0000-0100-0000FD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182</xdr:row>
      <xdr:rowOff>0</xdr:rowOff>
    </xdr:from>
    <xdr:ext cx="200025" cy="200025"/>
    <xdr:pic>
      <xdr:nvPicPr>
        <xdr:cNvPr id="766" name="image2.png">
          <a:extLst>
            <a:ext uri="{FF2B5EF4-FFF2-40B4-BE49-F238E27FC236}">
              <a16:creationId xmlns:a16="http://schemas.microsoft.com/office/drawing/2014/main" id="{00000000-0008-0000-0100-0000F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182</xdr:row>
      <xdr:rowOff>0</xdr:rowOff>
    </xdr:from>
    <xdr:ext cx="200025" cy="200025"/>
    <xdr:pic>
      <xdr:nvPicPr>
        <xdr:cNvPr id="767" name="image5.png">
          <a:extLst>
            <a:ext uri="{FF2B5EF4-FFF2-40B4-BE49-F238E27FC236}">
              <a16:creationId xmlns:a16="http://schemas.microsoft.com/office/drawing/2014/main" id="{00000000-0008-0000-0100-0000FF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182</xdr:row>
      <xdr:rowOff>0</xdr:rowOff>
    </xdr:from>
    <xdr:ext cx="200025" cy="200025"/>
    <xdr:pic>
      <xdr:nvPicPr>
        <xdr:cNvPr id="768" name="image12.png">
          <a:extLst>
            <a:ext uri="{FF2B5EF4-FFF2-40B4-BE49-F238E27FC236}">
              <a16:creationId xmlns:a16="http://schemas.microsoft.com/office/drawing/2014/main" id="{00000000-0008-0000-0100-000000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183</xdr:row>
      <xdr:rowOff>0</xdr:rowOff>
    </xdr:from>
    <xdr:ext cx="200025" cy="200025"/>
    <xdr:pic>
      <xdr:nvPicPr>
        <xdr:cNvPr id="769" name="image10.png">
          <a:extLst>
            <a:ext uri="{FF2B5EF4-FFF2-40B4-BE49-F238E27FC236}">
              <a16:creationId xmlns:a16="http://schemas.microsoft.com/office/drawing/2014/main" id="{00000000-0008-0000-0100-00000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183</xdr:row>
      <xdr:rowOff>0</xdr:rowOff>
    </xdr:from>
    <xdr:ext cx="200025" cy="200025"/>
    <xdr:pic>
      <xdr:nvPicPr>
        <xdr:cNvPr id="770" name="image8.png">
          <a:extLst>
            <a:ext uri="{FF2B5EF4-FFF2-40B4-BE49-F238E27FC236}">
              <a16:creationId xmlns:a16="http://schemas.microsoft.com/office/drawing/2014/main" id="{00000000-0008-0000-0100-000002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183</xdr:row>
      <xdr:rowOff>0</xdr:rowOff>
    </xdr:from>
    <xdr:ext cx="200025" cy="200025"/>
    <xdr:pic>
      <xdr:nvPicPr>
        <xdr:cNvPr id="771" name="image2.png">
          <a:extLst>
            <a:ext uri="{FF2B5EF4-FFF2-40B4-BE49-F238E27FC236}">
              <a16:creationId xmlns:a16="http://schemas.microsoft.com/office/drawing/2014/main" id="{00000000-0008-0000-0100-00000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183</xdr:row>
      <xdr:rowOff>0</xdr:rowOff>
    </xdr:from>
    <xdr:ext cx="200025" cy="200025"/>
    <xdr:pic>
      <xdr:nvPicPr>
        <xdr:cNvPr id="772" name="image5.png">
          <a:extLst>
            <a:ext uri="{FF2B5EF4-FFF2-40B4-BE49-F238E27FC236}">
              <a16:creationId xmlns:a16="http://schemas.microsoft.com/office/drawing/2014/main" id="{00000000-0008-0000-0100-000004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183</xdr:row>
      <xdr:rowOff>0</xdr:rowOff>
    </xdr:from>
    <xdr:ext cx="200025" cy="200025"/>
    <xdr:pic>
      <xdr:nvPicPr>
        <xdr:cNvPr id="773" name="image12.png">
          <a:extLst>
            <a:ext uri="{FF2B5EF4-FFF2-40B4-BE49-F238E27FC236}">
              <a16:creationId xmlns:a16="http://schemas.microsoft.com/office/drawing/2014/main" id="{00000000-0008-0000-0100-000005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184</xdr:row>
      <xdr:rowOff>0</xdr:rowOff>
    </xdr:from>
    <xdr:ext cx="200025" cy="200025"/>
    <xdr:pic>
      <xdr:nvPicPr>
        <xdr:cNvPr id="774" name="image10.png">
          <a:extLst>
            <a:ext uri="{FF2B5EF4-FFF2-40B4-BE49-F238E27FC236}">
              <a16:creationId xmlns:a16="http://schemas.microsoft.com/office/drawing/2014/main" id="{00000000-0008-0000-0100-00000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184</xdr:row>
      <xdr:rowOff>0</xdr:rowOff>
    </xdr:from>
    <xdr:ext cx="200025" cy="200025"/>
    <xdr:pic>
      <xdr:nvPicPr>
        <xdr:cNvPr id="775" name="image1.png">
          <a:extLst>
            <a:ext uri="{FF2B5EF4-FFF2-40B4-BE49-F238E27FC236}">
              <a16:creationId xmlns:a16="http://schemas.microsoft.com/office/drawing/2014/main" id="{00000000-0008-0000-0100-000007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184</xdr:row>
      <xdr:rowOff>0</xdr:rowOff>
    </xdr:from>
    <xdr:ext cx="200025" cy="200025"/>
    <xdr:pic>
      <xdr:nvPicPr>
        <xdr:cNvPr id="776" name="image6.png">
          <a:extLst>
            <a:ext uri="{FF2B5EF4-FFF2-40B4-BE49-F238E27FC236}">
              <a16:creationId xmlns:a16="http://schemas.microsoft.com/office/drawing/2014/main" id="{00000000-0008-0000-0100-000008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184</xdr:row>
      <xdr:rowOff>0</xdr:rowOff>
    </xdr:from>
    <xdr:ext cx="200025" cy="200025"/>
    <xdr:pic>
      <xdr:nvPicPr>
        <xdr:cNvPr id="777" name="image5.png">
          <a:extLst>
            <a:ext uri="{FF2B5EF4-FFF2-40B4-BE49-F238E27FC236}">
              <a16:creationId xmlns:a16="http://schemas.microsoft.com/office/drawing/2014/main" id="{00000000-0008-0000-0100-000009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184</xdr:row>
      <xdr:rowOff>0</xdr:rowOff>
    </xdr:from>
    <xdr:ext cx="200025" cy="200025"/>
    <xdr:pic>
      <xdr:nvPicPr>
        <xdr:cNvPr id="778" name="image12.png">
          <a:extLst>
            <a:ext uri="{FF2B5EF4-FFF2-40B4-BE49-F238E27FC236}">
              <a16:creationId xmlns:a16="http://schemas.microsoft.com/office/drawing/2014/main" id="{00000000-0008-0000-0100-00000A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185</xdr:row>
      <xdr:rowOff>0</xdr:rowOff>
    </xdr:from>
    <xdr:ext cx="200025" cy="200025"/>
    <xdr:pic>
      <xdr:nvPicPr>
        <xdr:cNvPr id="779" name="image10.png">
          <a:extLst>
            <a:ext uri="{FF2B5EF4-FFF2-40B4-BE49-F238E27FC236}">
              <a16:creationId xmlns:a16="http://schemas.microsoft.com/office/drawing/2014/main" id="{00000000-0008-0000-0100-00000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185</xdr:row>
      <xdr:rowOff>0</xdr:rowOff>
    </xdr:from>
    <xdr:ext cx="200025" cy="200025"/>
    <xdr:pic>
      <xdr:nvPicPr>
        <xdr:cNvPr id="780" name="image8.png">
          <a:extLst>
            <a:ext uri="{FF2B5EF4-FFF2-40B4-BE49-F238E27FC236}">
              <a16:creationId xmlns:a16="http://schemas.microsoft.com/office/drawing/2014/main" id="{00000000-0008-0000-0100-00000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185</xdr:row>
      <xdr:rowOff>0</xdr:rowOff>
    </xdr:from>
    <xdr:ext cx="200025" cy="200025"/>
    <xdr:pic>
      <xdr:nvPicPr>
        <xdr:cNvPr id="781" name="image2.png">
          <a:extLst>
            <a:ext uri="{FF2B5EF4-FFF2-40B4-BE49-F238E27FC236}">
              <a16:creationId xmlns:a16="http://schemas.microsoft.com/office/drawing/2014/main" id="{00000000-0008-0000-0100-00000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185</xdr:row>
      <xdr:rowOff>0</xdr:rowOff>
    </xdr:from>
    <xdr:ext cx="200025" cy="200025"/>
    <xdr:pic>
      <xdr:nvPicPr>
        <xdr:cNvPr id="782" name="image6.png">
          <a:extLst>
            <a:ext uri="{FF2B5EF4-FFF2-40B4-BE49-F238E27FC236}">
              <a16:creationId xmlns:a16="http://schemas.microsoft.com/office/drawing/2014/main" id="{00000000-0008-0000-0100-00000E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185</xdr:row>
      <xdr:rowOff>0</xdr:rowOff>
    </xdr:from>
    <xdr:ext cx="200025" cy="200025"/>
    <xdr:pic>
      <xdr:nvPicPr>
        <xdr:cNvPr id="783" name="image5.png">
          <a:extLst>
            <a:ext uri="{FF2B5EF4-FFF2-40B4-BE49-F238E27FC236}">
              <a16:creationId xmlns:a16="http://schemas.microsoft.com/office/drawing/2014/main" id="{00000000-0008-0000-0100-00000F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185</xdr:row>
      <xdr:rowOff>0</xdr:rowOff>
    </xdr:from>
    <xdr:ext cx="200025" cy="200025"/>
    <xdr:pic>
      <xdr:nvPicPr>
        <xdr:cNvPr id="784" name="image12.png">
          <a:extLst>
            <a:ext uri="{FF2B5EF4-FFF2-40B4-BE49-F238E27FC236}">
              <a16:creationId xmlns:a16="http://schemas.microsoft.com/office/drawing/2014/main" id="{00000000-0008-0000-0100-000010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186</xdr:row>
      <xdr:rowOff>0</xdr:rowOff>
    </xdr:from>
    <xdr:ext cx="200025" cy="200025"/>
    <xdr:pic>
      <xdr:nvPicPr>
        <xdr:cNvPr id="785" name="image10.png">
          <a:extLst>
            <a:ext uri="{FF2B5EF4-FFF2-40B4-BE49-F238E27FC236}">
              <a16:creationId xmlns:a16="http://schemas.microsoft.com/office/drawing/2014/main" id="{00000000-0008-0000-0100-00001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186</xdr:row>
      <xdr:rowOff>0</xdr:rowOff>
    </xdr:from>
    <xdr:ext cx="200025" cy="200025"/>
    <xdr:pic>
      <xdr:nvPicPr>
        <xdr:cNvPr id="786" name="image8.png">
          <a:extLst>
            <a:ext uri="{FF2B5EF4-FFF2-40B4-BE49-F238E27FC236}">
              <a16:creationId xmlns:a16="http://schemas.microsoft.com/office/drawing/2014/main" id="{00000000-0008-0000-0100-000012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186</xdr:row>
      <xdr:rowOff>0</xdr:rowOff>
    </xdr:from>
    <xdr:ext cx="200025" cy="200025"/>
    <xdr:pic>
      <xdr:nvPicPr>
        <xdr:cNvPr id="787" name="image2.png">
          <a:extLst>
            <a:ext uri="{FF2B5EF4-FFF2-40B4-BE49-F238E27FC236}">
              <a16:creationId xmlns:a16="http://schemas.microsoft.com/office/drawing/2014/main" id="{00000000-0008-0000-0100-00001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186</xdr:row>
      <xdr:rowOff>0</xdr:rowOff>
    </xdr:from>
    <xdr:ext cx="200025" cy="200025"/>
    <xdr:pic>
      <xdr:nvPicPr>
        <xdr:cNvPr id="788" name="image6.png">
          <a:extLst>
            <a:ext uri="{FF2B5EF4-FFF2-40B4-BE49-F238E27FC236}">
              <a16:creationId xmlns:a16="http://schemas.microsoft.com/office/drawing/2014/main" id="{00000000-0008-0000-0100-000014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186</xdr:row>
      <xdr:rowOff>0</xdr:rowOff>
    </xdr:from>
    <xdr:ext cx="200025" cy="200025"/>
    <xdr:pic>
      <xdr:nvPicPr>
        <xdr:cNvPr id="789" name="image5.png">
          <a:extLst>
            <a:ext uri="{FF2B5EF4-FFF2-40B4-BE49-F238E27FC236}">
              <a16:creationId xmlns:a16="http://schemas.microsoft.com/office/drawing/2014/main" id="{00000000-0008-0000-0100-000015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186</xdr:row>
      <xdr:rowOff>0</xdr:rowOff>
    </xdr:from>
    <xdr:ext cx="200025" cy="200025"/>
    <xdr:pic>
      <xdr:nvPicPr>
        <xdr:cNvPr id="790" name="image12.png">
          <a:extLst>
            <a:ext uri="{FF2B5EF4-FFF2-40B4-BE49-F238E27FC236}">
              <a16:creationId xmlns:a16="http://schemas.microsoft.com/office/drawing/2014/main" id="{00000000-0008-0000-0100-000016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187</xdr:row>
      <xdr:rowOff>0</xdr:rowOff>
    </xdr:from>
    <xdr:ext cx="200025" cy="200025"/>
    <xdr:pic>
      <xdr:nvPicPr>
        <xdr:cNvPr id="791" name="image5.png">
          <a:extLst>
            <a:ext uri="{FF2B5EF4-FFF2-40B4-BE49-F238E27FC236}">
              <a16:creationId xmlns:a16="http://schemas.microsoft.com/office/drawing/2014/main" id="{00000000-0008-0000-0100-00001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187</xdr:row>
      <xdr:rowOff>0</xdr:rowOff>
    </xdr:from>
    <xdr:ext cx="200025" cy="200025"/>
    <xdr:pic>
      <xdr:nvPicPr>
        <xdr:cNvPr id="792" name="image7.png">
          <a:extLst>
            <a:ext uri="{FF2B5EF4-FFF2-40B4-BE49-F238E27FC236}">
              <a16:creationId xmlns:a16="http://schemas.microsoft.com/office/drawing/2014/main" id="{00000000-0008-0000-0100-000018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187</xdr:row>
      <xdr:rowOff>0</xdr:rowOff>
    </xdr:from>
    <xdr:ext cx="200025" cy="200025"/>
    <xdr:pic>
      <xdr:nvPicPr>
        <xdr:cNvPr id="793" name="image12.png">
          <a:extLst>
            <a:ext uri="{FF2B5EF4-FFF2-40B4-BE49-F238E27FC236}">
              <a16:creationId xmlns:a16="http://schemas.microsoft.com/office/drawing/2014/main" id="{00000000-0008-0000-0100-000019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188</xdr:row>
      <xdr:rowOff>0</xdr:rowOff>
    </xdr:from>
    <xdr:ext cx="200025" cy="200025"/>
    <xdr:pic>
      <xdr:nvPicPr>
        <xdr:cNvPr id="794" name="image9.png">
          <a:extLst>
            <a:ext uri="{FF2B5EF4-FFF2-40B4-BE49-F238E27FC236}">
              <a16:creationId xmlns:a16="http://schemas.microsoft.com/office/drawing/2014/main" id="{00000000-0008-0000-0100-00001A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188</xdr:row>
      <xdr:rowOff>0</xdr:rowOff>
    </xdr:from>
    <xdr:ext cx="200025" cy="200025"/>
    <xdr:pic>
      <xdr:nvPicPr>
        <xdr:cNvPr id="795" name="image7.png">
          <a:extLst>
            <a:ext uri="{FF2B5EF4-FFF2-40B4-BE49-F238E27FC236}">
              <a16:creationId xmlns:a16="http://schemas.microsoft.com/office/drawing/2014/main" id="{00000000-0008-0000-0100-00001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189</xdr:row>
      <xdr:rowOff>0</xdr:rowOff>
    </xdr:from>
    <xdr:ext cx="200025" cy="200025"/>
    <xdr:pic>
      <xdr:nvPicPr>
        <xdr:cNvPr id="796" name="image8.png">
          <a:extLst>
            <a:ext uri="{FF2B5EF4-FFF2-40B4-BE49-F238E27FC236}">
              <a16:creationId xmlns:a16="http://schemas.microsoft.com/office/drawing/2014/main" id="{00000000-0008-0000-0100-00001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189</xdr:row>
      <xdr:rowOff>0</xdr:rowOff>
    </xdr:from>
    <xdr:ext cx="200025" cy="200025"/>
    <xdr:pic>
      <xdr:nvPicPr>
        <xdr:cNvPr id="797" name="image1.png">
          <a:extLst>
            <a:ext uri="{FF2B5EF4-FFF2-40B4-BE49-F238E27FC236}">
              <a16:creationId xmlns:a16="http://schemas.microsoft.com/office/drawing/2014/main" id="{00000000-0008-0000-0100-00001D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190</xdr:row>
      <xdr:rowOff>0</xdr:rowOff>
    </xdr:from>
    <xdr:ext cx="200025" cy="200025"/>
    <xdr:pic>
      <xdr:nvPicPr>
        <xdr:cNvPr id="798" name="image10.png">
          <a:extLst>
            <a:ext uri="{FF2B5EF4-FFF2-40B4-BE49-F238E27FC236}">
              <a16:creationId xmlns:a16="http://schemas.microsoft.com/office/drawing/2014/main" id="{00000000-0008-0000-0100-00001E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190</xdr:row>
      <xdr:rowOff>0</xdr:rowOff>
    </xdr:from>
    <xdr:ext cx="200025" cy="200025"/>
    <xdr:pic>
      <xdr:nvPicPr>
        <xdr:cNvPr id="799" name="image2.png">
          <a:extLst>
            <a:ext uri="{FF2B5EF4-FFF2-40B4-BE49-F238E27FC236}">
              <a16:creationId xmlns:a16="http://schemas.microsoft.com/office/drawing/2014/main" id="{00000000-0008-0000-0100-00001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190</xdr:row>
      <xdr:rowOff>0</xdr:rowOff>
    </xdr:from>
    <xdr:ext cx="200025" cy="200025"/>
    <xdr:pic>
      <xdr:nvPicPr>
        <xdr:cNvPr id="800" name="image11.png">
          <a:extLst>
            <a:ext uri="{FF2B5EF4-FFF2-40B4-BE49-F238E27FC236}">
              <a16:creationId xmlns:a16="http://schemas.microsoft.com/office/drawing/2014/main" id="{00000000-0008-0000-0100-000020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190</xdr:row>
      <xdr:rowOff>0</xdr:rowOff>
    </xdr:from>
    <xdr:ext cx="200025" cy="200025"/>
    <xdr:pic>
      <xdr:nvPicPr>
        <xdr:cNvPr id="801" name="image8.png">
          <a:extLst>
            <a:ext uri="{FF2B5EF4-FFF2-40B4-BE49-F238E27FC236}">
              <a16:creationId xmlns:a16="http://schemas.microsoft.com/office/drawing/2014/main" id="{00000000-0008-0000-0100-000021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191</xdr:row>
      <xdr:rowOff>0</xdr:rowOff>
    </xdr:from>
    <xdr:ext cx="200025" cy="200025"/>
    <xdr:pic>
      <xdr:nvPicPr>
        <xdr:cNvPr id="802" name="image2.png">
          <a:extLst>
            <a:ext uri="{FF2B5EF4-FFF2-40B4-BE49-F238E27FC236}">
              <a16:creationId xmlns:a16="http://schemas.microsoft.com/office/drawing/2014/main" id="{00000000-0008-0000-0100-00002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191</xdr:row>
      <xdr:rowOff>0</xdr:rowOff>
    </xdr:from>
    <xdr:ext cx="200025" cy="200025"/>
    <xdr:pic>
      <xdr:nvPicPr>
        <xdr:cNvPr id="803" name="image12.png">
          <a:extLst>
            <a:ext uri="{FF2B5EF4-FFF2-40B4-BE49-F238E27FC236}">
              <a16:creationId xmlns:a16="http://schemas.microsoft.com/office/drawing/2014/main" id="{00000000-0008-0000-0100-000023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191</xdr:row>
      <xdr:rowOff>0</xdr:rowOff>
    </xdr:from>
    <xdr:ext cx="200025" cy="200025"/>
    <xdr:pic>
      <xdr:nvPicPr>
        <xdr:cNvPr id="804" name="image10.png">
          <a:extLst>
            <a:ext uri="{FF2B5EF4-FFF2-40B4-BE49-F238E27FC236}">
              <a16:creationId xmlns:a16="http://schemas.microsoft.com/office/drawing/2014/main" id="{00000000-0008-0000-0100-000024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192</xdr:row>
      <xdr:rowOff>0</xdr:rowOff>
    </xdr:from>
    <xdr:ext cx="200025" cy="200025"/>
    <xdr:pic>
      <xdr:nvPicPr>
        <xdr:cNvPr id="805" name="image8.png">
          <a:extLst>
            <a:ext uri="{FF2B5EF4-FFF2-40B4-BE49-F238E27FC236}">
              <a16:creationId xmlns:a16="http://schemas.microsoft.com/office/drawing/2014/main" id="{00000000-0008-0000-0100-000025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192</xdr:row>
      <xdr:rowOff>0</xdr:rowOff>
    </xdr:from>
    <xdr:ext cx="200025" cy="200025"/>
    <xdr:pic>
      <xdr:nvPicPr>
        <xdr:cNvPr id="806" name="image1.png">
          <a:extLst>
            <a:ext uri="{FF2B5EF4-FFF2-40B4-BE49-F238E27FC236}">
              <a16:creationId xmlns:a16="http://schemas.microsoft.com/office/drawing/2014/main" id="{00000000-0008-0000-0100-000026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192</xdr:row>
      <xdr:rowOff>0</xdr:rowOff>
    </xdr:from>
    <xdr:ext cx="200025" cy="200025"/>
    <xdr:pic>
      <xdr:nvPicPr>
        <xdr:cNvPr id="807" name="image3.png">
          <a:extLst>
            <a:ext uri="{FF2B5EF4-FFF2-40B4-BE49-F238E27FC236}">
              <a16:creationId xmlns:a16="http://schemas.microsoft.com/office/drawing/2014/main" id="{00000000-0008-0000-0100-000027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193</xdr:row>
      <xdr:rowOff>0</xdr:rowOff>
    </xdr:from>
    <xdr:ext cx="200025" cy="200025"/>
    <xdr:pic>
      <xdr:nvPicPr>
        <xdr:cNvPr id="808" name="image8.png">
          <a:extLst>
            <a:ext uri="{FF2B5EF4-FFF2-40B4-BE49-F238E27FC236}">
              <a16:creationId xmlns:a16="http://schemas.microsoft.com/office/drawing/2014/main" id="{00000000-0008-0000-0100-000028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193</xdr:row>
      <xdr:rowOff>0</xdr:rowOff>
    </xdr:from>
    <xdr:ext cx="200025" cy="200025"/>
    <xdr:pic>
      <xdr:nvPicPr>
        <xdr:cNvPr id="809" name="image1.png">
          <a:extLst>
            <a:ext uri="{FF2B5EF4-FFF2-40B4-BE49-F238E27FC236}">
              <a16:creationId xmlns:a16="http://schemas.microsoft.com/office/drawing/2014/main" id="{00000000-0008-0000-0100-000029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193</xdr:row>
      <xdr:rowOff>0</xdr:rowOff>
    </xdr:from>
    <xdr:ext cx="200025" cy="200025"/>
    <xdr:pic>
      <xdr:nvPicPr>
        <xdr:cNvPr id="810" name="image3.png">
          <a:extLst>
            <a:ext uri="{FF2B5EF4-FFF2-40B4-BE49-F238E27FC236}">
              <a16:creationId xmlns:a16="http://schemas.microsoft.com/office/drawing/2014/main" id="{00000000-0008-0000-0100-00002A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193</xdr:row>
      <xdr:rowOff>0</xdr:rowOff>
    </xdr:from>
    <xdr:ext cx="200025" cy="200025"/>
    <xdr:pic>
      <xdr:nvPicPr>
        <xdr:cNvPr id="811" name="image12.png">
          <a:extLst>
            <a:ext uri="{FF2B5EF4-FFF2-40B4-BE49-F238E27FC236}">
              <a16:creationId xmlns:a16="http://schemas.microsoft.com/office/drawing/2014/main" id="{00000000-0008-0000-0100-00002B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194</xdr:row>
      <xdr:rowOff>0</xdr:rowOff>
    </xdr:from>
    <xdr:ext cx="200025" cy="200025"/>
    <xdr:pic>
      <xdr:nvPicPr>
        <xdr:cNvPr id="812" name="image2.png">
          <a:extLst>
            <a:ext uri="{FF2B5EF4-FFF2-40B4-BE49-F238E27FC236}">
              <a16:creationId xmlns:a16="http://schemas.microsoft.com/office/drawing/2014/main" id="{00000000-0008-0000-0100-00002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194</xdr:row>
      <xdr:rowOff>0</xdr:rowOff>
    </xdr:from>
    <xdr:ext cx="200025" cy="200025"/>
    <xdr:pic>
      <xdr:nvPicPr>
        <xdr:cNvPr id="813" name="image1.png">
          <a:extLst>
            <a:ext uri="{FF2B5EF4-FFF2-40B4-BE49-F238E27FC236}">
              <a16:creationId xmlns:a16="http://schemas.microsoft.com/office/drawing/2014/main" id="{00000000-0008-0000-0100-00002D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194</xdr:row>
      <xdr:rowOff>0</xdr:rowOff>
    </xdr:from>
    <xdr:ext cx="200025" cy="200025"/>
    <xdr:pic>
      <xdr:nvPicPr>
        <xdr:cNvPr id="814" name="image5.png">
          <a:extLst>
            <a:ext uri="{FF2B5EF4-FFF2-40B4-BE49-F238E27FC236}">
              <a16:creationId xmlns:a16="http://schemas.microsoft.com/office/drawing/2014/main" id="{00000000-0008-0000-0100-00002E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194</xdr:row>
      <xdr:rowOff>0</xdr:rowOff>
    </xdr:from>
    <xdr:ext cx="200025" cy="200025"/>
    <xdr:pic>
      <xdr:nvPicPr>
        <xdr:cNvPr id="815" name="image9.png">
          <a:extLst>
            <a:ext uri="{FF2B5EF4-FFF2-40B4-BE49-F238E27FC236}">
              <a16:creationId xmlns:a16="http://schemas.microsoft.com/office/drawing/2014/main" id="{00000000-0008-0000-0100-00002F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195</xdr:row>
      <xdr:rowOff>0</xdr:rowOff>
    </xdr:from>
    <xdr:ext cx="200025" cy="200025"/>
    <xdr:pic>
      <xdr:nvPicPr>
        <xdr:cNvPr id="816" name="image8.png">
          <a:extLst>
            <a:ext uri="{FF2B5EF4-FFF2-40B4-BE49-F238E27FC236}">
              <a16:creationId xmlns:a16="http://schemas.microsoft.com/office/drawing/2014/main" id="{00000000-0008-0000-0100-000030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195</xdr:row>
      <xdr:rowOff>0</xdr:rowOff>
    </xdr:from>
    <xdr:ext cx="200025" cy="200025"/>
    <xdr:pic>
      <xdr:nvPicPr>
        <xdr:cNvPr id="817" name="image1.png">
          <a:extLst>
            <a:ext uri="{FF2B5EF4-FFF2-40B4-BE49-F238E27FC236}">
              <a16:creationId xmlns:a16="http://schemas.microsoft.com/office/drawing/2014/main" id="{00000000-0008-0000-0100-000031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195</xdr:row>
      <xdr:rowOff>0</xdr:rowOff>
    </xdr:from>
    <xdr:ext cx="200025" cy="200025"/>
    <xdr:pic>
      <xdr:nvPicPr>
        <xdr:cNvPr id="818" name="image6.png">
          <a:extLst>
            <a:ext uri="{FF2B5EF4-FFF2-40B4-BE49-F238E27FC236}">
              <a16:creationId xmlns:a16="http://schemas.microsoft.com/office/drawing/2014/main" id="{00000000-0008-0000-0100-000032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195</xdr:row>
      <xdr:rowOff>0</xdr:rowOff>
    </xdr:from>
    <xdr:ext cx="200025" cy="200025"/>
    <xdr:pic>
      <xdr:nvPicPr>
        <xdr:cNvPr id="819" name="image11.png">
          <a:extLst>
            <a:ext uri="{FF2B5EF4-FFF2-40B4-BE49-F238E27FC236}">
              <a16:creationId xmlns:a16="http://schemas.microsoft.com/office/drawing/2014/main" id="{00000000-0008-0000-0100-000033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195</xdr:row>
      <xdr:rowOff>0</xdr:rowOff>
    </xdr:from>
    <xdr:ext cx="200025" cy="200025"/>
    <xdr:pic>
      <xdr:nvPicPr>
        <xdr:cNvPr id="820" name="image7.png">
          <a:extLst>
            <a:ext uri="{FF2B5EF4-FFF2-40B4-BE49-F238E27FC236}">
              <a16:creationId xmlns:a16="http://schemas.microsoft.com/office/drawing/2014/main" id="{00000000-0008-0000-0100-00003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196</xdr:row>
      <xdr:rowOff>0</xdr:rowOff>
    </xdr:from>
    <xdr:ext cx="200025" cy="200025"/>
    <xdr:pic>
      <xdr:nvPicPr>
        <xdr:cNvPr id="821" name="image8.png">
          <a:extLst>
            <a:ext uri="{FF2B5EF4-FFF2-40B4-BE49-F238E27FC236}">
              <a16:creationId xmlns:a16="http://schemas.microsoft.com/office/drawing/2014/main" id="{00000000-0008-0000-0100-000035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196</xdr:row>
      <xdr:rowOff>0</xdr:rowOff>
    </xdr:from>
    <xdr:ext cx="200025" cy="200025"/>
    <xdr:pic>
      <xdr:nvPicPr>
        <xdr:cNvPr id="822" name="image1.png">
          <a:extLst>
            <a:ext uri="{FF2B5EF4-FFF2-40B4-BE49-F238E27FC236}">
              <a16:creationId xmlns:a16="http://schemas.microsoft.com/office/drawing/2014/main" id="{00000000-0008-0000-0100-000036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196</xdr:row>
      <xdr:rowOff>0</xdr:rowOff>
    </xdr:from>
    <xdr:ext cx="200025" cy="200025"/>
    <xdr:pic>
      <xdr:nvPicPr>
        <xdr:cNvPr id="823" name="image11.png">
          <a:extLst>
            <a:ext uri="{FF2B5EF4-FFF2-40B4-BE49-F238E27FC236}">
              <a16:creationId xmlns:a16="http://schemas.microsoft.com/office/drawing/2014/main" id="{00000000-0008-0000-0100-000037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196</xdr:row>
      <xdr:rowOff>0</xdr:rowOff>
    </xdr:from>
    <xdr:ext cx="200025" cy="200025"/>
    <xdr:pic>
      <xdr:nvPicPr>
        <xdr:cNvPr id="824" name="image7.png">
          <a:extLst>
            <a:ext uri="{FF2B5EF4-FFF2-40B4-BE49-F238E27FC236}">
              <a16:creationId xmlns:a16="http://schemas.microsoft.com/office/drawing/2014/main" id="{00000000-0008-0000-0100-000038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197</xdr:row>
      <xdr:rowOff>0</xdr:rowOff>
    </xdr:from>
    <xdr:ext cx="200025" cy="200025"/>
    <xdr:pic>
      <xdr:nvPicPr>
        <xdr:cNvPr id="825" name="image12.png">
          <a:extLst>
            <a:ext uri="{FF2B5EF4-FFF2-40B4-BE49-F238E27FC236}">
              <a16:creationId xmlns:a16="http://schemas.microsoft.com/office/drawing/2014/main" id="{00000000-0008-0000-0100-000039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197</xdr:row>
      <xdr:rowOff>0</xdr:rowOff>
    </xdr:from>
    <xdr:ext cx="200025" cy="200025"/>
    <xdr:pic>
      <xdr:nvPicPr>
        <xdr:cNvPr id="826" name="image11.png">
          <a:extLst>
            <a:ext uri="{FF2B5EF4-FFF2-40B4-BE49-F238E27FC236}">
              <a16:creationId xmlns:a16="http://schemas.microsoft.com/office/drawing/2014/main" id="{00000000-0008-0000-0100-00003A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197</xdr:row>
      <xdr:rowOff>0</xdr:rowOff>
    </xdr:from>
    <xdr:ext cx="200025" cy="200025"/>
    <xdr:pic>
      <xdr:nvPicPr>
        <xdr:cNvPr id="827" name="image7.png">
          <a:extLst>
            <a:ext uri="{FF2B5EF4-FFF2-40B4-BE49-F238E27FC236}">
              <a16:creationId xmlns:a16="http://schemas.microsoft.com/office/drawing/2014/main" id="{00000000-0008-0000-0100-00003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198</xdr:row>
      <xdr:rowOff>0</xdr:rowOff>
    </xdr:from>
    <xdr:ext cx="200025" cy="200025"/>
    <xdr:pic>
      <xdr:nvPicPr>
        <xdr:cNvPr id="828" name="image10.png">
          <a:extLst>
            <a:ext uri="{FF2B5EF4-FFF2-40B4-BE49-F238E27FC236}">
              <a16:creationId xmlns:a16="http://schemas.microsoft.com/office/drawing/2014/main" id="{00000000-0008-0000-0100-00003C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198</xdr:row>
      <xdr:rowOff>0</xdr:rowOff>
    </xdr:from>
    <xdr:ext cx="200025" cy="200025"/>
    <xdr:pic>
      <xdr:nvPicPr>
        <xdr:cNvPr id="829" name="image9.png">
          <a:extLst>
            <a:ext uri="{FF2B5EF4-FFF2-40B4-BE49-F238E27FC236}">
              <a16:creationId xmlns:a16="http://schemas.microsoft.com/office/drawing/2014/main" id="{00000000-0008-0000-0100-00003D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198</xdr:row>
      <xdr:rowOff>0</xdr:rowOff>
    </xdr:from>
    <xdr:ext cx="200025" cy="200025"/>
    <xdr:pic>
      <xdr:nvPicPr>
        <xdr:cNvPr id="830" name="image1.png">
          <a:extLst>
            <a:ext uri="{FF2B5EF4-FFF2-40B4-BE49-F238E27FC236}">
              <a16:creationId xmlns:a16="http://schemas.microsoft.com/office/drawing/2014/main" id="{00000000-0008-0000-0100-00003E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198</xdr:row>
      <xdr:rowOff>0</xdr:rowOff>
    </xdr:from>
    <xdr:ext cx="200025" cy="200025"/>
    <xdr:pic>
      <xdr:nvPicPr>
        <xdr:cNvPr id="831" name="image11.png">
          <a:extLst>
            <a:ext uri="{FF2B5EF4-FFF2-40B4-BE49-F238E27FC236}">
              <a16:creationId xmlns:a16="http://schemas.microsoft.com/office/drawing/2014/main" id="{00000000-0008-0000-0100-00003F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198</xdr:row>
      <xdr:rowOff>0</xdr:rowOff>
    </xdr:from>
    <xdr:ext cx="200025" cy="200025"/>
    <xdr:pic>
      <xdr:nvPicPr>
        <xdr:cNvPr id="832" name="image7.png">
          <a:extLst>
            <a:ext uri="{FF2B5EF4-FFF2-40B4-BE49-F238E27FC236}">
              <a16:creationId xmlns:a16="http://schemas.microsoft.com/office/drawing/2014/main" id="{00000000-0008-0000-0100-000040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199</xdr:row>
      <xdr:rowOff>0</xdr:rowOff>
    </xdr:from>
    <xdr:ext cx="200025" cy="200025"/>
    <xdr:pic>
      <xdr:nvPicPr>
        <xdr:cNvPr id="833" name="image10.png">
          <a:extLst>
            <a:ext uri="{FF2B5EF4-FFF2-40B4-BE49-F238E27FC236}">
              <a16:creationId xmlns:a16="http://schemas.microsoft.com/office/drawing/2014/main" id="{00000000-0008-0000-0100-00004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199</xdr:row>
      <xdr:rowOff>0</xdr:rowOff>
    </xdr:from>
    <xdr:ext cx="200025" cy="200025"/>
    <xdr:pic>
      <xdr:nvPicPr>
        <xdr:cNvPr id="834" name="image9.png">
          <a:extLst>
            <a:ext uri="{FF2B5EF4-FFF2-40B4-BE49-F238E27FC236}">
              <a16:creationId xmlns:a16="http://schemas.microsoft.com/office/drawing/2014/main" id="{00000000-0008-0000-0100-000042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199</xdr:row>
      <xdr:rowOff>0</xdr:rowOff>
    </xdr:from>
    <xdr:ext cx="200025" cy="200025"/>
    <xdr:pic>
      <xdr:nvPicPr>
        <xdr:cNvPr id="835" name="image1.png">
          <a:extLst>
            <a:ext uri="{FF2B5EF4-FFF2-40B4-BE49-F238E27FC236}">
              <a16:creationId xmlns:a16="http://schemas.microsoft.com/office/drawing/2014/main" id="{00000000-0008-0000-0100-000043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199</xdr:row>
      <xdr:rowOff>0</xdr:rowOff>
    </xdr:from>
    <xdr:ext cx="200025" cy="200025"/>
    <xdr:pic>
      <xdr:nvPicPr>
        <xdr:cNvPr id="836" name="image11.png">
          <a:extLst>
            <a:ext uri="{FF2B5EF4-FFF2-40B4-BE49-F238E27FC236}">
              <a16:creationId xmlns:a16="http://schemas.microsoft.com/office/drawing/2014/main" id="{00000000-0008-0000-0100-000044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199</xdr:row>
      <xdr:rowOff>0</xdr:rowOff>
    </xdr:from>
    <xdr:ext cx="200025" cy="200025"/>
    <xdr:pic>
      <xdr:nvPicPr>
        <xdr:cNvPr id="837" name="image7.png">
          <a:extLst>
            <a:ext uri="{FF2B5EF4-FFF2-40B4-BE49-F238E27FC236}">
              <a16:creationId xmlns:a16="http://schemas.microsoft.com/office/drawing/2014/main" id="{00000000-0008-0000-0100-000045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200</xdr:row>
      <xdr:rowOff>0</xdr:rowOff>
    </xdr:from>
    <xdr:ext cx="200025" cy="200025"/>
    <xdr:pic>
      <xdr:nvPicPr>
        <xdr:cNvPr id="838" name="image10.png">
          <a:extLst>
            <a:ext uri="{FF2B5EF4-FFF2-40B4-BE49-F238E27FC236}">
              <a16:creationId xmlns:a16="http://schemas.microsoft.com/office/drawing/2014/main" id="{00000000-0008-0000-0100-00004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200</xdr:row>
      <xdr:rowOff>0</xdr:rowOff>
    </xdr:from>
    <xdr:ext cx="200025" cy="200025"/>
    <xdr:pic>
      <xdr:nvPicPr>
        <xdr:cNvPr id="839" name="image8.png">
          <a:extLst>
            <a:ext uri="{FF2B5EF4-FFF2-40B4-BE49-F238E27FC236}">
              <a16:creationId xmlns:a16="http://schemas.microsoft.com/office/drawing/2014/main" id="{00000000-0008-0000-0100-000047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200</xdr:row>
      <xdr:rowOff>0</xdr:rowOff>
    </xdr:from>
    <xdr:ext cx="200025" cy="200025"/>
    <xdr:pic>
      <xdr:nvPicPr>
        <xdr:cNvPr id="840" name="image2.png">
          <a:extLst>
            <a:ext uri="{FF2B5EF4-FFF2-40B4-BE49-F238E27FC236}">
              <a16:creationId xmlns:a16="http://schemas.microsoft.com/office/drawing/2014/main" id="{00000000-0008-0000-0100-00004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200</xdr:row>
      <xdr:rowOff>0</xdr:rowOff>
    </xdr:from>
    <xdr:ext cx="200025" cy="200025"/>
    <xdr:pic>
      <xdr:nvPicPr>
        <xdr:cNvPr id="841" name="image11.png">
          <a:extLst>
            <a:ext uri="{FF2B5EF4-FFF2-40B4-BE49-F238E27FC236}">
              <a16:creationId xmlns:a16="http://schemas.microsoft.com/office/drawing/2014/main" id="{00000000-0008-0000-0100-000049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200</xdr:row>
      <xdr:rowOff>0</xdr:rowOff>
    </xdr:from>
    <xdr:ext cx="200025" cy="200025"/>
    <xdr:pic>
      <xdr:nvPicPr>
        <xdr:cNvPr id="842" name="image7.png">
          <a:extLst>
            <a:ext uri="{FF2B5EF4-FFF2-40B4-BE49-F238E27FC236}">
              <a16:creationId xmlns:a16="http://schemas.microsoft.com/office/drawing/2014/main" id="{00000000-0008-0000-0100-00004A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201</xdr:row>
      <xdr:rowOff>0</xdr:rowOff>
    </xdr:from>
    <xdr:ext cx="200025" cy="200025"/>
    <xdr:pic>
      <xdr:nvPicPr>
        <xdr:cNvPr id="843" name="image10.png">
          <a:extLst>
            <a:ext uri="{FF2B5EF4-FFF2-40B4-BE49-F238E27FC236}">
              <a16:creationId xmlns:a16="http://schemas.microsoft.com/office/drawing/2014/main" id="{00000000-0008-0000-0100-00004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201</xdr:row>
      <xdr:rowOff>0</xdr:rowOff>
    </xdr:from>
    <xdr:ext cx="200025" cy="200025"/>
    <xdr:pic>
      <xdr:nvPicPr>
        <xdr:cNvPr id="844" name="image8.png">
          <a:extLst>
            <a:ext uri="{FF2B5EF4-FFF2-40B4-BE49-F238E27FC236}">
              <a16:creationId xmlns:a16="http://schemas.microsoft.com/office/drawing/2014/main" id="{00000000-0008-0000-0100-00004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201</xdr:row>
      <xdr:rowOff>0</xdr:rowOff>
    </xdr:from>
    <xdr:ext cx="200025" cy="200025"/>
    <xdr:pic>
      <xdr:nvPicPr>
        <xdr:cNvPr id="845" name="image2.png">
          <a:extLst>
            <a:ext uri="{FF2B5EF4-FFF2-40B4-BE49-F238E27FC236}">
              <a16:creationId xmlns:a16="http://schemas.microsoft.com/office/drawing/2014/main" id="{00000000-0008-0000-0100-00004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201</xdr:row>
      <xdr:rowOff>0</xdr:rowOff>
    </xdr:from>
    <xdr:ext cx="200025" cy="200025"/>
    <xdr:pic>
      <xdr:nvPicPr>
        <xdr:cNvPr id="846" name="image11.png">
          <a:extLst>
            <a:ext uri="{FF2B5EF4-FFF2-40B4-BE49-F238E27FC236}">
              <a16:creationId xmlns:a16="http://schemas.microsoft.com/office/drawing/2014/main" id="{00000000-0008-0000-0100-00004E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201</xdr:row>
      <xdr:rowOff>0</xdr:rowOff>
    </xdr:from>
    <xdr:ext cx="200025" cy="200025"/>
    <xdr:pic>
      <xdr:nvPicPr>
        <xdr:cNvPr id="847" name="image7.png">
          <a:extLst>
            <a:ext uri="{FF2B5EF4-FFF2-40B4-BE49-F238E27FC236}">
              <a16:creationId xmlns:a16="http://schemas.microsoft.com/office/drawing/2014/main" id="{00000000-0008-0000-0100-00004F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202</xdr:row>
      <xdr:rowOff>0</xdr:rowOff>
    </xdr:from>
    <xdr:ext cx="200025" cy="200025"/>
    <xdr:pic>
      <xdr:nvPicPr>
        <xdr:cNvPr id="848" name="image10.png">
          <a:extLst>
            <a:ext uri="{FF2B5EF4-FFF2-40B4-BE49-F238E27FC236}">
              <a16:creationId xmlns:a16="http://schemas.microsoft.com/office/drawing/2014/main" id="{00000000-0008-0000-0100-000050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202</xdr:row>
      <xdr:rowOff>0</xdr:rowOff>
    </xdr:from>
    <xdr:ext cx="200025" cy="200025"/>
    <xdr:pic>
      <xdr:nvPicPr>
        <xdr:cNvPr id="849" name="image1.png">
          <a:extLst>
            <a:ext uri="{FF2B5EF4-FFF2-40B4-BE49-F238E27FC236}">
              <a16:creationId xmlns:a16="http://schemas.microsoft.com/office/drawing/2014/main" id="{00000000-0008-0000-0100-000051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202</xdr:row>
      <xdr:rowOff>0</xdr:rowOff>
    </xdr:from>
    <xdr:ext cx="200025" cy="200025"/>
    <xdr:pic>
      <xdr:nvPicPr>
        <xdr:cNvPr id="850" name="image6.png">
          <a:extLst>
            <a:ext uri="{FF2B5EF4-FFF2-40B4-BE49-F238E27FC236}">
              <a16:creationId xmlns:a16="http://schemas.microsoft.com/office/drawing/2014/main" id="{00000000-0008-0000-0100-000052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202</xdr:row>
      <xdr:rowOff>0</xdr:rowOff>
    </xdr:from>
    <xdr:ext cx="200025" cy="200025"/>
    <xdr:pic>
      <xdr:nvPicPr>
        <xdr:cNvPr id="851" name="image11.png">
          <a:extLst>
            <a:ext uri="{FF2B5EF4-FFF2-40B4-BE49-F238E27FC236}">
              <a16:creationId xmlns:a16="http://schemas.microsoft.com/office/drawing/2014/main" id="{00000000-0008-0000-0100-000053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202</xdr:row>
      <xdr:rowOff>0</xdr:rowOff>
    </xdr:from>
    <xdr:ext cx="200025" cy="200025"/>
    <xdr:pic>
      <xdr:nvPicPr>
        <xdr:cNvPr id="852" name="image7.png">
          <a:extLst>
            <a:ext uri="{FF2B5EF4-FFF2-40B4-BE49-F238E27FC236}">
              <a16:creationId xmlns:a16="http://schemas.microsoft.com/office/drawing/2014/main" id="{00000000-0008-0000-0100-00005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203</xdr:row>
      <xdr:rowOff>0</xdr:rowOff>
    </xdr:from>
    <xdr:ext cx="200025" cy="200025"/>
    <xdr:pic>
      <xdr:nvPicPr>
        <xdr:cNvPr id="853" name="image10.png">
          <a:extLst>
            <a:ext uri="{FF2B5EF4-FFF2-40B4-BE49-F238E27FC236}">
              <a16:creationId xmlns:a16="http://schemas.microsoft.com/office/drawing/2014/main" id="{00000000-0008-0000-0100-00005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203</xdr:row>
      <xdr:rowOff>0</xdr:rowOff>
    </xdr:from>
    <xdr:ext cx="200025" cy="200025"/>
    <xdr:pic>
      <xdr:nvPicPr>
        <xdr:cNvPr id="854" name="image8.png">
          <a:extLst>
            <a:ext uri="{FF2B5EF4-FFF2-40B4-BE49-F238E27FC236}">
              <a16:creationId xmlns:a16="http://schemas.microsoft.com/office/drawing/2014/main" id="{00000000-0008-0000-0100-000056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203</xdr:row>
      <xdr:rowOff>0</xdr:rowOff>
    </xdr:from>
    <xdr:ext cx="200025" cy="200025"/>
    <xdr:pic>
      <xdr:nvPicPr>
        <xdr:cNvPr id="855" name="image2.png">
          <a:extLst>
            <a:ext uri="{FF2B5EF4-FFF2-40B4-BE49-F238E27FC236}">
              <a16:creationId xmlns:a16="http://schemas.microsoft.com/office/drawing/2014/main" id="{00000000-0008-0000-0100-00005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203</xdr:row>
      <xdr:rowOff>0</xdr:rowOff>
    </xdr:from>
    <xdr:ext cx="200025" cy="200025"/>
    <xdr:pic>
      <xdr:nvPicPr>
        <xdr:cNvPr id="856" name="image6.png">
          <a:extLst>
            <a:ext uri="{FF2B5EF4-FFF2-40B4-BE49-F238E27FC236}">
              <a16:creationId xmlns:a16="http://schemas.microsoft.com/office/drawing/2014/main" id="{00000000-0008-0000-0100-000058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203</xdr:row>
      <xdr:rowOff>0</xdr:rowOff>
    </xdr:from>
    <xdr:ext cx="200025" cy="200025"/>
    <xdr:pic>
      <xdr:nvPicPr>
        <xdr:cNvPr id="857" name="image11.png">
          <a:extLst>
            <a:ext uri="{FF2B5EF4-FFF2-40B4-BE49-F238E27FC236}">
              <a16:creationId xmlns:a16="http://schemas.microsoft.com/office/drawing/2014/main" id="{00000000-0008-0000-0100-000059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203</xdr:row>
      <xdr:rowOff>0</xdr:rowOff>
    </xdr:from>
    <xdr:ext cx="200025" cy="200025"/>
    <xdr:pic>
      <xdr:nvPicPr>
        <xdr:cNvPr id="858" name="image7.png">
          <a:extLst>
            <a:ext uri="{FF2B5EF4-FFF2-40B4-BE49-F238E27FC236}">
              <a16:creationId xmlns:a16="http://schemas.microsoft.com/office/drawing/2014/main" id="{00000000-0008-0000-0100-00005A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204</xdr:row>
      <xdr:rowOff>0</xdr:rowOff>
    </xdr:from>
    <xdr:ext cx="200025" cy="200025"/>
    <xdr:pic>
      <xdr:nvPicPr>
        <xdr:cNvPr id="859" name="image10.png">
          <a:extLst>
            <a:ext uri="{FF2B5EF4-FFF2-40B4-BE49-F238E27FC236}">
              <a16:creationId xmlns:a16="http://schemas.microsoft.com/office/drawing/2014/main" id="{00000000-0008-0000-0100-00005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204</xdr:row>
      <xdr:rowOff>0</xdr:rowOff>
    </xdr:from>
    <xdr:ext cx="200025" cy="200025"/>
    <xdr:pic>
      <xdr:nvPicPr>
        <xdr:cNvPr id="860" name="image8.png">
          <a:extLst>
            <a:ext uri="{FF2B5EF4-FFF2-40B4-BE49-F238E27FC236}">
              <a16:creationId xmlns:a16="http://schemas.microsoft.com/office/drawing/2014/main" id="{00000000-0008-0000-0100-00005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204</xdr:row>
      <xdr:rowOff>0</xdr:rowOff>
    </xdr:from>
    <xdr:ext cx="200025" cy="200025"/>
    <xdr:pic>
      <xdr:nvPicPr>
        <xdr:cNvPr id="861" name="image2.png">
          <a:extLst>
            <a:ext uri="{FF2B5EF4-FFF2-40B4-BE49-F238E27FC236}">
              <a16:creationId xmlns:a16="http://schemas.microsoft.com/office/drawing/2014/main" id="{00000000-0008-0000-0100-00005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204</xdr:row>
      <xdr:rowOff>0</xdr:rowOff>
    </xdr:from>
    <xdr:ext cx="200025" cy="200025"/>
    <xdr:pic>
      <xdr:nvPicPr>
        <xdr:cNvPr id="862" name="image6.png">
          <a:extLst>
            <a:ext uri="{FF2B5EF4-FFF2-40B4-BE49-F238E27FC236}">
              <a16:creationId xmlns:a16="http://schemas.microsoft.com/office/drawing/2014/main" id="{00000000-0008-0000-0100-00005E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204</xdr:row>
      <xdr:rowOff>0</xdr:rowOff>
    </xdr:from>
    <xdr:ext cx="200025" cy="200025"/>
    <xdr:pic>
      <xdr:nvPicPr>
        <xdr:cNvPr id="863" name="image11.png">
          <a:extLst>
            <a:ext uri="{FF2B5EF4-FFF2-40B4-BE49-F238E27FC236}">
              <a16:creationId xmlns:a16="http://schemas.microsoft.com/office/drawing/2014/main" id="{00000000-0008-0000-0100-00005F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204</xdr:row>
      <xdr:rowOff>0</xdr:rowOff>
    </xdr:from>
    <xdr:ext cx="200025" cy="200025"/>
    <xdr:pic>
      <xdr:nvPicPr>
        <xdr:cNvPr id="864" name="image7.png">
          <a:extLst>
            <a:ext uri="{FF2B5EF4-FFF2-40B4-BE49-F238E27FC236}">
              <a16:creationId xmlns:a16="http://schemas.microsoft.com/office/drawing/2014/main" id="{00000000-0008-0000-0100-000060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205</xdr:row>
      <xdr:rowOff>0</xdr:rowOff>
    </xdr:from>
    <xdr:ext cx="200025" cy="200025"/>
    <xdr:pic>
      <xdr:nvPicPr>
        <xdr:cNvPr id="865" name="image12.png">
          <a:extLst>
            <a:ext uri="{FF2B5EF4-FFF2-40B4-BE49-F238E27FC236}">
              <a16:creationId xmlns:a16="http://schemas.microsoft.com/office/drawing/2014/main" id="{00000000-0008-0000-0100-000061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205</xdr:row>
      <xdr:rowOff>0</xdr:rowOff>
    </xdr:from>
    <xdr:ext cx="200025" cy="200025"/>
    <xdr:pic>
      <xdr:nvPicPr>
        <xdr:cNvPr id="866" name="image11.png">
          <a:extLst>
            <a:ext uri="{FF2B5EF4-FFF2-40B4-BE49-F238E27FC236}">
              <a16:creationId xmlns:a16="http://schemas.microsoft.com/office/drawing/2014/main" id="{00000000-0008-0000-0100-000062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205</xdr:row>
      <xdr:rowOff>0</xdr:rowOff>
    </xdr:from>
    <xdr:ext cx="200025" cy="200025"/>
    <xdr:pic>
      <xdr:nvPicPr>
        <xdr:cNvPr id="867" name="image7.png">
          <a:extLst>
            <a:ext uri="{FF2B5EF4-FFF2-40B4-BE49-F238E27FC236}">
              <a16:creationId xmlns:a16="http://schemas.microsoft.com/office/drawing/2014/main" id="{00000000-0008-0000-0100-000063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206</xdr:row>
      <xdr:rowOff>0</xdr:rowOff>
    </xdr:from>
    <xdr:ext cx="200025" cy="200025"/>
    <xdr:pic>
      <xdr:nvPicPr>
        <xdr:cNvPr id="868" name="image5.png">
          <a:extLst>
            <a:ext uri="{FF2B5EF4-FFF2-40B4-BE49-F238E27FC236}">
              <a16:creationId xmlns:a16="http://schemas.microsoft.com/office/drawing/2014/main" id="{00000000-0008-0000-0100-000064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206</xdr:row>
      <xdr:rowOff>0</xdr:rowOff>
    </xdr:from>
    <xdr:ext cx="200025" cy="200025"/>
    <xdr:pic>
      <xdr:nvPicPr>
        <xdr:cNvPr id="869" name="image3.png">
          <a:extLst>
            <a:ext uri="{FF2B5EF4-FFF2-40B4-BE49-F238E27FC236}">
              <a16:creationId xmlns:a16="http://schemas.microsoft.com/office/drawing/2014/main" id="{00000000-0008-0000-0100-000065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206</xdr:row>
      <xdr:rowOff>0</xdr:rowOff>
    </xdr:from>
    <xdr:ext cx="200025" cy="200025"/>
    <xdr:pic>
      <xdr:nvPicPr>
        <xdr:cNvPr id="870" name="image4.png">
          <a:extLst>
            <a:ext uri="{FF2B5EF4-FFF2-40B4-BE49-F238E27FC236}">
              <a16:creationId xmlns:a16="http://schemas.microsoft.com/office/drawing/2014/main" id="{00000000-0008-0000-0100-000066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207</xdr:row>
      <xdr:rowOff>0</xdr:rowOff>
    </xdr:from>
    <xdr:ext cx="200025" cy="200025"/>
    <xdr:pic>
      <xdr:nvPicPr>
        <xdr:cNvPr id="871" name="image9.png">
          <a:extLst>
            <a:ext uri="{FF2B5EF4-FFF2-40B4-BE49-F238E27FC236}">
              <a16:creationId xmlns:a16="http://schemas.microsoft.com/office/drawing/2014/main" id="{00000000-0008-0000-0100-000067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207</xdr:row>
      <xdr:rowOff>0</xdr:rowOff>
    </xdr:from>
    <xdr:ext cx="200025" cy="200025"/>
    <xdr:pic>
      <xdr:nvPicPr>
        <xdr:cNvPr id="872" name="image5.png">
          <a:extLst>
            <a:ext uri="{FF2B5EF4-FFF2-40B4-BE49-F238E27FC236}">
              <a16:creationId xmlns:a16="http://schemas.microsoft.com/office/drawing/2014/main" id="{00000000-0008-0000-0100-000068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207</xdr:row>
      <xdr:rowOff>0</xdr:rowOff>
    </xdr:from>
    <xdr:ext cx="200025" cy="200025"/>
    <xdr:pic>
      <xdr:nvPicPr>
        <xdr:cNvPr id="873" name="image3.png">
          <a:extLst>
            <a:ext uri="{FF2B5EF4-FFF2-40B4-BE49-F238E27FC236}">
              <a16:creationId xmlns:a16="http://schemas.microsoft.com/office/drawing/2014/main" id="{00000000-0008-0000-0100-000069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207</xdr:row>
      <xdr:rowOff>0</xdr:rowOff>
    </xdr:from>
    <xdr:ext cx="200025" cy="200025"/>
    <xdr:pic>
      <xdr:nvPicPr>
        <xdr:cNvPr id="874" name="image10.png">
          <a:extLst>
            <a:ext uri="{FF2B5EF4-FFF2-40B4-BE49-F238E27FC236}">
              <a16:creationId xmlns:a16="http://schemas.microsoft.com/office/drawing/2014/main" id="{00000000-0008-0000-0100-00006A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208</xdr:row>
      <xdr:rowOff>0</xdr:rowOff>
    </xdr:from>
    <xdr:ext cx="200025" cy="200025"/>
    <xdr:pic>
      <xdr:nvPicPr>
        <xdr:cNvPr id="875" name="image9.png">
          <a:extLst>
            <a:ext uri="{FF2B5EF4-FFF2-40B4-BE49-F238E27FC236}">
              <a16:creationId xmlns:a16="http://schemas.microsoft.com/office/drawing/2014/main" id="{00000000-0008-0000-0100-00006B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208</xdr:row>
      <xdr:rowOff>0</xdr:rowOff>
    </xdr:from>
    <xdr:ext cx="200025" cy="200025"/>
    <xdr:pic>
      <xdr:nvPicPr>
        <xdr:cNvPr id="876" name="image5.png">
          <a:extLst>
            <a:ext uri="{FF2B5EF4-FFF2-40B4-BE49-F238E27FC236}">
              <a16:creationId xmlns:a16="http://schemas.microsoft.com/office/drawing/2014/main" id="{00000000-0008-0000-0100-00006C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208</xdr:row>
      <xdr:rowOff>0</xdr:rowOff>
    </xdr:from>
    <xdr:ext cx="200025" cy="200025"/>
    <xdr:pic>
      <xdr:nvPicPr>
        <xdr:cNvPr id="877" name="image3.png">
          <a:extLst>
            <a:ext uri="{FF2B5EF4-FFF2-40B4-BE49-F238E27FC236}">
              <a16:creationId xmlns:a16="http://schemas.microsoft.com/office/drawing/2014/main" id="{00000000-0008-0000-0100-00006D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208</xdr:row>
      <xdr:rowOff>0</xdr:rowOff>
    </xdr:from>
    <xdr:ext cx="200025" cy="200025"/>
    <xdr:pic>
      <xdr:nvPicPr>
        <xdr:cNvPr id="878" name="image10.png">
          <a:extLst>
            <a:ext uri="{FF2B5EF4-FFF2-40B4-BE49-F238E27FC236}">
              <a16:creationId xmlns:a16="http://schemas.microsoft.com/office/drawing/2014/main" id="{00000000-0008-0000-0100-00006E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209</xdr:row>
      <xdr:rowOff>0</xdr:rowOff>
    </xdr:from>
    <xdr:ext cx="200025" cy="200025"/>
    <xdr:pic>
      <xdr:nvPicPr>
        <xdr:cNvPr id="879" name="image8.png">
          <a:extLst>
            <a:ext uri="{FF2B5EF4-FFF2-40B4-BE49-F238E27FC236}">
              <a16:creationId xmlns:a16="http://schemas.microsoft.com/office/drawing/2014/main" id="{00000000-0008-0000-0100-00006F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209</xdr:row>
      <xdr:rowOff>0</xdr:rowOff>
    </xdr:from>
    <xdr:ext cx="200025" cy="200025"/>
    <xdr:pic>
      <xdr:nvPicPr>
        <xdr:cNvPr id="880" name="image1.png">
          <a:extLst>
            <a:ext uri="{FF2B5EF4-FFF2-40B4-BE49-F238E27FC236}">
              <a16:creationId xmlns:a16="http://schemas.microsoft.com/office/drawing/2014/main" id="{00000000-0008-0000-0100-000070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209</xdr:row>
      <xdr:rowOff>0</xdr:rowOff>
    </xdr:from>
    <xdr:ext cx="200025" cy="200025"/>
    <xdr:pic>
      <xdr:nvPicPr>
        <xdr:cNvPr id="881" name="image12.png">
          <a:extLst>
            <a:ext uri="{FF2B5EF4-FFF2-40B4-BE49-F238E27FC236}">
              <a16:creationId xmlns:a16="http://schemas.microsoft.com/office/drawing/2014/main" id="{00000000-0008-0000-0100-000071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209</xdr:row>
      <xdr:rowOff>0</xdr:rowOff>
    </xdr:from>
    <xdr:ext cx="200025" cy="200025"/>
    <xdr:pic>
      <xdr:nvPicPr>
        <xdr:cNvPr id="882" name="image3.png">
          <a:extLst>
            <a:ext uri="{FF2B5EF4-FFF2-40B4-BE49-F238E27FC236}">
              <a16:creationId xmlns:a16="http://schemas.microsoft.com/office/drawing/2014/main" id="{00000000-0008-0000-0100-000072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209</xdr:row>
      <xdr:rowOff>0</xdr:rowOff>
    </xdr:from>
    <xdr:ext cx="200025" cy="200025"/>
    <xdr:pic>
      <xdr:nvPicPr>
        <xdr:cNvPr id="883" name="image10.png">
          <a:extLst>
            <a:ext uri="{FF2B5EF4-FFF2-40B4-BE49-F238E27FC236}">
              <a16:creationId xmlns:a16="http://schemas.microsoft.com/office/drawing/2014/main" id="{00000000-0008-0000-0100-00007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210</xdr:row>
      <xdr:rowOff>0</xdr:rowOff>
    </xdr:from>
    <xdr:ext cx="200025" cy="200025"/>
    <xdr:pic>
      <xdr:nvPicPr>
        <xdr:cNvPr id="884" name="image8.png">
          <a:extLst>
            <a:ext uri="{FF2B5EF4-FFF2-40B4-BE49-F238E27FC236}">
              <a16:creationId xmlns:a16="http://schemas.microsoft.com/office/drawing/2014/main" id="{00000000-0008-0000-0100-000074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210</xdr:row>
      <xdr:rowOff>0</xdr:rowOff>
    </xdr:from>
    <xdr:ext cx="200025" cy="200025"/>
    <xdr:pic>
      <xdr:nvPicPr>
        <xdr:cNvPr id="885" name="image4.png">
          <a:extLst>
            <a:ext uri="{FF2B5EF4-FFF2-40B4-BE49-F238E27FC236}">
              <a16:creationId xmlns:a16="http://schemas.microsoft.com/office/drawing/2014/main" id="{00000000-0008-0000-0100-000075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210</xdr:row>
      <xdr:rowOff>0</xdr:rowOff>
    </xdr:from>
    <xdr:ext cx="200025" cy="200025"/>
    <xdr:pic>
      <xdr:nvPicPr>
        <xdr:cNvPr id="886" name="image7.png">
          <a:extLst>
            <a:ext uri="{FF2B5EF4-FFF2-40B4-BE49-F238E27FC236}">
              <a16:creationId xmlns:a16="http://schemas.microsoft.com/office/drawing/2014/main" id="{00000000-0008-0000-0100-000076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210</xdr:row>
      <xdr:rowOff>0</xdr:rowOff>
    </xdr:from>
    <xdr:ext cx="200025" cy="200025"/>
    <xdr:pic>
      <xdr:nvPicPr>
        <xdr:cNvPr id="887" name="image9.png">
          <a:extLst>
            <a:ext uri="{FF2B5EF4-FFF2-40B4-BE49-F238E27FC236}">
              <a16:creationId xmlns:a16="http://schemas.microsoft.com/office/drawing/2014/main" id="{00000000-0008-0000-0100-000077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211</xdr:row>
      <xdr:rowOff>0</xdr:rowOff>
    </xdr:from>
    <xdr:ext cx="200025" cy="200025"/>
    <xdr:pic>
      <xdr:nvPicPr>
        <xdr:cNvPr id="888" name="image1.png">
          <a:extLst>
            <a:ext uri="{FF2B5EF4-FFF2-40B4-BE49-F238E27FC236}">
              <a16:creationId xmlns:a16="http://schemas.microsoft.com/office/drawing/2014/main" id="{00000000-0008-0000-0100-000078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211</xdr:row>
      <xdr:rowOff>0</xdr:rowOff>
    </xdr:from>
    <xdr:ext cx="200025" cy="200025"/>
    <xdr:pic>
      <xdr:nvPicPr>
        <xdr:cNvPr id="889" name="image6.png">
          <a:extLst>
            <a:ext uri="{FF2B5EF4-FFF2-40B4-BE49-F238E27FC236}">
              <a16:creationId xmlns:a16="http://schemas.microsoft.com/office/drawing/2014/main" id="{00000000-0008-0000-0100-000079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211</xdr:row>
      <xdr:rowOff>0</xdr:rowOff>
    </xdr:from>
    <xdr:ext cx="200025" cy="200025"/>
    <xdr:pic>
      <xdr:nvPicPr>
        <xdr:cNvPr id="890" name="image5.png">
          <a:extLst>
            <a:ext uri="{FF2B5EF4-FFF2-40B4-BE49-F238E27FC236}">
              <a16:creationId xmlns:a16="http://schemas.microsoft.com/office/drawing/2014/main" id="{00000000-0008-0000-0100-00007A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211</xdr:row>
      <xdr:rowOff>0</xdr:rowOff>
    </xdr:from>
    <xdr:ext cx="200025" cy="200025"/>
    <xdr:pic>
      <xdr:nvPicPr>
        <xdr:cNvPr id="891" name="image10.png">
          <a:extLst>
            <a:ext uri="{FF2B5EF4-FFF2-40B4-BE49-F238E27FC236}">
              <a16:creationId xmlns:a16="http://schemas.microsoft.com/office/drawing/2014/main" id="{00000000-0008-0000-0100-00007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212</xdr:row>
      <xdr:rowOff>0</xdr:rowOff>
    </xdr:from>
    <xdr:ext cx="200025" cy="200025"/>
    <xdr:pic>
      <xdr:nvPicPr>
        <xdr:cNvPr id="892" name="image9.png">
          <a:extLst>
            <a:ext uri="{FF2B5EF4-FFF2-40B4-BE49-F238E27FC236}">
              <a16:creationId xmlns:a16="http://schemas.microsoft.com/office/drawing/2014/main" id="{00000000-0008-0000-0100-00007C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212</xdr:row>
      <xdr:rowOff>0</xdr:rowOff>
    </xdr:from>
    <xdr:ext cx="200025" cy="200025"/>
    <xdr:pic>
      <xdr:nvPicPr>
        <xdr:cNvPr id="893" name="image4.png">
          <a:extLst>
            <a:ext uri="{FF2B5EF4-FFF2-40B4-BE49-F238E27FC236}">
              <a16:creationId xmlns:a16="http://schemas.microsoft.com/office/drawing/2014/main" id="{00000000-0008-0000-0100-00007D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212</xdr:row>
      <xdr:rowOff>0</xdr:rowOff>
    </xdr:from>
    <xdr:ext cx="200025" cy="200025"/>
    <xdr:pic>
      <xdr:nvPicPr>
        <xdr:cNvPr id="894" name="image11.png">
          <a:extLst>
            <a:ext uri="{FF2B5EF4-FFF2-40B4-BE49-F238E27FC236}">
              <a16:creationId xmlns:a16="http://schemas.microsoft.com/office/drawing/2014/main" id="{00000000-0008-0000-0100-00007E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212</xdr:row>
      <xdr:rowOff>0</xdr:rowOff>
    </xdr:from>
    <xdr:ext cx="200025" cy="200025"/>
    <xdr:pic>
      <xdr:nvPicPr>
        <xdr:cNvPr id="895" name="image10.png">
          <a:extLst>
            <a:ext uri="{FF2B5EF4-FFF2-40B4-BE49-F238E27FC236}">
              <a16:creationId xmlns:a16="http://schemas.microsoft.com/office/drawing/2014/main" id="{00000000-0008-0000-0100-00007F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213</xdr:row>
      <xdr:rowOff>0</xdr:rowOff>
    </xdr:from>
    <xdr:ext cx="200025" cy="200025"/>
    <xdr:pic>
      <xdr:nvPicPr>
        <xdr:cNvPr id="896" name="image1.png">
          <a:extLst>
            <a:ext uri="{FF2B5EF4-FFF2-40B4-BE49-F238E27FC236}">
              <a16:creationId xmlns:a16="http://schemas.microsoft.com/office/drawing/2014/main" id="{00000000-0008-0000-0100-000080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213</xdr:row>
      <xdr:rowOff>0</xdr:rowOff>
    </xdr:from>
    <xdr:ext cx="200025" cy="200025"/>
    <xdr:pic>
      <xdr:nvPicPr>
        <xdr:cNvPr id="897" name="image11.png">
          <a:extLst>
            <a:ext uri="{FF2B5EF4-FFF2-40B4-BE49-F238E27FC236}">
              <a16:creationId xmlns:a16="http://schemas.microsoft.com/office/drawing/2014/main" id="{00000000-0008-0000-0100-000081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214</xdr:row>
      <xdr:rowOff>0</xdr:rowOff>
    </xdr:from>
    <xdr:ext cx="200025" cy="200025"/>
    <xdr:pic>
      <xdr:nvPicPr>
        <xdr:cNvPr id="898" name="image10.png">
          <a:extLst>
            <a:ext uri="{FF2B5EF4-FFF2-40B4-BE49-F238E27FC236}">
              <a16:creationId xmlns:a16="http://schemas.microsoft.com/office/drawing/2014/main" id="{00000000-0008-0000-0100-00008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214</xdr:row>
      <xdr:rowOff>0</xdr:rowOff>
    </xdr:from>
    <xdr:ext cx="200025" cy="200025"/>
    <xdr:pic>
      <xdr:nvPicPr>
        <xdr:cNvPr id="899" name="image1.png">
          <a:extLst>
            <a:ext uri="{FF2B5EF4-FFF2-40B4-BE49-F238E27FC236}">
              <a16:creationId xmlns:a16="http://schemas.microsoft.com/office/drawing/2014/main" id="{00000000-0008-0000-0100-000083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214</xdr:row>
      <xdr:rowOff>0</xdr:rowOff>
    </xdr:from>
    <xdr:ext cx="200025" cy="200025"/>
    <xdr:pic>
      <xdr:nvPicPr>
        <xdr:cNvPr id="900" name="image3.png">
          <a:extLst>
            <a:ext uri="{FF2B5EF4-FFF2-40B4-BE49-F238E27FC236}">
              <a16:creationId xmlns:a16="http://schemas.microsoft.com/office/drawing/2014/main" id="{00000000-0008-0000-0100-000084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214</xdr:row>
      <xdr:rowOff>0</xdr:rowOff>
    </xdr:from>
    <xdr:ext cx="200025" cy="200025"/>
    <xdr:pic>
      <xdr:nvPicPr>
        <xdr:cNvPr id="901" name="image9.png">
          <a:extLst>
            <a:ext uri="{FF2B5EF4-FFF2-40B4-BE49-F238E27FC236}">
              <a16:creationId xmlns:a16="http://schemas.microsoft.com/office/drawing/2014/main" id="{00000000-0008-0000-0100-000085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215</xdr:row>
      <xdr:rowOff>0</xdr:rowOff>
    </xdr:from>
    <xdr:ext cx="200025" cy="200025"/>
    <xdr:pic>
      <xdr:nvPicPr>
        <xdr:cNvPr id="902" name="image6.png">
          <a:extLst>
            <a:ext uri="{FF2B5EF4-FFF2-40B4-BE49-F238E27FC236}">
              <a16:creationId xmlns:a16="http://schemas.microsoft.com/office/drawing/2014/main" id="{00000000-0008-0000-0100-000086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215</xdr:row>
      <xdr:rowOff>0</xdr:rowOff>
    </xdr:from>
    <xdr:ext cx="200025" cy="200025"/>
    <xdr:pic>
      <xdr:nvPicPr>
        <xdr:cNvPr id="903" name="image3.png">
          <a:extLst>
            <a:ext uri="{FF2B5EF4-FFF2-40B4-BE49-F238E27FC236}">
              <a16:creationId xmlns:a16="http://schemas.microsoft.com/office/drawing/2014/main" id="{00000000-0008-0000-0100-000087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0</xdr:colOff>
      <xdr:row>215</xdr:row>
      <xdr:rowOff>0</xdr:rowOff>
    </xdr:from>
    <xdr:ext cx="200025" cy="200025"/>
    <xdr:pic>
      <xdr:nvPicPr>
        <xdr:cNvPr id="904" name="image7.png">
          <a:extLst>
            <a:ext uri="{FF2B5EF4-FFF2-40B4-BE49-F238E27FC236}">
              <a16:creationId xmlns:a16="http://schemas.microsoft.com/office/drawing/2014/main" id="{00000000-0008-0000-0100-000088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215</xdr:row>
      <xdr:rowOff>0</xdr:rowOff>
    </xdr:from>
    <xdr:ext cx="200025" cy="200025"/>
    <xdr:pic>
      <xdr:nvPicPr>
        <xdr:cNvPr id="905" name="image10.png">
          <a:extLst>
            <a:ext uri="{FF2B5EF4-FFF2-40B4-BE49-F238E27FC236}">
              <a16:creationId xmlns:a16="http://schemas.microsoft.com/office/drawing/2014/main" id="{00000000-0008-0000-0100-00008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216</xdr:row>
      <xdr:rowOff>0</xdr:rowOff>
    </xdr:from>
    <xdr:ext cx="200025" cy="200025"/>
    <xdr:pic>
      <xdr:nvPicPr>
        <xdr:cNvPr id="906" name="image1.png">
          <a:extLst>
            <a:ext uri="{FF2B5EF4-FFF2-40B4-BE49-F238E27FC236}">
              <a16:creationId xmlns:a16="http://schemas.microsoft.com/office/drawing/2014/main" id="{00000000-0008-0000-0100-00008A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216</xdr:row>
      <xdr:rowOff>0</xdr:rowOff>
    </xdr:from>
    <xdr:ext cx="200025" cy="200025"/>
    <xdr:pic>
      <xdr:nvPicPr>
        <xdr:cNvPr id="907" name="image6.png">
          <a:extLst>
            <a:ext uri="{FF2B5EF4-FFF2-40B4-BE49-F238E27FC236}">
              <a16:creationId xmlns:a16="http://schemas.microsoft.com/office/drawing/2014/main" id="{00000000-0008-0000-0100-00008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216</xdr:row>
      <xdr:rowOff>0</xdr:rowOff>
    </xdr:from>
    <xdr:ext cx="200025" cy="200025"/>
    <xdr:pic>
      <xdr:nvPicPr>
        <xdr:cNvPr id="908" name="image5.png">
          <a:extLst>
            <a:ext uri="{FF2B5EF4-FFF2-40B4-BE49-F238E27FC236}">
              <a16:creationId xmlns:a16="http://schemas.microsoft.com/office/drawing/2014/main" id="{00000000-0008-0000-0100-00008C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216</xdr:row>
      <xdr:rowOff>0</xdr:rowOff>
    </xdr:from>
    <xdr:ext cx="200025" cy="200025"/>
    <xdr:pic>
      <xdr:nvPicPr>
        <xdr:cNvPr id="909" name="image10.png">
          <a:extLst>
            <a:ext uri="{FF2B5EF4-FFF2-40B4-BE49-F238E27FC236}">
              <a16:creationId xmlns:a16="http://schemas.microsoft.com/office/drawing/2014/main" id="{00000000-0008-0000-0100-00008D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217</xdr:row>
      <xdr:rowOff>0</xdr:rowOff>
    </xdr:from>
    <xdr:ext cx="200025" cy="200025"/>
    <xdr:pic>
      <xdr:nvPicPr>
        <xdr:cNvPr id="910" name="image10.png">
          <a:extLst>
            <a:ext uri="{FF2B5EF4-FFF2-40B4-BE49-F238E27FC236}">
              <a16:creationId xmlns:a16="http://schemas.microsoft.com/office/drawing/2014/main" id="{00000000-0008-0000-0100-00008E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217</xdr:row>
      <xdr:rowOff>0</xdr:rowOff>
    </xdr:from>
    <xdr:ext cx="200025" cy="200025"/>
    <xdr:pic>
      <xdr:nvPicPr>
        <xdr:cNvPr id="911" name="image8.png">
          <a:extLst>
            <a:ext uri="{FF2B5EF4-FFF2-40B4-BE49-F238E27FC236}">
              <a16:creationId xmlns:a16="http://schemas.microsoft.com/office/drawing/2014/main" id="{00000000-0008-0000-0100-00008F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217</xdr:row>
      <xdr:rowOff>0</xdr:rowOff>
    </xdr:from>
    <xdr:ext cx="200025" cy="200025"/>
    <xdr:pic>
      <xdr:nvPicPr>
        <xdr:cNvPr id="912" name="image4.png">
          <a:extLst>
            <a:ext uri="{FF2B5EF4-FFF2-40B4-BE49-F238E27FC236}">
              <a16:creationId xmlns:a16="http://schemas.microsoft.com/office/drawing/2014/main" id="{00000000-0008-0000-0100-000090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217</xdr:row>
      <xdr:rowOff>0</xdr:rowOff>
    </xdr:from>
    <xdr:ext cx="200025" cy="200025"/>
    <xdr:pic>
      <xdr:nvPicPr>
        <xdr:cNvPr id="913" name="image7.png">
          <a:extLst>
            <a:ext uri="{FF2B5EF4-FFF2-40B4-BE49-F238E27FC236}">
              <a16:creationId xmlns:a16="http://schemas.microsoft.com/office/drawing/2014/main" id="{00000000-0008-0000-0100-000091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218</xdr:row>
      <xdr:rowOff>0</xdr:rowOff>
    </xdr:from>
    <xdr:ext cx="200025" cy="200025"/>
    <xdr:pic>
      <xdr:nvPicPr>
        <xdr:cNvPr id="914" name="image10.png">
          <a:extLst>
            <a:ext uri="{FF2B5EF4-FFF2-40B4-BE49-F238E27FC236}">
              <a16:creationId xmlns:a16="http://schemas.microsoft.com/office/drawing/2014/main" id="{00000000-0008-0000-0100-00009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218</xdr:row>
      <xdr:rowOff>0</xdr:rowOff>
    </xdr:from>
    <xdr:ext cx="200025" cy="200025"/>
    <xdr:pic>
      <xdr:nvPicPr>
        <xdr:cNvPr id="915" name="image1.png">
          <a:extLst>
            <a:ext uri="{FF2B5EF4-FFF2-40B4-BE49-F238E27FC236}">
              <a16:creationId xmlns:a16="http://schemas.microsoft.com/office/drawing/2014/main" id="{00000000-0008-0000-0100-000093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218</xdr:row>
      <xdr:rowOff>0</xdr:rowOff>
    </xdr:from>
    <xdr:ext cx="200025" cy="200025"/>
    <xdr:pic>
      <xdr:nvPicPr>
        <xdr:cNvPr id="916" name="image12.png">
          <a:extLst>
            <a:ext uri="{FF2B5EF4-FFF2-40B4-BE49-F238E27FC236}">
              <a16:creationId xmlns:a16="http://schemas.microsoft.com/office/drawing/2014/main" id="{00000000-0008-0000-0100-000094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218</xdr:row>
      <xdr:rowOff>0</xdr:rowOff>
    </xdr:from>
    <xdr:ext cx="200025" cy="200025"/>
    <xdr:pic>
      <xdr:nvPicPr>
        <xdr:cNvPr id="917" name="image7.png">
          <a:extLst>
            <a:ext uri="{FF2B5EF4-FFF2-40B4-BE49-F238E27FC236}">
              <a16:creationId xmlns:a16="http://schemas.microsoft.com/office/drawing/2014/main" id="{00000000-0008-0000-0100-000095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219</xdr:row>
      <xdr:rowOff>0</xdr:rowOff>
    </xdr:from>
    <xdr:ext cx="200025" cy="200025"/>
    <xdr:pic>
      <xdr:nvPicPr>
        <xdr:cNvPr id="918" name="image1.png">
          <a:extLst>
            <a:ext uri="{FF2B5EF4-FFF2-40B4-BE49-F238E27FC236}">
              <a16:creationId xmlns:a16="http://schemas.microsoft.com/office/drawing/2014/main" id="{00000000-0008-0000-0100-000096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219</xdr:row>
      <xdr:rowOff>0</xdr:rowOff>
    </xdr:from>
    <xdr:ext cx="200025" cy="200025"/>
    <xdr:pic>
      <xdr:nvPicPr>
        <xdr:cNvPr id="919" name="image6.png">
          <a:extLst>
            <a:ext uri="{FF2B5EF4-FFF2-40B4-BE49-F238E27FC236}">
              <a16:creationId xmlns:a16="http://schemas.microsoft.com/office/drawing/2014/main" id="{00000000-0008-0000-0100-000097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219</xdr:row>
      <xdr:rowOff>0</xdr:rowOff>
    </xdr:from>
    <xdr:ext cx="200025" cy="200025"/>
    <xdr:pic>
      <xdr:nvPicPr>
        <xdr:cNvPr id="920" name="image11.png">
          <a:extLst>
            <a:ext uri="{FF2B5EF4-FFF2-40B4-BE49-F238E27FC236}">
              <a16:creationId xmlns:a16="http://schemas.microsoft.com/office/drawing/2014/main" id="{00000000-0008-0000-0100-000098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219</xdr:row>
      <xdr:rowOff>0</xdr:rowOff>
    </xdr:from>
    <xdr:ext cx="200025" cy="200025"/>
    <xdr:pic>
      <xdr:nvPicPr>
        <xdr:cNvPr id="921" name="image8.png">
          <a:extLst>
            <a:ext uri="{FF2B5EF4-FFF2-40B4-BE49-F238E27FC236}">
              <a16:creationId xmlns:a16="http://schemas.microsoft.com/office/drawing/2014/main" id="{00000000-0008-0000-0100-000099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220</xdr:row>
      <xdr:rowOff>0</xdr:rowOff>
    </xdr:from>
    <xdr:ext cx="200025" cy="200025"/>
    <xdr:pic>
      <xdr:nvPicPr>
        <xdr:cNvPr id="922" name="image10.png">
          <a:extLst>
            <a:ext uri="{FF2B5EF4-FFF2-40B4-BE49-F238E27FC236}">
              <a16:creationId xmlns:a16="http://schemas.microsoft.com/office/drawing/2014/main" id="{00000000-0008-0000-0100-00009A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220</xdr:row>
      <xdr:rowOff>0</xdr:rowOff>
    </xdr:from>
    <xdr:ext cx="200025" cy="200025"/>
    <xdr:pic>
      <xdr:nvPicPr>
        <xdr:cNvPr id="923" name="image1.png">
          <a:extLst>
            <a:ext uri="{FF2B5EF4-FFF2-40B4-BE49-F238E27FC236}">
              <a16:creationId xmlns:a16="http://schemas.microsoft.com/office/drawing/2014/main" id="{00000000-0008-0000-0100-00009B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220</xdr:row>
      <xdr:rowOff>0</xdr:rowOff>
    </xdr:from>
    <xdr:ext cx="200025" cy="200025"/>
    <xdr:pic>
      <xdr:nvPicPr>
        <xdr:cNvPr id="924" name="image6.png">
          <a:extLst>
            <a:ext uri="{FF2B5EF4-FFF2-40B4-BE49-F238E27FC236}">
              <a16:creationId xmlns:a16="http://schemas.microsoft.com/office/drawing/2014/main" id="{00000000-0008-0000-0100-00009C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220</xdr:row>
      <xdr:rowOff>0</xdr:rowOff>
    </xdr:from>
    <xdr:ext cx="200025" cy="200025"/>
    <xdr:pic>
      <xdr:nvPicPr>
        <xdr:cNvPr id="925" name="image3.png">
          <a:extLst>
            <a:ext uri="{FF2B5EF4-FFF2-40B4-BE49-F238E27FC236}">
              <a16:creationId xmlns:a16="http://schemas.microsoft.com/office/drawing/2014/main" id="{00000000-0008-0000-0100-00009D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220</xdr:row>
      <xdr:rowOff>0</xdr:rowOff>
    </xdr:from>
    <xdr:ext cx="200025" cy="200025"/>
    <xdr:pic>
      <xdr:nvPicPr>
        <xdr:cNvPr id="926" name="image10.png">
          <a:extLst>
            <a:ext uri="{FF2B5EF4-FFF2-40B4-BE49-F238E27FC236}">
              <a16:creationId xmlns:a16="http://schemas.microsoft.com/office/drawing/2014/main" id="{00000000-0008-0000-0100-00009E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221</xdr:row>
      <xdr:rowOff>0</xdr:rowOff>
    </xdr:from>
    <xdr:ext cx="200025" cy="200025"/>
    <xdr:pic>
      <xdr:nvPicPr>
        <xdr:cNvPr id="927" name="image8.png">
          <a:extLst>
            <a:ext uri="{FF2B5EF4-FFF2-40B4-BE49-F238E27FC236}">
              <a16:creationId xmlns:a16="http://schemas.microsoft.com/office/drawing/2014/main" id="{00000000-0008-0000-0100-00009F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221</xdr:row>
      <xdr:rowOff>0</xdr:rowOff>
    </xdr:from>
    <xdr:ext cx="200025" cy="200025"/>
    <xdr:pic>
      <xdr:nvPicPr>
        <xdr:cNvPr id="928" name="image9.png">
          <a:extLst>
            <a:ext uri="{FF2B5EF4-FFF2-40B4-BE49-F238E27FC236}">
              <a16:creationId xmlns:a16="http://schemas.microsoft.com/office/drawing/2014/main" id="{00000000-0008-0000-0100-0000A0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221</xdr:row>
      <xdr:rowOff>0</xdr:rowOff>
    </xdr:from>
    <xdr:ext cx="200025" cy="200025"/>
    <xdr:pic>
      <xdr:nvPicPr>
        <xdr:cNvPr id="929" name="image12.png">
          <a:extLst>
            <a:ext uri="{FF2B5EF4-FFF2-40B4-BE49-F238E27FC236}">
              <a16:creationId xmlns:a16="http://schemas.microsoft.com/office/drawing/2014/main" id="{00000000-0008-0000-0100-0000A1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221</xdr:row>
      <xdr:rowOff>0</xdr:rowOff>
    </xdr:from>
    <xdr:ext cx="200025" cy="200025"/>
    <xdr:pic>
      <xdr:nvPicPr>
        <xdr:cNvPr id="930" name="image11.png">
          <a:extLst>
            <a:ext uri="{FF2B5EF4-FFF2-40B4-BE49-F238E27FC236}">
              <a16:creationId xmlns:a16="http://schemas.microsoft.com/office/drawing/2014/main" id="{00000000-0008-0000-0100-0000A2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222</xdr:row>
      <xdr:rowOff>0</xdr:rowOff>
    </xdr:from>
    <xdr:ext cx="200025" cy="200025"/>
    <xdr:pic>
      <xdr:nvPicPr>
        <xdr:cNvPr id="931" name="image8.png">
          <a:extLst>
            <a:ext uri="{FF2B5EF4-FFF2-40B4-BE49-F238E27FC236}">
              <a16:creationId xmlns:a16="http://schemas.microsoft.com/office/drawing/2014/main" id="{00000000-0008-0000-0100-0000A3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222</xdr:row>
      <xdr:rowOff>0</xdr:rowOff>
    </xdr:from>
    <xdr:ext cx="200025" cy="200025"/>
    <xdr:pic>
      <xdr:nvPicPr>
        <xdr:cNvPr id="932" name="image9.png">
          <a:extLst>
            <a:ext uri="{FF2B5EF4-FFF2-40B4-BE49-F238E27FC236}">
              <a16:creationId xmlns:a16="http://schemas.microsoft.com/office/drawing/2014/main" id="{00000000-0008-0000-0100-0000A4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222</xdr:row>
      <xdr:rowOff>0</xdr:rowOff>
    </xdr:from>
    <xdr:ext cx="200025" cy="200025"/>
    <xdr:pic>
      <xdr:nvPicPr>
        <xdr:cNvPr id="933" name="image12.png">
          <a:extLst>
            <a:ext uri="{FF2B5EF4-FFF2-40B4-BE49-F238E27FC236}">
              <a16:creationId xmlns:a16="http://schemas.microsoft.com/office/drawing/2014/main" id="{00000000-0008-0000-0100-0000A5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223</xdr:row>
      <xdr:rowOff>0</xdr:rowOff>
    </xdr:from>
    <xdr:ext cx="200025" cy="200025"/>
    <xdr:pic>
      <xdr:nvPicPr>
        <xdr:cNvPr id="934" name="image2.png">
          <a:extLst>
            <a:ext uri="{FF2B5EF4-FFF2-40B4-BE49-F238E27FC236}">
              <a16:creationId xmlns:a16="http://schemas.microsoft.com/office/drawing/2014/main" id="{00000000-0008-0000-0100-0000A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223</xdr:row>
      <xdr:rowOff>0</xdr:rowOff>
    </xdr:from>
    <xdr:ext cx="200025" cy="200025"/>
    <xdr:pic>
      <xdr:nvPicPr>
        <xdr:cNvPr id="935" name="image4.png">
          <a:extLst>
            <a:ext uri="{FF2B5EF4-FFF2-40B4-BE49-F238E27FC236}">
              <a16:creationId xmlns:a16="http://schemas.microsoft.com/office/drawing/2014/main" id="{00000000-0008-0000-0100-0000A7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223</xdr:row>
      <xdr:rowOff>0</xdr:rowOff>
    </xdr:from>
    <xdr:ext cx="200025" cy="200025"/>
    <xdr:pic>
      <xdr:nvPicPr>
        <xdr:cNvPr id="936" name="image7.png">
          <a:extLst>
            <a:ext uri="{FF2B5EF4-FFF2-40B4-BE49-F238E27FC236}">
              <a16:creationId xmlns:a16="http://schemas.microsoft.com/office/drawing/2014/main" id="{00000000-0008-0000-0100-0000A8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224</xdr:row>
      <xdr:rowOff>0</xdr:rowOff>
    </xdr:from>
    <xdr:ext cx="200025" cy="200025"/>
    <xdr:pic>
      <xdr:nvPicPr>
        <xdr:cNvPr id="937" name="image10.png">
          <a:extLst>
            <a:ext uri="{FF2B5EF4-FFF2-40B4-BE49-F238E27FC236}">
              <a16:creationId xmlns:a16="http://schemas.microsoft.com/office/drawing/2014/main" id="{00000000-0008-0000-0100-0000A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224</xdr:row>
      <xdr:rowOff>0</xdr:rowOff>
    </xdr:from>
    <xdr:ext cx="200025" cy="200025"/>
    <xdr:pic>
      <xdr:nvPicPr>
        <xdr:cNvPr id="938" name="image2.png">
          <a:extLst>
            <a:ext uri="{FF2B5EF4-FFF2-40B4-BE49-F238E27FC236}">
              <a16:creationId xmlns:a16="http://schemas.microsoft.com/office/drawing/2014/main" id="{00000000-0008-0000-0100-0000A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224</xdr:row>
      <xdr:rowOff>0</xdr:rowOff>
    </xdr:from>
    <xdr:ext cx="200025" cy="200025"/>
    <xdr:pic>
      <xdr:nvPicPr>
        <xdr:cNvPr id="939" name="image6.png">
          <a:extLst>
            <a:ext uri="{FF2B5EF4-FFF2-40B4-BE49-F238E27FC236}">
              <a16:creationId xmlns:a16="http://schemas.microsoft.com/office/drawing/2014/main" id="{00000000-0008-0000-0100-0000A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225</xdr:row>
      <xdr:rowOff>0</xdr:rowOff>
    </xdr:from>
    <xdr:ext cx="200025" cy="200025"/>
    <xdr:pic>
      <xdr:nvPicPr>
        <xdr:cNvPr id="940" name="image10.png">
          <a:extLst>
            <a:ext uri="{FF2B5EF4-FFF2-40B4-BE49-F238E27FC236}">
              <a16:creationId xmlns:a16="http://schemas.microsoft.com/office/drawing/2014/main" id="{00000000-0008-0000-0100-0000AC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225</xdr:row>
      <xdr:rowOff>0</xdr:rowOff>
    </xdr:from>
    <xdr:ext cx="200025" cy="200025"/>
    <xdr:pic>
      <xdr:nvPicPr>
        <xdr:cNvPr id="941" name="image3.png">
          <a:extLst>
            <a:ext uri="{FF2B5EF4-FFF2-40B4-BE49-F238E27FC236}">
              <a16:creationId xmlns:a16="http://schemas.microsoft.com/office/drawing/2014/main" id="{00000000-0008-0000-0100-0000AD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225</xdr:row>
      <xdr:rowOff>0</xdr:rowOff>
    </xdr:from>
    <xdr:ext cx="200025" cy="200025"/>
    <xdr:pic>
      <xdr:nvPicPr>
        <xdr:cNvPr id="942" name="image4.png">
          <a:extLst>
            <a:ext uri="{FF2B5EF4-FFF2-40B4-BE49-F238E27FC236}">
              <a16:creationId xmlns:a16="http://schemas.microsoft.com/office/drawing/2014/main" id="{00000000-0008-0000-0100-0000AE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226</xdr:row>
      <xdr:rowOff>0</xdr:rowOff>
    </xdr:from>
    <xdr:ext cx="200025" cy="200025"/>
    <xdr:pic>
      <xdr:nvPicPr>
        <xdr:cNvPr id="943" name="image5.png">
          <a:extLst>
            <a:ext uri="{FF2B5EF4-FFF2-40B4-BE49-F238E27FC236}">
              <a16:creationId xmlns:a16="http://schemas.microsoft.com/office/drawing/2014/main" id="{00000000-0008-0000-0100-0000AF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226</xdr:row>
      <xdr:rowOff>0</xdr:rowOff>
    </xdr:from>
    <xdr:ext cx="200025" cy="200025"/>
    <xdr:pic>
      <xdr:nvPicPr>
        <xdr:cNvPr id="944" name="image12.png">
          <a:extLst>
            <a:ext uri="{FF2B5EF4-FFF2-40B4-BE49-F238E27FC236}">
              <a16:creationId xmlns:a16="http://schemas.microsoft.com/office/drawing/2014/main" id="{00000000-0008-0000-0100-0000B0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226</xdr:row>
      <xdr:rowOff>0</xdr:rowOff>
    </xdr:from>
    <xdr:ext cx="200025" cy="200025"/>
    <xdr:pic>
      <xdr:nvPicPr>
        <xdr:cNvPr id="945" name="image11.png">
          <a:extLst>
            <a:ext uri="{FF2B5EF4-FFF2-40B4-BE49-F238E27FC236}">
              <a16:creationId xmlns:a16="http://schemas.microsoft.com/office/drawing/2014/main" id="{00000000-0008-0000-0100-0000B1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227</xdr:row>
      <xdr:rowOff>0</xdr:rowOff>
    </xdr:from>
    <xdr:ext cx="200025" cy="200025"/>
    <xdr:pic>
      <xdr:nvPicPr>
        <xdr:cNvPr id="946" name="image10.png">
          <a:extLst>
            <a:ext uri="{FF2B5EF4-FFF2-40B4-BE49-F238E27FC236}">
              <a16:creationId xmlns:a16="http://schemas.microsoft.com/office/drawing/2014/main" id="{00000000-0008-0000-0100-0000B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227</xdr:row>
      <xdr:rowOff>0</xdr:rowOff>
    </xdr:from>
    <xdr:ext cx="200025" cy="200025"/>
    <xdr:pic>
      <xdr:nvPicPr>
        <xdr:cNvPr id="947" name="image8.png">
          <a:extLst>
            <a:ext uri="{FF2B5EF4-FFF2-40B4-BE49-F238E27FC236}">
              <a16:creationId xmlns:a16="http://schemas.microsoft.com/office/drawing/2014/main" id="{00000000-0008-0000-0100-0000B3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227</xdr:row>
      <xdr:rowOff>0</xdr:rowOff>
    </xdr:from>
    <xdr:ext cx="200025" cy="200025"/>
    <xdr:pic>
      <xdr:nvPicPr>
        <xdr:cNvPr id="948" name="image7.png">
          <a:extLst>
            <a:ext uri="{FF2B5EF4-FFF2-40B4-BE49-F238E27FC236}">
              <a16:creationId xmlns:a16="http://schemas.microsoft.com/office/drawing/2014/main" id="{00000000-0008-0000-0100-0000B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227</xdr:row>
      <xdr:rowOff>0</xdr:rowOff>
    </xdr:from>
    <xdr:ext cx="200025" cy="200025"/>
    <xdr:pic>
      <xdr:nvPicPr>
        <xdr:cNvPr id="949" name="image8.png">
          <a:extLst>
            <a:ext uri="{FF2B5EF4-FFF2-40B4-BE49-F238E27FC236}">
              <a16:creationId xmlns:a16="http://schemas.microsoft.com/office/drawing/2014/main" id="{00000000-0008-0000-0100-0000B5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228</xdr:row>
      <xdr:rowOff>0</xdr:rowOff>
    </xdr:from>
    <xdr:ext cx="200025" cy="200025"/>
    <xdr:pic>
      <xdr:nvPicPr>
        <xdr:cNvPr id="950" name="image9.png">
          <a:extLst>
            <a:ext uri="{FF2B5EF4-FFF2-40B4-BE49-F238E27FC236}">
              <a16:creationId xmlns:a16="http://schemas.microsoft.com/office/drawing/2014/main" id="{00000000-0008-0000-0100-0000B6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228</xdr:row>
      <xdr:rowOff>0</xdr:rowOff>
    </xdr:from>
    <xdr:ext cx="200025" cy="200025"/>
    <xdr:pic>
      <xdr:nvPicPr>
        <xdr:cNvPr id="951" name="image5.png">
          <a:extLst>
            <a:ext uri="{FF2B5EF4-FFF2-40B4-BE49-F238E27FC236}">
              <a16:creationId xmlns:a16="http://schemas.microsoft.com/office/drawing/2014/main" id="{00000000-0008-0000-0100-0000B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229</xdr:row>
      <xdr:rowOff>0</xdr:rowOff>
    </xdr:from>
    <xdr:ext cx="200025" cy="200025"/>
    <xdr:pic>
      <xdr:nvPicPr>
        <xdr:cNvPr id="952" name="image8.png">
          <a:extLst>
            <a:ext uri="{FF2B5EF4-FFF2-40B4-BE49-F238E27FC236}">
              <a16:creationId xmlns:a16="http://schemas.microsoft.com/office/drawing/2014/main" id="{00000000-0008-0000-0100-0000B8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229</xdr:row>
      <xdr:rowOff>0</xdr:rowOff>
    </xdr:from>
    <xdr:ext cx="200025" cy="200025"/>
    <xdr:pic>
      <xdr:nvPicPr>
        <xdr:cNvPr id="953" name="image9.png">
          <a:extLst>
            <a:ext uri="{FF2B5EF4-FFF2-40B4-BE49-F238E27FC236}">
              <a16:creationId xmlns:a16="http://schemas.microsoft.com/office/drawing/2014/main" id="{00000000-0008-0000-0100-0000B9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229</xdr:row>
      <xdr:rowOff>0</xdr:rowOff>
    </xdr:from>
    <xdr:ext cx="200025" cy="200025"/>
    <xdr:pic>
      <xdr:nvPicPr>
        <xdr:cNvPr id="954" name="image1.png">
          <a:extLst>
            <a:ext uri="{FF2B5EF4-FFF2-40B4-BE49-F238E27FC236}">
              <a16:creationId xmlns:a16="http://schemas.microsoft.com/office/drawing/2014/main" id="{00000000-0008-0000-0100-0000BA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229</xdr:row>
      <xdr:rowOff>0</xdr:rowOff>
    </xdr:from>
    <xdr:ext cx="200025" cy="200025"/>
    <xdr:pic>
      <xdr:nvPicPr>
        <xdr:cNvPr id="955" name="image3.png">
          <a:extLst>
            <a:ext uri="{FF2B5EF4-FFF2-40B4-BE49-F238E27FC236}">
              <a16:creationId xmlns:a16="http://schemas.microsoft.com/office/drawing/2014/main" id="{00000000-0008-0000-0100-0000BB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229</xdr:row>
      <xdr:rowOff>0</xdr:rowOff>
    </xdr:from>
    <xdr:ext cx="200025" cy="200025"/>
    <xdr:pic>
      <xdr:nvPicPr>
        <xdr:cNvPr id="956" name="image10.png">
          <a:extLst>
            <a:ext uri="{FF2B5EF4-FFF2-40B4-BE49-F238E27FC236}">
              <a16:creationId xmlns:a16="http://schemas.microsoft.com/office/drawing/2014/main" id="{00000000-0008-0000-0100-0000BC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230</xdr:row>
      <xdr:rowOff>0</xdr:rowOff>
    </xdr:from>
    <xdr:ext cx="200025" cy="200025"/>
    <xdr:pic>
      <xdr:nvPicPr>
        <xdr:cNvPr id="957" name="image8.png">
          <a:extLst>
            <a:ext uri="{FF2B5EF4-FFF2-40B4-BE49-F238E27FC236}">
              <a16:creationId xmlns:a16="http://schemas.microsoft.com/office/drawing/2014/main" id="{00000000-0008-0000-0100-0000BD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230</xdr:row>
      <xdr:rowOff>0</xdr:rowOff>
    </xdr:from>
    <xdr:ext cx="200025" cy="200025"/>
    <xdr:pic>
      <xdr:nvPicPr>
        <xdr:cNvPr id="958" name="image2.png">
          <a:extLst>
            <a:ext uri="{FF2B5EF4-FFF2-40B4-BE49-F238E27FC236}">
              <a16:creationId xmlns:a16="http://schemas.microsoft.com/office/drawing/2014/main" id="{00000000-0008-0000-0100-0000B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230</xdr:row>
      <xdr:rowOff>0</xdr:rowOff>
    </xdr:from>
    <xdr:ext cx="200025" cy="200025"/>
    <xdr:pic>
      <xdr:nvPicPr>
        <xdr:cNvPr id="959" name="image1.png">
          <a:extLst>
            <a:ext uri="{FF2B5EF4-FFF2-40B4-BE49-F238E27FC236}">
              <a16:creationId xmlns:a16="http://schemas.microsoft.com/office/drawing/2014/main" id="{00000000-0008-0000-0100-0000BF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230</xdr:row>
      <xdr:rowOff>0</xdr:rowOff>
    </xdr:from>
    <xdr:ext cx="200025" cy="200025"/>
    <xdr:pic>
      <xdr:nvPicPr>
        <xdr:cNvPr id="960" name="image11.png">
          <a:extLst>
            <a:ext uri="{FF2B5EF4-FFF2-40B4-BE49-F238E27FC236}">
              <a16:creationId xmlns:a16="http://schemas.microsoft.com/office/drawing/2014/main" id="{00000000-0008-0000-0100-0000C0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231</xdr:row>
      <xdr:rowOff>0</xdr:rowOff>
    </xdr:from>
    <xdr:ext cx="200025" cy="200025"/>
    <xdr:pic>
      <xdr:nvPicPr>
        <xdr:cNvPr id="961" name="image10.png">
          <a:extLst>
            <a:ext uri="{FF2B5EF4-FFF2-40B4-BE49-F238E27FC236}">
              <a16:creationId xmlns:a16="http://schemas.microsoft.com/office/drawing/2014/main" id="{00000000-0008-0000-0100-0000C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231</xdr:row>
      <xdr:rowOff>0</xdr:rowOff>
    </xdr:from>
    <xdr:ext cx="200025" cy="200025"/>
    <xdr:pic>
      <xdr:nvPicPr>
        <xdr:cNvPr id="962" name="image12.png">
          <a:extLst>
            <a:ext uri="{FF2B5EF4-FFF2-40B4-BE49-F238E27FC236}">
              <a16:creationId xmlns:a16="http://schemas.microsoft.com/office/drawing/2014/main" id="{00000000-0008-0000-0100-0000C2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231</xdr:row>
      <xdr:rowOff>0</xdr:rowOff>
    </xdr:from>
    <xdr:ext cx="200025" cy="200025"/>
    <xdr:pic>
      <xdr:nvPicPr>
        <xdr:cNvPr id="963" name="image3.png">
          <a:extLst>
            <a:ext uri="{FF2B5EF4-FFF2-40B4-BE49-F238E27FC236}">
              <a16:creationId xmlns:a16="http://schemas.microsoft.com/office/drawing/2014/main" id="{00000000-0008-0000-0100-0000C3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231</xdr:row>
      <xdr:rowOff>0</xdr:rowOff>
    </xdr:from>
    <xdr:ext cx="200025" cy="200025"/>
    <xdr:pic>
      <xdr:nvPicPr>
        <xdr:cNvPr id="964" name="image7.png">
          <a:extLst>
            <a:ext uri="{FF2B5EF4-FFF2-40B4-BE49-F238E27FC236}">
              <a16:creationId xmlns:a16="http://schemas.microsoft.com/office/drawing/2014/main" id="{00000000-0008-0000-0100-0000C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232</xdr:row>
      <xdr:rowOff>0</xdr:rowOff>
    </xdr:from>
    <xdr:ext cx="200025" cy="200025"/>
    <xdr:pic>
      <xdr:nvPicPr>
        <xdr:cNvPr id="965" name="image2.png">
          <a:extLst>
            <a:ext uri="{FF2B5EF4-FFF2-40B4-BE49-F238E27FC236}">
              <a16:creationId xmlns:a16="http://schemas.microsoft.com/office/drawing/2014/main" id="{00000000-0008-0000-0100-0000C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232</xdr:row>
      <xdr:rowOff>0</xdr:rowOff>
    </xdr:from>
    <xdr:ext cx="200025" cy="200025"/>
    <xdr:pic>
      <xdr:nvPicPr>
        <xdr:cNvPr id="966" name="image4.png">
          <a:extLst>
            <a:ext uri="{FF2B5EF4-FFF2-40B4-BE49-F238E27FC236}">
              <a16:creationId xmlns:a16="http://schemas.microsoft.com/office/drawing/2014/main" id="{00000000-0008-0000-0100-0000C6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232</xdr:row>
      <xdr:rowOff>0</xdr:rowOff>
    </xdr:from>
    <xdr:ext cx="200025" cy="200025"/>
    <xdr:pic>
      <xdr:nvPicPr>
        <xdr:cNvPr id="967" name="image1.png">
          <a:extLst>
            <a:ext uri="{FF2B5EF4-FFF2-40B4-BE49-F238E27FC236}">
              <a16:creationId xmlns:a16="http://schemas.microsoft.com/office/drawing/2014/main" id="{00000000-0008-0000-0100-0000C7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233</xdr:row>
      <xdr:rowOff>0</xdr:rowOff>
    </xdr:from>
    <xdr:ext cx="200025" cy="200025"/>
    <xdr:pic>
      <xdr:nvPicPr>
        <xdr:cNvPr id="968" name="image1.png">
          <a:extLst>
            <a:ext uri="{FF2B5EF4-FFF2-40B4-BE49-F238E27FC236}">
              <a16:creationId xmlns:a16="http://schemas.microsoft.com/office/drawing/2014/main" id="{00000000-0008-0000-0100-0000C8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233</xdr:row>
      <xdr:rowOff>0</xdr:rowOff>
    </xdr:from>
    <xdr:ext cx="200025" cy="200025"/>
    <xdr:pic>
      <xdr:nvPicPr>
        <xdr:cNvPr id="969" name="image5.png">
          <a:extLst>
            <a:ext uri="{FF2B5EF4-FFF2-40B4-BE49-F238E27FC236}">
              <a16:creationId xmlns:a16="http://schemas.microsoft.com/office/drawing/2014/main" id="{00000000-0008-0000-0100-0000C9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234</xdr:row>
      <xdr:rowOff>0</xdr:rowOff>
    </xdr:from>
    <xdr:ext cx="200025" cy="200025"/>
    <xdr:pic>
      <xdr:nvPicPr>
        <xdr:cNvPr id="970" name="image1.png">
          <a:extLst>
            <a:ext uri="{FF2B5EF4-FFF2-40B4-BE49-F238E27FC236}">
              <a16:creationId xmlns:a16="http://schemas.microsoft.com/office/drawing/2014/main" id="{00000000-0008-0000-0100-0000CA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234</xdr:row>
      <xdr:rowOff>0</xdr:rowOff>
    </xdr:from>
    <xdr:ext cx="200025" cy="200025"/>
    <xdr:pic>
      <xdr:nvPicPr>
        <xdr:cNvPr id="971" name="image5.png">
          <a:extLst>
            <a:ext uri="{FF2B5EF4-FFF2-40B4-BE49-F238E27FC236}">
              <a16:creationId xmlns:a16="http://schemas.microsoft.com/office/drawing/2014/main" id="{00000000-0008-0000-0100-0000CB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235</xdr:row>
      <xdr:rowOff>0</xdr:rowOff>
    </xdr:from>
    <xdr:ext cx="200025" cy="200025"/>
    <xdr:pic>
      <xdr:nvPicPr>
        <xdr:cNvPr id="972" name="image10.png">
          <a:extLst>
            <a:ext uri="{FF2B5EF4-FFF2-40B4-BE49-F238E27FC236}">
              <a16:creationId xmlns:a16="http://schemas.microsoft.com/office/drawing/2014/main" id="{00000000-0008-0000-0100-0000CC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235</xdr:row>
      <xdr:rowOff>0</xdr:rowOff>
    </xdr:from>
    <xdr:ext cx="200025" cy="200025"/>
    <xdr:pic>
      <xdr:nvPicPr>
        <xdr:cNvPr id="973" name="image1.png">
          <a:extLst>
            <a:ext uri="{FF2B5EF4-FFF2-40B4-BE49-F238E27FC236}">
              <a16:creationId xmlns:a16="http://schemas.microsoft.com/office/drawing/2014/main" id="{00000000-0008-0000-0100-0000CD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236</xdr:row>
      <xdr:rowOff>0</xdr:rowOff>
    </xdr:from>
    <xdr:ext cx="200025" cy="200025"/>
    <xdr:pic>
      <xdr:nvPicPr>
        <xdr:cNvPr id="974" name="image8.png">
          <a:extLst>
            <a:ext uri="{FF2B5EF4-FFF2-40B4-BE49-F238E27FC236}">
              <a16:creationId xmlns:a16="http://schemas.microsoft.com/office/drawing/2014/main" id="{00000000-0008-0000-0100-0000CE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236</xdr:row>
      <xdr:rowOff>0</xdr:rowOff>
    </xdr:from>
    <xdr:ext cx="200025" cy="200025"/>
    <xdr:pic>
      <xdr:nvPicPr>
        <xdr:cNvPr id="975" name="image1.png">
          <a:extLst>
            <a:ext uri="{FF2B5EF4-FFF2-40B4-BE49-F238E27FC236}">
              <a16:creationId xmlns:a16="http://schemas.microsoft.com/office/drawing/2014/main" id="{00000000-0008-0000-0100-0000CF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236</xdr:row>
      <xdr:rowOff>0</xdr:rowOff>
    </xdr:from>
    <xdr:ext cx="200025" cy="200025"/>
    <xdr:pic>
      <xdr:nvPicPr>
        <xdr:cNvPr id="976" name="image3.png">
          <a:extLst>
            <a:ext uri="{FF2B5EF4-FFF2-40B4-BE49-F238E27FC236}">
              <a16:creationId xmlns:a16="http://schemas.microsoft.com/office/drawing/2014/main" id="{00000000-0008-0000-0100-0000D0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237</xdr:row>
      <xdr:rowOff>0</xdr:rowOff>
    </xdr:from>
    <xdr:ext cx="200025" cy="200025"/>
    <xdr:pic>
      <xdr:nvPicPr>
        <xdr:cNvPr id="977" name="image2.png">
          <a:extLst>
            <a:ext uri="{FF2B5EF4-FFF2-40B4-BE49-F238E27FC236}">
              <a16:creationId xmlns:a16="http://schemas.microsoft.com/office/drawing/2014/main" id="{00000000-0008-0000-0100-0000D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237</xdr:row>
      <xdr:rowOff>0</xdr:rowOff>
    </xdr:from>
    <xdr:ext cx="200025" cy="200025"/>
    <xdr:pic>
      <xdr:nvPicPr>
        <xdr:cNvPr id="978" name="image1.png">
          <a:extLst>
            <a:ext uri="{FF2B5EF4-FFF2-40B4-BE49-F238E27FC236}">
              <a16:creationId xmlns:a16="http://schemas.microsoft.com/office/drawing/2014/main" id="{00000000-0008-0000-0100-0000D2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237</xdr:row>
      <xdr:rowOff>0</xdr:rowOff>
    </xdr:from>
    <xdr:ext cx="200025" cy="200025"/>
    <xdr:pic>
      <xdr:nvPicPr>
        <xdr:cNvPr id="979" name="image4.png">
          <a:extLst>
            <a:ext uri="{FF2B5EF4-FFF2-40B4-BE49-F238E27FC236}">
              <a16:creationId xmlns:a16="http://schemas.microsoft.com/office/drawing/2014/main" id="{00000000-0008-0000-0100-0000D3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237</xdr:row>
      <xdr:rowOff>0</xdr:rowOff>
    </xdr:from>
    <xdr:ext cx="200025" cy="200025"/>
    <xdr:pic>
      <xdr:nvPicPr>
        <xdr:cNvPr id="980" name="image7.png">
          <a:extLst>
            <a:ext uri="{FF2B5EF4-FFF2-40B4-BE49-F238E27FC236}">
              <a16:creationId xmlns:a16="http://schemas.microsoft.com/office/drawing/2014/main" id="{00000000-0008-0000-0100-0000D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8</xdr:col>
      <xdr:colOff>0</xdr:colOff>
      <xdr:row>237</xdr:row>
      <xdr:rowOff>0</xdr:rowOff>
    </xdr:from>
    <xdr:ext cx="200025" cy="200025"/>
    <xdr:pic>
      <xdr:nvPicPr>
        <xdr:cNvPr id="981" name="image11.png">
          <a:extLst>
            <a:ext uri="{FF2B5EF4-FFF2-40B4-BE49-F238E27FC236}">
              <a16:creationId xmlns:a16="http://schemas.microsoft.com/office/drawing/2014/main" id="{00000000-0008-0000-0100-0000D5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237</xdr:row>
      <xdr:rowOff>0</xdr:rowOff>
    </xdr:from>
    <xdr:ext cx="200025" cy="200025"/>
    <xdr:pic>
      <xdr:nvPicPr>
        <xdr:cNvPr id="982" name="image6.png">
          <a:extLst>
            <a:ext uri="{FF2B5EF4-FFF2-40B4-BE49-F238E27FC236}">
              <a16:creationId xmlns:a16="http://schemas.microsoft.com/office/drawing/2014/main" id="{00000000-0008-0000-0100-0000D6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238</xdr:row>
      <xdr:rowOff>0</xdr:rowOff>
    </xdr:from>
    <xdr:ext cx="200025" cy="200025"/>
    <xdr:pic>
      <xdr:nvPicPr>
        <xdr:cNvPr id="983" name="image6.png">
          <a:extLst>
            <a:ext uri="{FF2B5EF4-FFF2-40B4-BE49-F238E27FC236}">
              <a16:creationId xmlns:a16="http://schemas.microsoft.com/office/drawing/2014/main" id="{00000000-0008-0000-0100-0000D7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238</xdr:row>
      <xdr:rowOff>0</xdr:rowOff>
    </xdr:from>
    <xdr:ext cx="200025" cy="200025"/>
    <xdr:pic>
      <xdr:nvPicPr>
        <xdr:cNvPr id="984" name="image5.png">
          <a:extLst>
            <a:ext uri="{FF2B5EF4-FFF2-40B4-BE49-F238E27FC236}">
              <a16:creationId xmlns:a16="http://schemas.microsoft.com/office/drawing/2014/main" id="{00000000-0008-0000-0100-0000D8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238</xdr:row>
      <xdr:rowOff>0</xdr:rowOff>
    </xdr:from>
    <xdr:ext cx="200025" cy="200025"/>
    <xdr:pic>
      <xdr:nvPicPr>
        <xdr:cNvPr id="985" name="image7.png">
          <a:extLst>
            <a:ext uri="{FF2B5EF4-FFF2-40B4-BE49-F238E27FC236}">
              <a16:creationId xmlns:a16="http://schemas.microsoft.com/office/drawing/2014/main" id="{00000000-0008-0000-0100-0000D9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238</xdr:row>
      <xdr:rowOff>0</xdr:rowOff>
    </xdr:from>
    <xdr:ext cx="200025" cy="200025"/>
    <xdr:pic>
      <xdr:nvPicPr>
        <xdr:cNvPr id="986" name="image10.png">
          <a:extLst>
            <a:ext uri="{FF2B5EF4-FFF2-40B4-BE49-F238E27FC236}">
              <a16:creationId xmlns:a16="http://schemas.microsoft.com/office/drawing/2014/main" id="{00000000-0008-0000-0100-0000DA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239</xdr:row>
      <xdr:rowOff>0</xdr:rowOff>
    </xdr:from>
    <xdr:ext cx="200025" cy="200025"/>
    <xdr:pic>
      <xdr:nvPicPr>
        <xdr:cNvPr id="987" name="image10.png">
          <a:extLst>
            <a:ext uri="{FF2B5EF4-FFF2-40B4-BE49-F238E27FC236}">
              <a16:creationId xmlns:a16="http://schemas.microsoft.com/office/drawing/2014/main" id="{00000000-0008-0000-0100-0000D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239</xdr:row>
      <xdr:rowOff>0</xdr:rowOff>
    </xdr:from>
    <xdr:ext cx="200025" cy="200025"/>
    <xdr:pic>
      <xdr:nvPicPr>
        <xdr:cNvPr id="988" name="image2.png">
          <a:extLst>
            <a:ext uri="{FF2B5EF4-FFF2-40B4-BE49-F238E27FC236}">
              <a16:creationId xmlns:a16="http://schemas.microsoft.com/office/drawing/2014/main" id="{00000000-0008-0000-0100-0000D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239</xdr:row>
      <xdr:rowOff>0</xdr:rowOff>
    </xdr:from>
    <xdr:ext cx="200025" cy="200025"/>
    <xdr:pic>
      <xdr:nvPicPr>
        <xdr:cNvPr id="989" name="image4.png">
          <a:extLst>
            <a:ext uri="{FF2B5EF4-FFF2-40B4-BE49-F238E27FC236}">
              <a16:creationId xmlns:a16="http://schemas.microsoft.com/office/drawing/2014/main" id="{00000000-0008-0000-0100-0000DD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239</xdr:row>
      <xdr:rowOff>0</xdr:rowOff>
    </xdr:from>
    <xdr:ext cx="200025" cy="200025"/>
    <xdr:pic>
      <xdr:nvPicPr>
        <xdr:cNvPr id="990" name="image11.png">
          <a:extLst>
            <a:ext uri="{FF2B5EF4-FFF2-40B4-BE49-F238E27FC236}">
              <a16:creationId xmlns:a16="http://schemas.microsoft.com/office/drawing/2014/main" id="{00000000-0008-0000-0100-0000DE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239</xdr:row>
      <xdr:rowOff>0</xdr:rowOff>
    </xdr:from>
    <xdr:ext cx="200025" cy="200025"/>
    <xdr:pic>
      <xdr:nvPicPr>
        <xdr:cNvPr id="991" name="image8.png">
          <a:extLst>
            <a:ext uri="{FF2B5EF4-FFF2-40B4-BE49-F238E27FC236}">
              <a16:creationId xmlns:a16="http://schemas.microsoft.com/office/drawing/2014/main" id="{00000000-0008-0000-0100-0000DF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240</xdr:row>
      <xdr:rowOff>0</xdr:rowOff>
    </xdr:from>
    <xdr:ext cx="200025" cy="200025"/>
    <xdr:pic>
      <xdr:nvPicPr>
        <xdr:cNvPr id="992" name="image2.png">
          <a:extLst>
            <a:ext uri="{FF2B5EF4-FFF2-40B4-BE49-F238E27FC236}">
              <a16:creationId xmlns:a16="http://schemas.microsoft.com/office/drawing/2014/main" id="{00000000-0008-0000-0100-0000E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240</xdr:row>
      <xdr:rowOff>0</xdr:rowOff>
    </xdr:from>
    <xdr:ext cx="200025" cy="200025"/>
    <xdr:pic>
      <xdr:nvPicPr>
        <xdr:cNvPr id="993" name="image5.png">
          <a:extLst>
            <a:ext uri="{FF2B5EF4-FFF2-40B4-BE49-F238E27FC236}">
              <a16:creationId xmlns:a16="http://schemas.microsoft.com/office/drawing/2014/main" id="{00000000-0008-0000-0100-0000E1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240</xdr:row>
      <xdr:rowOff>0</xdr:rowOff>
    </xdr:from>
    <xdr:ext cx="200025" cy="200025"/>
    <xdr:pic>
      <xdr:nvPicPr>
        <xdr:cNvPr id="994" name="image1.png">
          <a:extLst>
            <a:ext uri="{FF2B5EF4-FFF2-40B4-BE49-F238E27FC236}">
              <a16:creationId xmlns:a16="http://schemas.microsoft.com/office/drawing/2014/main" id="{00000000-0008-0000-0100-0000E2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241</xdr:row>
      <xdr:rowOff>0</xdr:rowOff>
    </xdr:from>
    <xdr:ext cx="200025" cy="200025"/>
    <xdr:pic>
      <xdr:nvPicPr>
        <xdr:cNvPr id="995" name="image10.png">
          <a:extLst>
            <a:ext uri="{FF2B5EF4-FFF2-40B4-BE49-F238E27FC236}">
              <a16:creationId xmlns:a16="http://schemas.microsoft.com/office/drawing/2014/main" id="{00000000-0008-0000-0100-0000E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241</xdr:row>
      <xdr:rowOff>0</xdr:rowOff>
    </xdr:from>
    <xdr:ext cx="200025" cy="200025"/>
    <xdr:pic>
      <xdr:nvPicPr>
        <xdr:cNvPr id="996" name="image2.png">
          <a:extLst>
            <a:ext uri="{FF2B5EF4-FFF2-40B4-BE49-F238E27FC236}">
              <a16:creationId xmlns:a16="http://schemas.microsoft.com/office/drawing/2014/main" id="{00000000-0008-0000-0100-0000E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241</xdr:row>
      <xdr:rowOff>0</xdr:rowOff>
    </xdr:from>
    <xdr:ext cx="200025" cy="200025"/>
    <xdr:pic>
      <xdr:nvPicPr>
        <xdr:cNvPr id="997" name="image5.png">
          <a:extLst>
            <a:ext uri="{FF2B5EF4-FFF2-40B4-BE49-F238E27FC236}">
              <a16:creationId xmlns:a16="http://schemas.microsoft.com/office/drawing/2014/main" id="{00000000-0008-0000-0100-0000E5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242</xdr:row>
      <xdr:rowOff>0</xdr:rowOff>
    </xdr:from>
    <xdr:ext cx="200025" cy="200025"/>
    <xdr:pic>
      <xdr:nvPicPr>
        <xdr:cNvPr id="998" name="image10.png">
          <a:extLst>
            <a:ext uri="{FF2B5EF4-FFF2-40B4-BE49-F238E27FC236}">
              <a16:creationId xmlns:a16="http://schemas.microsoft.com/office/drawing/2014/main" id="{00000000-0008-0000-0100-0000E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242</xdr:row>
      <xdr:rowOff>0</xdr:rowOff>
    </xdr:from>
    <xdr:ext cx="200025" cy="200025"/>
    <xdr:pic>
      <xdr:nvPicPr>
        <xdr:cNvPr id="999" name="image9.png">
          <a:extLst>
            <a:ext uri="{FF2B5EF4-FFF2-40B4-BE49-F238E27FC236}">
              <a16:creationId xmlns:a16="http://schemas.microsoft.com/office/drawing/2014/main" id="{00000000-0008-0000-0100-0000E7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242</xdr:row>
      <xdr:rowOff>0</xdr:rowOff>
    </xdr:from>
    <xdr:ext cx="200025" cy="200025"/>
    <xdr:pic>
      <xdr:nvPicPr>
        <xdr:cNvPr id="1000" name="image2.png">
          <a:extLst>
            <a:ext uri="{FF2B5EF4-FFF2-40B4-BE49-F238E27FC236}">
              <a16:creationId xmlns:a16="http://schemas.microsoft.com/office/drawing/2014/main" id="{00000000-0008-0000-0100-0000E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243</xdr:row>
      <xdr:rowOff>0</xdr:rowOff>
    </xdr:from>
    <xdr:ext cx="200025" cy="200025"/>
    <xdr:pic>
      <xdr:nvPicPr>
        <xdr:cNvPr id="1001" name="image5.png">
          <a:extLst>
            <a:ext uri="{FF2B5EF4-FFF2-40B4-BE49-F238E27FC236}">
              <a16:creationId xmlns:a16="http://schemas.microsoft.com/office/drawing/2014/main" id="{00000000-0008-0000-0100-0000E9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243</xdr:row>
      <xdr:rowOff>0</xdr:rowOff>
    </xdr:from>
    <xdr:ext cx="200025" cy="200025"/>
    <xdr:pic>
      <xdr:nvPicPr>
        <xdr:cNvPr id="1002" name="image12.png">
          <a:extLst>
            <a:ext uri="{FF2B5EF4-FFF2-40B4-BE49-F238E27FC236}">
              <a16:creationId xmlns:a16="http://schemas.microsoft.com/office/drawing/2014/main" id="{00000000-0008-0000-0100-0000EA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244</xdr:row>
      <xdr:rowOff>0</xdr:rowOff>
    </xdr:from>
    <xdr:ext cx="200025" cy="200025"/>
    <xdr:pic>
      <xdr:nvPicPr>
        <xdr:cNvPr id="1003" name="image9.png">
          <a:extLst>
            <a:ext uri="{FF2B5EF4-FFF2-40B4-BE49-F238E27FC236}">
              <a16:creationId xmlns:a16="http://schemas.microsoft.com/office/drawing/2014/main" id="{00000000-0008-0000-0100-0000EB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244</xdr:row>
      <xdr:rowOff>0</xdr:rowOff>
    </xdr:from>
    <xdr:ext cx="200025" cy="200025"/>
    <xdr:pic>
      <xdr:nvPicPr>
        <xdr:cNvPr id="1004" name="image1.png">
          <a:extLst>
            <a:ext uri="{FF2B5EF4-FFF2-40B4-BE49-F238E27FC236}">
              <a16:creationId xmlns:a16="http://schemas.microsoft.com/office/drawing/2014/main" id="{00000000-0008-0000-0100-0000EC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244</xdr:row>
      <xdr:rowOff>0</xdr:rowOff>
    </xdr:from>
    <xdr:ext cx="200025" cy="200025"/>
    <xdr:pic>
      <xdr:nvPicPr>
        <xdr:cNvPr id="1005" name="image4.png">
          <a:extLst>
            <a:ext uri="{FF2B5EF4-FFF2-40B4-BE49-F238E27FC236}">
              <a16:creationId xmlns:a16="http://schemas.microsoft.com/office/drawing/2014/main" id="{00000000-0008-0000-0100-0000ED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245</xdr:row>
      <xdr:rowOff>0</xdr:rowOff>
    </xdr:from>
    <xdr:ext cx="200025" cy="200025"/>
    <xdr:pic>
      <xdr:nvPicPr>
        <xdr:cNvPr id="1006" name="image9.png">
          <a:extLst>
            <a:ext uri="{FF2B5EF4-FFF2-40B4-BE49-F238E27FC236}">
              <a16:creationId xmlns:a16="http://schemas.microsoft.com/office/drawing/2014/main" id="{00000000-0008-0000-0100-0000EE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245</xdr:row>
      <xdr:rowOff>0</xdr:rowOff>
    </xdr:from>
    <xdr:ext cx="200025" cy="200025"/>
    <xdr:pic>
      <xdr:nvPicPr>
        <xdr:cNvPr id="1007" name="image2.png">
          <a:extLst>
            <a:ext uri="{FF2B5EF4-FFF2-40B4-BE49-F238E27FC236}">
              <a16:creationId xmlns:a16="http://schemas.microsoft.com/office/drawing/2014/main" id="{00000000-0008-0000-0100-0000E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245</xdr:row>
      <xdr:rowOff>0</xdr:rowOff>
    </xdr:from>
    <xdr:ext cx="200025" cy="200025"/>
    <xdr:pic>
      <xdr:nvPicPr>
        <xdr:cNvPr id="1008" name="image4.png">
          <a:extLst>
            <a:ext uri="{FF2B5EF4-FFF2-40B4-BE49-F238E27FC236}">
              <a16:creationId xmlns:a16="http://schemas.microsoft.com/office/drawing/2014/main" id="{00000000-0008-0000-0100-0000F0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245</xdr:row>
      <xdr:rowOff>0</xdr:rowOff>
    </xdr:from>
    <xdr:ext cx="200025" cy="200025"/>
    <xdr:pic>
      <xdr:nvPicPr>
        <xdr:cNvPr id="1009" name="image12.png">
          <a:extLst>
            <a:ext uri="{FF2B5EF4-FFF2-40B4-BE49-F238E27FC236}">
              <a16:creationId xmlns:a16="http://schemas.microsoft.com/office/drawing/2014/main" id="{00000000-0008-0000-0100-0000F1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246</xdr:row>
      <xdr:rowOff>0</xdr:rowOff>
    </xdr:from>
    <xdr:ext cx="200025" cy="200025"/>
    <xdr:pic>
      <xdr:nvPicPr>
        <xdr:cNvPr id="1010" name="image9.png">
          <a:extLst>
            <a:ext uri="{FF2B5EF4-FFF2-40B4-BE49-F238E27FC236}">
              <a16:creationId xmlns:a16="http://schemas.microsoft.com/office/drawing/2014/main" id="{00000000-0008-0000-0100-0000F2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246</xdr:row>
      <xdr:rowOff>0</xdr:rowOff>
    </xdr:from>
    <xdr:ext cx="200025" cy="200025"/>
    <xdr:pic>
      <xdr:nvPicPr>
        <xdr:cNvPr id="1011" name="image1.png">
          <a:extLst>
            <a:ext uri="{FF2B5EF4-FFF2-40B4-BE49-F238E27FC236}">
              <a16:creationId xmlns:a16="http://schemas.microsoft.com/office/drawing/2014/main" id="{00000000-0008-0000-0100-0000F3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246</xdr:row>
      <xdr:rowOff>0</xdr:rowOff>
    </xdr:from>
    <xdr:ext cx="200025" cy="200025"/>
    <xdr:pic>
      <xdr:nvPicPr>
        <xdr:cNvPr id="1012" name="image6.png">
          <a:extLst>
            <a:ext uri="{FF2B5EF4-FFF2-40B4-BE49-F238E27FC236}">
              <a16:creationId xmlns:a16="http://schemas.microsoft.com/office/drawing/2014/main" id="{00000000-0008-0000-0100-0000F4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246</xdr:row>
      <xdr:rowOff>0</xdr:rowOff>
    </xdr:from>
    <xdr:ext cx="200025" cy="200025"/>
    <xdr:pic>
      <xdr:nvPicPr>
        <xdr:cNvPr id="1013" name="image10.png">
          <a:extLst>
            <a:ext uri="{FF2B5EF4-FFF2-40B4-BE49-F238E27FC236}">
              <a16:creationId xmlns:a16="http://schemas.microsoft.com/office/drawing/2014/main" id="{00000000-0008-0000-0100-0000F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247</xdr:row>
      <xdr:rowOff>0</xdr:rowOff>
    </xdr:from>
    <xdr:ext cx="200025" cy="200025"/>
    <xdr:pic>
      <xdr:nvPicPr>
        <xdr:cNvPr id="1014" name="image10.png">
          <a:extLst>
            <a:ext uri="{FF2B5EF4-FFF2-40B4-BE49-F238E27FC236}">
              <a16:creationId xmlns:a16="http://schemas.microsoft.com/office/drawing/2014/main" id="{00000000-0008-0000-0100-0000F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247</xdr:row>
      <xdr:rowOff>0</xdr:rowOff>
    </xdr:from>
    <xdr:ext cx="200025" cy="200025"/>
    <xdr:pic>
      <xdr:nvPicPr>
        <xdr:cNvPr id="1015" name="image8.png">
          <a:extLst>
            <a:ext uri="{FF2B5EF4-FFF2-40B4-BE49-F238E27FC236}">
              <a16:creationId xmlns:a16="http://schemas.microsoft.com/office/drawing/2014/main" id="{00000000-0008-0000-0100-0000F7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247</xdr:row>
      <xdr:rowOff>0</xdr:rowOff>
    </xdr:from>
    <xdr:ext cx="200025" cy="200025"/>
    <xdr:pic>
      <xdr:nvPicPr>
        <xdr:cNvPr id="1016" name="image2.png">
          <a:extLst>
            <a:ext uri="{FF2B5EF4-FFF2-40B4-BE49-F238E27FC236}">
              <a16:creationId xmlns:a16="http://schemas.microsoft.com/office/drawing/2014/main" id="{00000000-0008-0000-0100-0000F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247</xdr:row>
      <xdr:rowOff>0</xdr:rowOff>
    </xdr:from>
    <xdr:ext cx="200025" cy="200025"/>
    <xdr:pic>
      <xdr:nvPicPr>
        <xdr:cNvPr id="1017" name="image11.png">
          <a:extLst>
            <a:ext uri="{FF2B5EF4-FFF2-40B4-BE49-F238E27FC236}">
              <a16:creationId xmlns:a16="http://schemas.microsoft.com/office/drawing/2014/main" id="{00000000-0008-0000-0100-0000F9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247</xdr:row>
      <xdr:rowOff>0</xdr:rowOff>
    </xdr:from>
    <xdr:ext cx="200025" cy="200025"/>
    <xdr:pic>
      <xdr:nvPicPr>
        <xdr:cNvPr id="1018" name="image5.png">
          <a:extLst>
            <a:ext uri="{FF2B5EF4-FFF2-40B4-BE49-F238E27FC236}">
              <a16:creationId xmlns:a16="http://schemas.microsoft.com/office/drawing/2014/main" id="{00000000-0008-0000-0100-0000FA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248</xdr:row>
      <xdr:rowOff>0</xdr:rowOff>
    </xdr:from>
    <xdr:ext cx="200025" cy="200025"/>
    <xdr:pic>
      <xdr:nvPicPr>
        <xdr:cNvPr id="1019" name="image10.png">
          <a:extLst>
            <a:ext uri="{FF2B5EF4-FFF2-40B4-BE49-F238E27FC236}">
              <a16:creationId xmlns:a16="http://schemas.microsoft.com/office/drawing/2014/main" id="{00000000-0008-0000-0100-0000F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248</xdr:row>
      <xdr:rowOff>0</xdr:rowOff>
    </xdr:from>
    <xdr:ext cx="200025" cy="200025"/>
    <xdr:pic>
      <xdr:nvPicPr>
        <xdr:cNvPr id="1020" name="image8.png">
          <a:extLst>
            <a:ext uri="{FF2B5EF4-FFF2-40B4-BE49-F238E27FC236}">
              <a16:creationId xmlns:a16="http://schemas.microsoft.com/office/drawing/2014/main" id="{00000000-0008-0000-0100-0000F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248</xdr:row>
      <xdr:rowOff>0</xdr:rowOff>
    </xdr:from>
    <xdr:ext cx="200025" cy="200025"/>
    <xdr:pic>
      <xdr:nvPicPr>
        <xdr:cNvPr id="1021" name="image9.png">
          <a:extLst>
            <a:ext uri="{FF2B5EF4-FFF2-40B4-BE49-F238E27FC236}">
              <a16:creationId xmlns:a16="http://schemas.microsoft.com/office/drawing/2014/main" id="{00000000-0008-0000-0100-0000FD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0</xdr:colOff>
      <xdr:row>248</xdr:row>
      <xdr:rowOff>0</xdr:rowOff>
    </xdr:from>
    <xdr:ext cx="200025" cy="200025"/>
    <xdr:pic>
      <xdr:nvPicPr>
        <xdr:cNvPr id="1022" name="image2.png">
          <a:extLst>
            <a:ext uri="{FF2B5EF4-FFF2-40B4-BE49-F238E27FC236}">
              <a16:creationId xmlns:a16="http://schemas.microsoft.com/office/drawing/2014/main" id="{00000000-0008-0000-0100-0000F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248</xdr:row>
      <xdr:rowOff>0</xdr:rowOff>
    </xdr:from>
    <xdr:ext cx="200025" cy="200025"/>
    <xdr:pic>
      <xdr:nvPicPr>
        <xdr:cNvPr id="1023" name="image9.png">
          <a:extLst>
            <a:ext uri="{FF2B5EF4-FFF2-40B4-BE49-F238E27FC236}">
              <a16:creationId xmlns:a16="http://schemas.microsoft.com/office/drawing/2014/main" id="{00000000-0008-0000-0100-0000FF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249</xdr:row>
      <xdr:rowOff>0</xdr:rowOff>
    </xdr:from>
    <xdr:ext cx="200025" cy="200025"/>
    <xdr:pic>
      <xdr:nvPicPr>
        <xdr:cNvPr id="1024" name="image10.png">
          <a:extLst>
            <a:ext uri="{FF2B5EF4-FFF2-40B4-BE49-F238E27FC236}">
              <a16:creationId xmlns:a16="http://schemas.microsoft.com/office/drawing/2014/main" id="{00000000-0008-0000-0100-00000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249</xdr:row>
      <xdr:rowOff>0</xdr:rowOff>
    </xdr:from>
    <xdr:ext cx="200025" cy="200025"/>
    <xdr:pic>
      <xdr:nvPicPr>
        <xdr:cNvPr id="1025" name="image8.png">
          <a:extLst>
            <a:ext uri="{FF2B5EF4-FFF2-40B4-BE49-F238E27FC236}">
              <a16:creationId xmlns:a16="http://schemas.microsoft.com/office/drawing/2014/main" id="{00000000-0008-0000-0100-000001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249</xdr:row>
      <xdr:rowOff>0</xdr:rowOff>
    </xdr:from>
    <xdr:ext cx="200025" cy="200025"/>
    <xdr:pic>
      <xdr:nvPicPr>
        <xdr:cNvPr id="1026" name="image9.png">
          <a:extLst>
            <a:ext uri="{FF2B5EF4-FFF2-40B4-BE49-F238E27FC236}">
              <a16:creationId xmlns:a16="http://schemas.microsoft.com/office/drawing/2014/main" id="{00000000-0008-0000-0100-000002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0</xdr:colOff>
      <xdr:row>249</xdr:row>
      <xdr:rowOff>0</xdr:rowOff>
    </xdr:from>
    <xdr:ext cx="200025" cy="200025"/>
    <xdr:pic>
      <xdr:nvPicPr>
        <xdr:cNvPr id="1027" name="image2.png">
          <a:extLst>
            <a:ext uri="{FF2B5EF4-FFF2-40B4-BE49-F238E27FC236}">
              <a16:creationId xmlns:a16="http://schemas.microsoft.com/office/drawing/2014/main" id="{00000000-0008-0000-0100-000003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249</xdr:row>
      <xdr:rowOff>0</xdr:rowOff>
    </xdr:from>
    <xdr:ext cx="200025" cy="200025"/>
    <xdr:pic>
      <xdr:nvPicPr>
        <xdr:cNvPr id="1028" name="image9.png">
          <a:extLst>
            <a:ext uri="{FF2B5EF4-FFF2-40B4-BE49-F238E27FC236}">
              <a16:creationId xmlns:a16="http://schemas.microsoft.com/office/drawing/2014/main" id="{00000000-0008-0000-0100-000004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250</xdr:row>
      <xdr:rowOff>0</xdr:rowOff>
    </xdr:from>
    <xdr:ext cx="200025" cy="200025"/>
    <xdr:pic>
      <xdr:nvPicPr>
        <xdr:cNvPr id="1029" name="image2.png">
          <a:extLst>
            <a:ext uri="{FF2B5EF4-FFF2-40B4-BE49-F238E27FC236}">
              <a16:creationId xmlns:a16="http://schemas.microsoft.com/office/drawing/2014/main" id="{00000000-0008-0000-0100-000005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250</xdr:row>
      <xdr:rowOff>0</xdr:rowOff>
    </xdr:from>
    <xdr:ext cx="200025" cy="200025"/>
    <xdr:pic>
      <xdr:nvPicPr>
        <xdr:cNvPr id="1030" name="image10.png">
          <a:extLst>
            <a:ext uri="{FF2B5EF4-FFF2-40B4-BE49-F238E27FC236}">
              <a16:creationId xmlns:a16="http://schemas.microsoft.com/office/drawing/2014/main" id="{00000000-0008-0000-0100-00000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251</xdr:row>
      <xdr:rowOff>0</xdr:rowOff>
    </xdr:from>
    <xdr:ext cx="200025" cy="200025"/>
    <xdr:pic>
      <xdr:nvPicPr>
        <xdr:cNvPr id="1031" name="image2.png">
          <a:extLst>
            <a:ext uri="{FF2B5EF4-FFF2-40B4-BE49-F238E27FC236}">
              <a16:creationId xmlns:a16="http://schemas.microsoft.com/office/drawing/2014/main" id="{00000000-0008-0000-0100-000007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251</xdr:row>
      <xdr:rowOff>0</xdr:rowOff>
    </xdr:from>
    <xdr:ext cx="200025" cy="200025"/>
    <xdr:pic>
      <xdr:nvPicPr>
        <xdr:cNvPr id="1032" name="image10.png">
          <a:extLst>
            <a:ext uri="{FF2B5EF4-FFF2-40B4-BE49-F238E27FC236}">
              <a16:creationId xmlns:a16="http://schemas.microsoft.com/office/drawing/2014/main" id="{00000000-0008-0000-0100-000008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252</xdr:row>
      <xdr:rowOff>0</xdr:rowOff>
    </xdr:from>
    <xdr:ext cx="200025" cy="200025"/>
    <xdr:pic>
      <xdr:nvPicPr>
        <xdr:cNvPr id="1033" name="image10.png">
          <a:extLst>
            <a:ext uri="{FF2B5EF4-FFF2-40B4-BE49-F238E27FC236}">
              <a16:creationId xmlns:a16="http://schemas.microsoft.com/office/drawing/2014/main" id="{00000000-0008-0000-0100-000009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252</xdr:row>
      <xdr:rowOff>0</xdr:rowOff>
    </xdr:from>
    <xdr:ext cx="200025" cy="200025"/>
    <xdr:pic>
      <xdr:nvPicPr>
        <xdr:cNvPr id="1034" name="image9.png">
          <a:extLst>
            <a:ext uri="{FF2B5EF4-FFF2-40B4-BE49-F238E27FC236}">
              <a16:creationId xmlns:a16="http://schemas.microsoft.com/office/drawing/2014/main" id="{00000000-0008-0000-0100-00000A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252</xdr:row>
      <xdr:rowOff>0</xdr:rowOff>
    </xdr:from>
    <xdr:ext cx="200025" cy="200025"/>
    <xdr:pic>
      <xdr:nvPicPr>
        <xdr:cNvPr id="1035" name="image1.png">
          <a:extLst>
            <a:ext uri="{FF2B5EF4-FFF2-40B4-BE49-F238E27FC236}">
              <a16:creationId xmlns:a16="http://schemas.microsoft.com/office/drawing/2014/main" id="{00000000-0008-0000-0100-00000B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252</xdr:row>
      <xdr:rowOff>0</xdr:rowOff>
    </xdr:from>
    <xdr:ext cx="200025" cy="200025"/>
    <xdr:pic>
      <xdr:nvPicPr>
        <xdr:cNvPr id="1036" name="image3.png">
          <a:extLst>
            <a:ext uri="{FF2B5EF4-FFF2-40B4-BE49-F238E27FC236}">
              <a16:creationId xmlns:a16="http://schemas.microsoft.com/office/drawing/2014/main" id="{00000000-0008-0000-0100-00000C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253</xdr:row>
      <xdr:rowOff>0</xdr:rowOff>
    </xdr:from>
    <xdr:ext cx="200025" cy="200025"/>
    <xdr:pic>
      <xdr:nvPicPr>
        <xdr:cNvPr id="1037" name="image10.png">
          <a:extLst>
            <a:ext uri="{FF2B5EF4-FFF2-40B4-BE49-F238E27FC236}">
              <a16:creationId xmlns:a16="http://schemas.microsoft.com/office/drawing/2014/main" id="{00000000-0008-0000-0100-00000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253</xdr:row>
      <xdr:rowOff>0</xdr:rowOff>
    </xdr:from>
    <xdr:ext cx="200025" cy="200025"/>
    <xdr:pic>
      <xdr:nvPicPr>
        <xdr:cNvPr id="1038" name="image9.png">
          <a:extLst>
            <a:ext uri="{FF2B5EF4-FFF2-40B4-BE49-F238E27FC236}">
              <a16:creationId xmlns:a16="http://schemas.microsoft.com/office/drawing/2014/main" id="{00000000-0008-0000-0100-00000E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253</xdr:row>
      <xdr:rowOff>0</xdr:rowOff>
    </xdr:from>
    <xdr:ext cx="200025" cy="200025"/>
    <xdr:pic>
      <xdr:nvPicPr>
        <xdr:cNvPr id="1039" name="image1.png">
          <a:extLst>
            <a:ext uri="{FF2B5EF4-FFF2-40B4-BE49-F238E27FC236}">
              <a16:creationId xmlns:a16="http://schemas.microsoft.com/office/drawing/2014/main" id="{00000000-0008-0000-0100-00000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253</xdr:row>
      <xdr:rowOff>0</xdr:rowOff>
    </xdr:from>
    <xdr:ext cx="200025" cy="200025"/>
    <xdr:pic>
      <xdr:nvPicPr>
        <xdr:cNvPr id="1040" name="image3.png">
          <a:extLst>
            <a:ext uri="{FF2B5EF4-FFF2-40B4-BE49-F238E27FC236}">
              <a16:creationId xmlns:a16="http://schemas.microsoft.com/office/drawing/2014/main" id="{00000000-0008-0000-0100-000010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254</xdr:row>
      <xdr:rowOff>0</xdr:rowOff>
    </xdr:from>
    <xdr:ext cx="200025" cy="200025"/>
    <xdr:pic>
      <xdr:nvPicPr>
        <xdr:cNvPr id="1041" name="image9.png">
          <a:extLst>
            <a:ext uri="{FF2B5EF4-FFF2-40B4-BE49-F238E27FC236}">
              <a16:creationId xmlns:a16="http://schemas.microsoft.com/office/drawing/2014/main" id="{00000000-0008-0000-0100-000011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254</xdr:row>
      <xdr:rowOff>0</xdr:rowOff>
    </xdr:from>
    <xdr:ext cx="200025" cy="200025"/>
    <xdr:pic>
      <xdr:nvPicPr>
        <xdr:cNvPr id="1042" name="image1.png">
          <a:extLst>
            <a:ext uri="{FF2B5EF4-FFF2-40B4-BE49-F238E27FC236}">
              <a16:creationId xmlns:a16="http://schemas.microsoft.com/office/drawing/2014/main" id="{00000000-0008-0000-0100-000012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254</xdr:row>
      <xdr:rowOff>0</xdr:rowOff>
    </xdr:from>
    <xdr:ext cx="200025" cy="200025"/>
    <xdr:pic>
      <xdr:nvPicPr>
        <xdr:cNvPr id="1043" name="image4.png">
          <a:extLst>
            <a:ext uri="{FF2B5EF4-FFF2-40B4-BE49-F238E27FC236}">
              <a16:creationId xmlns:a16="http://schemas.microsoft.com/office/drawing/2014/main" id="{00000000-0008-0000-0100-000013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255</xdr:row>
      <xdr:rowOff>0</xdr:rowOff>
    </xdr:from>
    <xdr:ext cx="200025" cy="200025"/>
    <xdr:pic>
      <xdr:nvPicPr>
        <xdr:cNvPr id="1044" name="image10.png">
          <a:extLst>
            <a:ext uri="{FF2B5EF4-FFF2-40B4-BE49-F238E27FC236}">
              <a16:creationId xmlns:a16="http://schemas.microsoft.com/office/drawing/2014/main" id="{00000000-0008-0000-0100-000014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255</xdr:row>
      <xdr:rowOff>0</xdr:rowOff>
    </xdr:from>
    <xdr:ext cx="200025" cy="200025"/>
    <xdr:pic>
      <xdr:nvPicPr>
        <xdr:cNvPr id="1045" name="image9.png">
          <a:extLst>
            <a:ext uri="{FF2B5EF4-FFF2-40B4-BE49-F238E27FC236}">
              <a16:creationId xmlns:a16="http://schemas.microsoft.com/office/drawing/2014/main" id="{00000000-0008-0000-0100-000015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255</xdr:row>
      <xdr:rowOff>0</xdr:rowOff>
    </xdr:from>
    <xdr:ext cx="200025" cy="200025"/>
    <xdr:pic>
      <xdr:nvPicPr>
        <xdr:cNvPr id="1046" name="image1.png">
          <a:extLst>
            <a:ext uri="{FF2B5EF4-FFF2-40B4-BE49-F238E27FC236}">
              <a16:creationId xmlns:a16="http://schemas.microsoft.com/office/drawing/2014/main" id="{00000000-0008-0000-0100-000016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255</xdr:row>
      <xdr:rowOff>0</xdr:rowOff>
    </xdr:from>
    <xdr:ext cx="200025" cy="200025"/>
    <xdr:pic>
      <xdr:nvPicPr>
        <xdr:cNvPr id="1047" name="image6.png">
          <a:extLst>
            <a:ext uri="{FF2B5EF4-FFF2-40B4-BE49-F238E27FC236}">
              <a16:creationId xmlns:a16="http://schemas.microsoft.com/office/drawing/2014/main" id="{00000000-0008-0000-0100-000017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256</xdr:row>
      <xdr:rowOff>0</xdr:rowOff>
    </xdr:from>
    <xdr:ext cx="200025" cy="200025"/>
    <xdr:pic>
      <xdr:nvPicPr>
        <xdr:cNvPr id="1048" name="image10.png">
          <a:extLst>
            <a:ext uri="{FF2B5EF4-FFF2-40B4-BE49-F238E27FC236}">
              <a16:creationId xmlns:a16="http://schemas.microsoft.com/office/drawing/2014/main" id="{00000000-0008-0000-0100-000018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256</xdr:row>
      <xdr:rowOff>0</xdr:rowOff>
    </xdr:from>
    <xdr:ext cx="200025" cy="200025"/>
    <xdr:pic>
      <xdr:nvPicPr>
        <xdr:cNvPr id="1049" name="image2.png">
          <a:extLst>
            <a:ext uri="{FF2B5EF4-FFF2-40B4-BE49-F238E27FC236}">
              <a16:creationId xmlns:a16="http://schemas.microsoft.com/office/drawing/2014/main" id="{00000000-0008-0000-0100-00001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256</xdr:row>
      <xdr:rowOff>0</xdr:rowOff>
    </xdr:from>
    <xdr:ext cx="200025" cy="200025"/>
    <xdr:pic>
      <xdr:nvPicPr>
        <xdr:cNvPr id="1050" name="image6.png">
          <a:extLst>
            <a:ext uri="{FF2B5EF4-FFF2-40B4-BE49-F238E27FC236}">
              <a16:creationId xmlns:a16="http://schemas.microsoft.com/office/drawing/2014/main" id="{00000000-0008-0000-0100-00001A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256</xdr:row>
      <xdr:rowOff>0</xdr:rowOff>
    </xdr:from>
    <xdr:ext cx="200025" cy="200025"/>
    <xdr:pic>
      <xdr:nvPicPr>
        <xdr:cNvPr id="1051" name="image11.png">
          <a:extLst>
            <a:ext uri="{FF2B5EF4-FFF2-40B4-BE49-F238E27FC236}">
              <a16:creationId xmlns:a16="http://schemas.microsoft.com/office/drawing/2014/main" id="{00000000-0008-0000-0100-00001B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256</xdr:row>
      <xdr:rowOff>0</xdr:rowOff>
    </xdr:from>
    <xdr:ext cx="200025" cy="200025"/>
    <xdr:pic>
      <xdr:nvPicPr>
        <xdr:cNvPr id="1052" name="image10.png">
          <a:extLst>
            <a:ext uri="{FF2B5EF4-FFF2-40B4-BE49-F238E27FC236}">
              <a16:creationId xmlns:a16="http://schemas.microsoft.com/office/drawing/2014/main" id="{00000000-0008-0000-0100-00001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257</xdr:row>
      <xdr:rowOff>0</xdr:rowOff>
    </xdr:from>
    <xdr:ext cx="200025" cy="200025"/>
    <xdr:pic>
      <xdr:nvPicPr>
        <xdr:cNvPr id="1053" name="image8.png">
          <a:extLst>
            <a:ext uri="{FF2B5EF4-FFF2-40B4-BE49-F238E27FC236}">
              <a16:creationId xmlns:a16="http://schemas.microsoft.com/office/drawing/2014/main" id="{00000000-0008-0000-0100-00001D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257</xdr:row>
      <xdr:rowOff>0</xdr:rowOff>
    </xdr:from>
    <xdr:ext cx="200025" cy="200025"/>
    <xdr:pic>
      <xdr:nvPicPr>
        <xdr:cNvPr id="1054" name="image1.png">
          <a:extLst>
            <a:ext uri="{FF2B5EF4-FFF2-40B4-BE49-F238E27FC236}">
              <a16:creationId xmlns:a16="http://schemas.microsoft.com/office/drawing/2014/main" id="{00000000-0008-0000-0100-00001E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257</xdr:row>
      <xdr:rowOff>0</xdr:rowOff>
    </xdr:from>
    <xdr:ext cx="200025" cy="200025"/>
    <xdr:pic>
      <xdr:nvPicPr>
        <xdr:cNvPr id="1055" name="image12.png">
          <a:extLst>
            <a:ext uri="{FF2B5EF4-FFF2-40B4-BE49-F238E27FC236}">
              <a16:creationId xmlns:a16="http://schemas.microsoft.com/office/drawing/2014/main" id="{00000000-0008-0000-0100-00001F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257</xdr:row>
      <xdr:rowOff>0</xdr:rowOff>
    </xdr:from>
    <xdr:ext cx="200025" cy="200025"/>
    <xdr:pic>
      <xdr:nvPicPr>
        <xdr:cNvPr id="1056" name="image3.png">
          <a:extLst>
            <a:ext uri="{FF2B5EF4-FFF2-40B4-BE49-F238E27FC236}">
              <a16:creationId xmlns:a16="http://schemas.microsoft.com/office/drawing/2014/main" id="{00000000-0008-0000-0100-000020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257</xdr:row>
      <xdr:rowOff>0</xdr:rowOff>
    </xdr:from>
    <xdr:ext cx="200025" cy="200025"/>
    <xdr:pic>
      <xdr:nvPicPr>
        <xdr:cNvPr id="1057" name="image10.png">
          <a:extLst>
            <a:ext uri="{FF2B5EF4-FFF2-40B4-BE49-F238E27FC236}">
              <a16:creationId xmlns:a16="http://schemas.microsoft.com/office/drawing/2014/main" id="{00000000-0008-0000-0100-00002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258</xdr:row>
      <xdr:rowOff>0</xdr:rowOff>
    </xdr:from>
    <xdr:ext cx="200025" cy="200025"/>
    <xdr:pic>
      <xdr:nvPicPr>
        <xdr:cNvPr id="1058" name="image10.png">
          <a:extLst>
            <a:ext uri="{FF2B5EF4-FFF2-40B4-BE49-F238E27FC236}">
              <a16:creationId xmlns:a16="http://schemas.microsoft.com/office/drawing/2014/main" id="{00000000-0008-0000-0100-000022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258</xdr:row>
      <xdr:rowOff>0</xdr:rowOff>
    </xdr:from>
    <xdr:ext cx="200025" cy="200025"/>
    <xdr:pic>
      <xdr:nvPicPr>
        <xdr:cNvPr id="1059" name="image2.png">
          <a:extLst>
            <a:ext uri="{FF2B5EF4-FFF2-40B4-BE49-F238E27FC236}">
              <a16:creationId xmlns:a16="http://schemas.microsoft.com/office/drawing/2014/main" id="{00000000-0008-0000-0100-000023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258</xdr:row>
      <xdr:rowOff>0</xdr:rowOff>
    </xdr:from>
    <xdr:ext cx="200025" cy="200025"/>
    <xdr:pic>
      <xdr:nvPicPr>
        <xdr:cNvPr id="1060" name="image12.png">
          <a:extLst>
            <a:ext uri="{FF2B5EF4-FFF2-40B4-BE49-F238E27FC236}">
              <a16:creationId xmlns:a16="http://schemas.microsoft.com/office/drawing/2014/main" id="{00000000-0008-0000-0100-000024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258</xdr:row>
      <xdr:rowOff>0</xdr:rowOff>
    </xdr:from>
    <xdr:ext cx="200025" cy="200025"/>
    <xdr:pic>
      <xdr:nvPicPr>
        <xdr:cNvPr id="1061" name="image11.png">
          <a:extLst>
            <a:ext uri="{FF2B5EF4-FFF2-40B4-BE49-F238E27FC236}">
              <a16:creationId xmlns:a16="http://schemas.microsoft.com/office/drawing/2014/main" id="{00000000-0008-0000-0100-000025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258</xdr:row>
      <xdr:rowOff>0</xdr:rowOff>
    </xdr:from>
    <xdr:ext cx="200025" cy="200025"/>
    <xdr:pic>
      <xdr:nvPicPr>
        <xdr:cNvPr id="1062" name="image9.png">
          <a:extLst>
            <a:ext uri="{FF2B5EF4-FFF2-40B4-BE49-F238E27FC236}">
              <a16:creationId xmlns:a16="http://schemas.microsoft.com/office/drawing/2014/main" id="{00000000-0008-0000-0100-000026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259</xdr:row>
      <xdr:rowOff>0</xdr:rowOff>
    </xdr:from>
    <xdr:ext cx="200025" cy="200025"/>
    <xdr:pic>
      <xdr:nvPicPr>
        <xdr:cNvPr id="1063" name="image10.png">
          <a:extLst>
            <a:ext uri="{FF2B5EF4-FFF2-40B4-BE49-F238E27FC236}">
              <a16:creationId xmlns:a16="http://schemas.microsoft.com/office/drawing/2014/main" id="{00000000-0008-0000-0100-000027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259</xdr:row>
      <xdr:rowOff>0</xdr:rowOff>
    </xdr:from>
    <xdr:ext cx="200025" cy="200025"/>
    <xdr:pic>
      <xdr:nvPicPr>
        <xdr:cNvPr id="1064" name="image1.png">
          <a:extLst>
            <a:ext uri="{FF2B5EF4-FFF2-40B4-BE49-F238E27FC236}">
              <a16:creationId xmlns:a16="http://schemas.microsoft.com/office/drawing/2014/main" id="{00000000-0008-0000-0100-000028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259</xdr:row>
      <xdr:rowOff>0</xdr:rowOff>
    </xdr:from>
    <xdr:ext cx="200025" cy="200025"/>
    <xdr:pic>
      <xdr:nvPicPr>
        <xdr:cNvPr id="1065" name="image12.png">
          <a:extLst>
            <a:ext uri="{FF2B5EF4-FFF2-40B4-BE49-F238E27FC236}">
              <a16:creationId xmlns:a16="http://schemas.microsoft.com/office/drawing/2014/main" id="{00000000-0008-0000-0100-000029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259</xdr:row>
      <xdr:rowOff>0</xdr:rowOff>
    </xdr:from>
    <xdr:ext cx="200025" cy="200025"/>
    <xdr:pic>
      <xdr:nvPicPr>
        <xdr:cNvPr id="1066" name="image11.png">
          <a:extLst>
            <a:ext uri="{FF2B5EF4-FFF2-40B4-BE49-F238E27FC236}">
              <a16:creationId xmlns:a16="http://schemas.microsoft.com/office/drawing/2014/main" id="{00000000-0008-0000-0100-00002A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259</xdr:row>
      <xdr:rowOff>0</xdr:rowOff>
    </xdr:from>
    <xdr:ext cx="200025" cy="200025"/>
    <xdr:pic>
      <xdr:nvPicPr>
        <xdr:cNvPr id="1067" name="image9.png">
          <a:extLst>
            <a:ext uri="{FF2B5EF4-FFF2-40B4-BE49-F238E27FC236}">
              <a16:creationId xmlns:a16="http://schemas.microsoft.com/office/drawing/2014/main" id="{00000000-0008-0000-0100-00002B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260</xdr:row>
      <xdr:rowOff>0</xdr:rowOff>
    </xdr:from>
    <xdr:ext cx="200025" cy="200025"/>
    <xdr:pic>
      <xdr:nvPicPr>
        <xdr:cNvPr id="1068" name="image10.png">
          <a:extLst>
            <a:ext uri="{FF2B5EF4-FFF2-40B4-BE49-F238E27FC236}">
              <a16:creationId xmlns:a16="http://schemas.microsoft.com/office/drawing/2014/main" id="{00000000-0008-0000-0100-00002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260</xdr:row>
      <xdr:rowOff>0</xdr:rowOff>
    </xdr:from>
    <xdr:ext cx="200025" cy="200025"/>
    <xdr:pic>
      <xdr:nvPicPr>
        <xdr:cNvPr id="1069" name="image1.png">
          <a:extLst>
            <a:ext uri="{FF2B5EF4-FFF2-40B4-BE49-F238E27FC236}">
              <a16:creationId xmlns:a16="http://schemas.microsoft.com/office/drawing/2014/main" id="{00000000-0008-0000-0100-00002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260</xdr:row>
      <xdr:rowOff>0</xdr:rowOff>
    </xdr:from>
    <xdr:ext cx="200025" cy="200025"/>
    <xdr:pic>
      <xdr:nvPicPr>
        <xdr:cNvPr id="1070" name="image12.png">
          <a:extLst>
            <a:ext uri="{FF2B5EF4-FFF2-40B4-BE49-F238E27FC236}">
              <a16:creationId xmlns:a16="http://schemas.microsoft.com/office/drawing/2014/main" id="{00000000-0008-0000-0100-00002E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260</xdr:row>
      <xdr:rowOff>0</xdr:rowOff>
    </xdr:from>
    <xdr:ext cx="200025" cy="200025"/>
    <xdr:pic>
      <xdr:nvPicPr>
        <xdr:cNvPr id="1071" name="image9.png">
          <a:extLst>
            <a:ext uri="{FF2B5EF4-FFF2-40B4-BE49-F238E27FC236}">
              <a16:creationId xmlns:a16="http://schemas.microsoft.com/office/drawing/2014/main" id="{00000000-0008-0000-0100-00002F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261</xdr:row>
      <xdr:rowOff>0</xdr:rowOff>
    </xdr:from>
    <xdr:ext cx="200025" cy="200025"/>
    <xdr:pic>
      <xdr:nvPicPr>
        <xdr:cNvPr id="1072" name="image6.png">
          <a:extLst>
            <a:ext uri="{FF2B5EF4-FFF2-40B4-BE49-F238E27FC236}">
              <a16:creationId xmlns:a16="http://schemas.microsoft.com/office/drawing/2014/main" id="{00000000-0008-0000-0100-000030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261</xdr:row>
      <xdr:rowOff>0</xdr:rowOff>
    </xdr:from>
    <xdr:ext cx="200025" cy="200025"/>
    <xdr:pic>
      <xdr:nvPicPr>
        <xdr:cNvPr id="1073" name="image12.png">
          <a:extLst>
            <a:ext uri="{FF2B5EF4-FFF2-40B4-BE49-F238E27FC236}">
              <a16:creationId xmlns:a16="http://schemas.microsoft.com/office/drawing/2014/main" id="{00000000-0008-0000-0100-000031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261</xdr:row>
      <xdr:rowOff>0</xdr:rowOff>
    </xdr:from>
    <xdr:ext cx="200025" cy="200025"/>
    <xdr:pic>
      <xdr:nvPicPr>
        <xdr:cNvPr id="1074" name="image11.png">
          <a:extLst>
            <a:ext uri="{FF2B5EF4-FFF2-40B4-BE49-F238E27FC236}">
              <a16:creationId xmlns:a16="http://schemas.microsoft.com/office/drawing/2014/main" id="{00000000-0008-0000-0100-000032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261</xdr:row>
      <xdr:rowOff>0</xdr:rowOff>
    </xdr:from>
    <xdr:ext cx="200025" cy="200025"/>
    <xdr:pic>
      <xdr:nvPicPr>
        <xdr:cNvPr id="1075" name="image9.png">
          <a:extLst>
            <a:ext uri="{FF2B5EF4-FFF2-40B4-BE49-F238E27FC236}">
              <a16:creationId xmlns:a16="http://schemas.microsoft.com/office/drawing/2014/main" id="{00000000-0008-0000-0100-00003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262</xdr:row>
      <xdr:rowOff>0</xdr:rowOff>
    </xdr:from>
    <xdr:ext cx="200025" cy="200025"/>
    <xdr:pic>
      <xdr:nvPicPr>
        <xdr:cNvPr id="1076" name="image6.png">
          <a:extLst>
            <a:ext uri="{FF2B5EF4-FFF2-40B4-BE49-F238E27FC236}">
              <a16:creationId xmlns:a16="http://schemas.microsoft.com/office/drawing/2014/main" id="{00000000-0008-0000-0100-000034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262</xdr:row>
      <xdr:rowOff>0</xdr:rowOff>
    </xdr:from>
    <xdr:ext cx="200025" cy="200025"/>
    <xdr:pic>
      <xdr:nvPicPr>
        <xdr:cNvPr id="1077" name="image12.png">
          <a:extLst>
            <a:ext uri="{FF2B5EF4-FFF2-40B4-BE49-F238E27FC236}">
              <a16:creationId xmlns:a16="http://schemas.microsoft.com/office/drawing/2014/main" id="{00000000-0008-0000-0100-000035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262</xdr:row>
      <xdr:rowOff>0</xdr:rowOff>
    </xdr:from>
    <xdr:ext cx="200025" cy="200025"/>
    <xdr:pic>
      <xdr:nvPicPr>
        <xdr:cNvPr id="1078" name="image11.png">
          <a:extLst>
            <a:ext uri="{FF2B5EF4-FFF2-40B4-BE49-F238E27FC236}">
              <a16:creationId xmlns:a16="http://schemas.microsoft.com/office/drawing/2014/main" id="{00000000-0008-0000-0100-000036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262</xdr:row>
      <xdr:rowOff>0</xdr:rowOff>
    </xdr:from>
    <xdr:ext cx="200025" cy="200025"/>
    <xdr:pic>
      <xdr:nvPicPr>
        <xdr:cNvPr id="1079" name="image9.png">
          <a:extLst>
            <a:ext uri="{FF2B5EF4-FFF2-40B4-BE49-F238E27FC236}">
              <a16:creationId xmlns:a16="http://schemas.microsoft.com/office/drawing/2014/main" id="{00000000-0008-0000-0100-000037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263</xdr:row>
      <xdr:rowOff>0</xdr:rowOff>
    </xdr:from>
    <xdr:ext cx="200025" cy="200025"/>
    <xdr:pic>
      <xdr:nvPicPr>
        <xdr:cNvPr id="1080" name="image10.png">
          <a:extLst>
            <a:ext uri="{FF2B5EF4-FFF2-40B4-BE49-F238E27FC236}">
              <a16:creationId xmlns:a16="http://schemas.microsoft.com/office/drawing/2014/main" id="{00000000-0008-0000-0100-000038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263</xdr:row>
      <xdr:rowOff>0</xdr:rowOff>
    </xdr:from>
    <xdr:ext cx="200025" cy="200025"/>
    <xdr:pic>
      <xdr:nvPicPr>
        <xdr:cNvPr id="1081" name="image2.png">
          <a:extLst>
            <a:ext uri="{FF2B5EF4-FFF2-40B4-BE49-F238E27FC236}">
              <a16:creationId xmlns:a16="http://schemas.microsoft.com/office/drawing/2014/main" id="{00000000-0008-0000-0100-00003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263</xdr:row>
      <xdr:rowOff>0</xdr:rowOff>
    </xdr:from>
    <xdr:ext cx="200025" cy="200025"/>
    <xdr:pic>
      <xdr:nvPicPr>
        <xdr:cNvPr id="1082" name="image12.png">
          <a:extLst>
            <a:ext uri="{FF2B5EF4-FFF2-40B4-BE49-F238E27FC236}">
              <a16:creationId xmlns:a16="http://schemas.microsoft.com/office/drawing/2014/main" id="{00000000-0008-0000-0100-00003A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263</xdr:row>
      <xdr:rowOff>0</xdr:rowOff>
    </xdr:from>
    <xdr:ext cx="200025" cy="200025"/>
    <xdr:pic>
      <xdr:nvPicPr>
        <xdr:cNvPr id="1083" name="image9.png">
          <a:extLst>
            <a:ext uri="{FF2B5EF4-FFF2-40B4-BE49-F238E27FC236}">
              <a16:creationId xmlns:a16="http://schemas.microsoft.com/office/drawing/2014/main" id="{00000000-0008-0000-0100-00003B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264</xdr:row>
      <xdr:rowOff>0</xdr:rowOff>
    </xdr:from>
    <xdr:ext cx="200025" cy="200025"/>
    <xdr:pic>
      <xdr:nvPicPr>
        <xdr:cNvPr id="1084" name="image10.png">
          <a:extLst>
            <a:ext uri="{FF2B5EF4-FFF2-40B4-BE49-F238E27FC236}">
              <a16:creationId xmlns:a16="http://schemas.microsoft.com/office/drawing/2014/main" id="{00000000-0008-0000-0100-00003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264</xdr:row>
      <xdr:rowOff>0</xdr:rowOff>
    </xdr:from>
    <xdr:ext cx="200025" cy="200025"/>
    <xdr:pic>
      <xdr:nvPicPr>
        <xdr:cNvPr id="1085" name="image6.png">
          <a:extLst>
            <a:ext uri="{FF2B5EF4-FFF2-40B4-BE49-F238E27FC236}">
              <a16:creationId xmlns:a16="http://schemas.microsoft.com/office/drawing/2014/main" id="{00000000-0008-0000-0100-00003D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264</xdr:row>
      <xdr:rowOff>0</xdr:rowOff>
    </xdr:from>
    <xdr:ext cx="200025" cy="200025"/>
    <xdr:pic>
      <xdr:nvPicPr>
        <xdr:cNvPr id="1086" name="image3.png">
          <a:extLst>
            <a:ext uri="{FF2B5EF4-FFF2-40B4-BE49-F238E27FC236}">
              <a16:creationId xmlns:a16="http://schemas.microsoft.com/office/drawing/2014/main" id="{00000000-0008-0000-0100-00003E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264</xdr:row>
      <xdr:rowOff>0</xdr:rowOff>
    </xdr:from>
    <xdr:ext cx="200025" cy="200025"/>
    <xdr:pic>
      <xdr:nvPicPr>
        <xdr:cNvPr id="1087" name="image11.png">
          <a:extLst>
            <a:ext uri="{FF2B5EF4-FFF2-40B4-BE49-F238E27FC236}">
              <a16:creationId xmlns:a16="http://schemas.microsoft.com/office/drawing/2014/main" id="{00000000-0008-0000-0100-00003F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264</xdr:row>
      <xdr:rowOff>0</xdr:rowOff>
    </xdr:from>
    <xdr:ext cx="200025" cy="200025"/>
    <xdr:pic>
      <xdr:nvPicPr>
        <xdr:cNvPr id="1088" name="image2.png">
          <a:extLst>
            <a:ext uri="{FF2B5EF4-FFF2-40B4-BE49-F238E27FC236}">
              <a16:creationId xmlns:a16="http://schemas.microsoft.com/office/drawing/2014/main" id="{00000000-0008-0000-0100-000040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265</xdr:row>
      <xdr:rowOff>0</xdr:rowOff>
    </xdr:from>
    <xdr:ext cx="200025" cy="200025"/>
    <xdr:pic>
      <xdr:nvPicPr>
        <xdr:cNvPr id="1089" name="image10.png">
          <a:extLst>
            <a:ext uri="{FF2B5EF4-FFF2-40B4-BE49-F238E27FC236}">
              <a16:creationId xmlns:a16="http://schemas.microsoft.com/office/drawing/2014/main" id="{00000000-0008-0000-0100-00004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265</xdr:row>
      <xdr:rowOff>0</xdr:rowOff>
    </xdr:from>
    <xdr:ext cx="200025" cy="200025"/>
    <xdr:pic>
      <xdr:nvPicPr>
        <xdr:cNvPr id="1090" name="image6.png">
          <a:extLst>
            <a:ext uri="{FF2B5EF4-FFF2-40B4-BE49-F238E27FC236}">
              <a16:creationId xmlns:a16="http://schemas.microsoft.com/office/drawing/2014/main" id="{00000000-0008-0000-0100-000042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265</xdr:row>
      <xdr:rowOff>0</xdr:rowOff>
    </xdr:from>
    <xdr:ext cx="200025" cy="200025"/>
    <xdr:pic>
      <xdr:nvPicPr>
        <xdr:cNvPr id="1091" name="image3.png">
          <a:extLst>
            <a:ext uri="{FF2B5EF4-FFF2-40B4-BE49-F238E27FC236}">
              <a16:creationId xmlns:a16="http://schemas.microsoft.com/office/drawing/2014/main" id="{00000000-0008-0000-0100-000043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265</xdr:row>
      <xdr:rowOff>0</xdr:rowOff>
    </xdr:from>
    <xdr:ext cx="200025" cy="200025"/>
    <xdr:pic>
      <xdr:nvPicPr>
        <xdr:cNvPr id="1092" name="image11.png">
          <a:extLst>
            <a:ext uri="{FF2B5EF4-FFF2-40B4-BE49-F238E27FC236}">
              <a16:creationId xmlns:a16="http://schemas.microsoft.com/office/drawing/2014/main" id="{00000000-0008-0000-0100-000044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265</xdr:row>
      <xdr:rowOff>0</xdr:rowOff>
    </xdr:from>
    <xdr:ext cx="200025" cy="200025"/>
    <xdr:pic>
      <xdr:nvPicPr>
        <xdr:cNvPr id="1093" name="image2.png">
          <a:extLst>
            <a:ext uri="{FF2B5EF4-FFF2-40B4-BE49-F238E27FC236}">
              <a16:creationId xmlns:a16="http://schemas.microsoft.com/office/drawing/2014/main" id="{00000000-0008-0000-0100-000045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266</xdr:row>
      <xdr:rowOff>0</xdr:rowOff>
    </xdr:from>
    <xdr:ext cx="200025" cy="200025"/>
    <xdr:pic>
      <xdr:nvPicPr>
        <xdr:cNvPr id="1094" name="image9.png">
          <a:extLst>
            <a:ext uri="{FF2B5EF4-FFF2-40B4-BE49-F238E27FC236}">
              <a16:creationId xmlns:a16="http://schemas.microsoft.com/office/drawing/2014/main" id="{00000000-0008-0000-0100-000046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266</xdr:row>
      <xdr:rowOff>0</xdr:rowOff>
    </xdr:from>
    <xdr:ext cx="200025" cy="200025"/>
    <xdr:pic>
      <xdr:nvPicPr>
        <xdr:cNvPr id="1095" name="image1.png">
          <a:extLst>
            <a:ext uri="{FF2B5EF4-FFF2-40B4-BE49-F238E27FC236}">
              <a16:creationId xmlns:a16="http://schemas.microsoft.com/office/drawing/2014/main" id="{00000000-0008-0000-0100-000047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266</xdr:row>
      <xdr:rowOff>0</xdr:rowOff>
    </xdr:from>
    <xdr:ext cx="200025" cy="200025"/>
    <xdr:pic>
      <xdr:nvPicPr>
        <xdr:cNvPr id="1096" name="image12.png">
          <a:extLst>
            <a:ext uri="{FF2B5EF4-FFF2-40B4-BE49-F238E27FC236}">
              <a16:creationId xmlns:a16="http://schemas.microsoft.com/office/drawing/2014/main" id="{00000000-0008-0000-0100-000048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266</xdr:row>
      <xdr:rowOff>0</xdr:rowOff>
    </xdr:from>
    <xdr:ext cx="200025" cy="200025"/>
    <xdr:pic>
      <xdr:nvPicPr>
        <xdr:cNvPr id="1097" name="image2.png">
          <a:extLst>
            <a:ext uri="{FF2B5EF4-FFF2-40B4-BE49-F238E27FC236}">
              <a16:creationId xmlns:a16="http://schemas.microsoft.com/office/drawing/2014/main" id="{00000000-0008-0000-0100-00004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267</xdr:row>
      <xdr:rowOff>0</xdr:rowOff>
    </xdr:from>
    <xdr:ext cx="200025" cy="200025"/>
    <xdr:pic>
      <xdr:nvPicPr>
        <xdr:cNvPr id="1098" name="image10.png">
          <a:extLst>
            <a:ext uri="{FF2B5EF4-FFF2-40B4-BE49-F238E27FC236}">
              <a16:creationId xmlns:a16="http://schemas.microsoft.com/office/drawing/2014/main" id="{00000000-0008-0000-0100-00004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267</xdr:row>
      <xdr:rowOff>0</xdr:rowOff>
    </xdr:from>
    <xdr:ext cx="200025" cy="200025"/>
    <xdr:pic>
      <xdr:nvPicPr>
        <xdr:cNvPr id="1099" name="image8.png">
          <a:extLst>
            <a:ext uri="{FF2B5EF4-FFF2-40B4-BE49-F238E27FC236}">
              <a16:creationId xmlns:a16="http://schemas.microsoft.com/office/drawing/2014/main" id="{00000000-0008-0000-0100-00004B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267</xdr:row>
      <xdr:rowOff>0</xdr:rowOff>
    </xdr:from>
    <xdr:ext cx="200025" cy="200025"/>
    <xdr:pic>
      <xdr:nvPicPr>
        <xdr:cNvPr id="1100" name="image2.png">
          <a:extLst>
            <a:ext uri="{FF2B5EF4-FFF2-40B4-BE49-F238E27FC236}">
              <a16:creationId xmlns:a16="http://schemas.microsoft.com/office/drawing/2014/main" id="{00000000-0008-0000-0100-00004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267</xdr:row>
      <xdr:rowOff>0</xdr:rowOff>
    </xdr:from>
    <xdr:ext cx="200025" cy="200025"/>
    <xdr:pic>
      <xdr:nvPicPr>
        <xdr:cNvPr id="1101" name="image1.png">
          <a:extLst>
            <a:ext uri="{FF2B5EF4-FFF2-40B4-BE49-F238E27FC236}">
              <a16:creationId xmlns:a16="http://schemas.microsoft.com/office/drawing/2014/main" id="{00000000-0008-0000-0100-00004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268</xdr:row>
      <xdr:rowOff>0</xdr:rowOff>
    </xdr:from>
    <xdr:ext cx="200025" cy="200025"/>
    <xdr:pic>
      <xdr:nvPicPr>
        <xdr:cNvPr id="1102" name="image10.png">
          <a:extLst>
            <a:ext uri="{FF2B5EF4-FFF2-40B4-BE49-F238E27FC236}">
              <a16:creationId xmlns:a16="http://schemas.microsoft.com/office/drawing/2014/main" id="{00000000-0008-0000-0100-00004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268</xdr:row>
      <xdr:rowOff>0</xdr:rowOff>
    </xdr:from>
    <xdr:ext cx="200025" cy="200025"/>
    <xdr:pic>
      <xdr:nvPicPr>
        <xdr:cNvPr id="1103" name="image3.png">
          <a:extLst>
            <a:ext uri="{FF2B5EF4-FFF2-40B4-BE49-F238E27FC236}">
              <a16:creationId xmlns:a16="http://schemas.microsoft.com/office/drawing/2014/main" id="{00000000-0008-0000-0100-00004F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268</xdr:row>
      <xdr:rowOff>0</xdr:rowOff>
    </xdr:from>
    <xdr:ext cx="200025" cy="200025"/>
    <xdr:pic>
      <xdr:nvPicPr>
        <xdr:cNvPr id="1104" name="image4.png">
          <a:extLst>
            <a:ext uri="{FF2B5EF4-FFF2-40B4-BE49-F238E27FC236}">
              <a16:creationId xmlns:a16="http://schemas.microsoft.com/office/drawing/2014/main" id="{00000000-0008-0000-0100-000050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269</xdr:row>
      <xdr:rowOff>0</xdr:rowOff>
    </xdr:from>
    <xdr:ext cx="200025" cy="200025"/>
    <xdr:pic>
      <xdr:nvPicPr>
        <xdr:cNvPr id="1105" name="image10.png">
          <a:extLst>
            <a:ext uri="{FF2B5EF4-FFF2-40B4-BE49-F238E27FC236}">
              <a16:creationId xmlns:a16="http://schemas.microsoft.com/office/drawing/2014/main" id="{00000000-0008-0000-0100-00005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269</xdr:row>
      <xdr:rowOff>0</xdr:rowOff>
    </xdr:from>
    <xdr:ext cx="200025" cy="200025"/>
    <xdr:pic>
      <xdr:nvPicPr>
        <xdr:cNvPr id="1106" name="image2.png">
          <a:extLst>
            <a:ext uri="{FF2B5EF4-FFF2-40B4-BE49-F238E27FC236}">
              <a16:creationId xmlns:a16="http://schemas.microsoft.com/office/drawing/2014/main" id="{00000000-0008-0000-0100-00005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269</xdr:row>
      <xdr:rowOff>0</xdr:rowOff>
    </xdr:from>
    <xdr:ext cx="200025" cy="200025"/>
    <xdr:pic>
      <xdr:nvPicPr>
        <xdr:cNvPr id="1107" name="image11.png">
          <a:extLst>
            <a:ext uri="{FF2B5EF4-FFF2-40B4-BE49-F238E27FC236}">
              <a16:creationId xmlns:a16="http://schemas.microsoft.com/office/drawing/2014/main" id="{00000000-0008-0000-0100-000053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269</xdr:row>
      <xdr:rowOff>0</xdr:rowOff>
    </xdr:from>
    <xdr:ext cx="200025" cy="200025"/>
    <xdr:pic>
      <xdr:nvPicPr>
        <xdr:cNvPr id="1108" name="image8.png">
          <a:extLst>
            <a:ext uri="{FF2B5EF4-FFF2-40B4-BE49-F238E27FC236}">
              <a16:creationId xmlns:a16="http://schemas.microsoft.com/office/drawing/2014/main" id="{00000000-0008-0000-0100-000054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270</xdr:row>
      <xdr:rowOff>0</xdr:rowOff>
    </xdr:from>
    <xdr:ext cx="200025" cy="200025"/>
    <xdr:pic>
      <xdr:nvPicPr>
        <xdr:cNvPr id="1109" name="image10.png">
          <a:extLst>
            <a:ext uri="{FF2B5EF4-FFF2-40B4-BE49-F238E27FC236}">
              <a16:creationId xmlns:a16="http://schemas.microsoft.com/office/drawing/2014/main" id="{00000000-0008-0000-0100-000055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270</xdr:row>
      <xdr:rowOff>0</xdr:rowOff>
    </xdr:from>
    <xdr:ext cx="200025" cy="200025"/>
    <xdr:pic>
      <xdr:nvPicPr>
        <xdr:cNvPr id="1110" name="image1.png">
          <a:extLst>
            <a:ext uri="{FF2B5EF4-FFF2-40B4-BE49-F238E27FC236}">
              <a16:creationId xmlns:a16="http://schemas.microsoft.com/office/drawing/2014/main" id="{00000000-0008-0000-0100-000056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270</xdr:row>
      <xdr:rowOff>0</xdr:rowOff>
    </xdr:from>
    <xdr:ext cx="200025" cy="200025"/>
    <xdr:pic>
      <xdr:nvPicPr>
        <xdr:cNvPr id="1111" name="image5.png">
          <a:extLst>
            <a:ext uri="{FF2B5EF4-FFF2-40B4-BE49-F238E27FC236}">
              <a16:creationId xmlns:a16="http://schemas.microsoft.com/office/drawing/2014/main" id="{00000000-0008-0000-0100-000057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270</xdr:row>
      <xdr:rowOff>0</xdr:rowOff>
    </xdr:from>
    <xdr:ext cx="200025" cy="200025"/>
    <xdr:pic>
      <xdr:nvPicPr>
        <xdr:cNvPr id="1112" name="image4.png">
          <a:extLst>
            <a:ext uri="{FF2B5EF4-FFF2-40B4-BE49-F238E27FC236}">
              <a16:creationId xmlns:a16="http://schemas.microsoft.com/office/drawing/2014/main" id="{00000000-0008-0000-0100-000058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270</xdr:row>
      <xdr:rowOff>0</xdr:rowOff>
    </xdr:from>
    <xdr:ext cx="200025" cy="200025"/>
    <xdr:pic>
      <xdr:nvPicPr>
        <xdr:cNvPr id="1113" name="image8.png">
          <a:extLst>
            <a:ext uri="{FF2B5EF4-FFF2-40B4-BE49-F238E27FC236}">
              <a16:creationId xmlns:a16="http://schemas.microsoft.com/office/drawing/2014/main" id="{00000000-0008-0000-0100-000059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271</xdr:row>
      <xdr:rowOff>0</xdr:rowOff>
    </xdr:from>
    <xdr:ext cx="200025" cy="200025"/>
    <xdr:pic>
      <xdr:nvPicPr>
        <xdr:cNvPr id="1114" name="image9.png">
          <a:extLst>
            <a:ext uri="{FF2B5EF4-FFF2-40B4-BE49-F238E27FC236}">
              <a16:creationId xmlns:a16="http://schemas.microsoft.com/office/drawing/2014/main" id="{00000000-0008-0000-0100-00005A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271</xdr:row>
      <xdr:rowOff>0</xdr:rowOff>
    </xdr:from>
    <xdr:ext cx="200025" cy="200025"/>
    <xdr:pic>
      <xdr:nvPicPr>
        <xdr:cNvPr id="1115" name="image12.png">
          <a:extLst>
            <a:ext uri="{FF2B5EF4-FFF2-40B4-BE49-F238E27FC236}">
              <a16:creationId xmlns:a16="http://schemas.microsoft.com/office/drawing/2014/main" id="{00000000-0008-0000-0100-00005B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271</xdr:row>
      <xdr:rowOff>0</xdr:rowOff>
    </xdr:from>
    <xdr:ext cx="200025" cy="200025"/>
    <xdr:pic>
      <xdr:nvPicPr>
        <xdr:cNvPr id="1116" name="image7.png">
          <a:extLst>
            <a:ext uri="{FF2B5EF4-FFF2-40B4-BE49-F238E27FC236}">
              <a16:creationId xmlns:a16="http://schemas.microsoft.com/office/drawing/2014/main" id="{00000000-0008-0000-0100-00005C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271</xdr:row>
      <xdr:rowOff>0</xdr:rowOff>
    </xdr:from>
    <xdr:ext cx="200025" cy="200025"/>
    <xdr:pic>
      <xdr:nvPicPr>
        <xdr:cNvPr id="1117" name="image8.png">
          <a:extLst>
            <a:ext uri="{FF2B5EF4-FFF2-40B4-BE49-F238E27FC236}">
              <a16:creationId xmlns:a16="http://schemas.microsoft.com/office/drawing/2014/main" id="{00000000-0008-0000-0100-00005D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272</xdr:row>
      <xdr:rowOff>0</xdr:rowOff>
    </xdr:from>
    <xdr:ext cx="200025" cy="200025"/>
    <xdr:pic>
      <xdr:nvPicPr>
        <xdr:cNvPr id="1118" name="image10.png">
          <a:extLst>
            <a:ext uri="{FF2B5EF4-FFF2-40B4-BE49-F238E27FC236}">
              <a16:creationId xmlns:a16="http://schemas.microsoft.com/office/drawing/2014/main" id="{00000000-0008-0000-0100-00005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272</xdr:row>
      <xdr:rowOff>0</xdr:rowOff>
    </xdr:from>
    <xdr:ext cx="200025" cy="200025"/>
    <xdr:pic>
      <xdr:nvPicPr>
        <xdr:cNvPr id="1119" name="image1.png">
          <a:extLst>
            <a:ext uri="{FF2B5EF4-FFF2-40B4-BE49-F238E27FC236}">
              <a16:creationId xmlns:a16="http://schemas.microsoft.com/office/drawing/2014/main" id="{00000000-0008-0000-0100-00005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272</xdr:row>
      <xdr:rowOff>0</xdr:rowOff>
    </xdr:from>
    <xdr:ext cx="200025" cy="200025"/>
    <xdr:pic>
      <xdr:nvPicPr>
        <xdr:cNvPr id="1120" name="image12.png">
          <a:extLst>
            <a:ext uri="{FF2B5EF4-FFF2-40B4-BE49-F238E27FC236}">
              <a16:creationId xmlns:a16="http://schemas.microsoft.com/office/drawing/2014/main" id="{00000000-0008-0000-0100-000060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272</xdr:row>
      <xdr:rowOff>0</xdr:rowOff>
    </xdr:from>
    <xdr:ext cx="200025" cy="200025"/>
    <xdr:pic>
      <xdr:nvPicPr>
        <xdr:cNvPr id="1121" name="image11.png">
          <a:extLst>
            <a:ext uri="{FF2B5EF4-FFF2-40B4-BE49-F238E27FC236}">
              <a16:creationId xmlns:a16="http://schemas.microsoft.com/office/drawing/2014/main" id="{00000000-0008-0000-0100-000061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272</xdr:row>
      <xdr:rowOff>0</xdr:rowOff>
    </xdr:from>
    <xdr:ext cx="200025" cy="200025"/>
    <xdr:pic>
      <xdr:nvPicPr>
        <xdr:cNvPr id="1122" name="image6.png">
          <a:extLst>
            <a:ext uri="{FF2B5EF4-FFF2-40B4-BE49-F238E27FC236}">
              <a16:creationId xmlns:a16="http://schemas.microsoft.com/office/drawing/2014/main" id="{00000000-0008-0000-0100-000062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273</xdr:row>
      <xdr:rowOff>0</xdr:rowOff>
    </xdr:from>
    <xdr:ext cx="200025" cy="200025"/>
    <xdr:pic>
      <xdr:nvPicPr>
        <xdr:cNvPr id="1123" name="image8.png">
          <a:extLst>
            <a:ext uri="{FF2B5EF4-FFF2-40B4-BE49-F238E27FC236}">
              <a16:creationId xmlns:a16="http://schemas.microsoft.com/office/drawing/2014/main" id="{00000000-0008-0000-0100-000063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273</xdr:row>
      <xdr:rowOff>0</xdr:rowOff>
    </xdr:from>
    <xdr:ext cx="200025" cy="200025"/>
    <xdr:pic>
      <xdr:nvPicPr>
        <xdr:cNvPr id="1124" name="image6.png">
          <a:extLst>
            <a:ext uri="{FF2B5EF4-FFF2-40B4-BE49-F238E27FC236}">
              <a16:creationId xmlns:a16="http://schemas.microsoft.com/office/drawing/2014/main" id="{00000000-0008-0000-0100-000064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273</xdr:row>
      <xdr:rowOff>0</xdr:rowOff>
    </xdr:from>
    <xdr:ext cx="200025" cy="200025"/>
    <xdr:pic>
      <xdr:nvPicPr>
        <xdr:cNvPr id="1125" name="image12.png">
          <a:extLst>
            <a:ext uri="{FF2B5EF4-FFF2-40B4-BE49-F238E27FC236}">
              <a16:creationId xmlns:a16="http://schemas.microsoft.com/office/drawing/2014/main" id="{00000000-0008-0000-0100-000065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274</xdr:row>
      <xdr:rowOff>0</xdr:rowOff>
    </xdr:from>
    <xdr:ext cx="200025" cy="200025"/>
    <xdr:pic>
      <xdr:nvPicPr>
        <xdr:cNvPr id="1126" name="image10.png">
          <a:extLst>
            <a:ext uri="{FF2B5EF4-FFF2-40B4-BE49-F238E27FC236}">
              <a16:creationId xmlns:a16="http://schemas.microsoft.com/office/drawing/2014/main" id="{00000000-0008-0000-0100-00006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274</xdr:row>
      <xdr:rowOff>0</xdr:rowOff>
    </xdr:from>
    <xdr:ext cx="200025" cy="200025"/>
    <xdr:pic>
      <xdr:nvPicPr>
        <xdr:cNvPr id="1127" name="image1.png">
          <a:extLst>
            <a:ext uri="{FF2B5EF4-FFF2-40B4-BE49-F238E27FC236}">
              <a16:creationId xmlns:a16="http://schemas.microsoft.com/office/drawing/2014/main" id="{00000000-0008-0000-0100-000067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274</xdr:row>
      <xdr:rowOff>0</xdr:rowOff>
    </xdr:from>
    <xdr:ext cx="200025" cy="200025"/>
    <xdr:pic>
      <xdr:nvPicPr>
        <xdr:cNvPr id="1128" name="image12.png">
          <a:extLst>
            <a:ext uri="{FF2B5EF4-FFF2-40B4-BE49-F238E27FC236}">
              <a16:creationId xmlns:a16="http://schemas.microsoft.com/office/drawing/2014/main" id="{00000000-0008-0000-0100-000068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274</xdr:row>
      <xdr:rowOff>0</xdr:rowOff>
    </xdr:from>
    <xdr:ext cx="200025" cy="200025"/>
    <xdr:pic>
      <xdr:nvPicPr>
        <xdr:cNvPr id="1129" name="image11.png">
          <a:extLst>
            <a:ext uri="{FF2B5EF4-FFF2-40B4-BE49-F238E27FC236}">
              <a16:creationId xmlns:a16="http://schemas.microsoft.com/office/drawing/2014/main" id="{00000000-0008-0000-0100-000069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274</xdr:row>
      <xdr:rowOff>0</xdr:rowOff>
    </xdr:from>
    <xdr:ext cx="200025" cy="200025"/>
    <xdr:pic>
      <xdr:nvPicPr>
        <xdr:cNvPr id="1130" name="image6.png">
          <a:extLst>
            <a:ext uri="{FF2B5EF4-FFF2-40B4-BE49-F238E27FC236}">
              <a16:creationId xmlns:a16="http://schemas.microsoft.com/office/drawing/2014/main" id="{00000000-0008-0000-0100-00006A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275</xdr:row>
      <xdr:rowOff>0</xdr:rowOff>
    </xdr:from>
    <xdr:ext cx="200025" cy="200025"/>
    <xdr:pic>
      <xdr:nvPicPr>
        <xdr:cNvPr id="1131" name="image8.png">
          <a:extLst>
            <a:ext uri="{FF2B5EF4-FFF2-40B4-BE49-F238E27FC236}">
              <a16:creationId xmlns:a16="http://schemas.microsoft.com/office/drawing/2014/main" id="{00000000-0008-0000-0100-00006B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275</xdr:row>
      <xdr:rowOff>0</xdr:rowOff>
    </xdr:from>
    <xdr:ext cx="200025" cy="200025"/>
    <xdr:pic>
      <xdr:nvPicPr>
        <xdr:cNvPr id="1132" name="image6.png">
          <a:extLst>
            <a:ext uri="{FF2B5EF4-FFF2-40B4-BE49-F238E27FC236}">
              <a16:creationId xmlns:a16="http://schemas.microsoft.com/office/drawing/2014/main" id="{00000000-0008-0000-0100-00006C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275</xdr:row>
      <xdr:rowOff>0</xdr:rowOff>
    </xdr:from>
    <xdr:ext cx="200025" cy="200025"/>
    <xdr:pic>
      <xdr:nvPicPr>
        <xdr:cNvPr id="1133" name="image12.png">
          <a:extLst>
            <a:ext uri="{FF2B5EF4-FFF2-40B4-BE49-F238E27FC236}">
              <a16:creationId xmlns:a16="http://schemas.microsoft.com/office/drawing/2014/main" id="{00000000-0008-0000-0100-00006D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276</xdr:row>
      <xdr:rowOff>0</xdr:rowOff>
    </xdr:from>
    <xdr:ext cx="200025" cy="200025"/>
    <xdr:pic>
      <xdr:nvPicPr>
        <xdr:cNvPr id="1134" name="image9.png">
          <a:extLst>
            <a:ext uri="{FF2B5EF4-FFF2-40B4-BE49-F238E27FC236}">
              <a16:creationId xmlns:a16="http://schemas.microsoft.com/office/drawing/2014/main" id="{00000000-0008-0000-0100-00006E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276</xdr:row>
      <xdr:rowOff>0</xdr:rowOff>
    </xdr:from>
    <xdr:ext cx="200025" cy="200025"/>
    <xdr:pic>
      <xdr:nvPicPr>
        <xdr:cNvPr id="1135" name="image6.png">
          <a:extLst>
            <a:ext uri="{FF2B5EF4-FFF2-40B4-BE49-F238E27FC236}">
              <a16:creationId xmlns:a16="http://schemas.microsoft.com/office/drawing/2014/main" id="{00000000-0008-0000-0100-00006F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276</xdr:row>
      <xdr:rowOff>0</xdr:rowOff>
    </xdr:from>
    <xdr:ext cx="200025" cy="200025"/>
    <xdr:pic>
      <xdr:nvPicPr>
        <xdr:cNvPr id="1136" name="image4.png">
          <a:extLst>
            <a:ext uri="{FF2B5EF4-FFF2-40B4-BE49-F238E27FC236}">
              <a16:creationId xmlns:a16="http://schemas.microsoft.com/office/drawing/2014/main" id="{00000000-0008-0000-0100-000070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276</xdr:row>
      <xdr:rowOff>0</xdr:rowOff>
    </xdr:from>
    <xdr:ext cx="200025" cy="200025"/>
    <xdr:pic>
      <xdr:nvPicPr>
        <xdr:cNvPr id="1137" name="image6.png">
          <a:extLst>
            <a:ext uri="{FF2B5EF4-FFF2-40B4-BE49-F238E27FC236}">
              <a16:creationId xmlns:a16="http://schemas.microsoft.com/office/drawing/2014/main" id="{00000000-0008-0000-0100-000071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277</xdr:row>
      <xdr:rowOff>0</xdr:rowOff>
    </xdr:from>
    <xdr:ext cx="200025" cy="200025"/>
    <xdr:pic>
      <xdr:nvPicPr>
        <xdr:cNvPr id="1138" name="image10.png">
          <a:extLst>
            <a:ext uri="{FF2B5EF4-FFF2-40B4-BE49-F238E27FC236}">
              <a16:creationId xmlns:a16="http://schemas.microsoft.com/office/drawing/2014/main" id="{00000000-0008-0000-0100-000072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277</xdr:row>
      <xdr:rowOff>0</xdr:rowOff>
    </xdr:from>
    <xdr:ext cx="200025" cy="200025"/>
    <xdr:pic>
      <xdr:nvPicPr>
        <xdr:cNvPr id="1139" name="image9.png">
          <a:extLst>
            <a:ext uri="{FF2B5EF4-FFF2-40B4-BE49-F238E27FC236}">
              <a16:creationId xmlns:a16="http://schemas.microsoft.com/office/drawing/2014/main" id="{00000000-0008-0000-0100-00007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277</xdr:row>
      <xdr:rowOff>0</xdr:rowOff>
    </xdr:from>
    <xdr:ext cx="200025" cy="200025"/>
    <xdr:pic>
      <xdr:nvPicPr>
        <xdr:cNvPr id="1140" name="image12.png">
          <a:extLst>
            <a:ext uri="{FF2B5EF4-FFF2-40B4-BE49-F238E27FC236}">
              <a16:creationId xmlns:a16="http://schemas.microsoft.com/office/drawing/2014/main" id="{00000000-0008-0000-0100-000074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277</xdr:row>
      <xdr:rowOff>0</xdr:rowOff>
    </xdr:from>
    <xdr:ext cx="200025" cy="200025"/>
    <xdr:pic>
      <xdr:nvPicPr>
        <xdr:cNvPr id="1141" name="image11.png">
          <a:extLst>
            <a:ext uri="{FF2B5EF4-FFF2-40B4-BE49-F238E27FC236}">
              <a16:creationId xmlns:a16="http://schemas.microsoft.com/office/drawing/2014/main" id="{00000000-0008-0000-0100-000075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277</xdr:row>
      <xdr:rowOff>0</xdr:rowOff>
    </xdr:from>
    <xdr:ext cx="200025" cy="200025"/>
    <xdr:pic>
      <xdr:nvPicPr>
        <xdr:cNvPr id="1142" name="image6.png">
          <a:extLst>
            <a:ext uri="{FF2B5EF4-FFF2-40B4-BE49-F238E27FC236}">
              <a16:creationId xmlns:a16="http://schemas.microsoft.com/office/drawing/2014/main" id="{00000000-0008-0000-0100-000076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278</xdr:row>
      <xdr:rowOff>0</xdr:rowOff>
    </xdr:from>
    <xdr:ext cx="200025" cy="200025"/>
    <xdr:pic>
      <xdr:nvPicPr>
        <xdr:cNvPr id="1143" name="image8.png">
          <a:extLst>
            <a:ext uri="{FF2B5EF4-FFF2-40B4-BE49-F238E27FC236}">
              <a16:creationId xmlns:a16="http://schemas.microsoft.com/office/drawing/2014/main" id="{00000000-0008-0000-0100-000077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278</xdr:row>
      <xdr:rowOff>0</xdr:rowOff>
    </xdr:from>
    <xdr:ext cx="200025" cy="200025"/>
    <xdr:pic>
      <xdr:nvPicPr>
        <xdr:cNvPr id="1144" name="image12.png">
          <a:extLst>
            <a:ext uri="{FF2B5EF4-FFF2-40B4-BE49-F238E27FC236}">
              <a16:creationId xmlns:a16="http://schemas.microsoft.com/office/drawing/2014/main" id="{00000000-0008-0000-0100-000078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278</xdr:row>
      <xdr:rowOff>0</xdr:rowOff>
    </xdr:from>
    <xdr:ext cx="200025" cy="200025"/>
    <xdr:pic>
      <xdr:nvPicPr>
        <xdr:cNvPr id="1145" name="image3.png">
          <a:extLst>
            <a:ext uri="{FF2B5EF4-FFF2-40B4-BE49-F238E27FC236}">
              <a16:creationId xmlns:a16="http://schemas.microsoft.com/office/drawing/2014/main" id="{00000000-0008-0000-0100-000079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279</xdr:row>
      <xdr:rowOff>0</xdr:rowOff>
    </xdr:from>
    <xdr:ext cx="200025" cy="200025"/>
    <xdr:pic>
      <xdr:nvPicPr>
        <xdr:cNvPr id="1146" name="image10.png">
          <a:extLst>
            <a:ext uri="{FF2B5EF4-FFF2-40B4-BE49-F238E27FC236}">
              <a16:creationId xmlns:a16="http://schemas.microsoft.com/office/drawing/2014/main" id="{00000000-0008-0000-0100-00007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279</xdr:row>
      <xdr:rowOff>0</xdr:rowOff>
    </xdr:from>
    <xdr:ext cx="200025" cy="200025"/>
    <xdr:pic>
      <xdr:nvPicPr>
        <xdr:cNvPr id="1147" name="image9.png">
          <a:extLst>
            <a:ext uri="{FF2B5EF4-FFF2-40B4-BE49-F238E27FC236}">
              <a16:creationId xmlns:a16="http://schemas.microsoft.com/office/drawing/2014/main" id="{00000000-0008-0000-0100-00007B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279</xdr:row>
      <xdr:rowOff>0</xdr:rowOff>
    </xdr:from>
    <xdr:ext cx="200025" cy="200025"/>
    <xdr:pic>
      <xdr:nvPicPr>
        <xdr:cNvPr id="1148" name="image12.png">
          <a:extLst>
            <a:ext uri="{FF2B5EF4-FFF2-40B4-BE49-F238E27FC236}">
              <a16:creationId xmlns:a16="http://schemas.microsoft.com/office/drawing/2014/main" id="{00000000-0008-0000-0100-00007C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279</xdr:row>
      <xdr:rowOff>0</xdr:rowOff>
    </xdr:from>
    <xdr:ext cx="200025" cy="200025"/>
    <xdr:pic>
      <xdr:nvPicPr>
        <xdr:cNvPr id="1149" name="image11.png">
          <a:extLst>
            <a:ext uri="{FF2B5EF4-FFF2-40B4-BE49-F238E27FC236}">
              <a16:creationId xmlns:a16="http://schemas.microsoft.com/office/drawing/2014/main" id="{00000000-0008-0000-0100-00007D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279</xdr:row>
      <xdr:rowOff>0</xdr:rowOff>
    </xdr:from>
    <xdr:ext cx="200025" cy="200025"/>
    <xdr:pic>
      <xdr:nvPicPr>
        <xdr:cNvPr id="1150" name="image6.png">
          <a:extLst>
            <a:ext uri="{FF2B5EF4-FFF2-40B4-BE49-F238E27FC236}">
              <a16:creationId xmlns:a16="http://schemas.microsoft.com/office/drawing/2014/main" id="{00000000-0008-0000-0100-00007E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280</xdr:row>
      <xdr:rowOff>0</xdr:rowOff>
    </xdr:from>
    <xdr:ext cx="200025" cy="200025"/>
    <xdr:pic>
      <xdr:nvPicPr>
        <xdr:cNvPr id="1151" name="image8.png">
          <a:extLst>
            <a:ext uri="{FF2B5EF4-FFF2-40B4-BE49-F238E27FC236}">
              <a16:creationId xmlns:a16="http://schemas.microsoft.com/office/drawing/2014/main" id="{00000000-0008-0000-0100-00007F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280</xdr:row>
      <xdr:rowOff>0</xdr:rowOff>
    </xdr:from>
    <xdr:ext cx="200025" cy="200025"/>
    <xdr:pic>
      <xdr:nvPicPr>
        <xdr:cNvPr id="1152" name="image12.png">
          <a:extLst>
            <a:ext uri="{FF2B5EF4-FFF2-40B4-BE49-F238E27FC236}">
              <a16:creationId xmlns:a16="http://schemas.microsoft.com/office/drawing/2014/main" id="{00000000-0008-0000-0100-000080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280</xdr:row>
      <xdr:rowOff>0</xdr:rowOff>
    </xdr:from>
    <xdr:ext cx="200025" cy="200025"/>
    <xdr:pic>
      <xdr:nvPicPr>
        <xdr:cNvPr id="1153" name="image3.png">
          <a:extLst>
            <a:ext uri="{FF2B5EF4-FFF2-40B4-BE49-F238E27FC236}">
              <a16:creationId xmlns:a16="http://schemas.microsoft.com/office/drawing/2014/main" id="{00000000-0008-0000-0100-000081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281</xdr:row>
      <xdr:rowOff>0</xdr:rowOff>
    </xdr:from>
    <xdr:ext cx="200025" cy="200025"/>
    <xdr:pic>
      <xdr:nvPicPr>
        <xdr:cNvPr id="1154" name="image8.png">
          <a:extLst>
            <a:ext uri="{FF2B5EF4-FFF2-40B4-BE49-F238E27FC236}">
              <a16:creationId xmlns:a16="http://schemas.microsoft.com/office/drawing/2014/main" id="{00000000-0008-0000-0100-000082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281</xdr:row>
      <xdr:rowOff>0</xdr:rowOff>
    </xdr:from>
    <xdr:ext cx="200025" cy="200025"/>
    <xdr:pic>
      <xdr:nvPicPr>
        <xdr:cNvPr id="1155" name="image9.png">
          <a:extLst>
            <a:ext uri="{FF2B5EF4-FFF2-40B4-BE49-F238E27FC236}">
              <a16:creationId xmlns:a16="http://schemas.microsoft.com/office/drawing/2014/main" id="{00000000-0008-0000-0100-00008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281</xdr:row>
      <xdr:rowOff>0</xdr:rowOff>
    </xdr:from>
    <xdr:ext cx="200025" cy="200025"/>
    <xdr:pic>
      <xdr:nvPicPr>
        <xdr:cNvPr id="1156" name="image4.png">
          <a:extLst>
            <a:ext uri="{FF2B5EF4-FFF2-40B4-BE49-F238E27FC236}">
              <a16:creationId xmlns:a16="http://schemas.microsoft.com/office/drawing/2014/main" id="{00000000-0008-0000-0100-000084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281</xdr:row>
      <xdr:rowOff>0</xdr:rowOff>
    </xdr:from>
    <xdr:ext cx="200025" cy="200025"/>
    <xdr:pic>
      <xdr:nvPicPr>
        <xdr:cNvPr id="1157" name="image11.png">
          <a:extLst>
            <a:ext uri="{FF2B5EF4-FFF2-40B4-BE49-F238E27FC236}">
              <a16:creationId xmlns:a16="http://schemas.microsoft.com/office/drawing/2014/main" id="{00000000-0008-0000-0100-000085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281</xdr:row>
      <xdr:rowOff>0</xdr:rowOff>
    </xdr:from>
    <xdr:ext cx="200025" cy="200025"/>
    <xdr:pic>
      <xdr:nvPicPr>
        <xdr:cNvPr id="1158" name="image6.png">
          <a:extLst>
            <a:ext uri="{FF2B5EF4-FFF2-40B4-BE49-F238E27FC236}">
              <a16:creationId xmlns:a16="http://schemas.microsoft.com/office/drawing/2014/main" id="{00000000-0008-0000-0100-000086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282</xdr:row>
      <xdr:rowOff>0</xdr:rowOff>
    </xdr:from>
    <xdr:ext cx="200025" cy="200025"/>
    <xdr:pic>
      <xdr:nvPicPr>
        <xdr:cNvPr id="1159" name="image8.png">
          <a:extLst>
            <a:ext uri="{FF2B5EF4-FFF2-40B4-BE49-F238E27FC236}">
              <a16:creationId xmlns:a16="http://schemas.microsoft.com/office/drawing/2014/main" id="{00000000-0008-0000-0100-000087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282</xdr:row>
      <xdr:rowOff>0</xdr:rowOff>
    </xdr:from>
    <xdr:ext cx="200025" cy="200025"/>
    <xdr:pic>
      <xdr:nvPicPr>
        <xdr:cNvPr id="1160" name="image12.png">
          <a:extLst>
            <a:ext uri="{FF2B5EF4-FFF2-40B4-BE49-F238E27FC236}">
              <a16:creationId xmlns:a16="http://schemas.microsoft.com/office/drawing/2014/main" id="{00000000-0008-0000-0100-000088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282</xdr:row>
      <xdr:rowOff>0</xdr:rowOff>
    </xdr:from>
    <xdr:ext cx="200025" cy="200025"/>
    <xdr:pic>
      <xdr:nvPicPr>
        <xdr:cNvPr id="1161" name="image3.png">
          <a:extLst>
            <a:ext uri="{FF2B5EF4-FFF2-40B4-BE49-F238E27FC236}">
              <a16:creationId xmlns:a16="http://schemas.microsoft.com/office/drawing/2014/main" id="{00000000-0008-0000-0100-000089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283</xdr:row>
      <xdr:rowOff>0</xdr:rowOff>
    </xdr:from>
    <xdr:ext cx="200025" cy="200025"/>
    <xdr:pic>
      <xdr:nvPicPr>
        <xdr:cNvPr id="1162" name="image9.png">
          <a:extLst>
            <a:ext uri="{FF2B5EF4-FFF2-40B4-BE49-F238E27FC236}">
              <a16:creationId xmlns:a16="http://schemas.microsoft.com/office/drawing/2014/main" id="{00000000-0008-0000-0100-00008A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283</xdr:row>
      <xdr:rowOff>0</xdr:rowOff>
    </xdr:from>
    <xdr:ext cx="200025" cy="200025"/>
    <xdr:pic>
      <xdr:nvPicPr>
        <xdr:cNvPr id="1163" name="image2.png">
          <a:extLst>
            <a:ext uri="{FF2B5EF4-FFF2-40B4-BE49-F238E27FC236}">
              <a16:creationId xmlns:a16="http://schemas.microsoft.com/office/drawing/2014/main" id="{00000000-0008-0000-0100-00008B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283</xdr:row>
      <xdr:rowOff>0</xdr:rowOff>
    </xdr:from>
    <xdr:ext cx="200025" cy="200025"/>
    <xdr:pic>
      <xdr:nvPicPr>
        <xdr:cNvPr id="1164" name="image12.png">
          <a:extLst>
            <a:ext uri="{FF2B5EF4-FFF2-40B4-BE49-F238E27FC236}">
              <a16:creationId xmlns:a16="http://schemas.microsoft.com/office/drawing/2014/main" id="{00000000-0008-0000-0100-00008C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283</xdr:row>
      <xdr:rowOff>0</xdr:rowOff>
    </xdr:from>
    <xdr:ext cx="200025" cy="200025"/>
    <xdr:pic>
      <xdr:nvPicPr>
        <xdr:cNvPr id="1165" name="image3.png">
          <a:extLst>
            <a:ext uri="{FF2B5EF4-FFF2-40B4-BE49-F238E27FC236}">
              <a16:creationId xmlns:a16="http://schemas.microsoft.com/office/drawing/2014/main" id="{00000000-0008-0000-0100-00008D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283</xdr:row>
      <xdr:rowOff>0</xdr:rowOff>
    </xdr:from>
    <xdr:ext cx="200025" cy="200025"/>
    <xdr:pic>
      <xdr:nvPicPr>
        <xdr:cNvPr id="1166" name="image6.png">
          <a:extLst>
            <a:ext uri="{FF2B5EF4-FFF2-40B4-BE49-F238E27FC236}">
              <a16:creationId xmlns:a16="http://schemas.microsoft.com/office/drawing/2014/main" id="{00000000-0008-0000-0100-00008E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284</xdr:row>
      <xdr:rowOff>0</xdr:rowOff>
    </xdr:from>
    <xdr:ext cx="200025" cy="200025"/>
    <xdr:pic>
      <xdr:nvPicPr>
        <xdr:cNvPr id="1167" name="image9.png">
          <a:extLst>
            <a:ext uri="{FF2B5EF4-FFF2-40B4-BE49-F238E27FC236}">
              <a16:creationId xmlns:a16="http://schemas.microsoft.com/office/drawing/2014/main" id="{00000000-0008-0000-0100-00008F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284</xdr:row>
      <xdr:rowOff>0</xdr:rowOff>
    </xdr:from>
    <xdr:ext cx="200025" cy="200025"/>
    <xdr:pic>
      <xdr:nvPicPr>
        <xdr:cNvPr id="1168" name="image2.png">
          <a:extLst>
            <a:ext uri="{FF2B5EF4-FFF2-40B4-BE49-F238E27FC236}">
              <a16:creationId xmlns:a16="http://schemas.microsoft.com/office/drawing/2014/main" id="{00000000-0008-0000-0100-000090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284</xdr:row>
      <xdr:rowOff>0</xdr:rowOff>
    </xdr:from>
    <xdr:ext cx="200025" cy="200025"/>
    <xdr:pic>
      <xdr:nvPicPr>
        <xdr:cNvPr id="1169" name="image12.png">
          <a:extLst>
            <a:ext uri="{FF2B5EF4-FFF2-40B4-BE49-F238E27FC236}">
              <a16:creationId xmlns:a16="http://schemas.microsoft.com/office/drawing/2014/main" id="{00000000-0008-0000-0100-000091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284</xdr:row>
      <xdr:rowOff>0</xdr:rowOff>
    </xdr:from>
    <xdr:ext cx="200025" cy="200025"/>
    <xdr:pic>
      <xdr:nvPicPr>
        <xdr:cNvPr id="1170" name="image3.png">
          <a:extLst>
            <a:ext uri="{FF2B5EF4-FFF2-40B4-BE49-F238E27FC236}">
              <a16:creationId xmlns:a16="http://schemas.microsoft.com/office/drawing/2014/main" id="{00000000-0008-0000-0100-000092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284</xdr:row>
      <xdr:rowOff>0</xdr:rowOff>
    </xdr:from>
    <xdr:ext cx="200025" cy="200025"/>
    <xdr:pic>
      <xdr:nvPicPr>
        <xdr:cNvPr id="1171" name="image6.png">
          <a:extLst>
            <a:ext uri="{FF2B5EF4-FFF2-40B4-BE49-F238E27FC236}">
              <a16:creationId xmlns:a16="http://schemas.microsoft.com/office/drawing/2014/main" id="{00000000-0008-0000-0100-000093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285</xdr:row>
      <xdr:rowOff>0</xdr:rowOff>
    </xdr:from>
    <xdr:ext cx="200025" cy="200025"/>
    <xdr:pic>
      <xdr:nvPicPr>
        <xdr:cNvPr id="1172" name="image8.png">
          <a:extLst>
            <a:ext uri="{FF2B5EF4-FFF2-40B4-BE49-F238E27FC236}">
              <a16:creationId xmlns:a16="http://schemas.microsoft.com/office/drawing/2014/main" id="{00000000-0008-0000-0100-000094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285</xdr:row>
      <xdr:rowOff>0</xdr:rowOff>
    </xdr:from>
    <xdr:ext cx="200025" cy="200025"/>
    <xdr:pic>
      <xdr:nvPicPr>
        <xdr:cNvPr id="1173" name="image9.png">
          <a:extLst>
            <a:ext uri="{FF2B5EF4-FFF2-40B4-BE49-F238E27FC236}">
              <a16:creationId xmlns:a16="http://schemas.microsoft.com/office/drawing/2014/main" id="{00000000-0008-0000-0100-000095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285</xdr:row>
      <xdr:rowOff>0</xdr:rowOff>
    </xdr:from>
    <xdr:ext cx="200025" cy="200025"/>
    <xdr:pic>
      <xdr:nvPicPr>
        <xdr:cNvPr id="1174" name="image4.png">
          <a:extLst>
            <a:ext uri="{FF2B5EF4-FFF2-40B4-BE49-F238E27FC236}">
              <a16:creationId xmlns:a16="http://schemas.microsoft.com/office/drawing/2014/main" id="{00000000-0008-0000-0100-000096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285</xdr:row>
      <xdr:rowOff>0</xdr:rowOff>
    </xdr:from>
    <xdr:ext cx="200025" cy="200025"/>
    <xdr:pic>
      <xdr:nvPicPr>
        <xdr:cNvPr id="1175" name="image6.png">
          <a:extLst>
            <a:ext uri="{FF2B5EF4-FFF2-40B4-BE49-F238E27FC236}">
              <a16:creationId xmlns:a16="http://schemas.microsoft.com/office/drawing/2014/main" id="{00000000-0008-0000-0100-000097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286</xdr:row>
      <xdr:rowOff>0</xdr:rowOff>
    </xdr:from>
    <xdr:ext cx="200025" cy="200025"/>
    <xdr:pic>
      <xdr:nvPicPr>
        <xdr:cNvPr id="1176" name="image8.png">
          <a:extLst>
            <a:ext uri="{FF2B5EF4-FFF2-40B4-BE49-F238E27FC236}">
              <a16:creationId xmlns:a16="http://schemas.microsoft.com/office/drawing/2014/main" id="{00000000-0008-0000-0100-000098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286</xdr:row>
      <xdr:rowOff>0</xdr:rowOff>
    </xdr:from>
    <xdr:ext cx="200025" cy="200025"/>
    <xdr:pic>
      <xdr:nvPicPr>
        <xdr:cNvPr id="1177" name="image2.png">
          <a:extLst>
            <a:ext uri="{FF2B5EF4-FFF2-40B4-BE49-F238E27FC236}">
              <a16:creationId xmlns:a16="http://schemas.microsoft.com/office/drawing/2014/main" id="{00000000-0008-0000-0100-00009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286</xdr:row>
      <xdr:rowOff>0</xdr:rowOff>
    </xdr:from>
    <xdr:ext cx="200025" cy="200025"/>
    <xdr:pic>
      <xdr:nvPicPr>
        <xdr:cNvPr id="1178" name="image3.png">
          <a:extLst>
            <a:ext uri="{FF2B5EF4-FFF2-40B4-BE49-F238E27FC236}">
              <a16:creationId xmlns:a16="http://schemas.microsoft.com/office/drawing/2014/main" id="{00000000-0008-0000-0100-00009A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286</xdr:row>
      <xdr:rowOff>0</xdr:rowOff>
    </xdr:from>
    <xdr:ext cx="200025" cy="200025"/>
    <xdr:pic>
      <xdr:nvPicPr>
        <xdr:cNvPr id="1179" name="image7.png">
          <a:extLst>
            <a:ext uri="{FF2B5EF4-FFF2-40B4-BE49-F238E27FC236}">
              <a16:creationId xmlns:a16="http://schemas.microsoft.com/office/drawing/2014/main" id="{00000000-0008-0000-0100-00009B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286</xdr:row>
      <xdr:rowOff>0</xdr:rowOff>
    </xdr:from>
    <xdr:ext cx="200025" cy="200025"/>
    <xdr:pic>
      <xdr:nvPicPr>
        <xdr:cNvPr id="1180" name="image6.png">
          <a:extLst>
            <a:ext uri="{FF2B5EF4-FFF2-40B4-BE49-F238E27FC236}">
              <a16:creationId xmlns:a16="http://schemas.microsoft.com/office/drawing/2014/main" id="{00000000-0008-0000-0100-00009C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287</xdr:row>
      <xdr:rowOff>0</xdr:rowOff>
    </xdr:from>
    <xdr:ext cx="200025" cy="200025"/>
    <xdr:pic>
      <xdr:nvPicPr>
        <xdr:cNvPr id="1181" name="image8.png">
          <a:extLst>
            <a:ext uri="{FF2B5EF4-FFF2-40B4-BE49-F238E27FC236}">
              <a16:creationId xmlns:a16="http://schemas.microsoft.com/office/drawing/2014/main" id="{00000000-0008-0000-0100-00009D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287</xdr:row>
      <xdr:rowOff>0</xdr:rowOff>
    </xdr:from>
    <xdr:ext cx="200025" cy="200025"/>
    <xdr:pic>
      <xdr:nvPicPr>
        <xdr:cNvPr id="1182" name="image12.png">
          <a:extLst>
            <a:ext uri="{FF2B5EF4-FFF2-40B4-BE49-F238E27FC236}">
              <a16:creationId xmlns:a16="http://schemas.microsoft.com/office/drawing/2014/main" id="{00000000-0008-0000-0100-00009E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287</xdr:row>
      <xdr:rowOff>0</xdr:rowOff>
    </xdr:from>
    <xdr:ext cx="200025" cy="200025"/>
    <xdr:pic>
      <xdr:nvPicPr>
        <xdr:cNvPr id="1183" name="image3.png">
          <a:extLst>
            <a:ext uri="{FF2B5EF4-FFF2-40B4-BE49-F238E27FC236}">
              <a16:creationId xmlns:a16="http://schemas.microsoft.com/office/drawing/2014/main" id="{00000000-0008-0000-0100-00009F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287</xdr:row>
      <xdr:rowOff>0</xdr:rowOff>
    </xdr:from>
    <xdr:ext cx="200025" cy="200025"/>
    <xdr:pic>
      <xdr:nvPicPr>
        <xdr:cNvPr id="1184" name="image10.png">
          <a:extLst>
            <a:ext uri="{FF2B5EF4-FFF2-40B4-BE49-F238E27FC236}">
              <a16:creationId xmlns:a16="http://schemas.microsoft.com/office/drawing/2014/main" id="{00000000-0008-0000-0100-0000A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288</xdr:row>
      <xdr:rowOff>0</xdr:rowOff>
    </xdr:from>
    <xdr:ext cx="200025" cy="200025"/>
    <xdr:pic>
      <xdr:nvPicPr>
        <xdr:cNvPr id="1185" name="image8.png">
          <a:extLst>
            <a:ext uri="{FF2B5EF4-FFF2-40B4-BE49-F238E27FC236}">
              <a16:creationId xmlns:a16="http://schemas.microsoft.com/office/drawing/2014/main" id="{00000000-0008-0000-0100-0000A1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288</xdr:row>
      <xdr:rowOff>0</xdr:rowOff>
    </xdr:from>
    <xdr:ext cx="200025" cy="200025"/>
    <xdr:pic>
      <xdr:nvPicPr>
        <xdr:cNvPr id="1186" name="image2.png">
          <a:extLst>
            <a:ext uri="{FF2B5EF4-FFF2-40B4-BE49-F238E27FC236}">
              <a16:creationId xmlns:a16="http://schemas.microsoft.com/office/drawing/2014/main" id="{00000000-0008-0000-0100-0000A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288</xdr:row>
      <xdr:rowOff>0</xdr:rowOff>
    </xdr:from>
    <xdr:ext cx="200025" cy="200025"/>
    <xdr:pic>
      <xdr:nvPicPr>
        <xdr:cNvPr id="1187" name="image11.png">
          <a:extLst>
            <a:ext uri="{FF2B5EF4-FFF2-40B4-BE49-F238E27FC236}">
              <a16:creationId xmlns:a16="http://schemas.microsoft.com/office/drawing/2014/main" id="{00000000-0008-0000-0100-0000A3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288</xdr:row>
      <xdr:rowOff>0</xdr:rowOff>
    </xdr:from>
    <xdr:ext cx="200025" cy="200025"/>
    <xdr:pic>
      <xdr:nvPicPr>
        <xdr:cNvPr id="1188" name="image9.png">
          <a:extLst>
            <a:ext uri="{FF2B5EF4-FFF2-40B4-BE49-F238E27FC236}">
              <a16:creationId xmlns:a16="http://schemas.microsoft.com/office/drawing/2014/main" id="{00000000-0008-0000-0100-0000A4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289</xdr:row>
      <xdr:rowOff>0</xdr:rowOff>
    </xdr:from>
    <xdr:ext cx="200025" cy="200025"/>
    <xdr:pic>
      <xdr:nvPicPr>
        <xdr:cNvPr id="1189" name="image9.png">
          <a:extLst>
            <a:ext uri="{FF2B5EF4-FFF2-40B4-BE49-F238E27FC236}">
              <a16:creationId xmlns:a16="http://schemas.microsoft.com/office/drawing/2014/main" id="{00000000-0008-0000-0100-0000A5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289</xdr:row>
      <xdr:rowOff>0</xdr:rowOff>
    </xdr:from>
    <xdr:ext cx="200025" cy="200025"/>
    <xdr:pic>
      <xdr:nvPicPr>
        <xdr:cNvPr id="1190" name="image2.png">
          <a:extLst>
            <a:ext uri="{FF2B5EF4-FFF2-40B4-BE49-F238E27FC236}">
              <a16:creationId xmlns:a16="http://schemas.microsoft.com/office/drawing/2014/main" id="{00000000-0008-0000-0100-0000A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289</xdr:row>
      <xdr:rowOff>0</xdr:rowOff>
    </xdr:from>
    <xdr:ext cx="200025" cy="200025"/>
    <xdr:pic>
      <xdr:nvPicPr>
        <xdr:cNvPr id="1191" name="image3.png">
          <a:extLst>
            <a:ext uri="{FF2B5EF4-FFF2-40B4-BE49-F238E27FC236}">
              <a16:creationId xmlns:a16="http://schemas.microsoft.com/office/drawing/2014/main" id="{00000000-0008-0000-0100-0000A7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289</xdr:row>
      <xdr:rowOff>0</xdr:rowOff>
    </xdr:from>
    <xdr:ext cx="200025" cy="200025"/>
    <xdr:pic>
      <xdr:nvPicPr>
        <xdr:cNvPr id="1192" name="image12.png">
          <a:extLst>
            <a:ext uri="{FF2B5EF4-FFF2-40B4-BE49-F238E27FC236}">
              <a16:creationId xmlns:a16="http://schemas.microsoft.com/office/drawing/2014/main" id="{00000000-0008-0000-0100-0000A8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290</xdr:row>
      <xdr:rowOff>0</xdr:rowOff>
    </xdr:from>
    <xdr:ext cx="200025" cy="200025"/>
    <xdr:pic>
      <xdr:nvPicPr>
        <xdr:cNvPr id="1193" name="image9.png">
          <a:extLst>
            <a:ext uri="{FF2B5EF4-FFF2-40B4-BE49-F238E27FC236}">
              <a16:creationId xmlns:a16="http://schemas.microsoft.com/office/drawing/2014/main" id="{00000000-0008-0000-0100-0000A9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290</xdr:row>
      <xdr:rowOff>0</xdr:rowOff>
    </xdr:from>
    <xdr:ext cx="200025" cy="200025"/>
    <xdr:pic>
      <xdr:nvPicPr>
        <xdr:cNvPr id="1194" name="image2.png">
          <a:extLst>
            <a:ext uri="{FF2B5EF4-FFF2-40B4-BE49-F238E27FC236}">
              <a16:creationId xmlns:a16="http://schemas.microsoft.com/office/drawing/2014/main" id="{00000000-0008-0000-0100-0000AA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290</xdr:row>
      <xdr:rowOff>0</xdr:rowOff>
    </xdr:from>
    <xdr:ext cx="200025" cy="200025"/>
    <xdr:pic>
      <xdr:nvPicPr>
        <xdr:cNvPr id="1195" name="image3.png">
          <a:extLst>
            <a:ext uri="{FF2B5EF4-FFF2-40B4-BE49-F238E27FC236}">
              <a16:creationId xmlns:a16="http://schemas.microsoft.com/office/drawing/2014/main" id="{00000000-0008-0000-0100-0000AB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290</xdr:row>
      <xdr:rowOff>0</xdr:rowOff>
    </xdr:from>
    <xdr:ext cx="200025" cy="200025"/>
    <xdr:pic>
      <xdr:nvPicPr>
        <xdr:cNvPr id="1196" name="image12.png">
          <a:extLst>
            <a:ext uri="{FF2B5EF4-FFF2-40B4-BE49-F238E27FC236}">
              <a16:creationId xmlns:a16="http://schemas.microsoft.com/office/drawing/2014/main" id="{00000000-0008-0000-0100-0000AC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291</xdr:row>
      <xdr:rowOff>0</xdr:rowOff>
    </xdr:from>
    <xdr:ext cx="200025" cy="200025"/>
    <xdr:pic>
      <xdr:nvPicPr>
        <xdr:cNvPr id="1197" name="image2.png">
          <a:extLst>
            <a:ext uri="{FF2B5EF4-FFF2-40B4-BE49-F238E27FC236}">
              <a16:creationId xmlns:a16="http://schemas.microsoft.com/office/drawing/2014/main" id="{00000000-0008-0000-0100-0000AD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291</xdr:row>
      <xdr:rowOff>0</xdr:rowOff>
    </xdr:from>
    <xdr:ext cx="200025" cy="200025"/>
    <xdr:pic>
      <xdr:nvPicPr>
        <xdr:cNvPr id="1198" name="image4.png">
          <a:extLst>
            <a:ext uri="{FF2B5EF4-FFF2-40B4-BE49-F238E27FC236}">
              <a16:creationId xmlns:a16="http://schemas.microsoft.com/office/drawing/2014/main" id="{00000000-0008-0000-0100-0000AE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291</xdr:row>
      <xdr:rowOff>0</xdr:rowOff>
    </xdr:from>
    <xdr:ext cx="200025" cy="200025"/>
    <xdr:pic>
      <xdr:nvPicPr>
        <xdr:cNvPr id="1199" name="image11.png">
          <a:extLst>
            <a:ext uri="{FF2B5EF4-FFF2-40B4-BE49-F238E27FC236}">
              <a16:creationId xmlns:a16="http://schemas.microsoft.com/office/drawing/2014/main" id="{00000000-0008-0000-0100-0000AF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291</xdr:row>
      <xdr:rowOff>0</xdr:rowOff>
    </xdr:from>
    <xdr:ext cx="200025" cy="200025"/>
    <xdr:pic>
      <xdr:nvPicPr>
        <xdr:cNvPr id="1200" name="image1.png">
          <a:extLst>
            <a:ext uri="{FF2B5EF4-FFF2-40B4-BE49-F238E27FC236}">
              <a16:creationId xmlns:a16="http://schemas.microsoft.com/office/drawing/2014/main" id="{00000000-0008-0000-0100-0000B0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292</xdr:row>
      <xdr:rowOff>0</xdr:rowOff>
    </xdr:from>
    <xdr:ext cx="200025" cy="200025"/>
    <xdr:pic>
      <xdr:nvPicPr>
        <xdr:cNvPr id="1201" name="image10.png">
          <a:extLst>
            <a:ext uri="{FF2B5EF4-FFF2-40B4-BE49-F238E27FC236}">
              <a16:creationId xmlns:a16="http://schemas.microsoft.com/office/drawing/2014/main" id="{00000000-0008-0000-0100-0000B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292</xdr:row>
      <xdr:rowOff>0</xdr:rowOff>
    </xdr:from>
    <xdr:ext cx="200025" cy="200025"/>
    <xdr:pic>
      <xdr:nvPicPr>
        <xdr:cNvPr id="1202" name="image8.png">
          <a:extLst>
            <a:ext uri="{FF2B5EF4-FFF2-40B4-BE49-F238E27FC236}">
              <a16:creationId xmlns:a16="http://schemas.microsoft.com/office/drawing/2014/main" id="{00000000-0008-0000-0100-0000B2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292</xdr:row>
      <xdr:rowOff>0</xdr:rowOff>
    </xdr:from>
    <xdr:ext cx="200025" cy="200025"/>
    <xdr:pic>
      <xdr:nvPicPr>
        <xdr:cNvPr id="1203" name="image5.png">
          <a:extLst>
            <a:ext uri="{FF2B5EF4-FFF2-40B4-BE49-F238E27FC236}">
              <a16:creationId xmlns:a16="http://schemas.microsoft.com/office/drawing/2014/main" id="{00000000-0008-0000-0100-0000B3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292</xdr:row>
      <xdr:rowOff>0</xdr:rowOff>
    </xdr:from>
    <xdr:ext cx="200025" cy="200025"/>
    <xdr:pic>
      <xdr:nvPicPr>
        <xdr:cNvPr id="1204" name="image4.png">
          <a:extLst>
            <a:ext uri="{FF2B5EF4-FFF2-40B4-BE49-F238E27FC236}">
              <a16:creationId xmlns:a16="http://schemas.microsoft.com/office/drawing/2014/main" id="{00000000-0008-0000-0100-0000B4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292</xdr:row>
      <xdr:rowOff>0</xdr:rowOff>
    </xdr:from>
    <xdr:ext cx="200025" cy="200025"/>
    <xdr:pic>
      <xdr:nvPicPr>
        <xdr:cNvPr id="1205" name="image1.png">
          <a:extLst>
            <a:ext uri="{FF2B5EF4-FFF2-40B4-BE49-F238E27FC236}">
              <a16:creationId xmlns:a16="http://schemas.microsoft.com/office/drawing/2014/main" id="{00000000-0008-0000-0100-0000B5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293</xdr:row>
      <xdr:rowOff>0</xdr:rowOff>
    </xdr:from>
    <xdr:ext cx="200025" cy="200025"/>
    <xdr:pic>
      <xdr:nvPicPr>
        <xdr:cNvPr id="1206" name="image10.png">
          <a:extLst>
            <a:ext uri="{FF2B5EF4-FFF2-40B4-BE49-F238E27FC236}">
              <a16:creationId xmlns:a16="http://schemas.microsoft.com/office/drawing/2014/main" id="{00000000-0008-0000-0100-0000B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293</xdr:row>
      <xdr:rowOff>0</xdr:rowOff>
    </xdr:from>
    <xdr:ext cx="200025" cy="200025"/>
    <xdr:pic>
      <xdr:nvPicPr>
        <xdr:cNvPr id="1207" name="image8.png">
          <a:extLst>
            <a:ext uri="{FF2B5EF4-FFF2-40B4-BE49-F238E27FC236}">
              <a16:creationId xmlns:a16="http://schemas.microsoft.com/office/drawing/2014/main" id="{00000000-0008-0000-0100-0000B7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293</xdr:row>
      <xdr:rowOff>0</xdr:rowOff>
    </xdr:from>
    <xdr:ext cx="200025" cy="200025"/>
    <xdr:pic>
      <xdr:nvPicPr>
        <xdr:cNvPr id="1208" name="image5.png">
          <a:extLst>
            <a:ext uri="{FF2B5EF4-FFF2-40B4-BE49-F238E27FC236}">
              <a16:creationId xmlns:a16="http://schemas.microsoft.com/office/drawing/2014/main" id="{00000000-0008-0000-0100-0000B8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293</xdr:row>
      <xdr:rowOff>0</xdr:rowOff>
    </xdr:from>
    <xdr:ext cx="200025" cy="200025"/>
    <xdr:pic>
      <xdr:nvPicPr>
        <xdr:cNvPr id="1209" name="image4.png">
          <a:extLst>
            <a:ext uri="{FF2B5EF4-FFF2-40B4-BE49-F238E27FC236}">
              <a16:creationId xmlns:a16="http://schemas.microsoft.com/office/drawing/2014/main" id="{00000000-0008-0000-0100-0000B9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293</xdr:row>
      <xdr:rowOff>0</xdr:rowOff>
    </xdr:from>
    <xdr:ext cx="200025" cy="200025"/>
    <xdr:pic>
      <xdr:nvPicPr>
        <xdr:cNvPr id="1210" name="image1.png">
          <a:extLst>
            <a:ext uri="{FF2B5EF4-FFF2-40B4-BE49-F238E27FC236}">
              <a16:creationId xmlns:a16="http://schemas.microsoft.com/office/drawing/2014/main" id="{00000000-0008-0000-0100-0000BA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294</xdr:row>
      <xdr:rowOff>0</xdr:rowOff>
    </xdr:from>
    <xdr:ext cx="200025" cy="200025"/>
    <xdr:pic>
      <xdr:nvPicPr>
        <xdr:cNvPr id="1211" name="image10.png">
          <a:extLst>
            <a:ext uri="{FF2B5EF4-FFF2-40B4-BE49-F238E27FC236}">
              <a16:creationId xmlns:a16="http://schemas.microsoft.com/office/drawing/2014/main" id="{00000000-0008-0000-0100-0000BB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294</xdr:row>
      <xdr:rowOff>0</xdr:rowOff>
    </xdr:from>
    <xdr:ext cx="200025" cy="200025"/>
    <xdr:pic>
      <xdr:nvPicPr>
        <xdr:cNvPr id="1212" name="image5.png">
          <a:extLst>
            <a:ext uri="{FF2B5EF4-FFF2-40B4-BE49-F238E27FC236}">
              <a16:creationId xmlns:a16="http://schemas.microsoft.com/office/drawing/2014/main" id="{00000000-0008-0000-0100-0000BC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294</xdr:row>
      <xdr:rowOff>0</xdr:rowOff>
    </xdr:from>
    <xdr:ext cx="200025" cy="200025"/>
    <xdr:pic>
      <xdr:nvPicPr>
        <xdr:cNvPr id="1213" name="image3.png">
          <a:extLst>
            <a:ext uri="{FF2B5EF4-FFF2-40B4-BE49-F238E27FC236}">
              <a16:creationId xmlns:a16="http://schemas.microsoft.com/office/drawing/2014/main" id="{00000000-0008-0000-0100-0000BD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294</xdr:row>
      <xdr:rowOff>0</xdr:rowOff>
    </xdr:from>
    <xdr:ext cx="200025" cy="200025"/>
    <xdr:pic>
      <xdr:nvPicPr>
        <xdr:cNvPr id="1214" name="image1.png">
          <a:extLst>
            <a:ext uri="{FF2B5EF4-FFF2-40B4-BE49-F238E27FC236}">
              <a16:creationId xmlns:a16="http://schemas.microsoft.com/office/drawing/2014/main" id="{00000000-0008-0000-0100-0000BE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295</xdr:row>
      <xdr:rowOff>0</xdr:rowOff>
    </xdr:from>
    <xdr:ext cx="200025" cy="200025"/>
    <xdr:pic>
      <xdr:nvPicPr>
        <xdr:cNvPr id="1215" name="image8.png">
          <a:extLst>
            <a:ext uri="{FF2B5EF4-FFF2-40B4-BE49-F238E27FC236}">
              <a16:creationId xmlns:a16="http://schemas.microsoft.com/office/drawing/2014/main" id="{00000000-0008-0000-0100-0000BF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295</xdr:row>
      <xdr:rowOff>0</xdr:rowOff>
    </xdr:from>
    <xdr:ext cx="200025" cy="200025"/>
    <xdr:pic>
      <xdr:nvPicPr>
        <xdr:cNvPr id="1216" name="image6.png">
          <a:extLst>
            <a:ext uri="{FF2B5EF4-FFF2-40B4-BE49-F238E27FC236}">
              <a16:creationId xmlns:a16="http://schemas.microsoft.com/office/drawing/2014/main" id="{00000000-0008-0000-0100-0000C0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295</xdr:row>
      <xdr:rowOff>0</xdr:rowOff>
    </xdr:from>
    <xdr:ext cx="200025" cy="200025"/>
    <xdr:pic>
      <xdr:nvPicPr>
        <xdr:cNvPr id="1217" name="image5.png">
          <a:extLst>
            <a:ext uri="{FF2B5EF4-FFF2-40B4-BE49-F238E27FC236}">
              <a16:creationId xmlns:a16="http://schemas.microsoft.com/office/drawing/2014/main" id="{00000000-0008-0000-0100-0000C1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295</xdr:row>
      <xdr:rowOff>0</xdr:rowOff>
    </xdr:from>
    <xdr:ext cx="200025" cy="200025"/>
    <xdr:pic>
      <xdr:nvPicPr>
        <xdr:cNvPr id="1218" name="image4.png">
          <a:extLst>
            <a:ext uri="{FF2B5EF4-FFF2-40B4-BE49-F238E27FC236}">
              <a16:creationId xmlns:a16="http://schemas.microsoft.com/office/drawing/2014/main" id="{00000000-0008-0000-0100-0000C2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295</xdr:row>
      <xdr:rowOff>0</xdr:rowOff>
    </xdr:from>
    <xdr:ext cx="200025" cy="200025"/>
    <xdr:pic>
      <xdr:nvPicPr>
        <xdr:cNvPr id="1219" name="image1.png">
          <a:extLst>
            <a:ext uri="{FF2B5EF4-FFF2-40B4-BE49-F238E27FC236}">
              <a16:creationId xmlns:a16="http://schemas.microsoft.com/office/drawing/2014/main" id="{00000000-0008-0000-0100-0000C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296</xdr:row>
      <xdr:rowOff>0</xdr:rowOff>
    </xdr:from>
    <xdr:ext cx="200025" cy="200025"/>
    <xdr:pic>
      <xdr:nvPicPr>
        <xdr:cNvPr id="1220" name="image8.png">
          <a:extLst>
            <a:ext uri="{FF2B5EF4-FFF2-40B4-BE49-F238E27FC236}">
              <a16:creationId xmlns:a16="http://schemas.microsoft.com/office/drawing/2014/main" id="{00000000-0008-0000-0100-0000C4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296</xdr:row>
      <xdr:rowOff>0</xdr:rowOff>
    </xdr:from>
    <xdr:ext cx="200025" cy="200025"/>
    <xdr:pic>
      <xdr:nvPicPr>
        <xdr:cNvPr id="1221" name="image6.png">
          <a:extLst>
            <a:ext uri="{FF2B5EF4-FFF2-40B4-BE49-F238E27FC236}">
              <a16:creationId xmlns:a16="http://schemas.microsoft.com/office/drawing/2014/main" id="{00000000-0008-0000-0100-0000C5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296</xdr:row>
      <xdr:rowOff>0</xdr:rowOff>
    </xdr:from>
    <xdr:ext cx="200025" cy="200025"/>
    <xdr:pic>
      <xdr:nvPicPr>
        <xdr:cNvPr id="1222" name="image5.png">
          <a:extLst>
            <a:ext uri="{FF2B5EF4-FFF2-40B4-BE49-F238E27FC236}">
              <a16:creationId xmlns:a16="http://schemas.microsoft.com/office/drawing/2014/main" id="{00000000-0008-0000-0100-0000C6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296</xdr:row>
      <xdr:rowOff>0</xdr:rowOff>
    </xdr:from>
    <xdr:ext cx="200025" cy="200025"/>
    <xdr:pic>
      <xdr:nvPicPr>
        <xdr:cNvPr id="1223" name="image4.png">
          <a:extLst>
            <a:ext uri="{FF2B5EF4-FFF2-40B4-BE49-F238E27FC236}">
              <a16:creationId xmlns:a16="http://schemas.microsoft.com/office/drawing/2014/main" id="{00000000-0008-0000-0100-0000C7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296</xdr:row>
      <xdr:rowOff>0</xdr:rowOff>
    </xdr:from>
    <xdr:ext cx="200025" cy="200025"/>
    <xdr:pic>
      <xdr:nvPicPr>
        <xdr:cNvPr id="1224" name="image1.png">
          <a:extLst>
            <a:ext uri="{FF2B5EF4-FFF2-40B4-BE49-F238E27FC236}">
              <a16:creationId xmlns:a16="http://schemas.microsoft.com/office/drawing/2014/main" id="{00000000-0008-0000-0100-0000C8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297</xdr:row>
      <xdr:rowOff>0</xdr:rowOff>
    </xdr:from>
    <xdr:ext cx="200025" cy="200025"/>
    <xdr:pic>
      <xdr:nvPicPr>
        <xdr:cNvPr id="1225" name="image10.png">
          <a:extLst>
            <a:ext uri="{FF2B5EF4-FFF2-40B4-BE49-F238E27FC236}">
              <a16:creationId xmlns:a16="http://schemas.microsoft.com/office/drawing/2014/main" id="{00000000-0008-0000-0100-0000C9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297</xdr:row>
      <xdr:rowOff>0</xdr:rowOff>
    </xdr:from>
    <xdr:ext cx="200025" cy="200025"/>
    <xdr:pic>
      <xdr:nvPicPr>
        <xdr:cNvPr id="1226" name="image5.png">
          <a:extLst>
            <a:ext uri="{FF2B5EF4-FFF2-40B4-BE49-F238E27FC236}">
              <a16:creationId xmlns:a16="http://schemas.microsoft.com/office/drawing/2014/main" id="{00000000-0008-0000-0100-0000CA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297</xdr:row>
      <xdr:rowOff>0</xdr:rowOff>
    </xdr:from>
    <xdr:ext cx="200025" cy="200025"/>
    <xdr:pic>
      <xdr:nvPicPr>
        <xdr:cNvPr id="1227" name="image3.png">
          <a:extLst>
            <a:ext uri="{FF2B5EF4-FFF2-40B4-BE49-F238E27FC236}">
              <a16:creationId xmlns:a16="http://schemas.microsoft.com/office/drawing/2014/main" id="{00000000-0008-0000-0100-0000CB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297</xdr:row>
      <xdr:rowOff>0</xdr:rowOff>
    </xdr:from>
    <xdr:ext cx="200025" cy="200025"/>
    <xdr:pic>
      <xdr:nvPicPr>
        <xdr:cNvPr id="1228" name="image1.png">
          <a:extLst>
            <a:ext uri="{FF2B5EF4-FFF2-40B4-BE49-F238E27FC236}">
              <a16:creationId xmlns:a16="http://schemas.microsoft.com/office/drawing/2014/main" id="{00000000-0008-0000-0100-0000CC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298</xdr:row>
      <xdr:rowOff>0</xdr:rowOff>
    </xdr:from>
    <xdr:ext cx="200025" cy="200025"/>
    <xdr:pic>
      <xdr:nvPicPr>
        <xdr:cNvPr id="1229" name="image8.png">
          <a:extLst>
            <a:ext uri="{FF2B5EF4-FFF2-40B4-BE49-F238E27FC236}">
              <a16:creationId xmlns:a16="http://schemas.microsoft.com/office/drawing/2014/main" id="{00000000-0008-0000-0100-0000CD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298</xdr:row>
      <xdr:rowOff>0</xdr:rowOff>
    </xdr:from>
    <xdr:ext cx="200025" cy="200025"/>
    <xdr:pic>
      <xdr:nvPicPr>
        <xdr:cNvPr id="1230" name="image2.png">
          <a:extLst>
            <a:ext uri="{FF2B5EF4-FFF2-40B4-BE49-F238E27FC236}">
              <a16:creationId xmlns:a16="http://schemas.microsoft.com/office/drawing/2014/main" id="{00000000-0008-0000-0100-0000CE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298</xdr:row>
      <xdr:rowOff>0</xdr:rowOff>
    </xdr:from>
    <xdr:ext cx="200025" cy="200025"/>
    <xdr:pic>
      <xdr:nvPicPr>
        <xdr:cNvPr id="1231" name="image1.png">
          <a:extLst>
            <a:ext uri="{FF2B5EF4-FFF2-40B4-BE49-F238E27FC236}">
              <a16:creationId xmlns:a16="http://schemas.microsoft.com/office/drawing/2014/main" id="{00000000-0008-0000-0100-0000C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298</xdr:row>
      <xdr:rowOff>0</xdr:rowOff>
    </xdr:from>
    <xdr:ext cx="200025" cy="200025"/>
    <xdr:pic>
      <xdr:nvPicPr>
        <xdr:cNvPr id="1232" name="image4.png">
          <a:extLst>
            <a:ext uri="{FF2B5EF4-FFF2-40B4-BE49-F238E27FC236}">
              <a16:creationId xmlns:a16="http://schemas.microsoft.com/office/drawing/2014/main" id="{00000000-0008-0000-0100-0000D0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298</xdr:row>
      <xdr:rowOff>0</xdr:rowOff>
    </xdr:from>
    <xdr:ext cx="200025" cy="200025"/>
    <xdr:pic>
      <xdr:nvPicPr>
        <xdr:cNvPr id="1233" name="image10.png">
          <a:extLst>
            <a:ext uri="{FF2B5EF4-FFF2-40B4-BE49-F238E27FC236}">
              <a16:creationId xmlns:a16="http://schemas.microsoft.com/office/drawing/2014/main" id="{00000000-0008-0000-0100-0000D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299</xdr:row>
      <xdr:rowOff>0</xdr:rowOff>
    </xdr:from>
    <xdr:ext cx="200025" cy="200025"/>
    <xdr:pic>
      <xdr:nvPicPr>
        <xdr:cNvPr id="1234" name="image8.png">
          <a:extLst>
            <a:ext uri="{FF2B5EF4-FFF2-40B4-BE49-F238E27FC236}">
              <a16:creationId xmlns:a16="http://schemas.microsoft.com/office/drawing/2014/main" id="{00000000-0008-0000-0100-0000D2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299</xdr:row>
      <xdr:rowOff>0</xdr:rowOff>
    </xdr:from>
    <xdr:ext cx="200025" cy="200025"/>
    <xdr:pic>
      <xdr:nvPicPr>
        <xdr:cNvPr id="1235" name="image2.png">
          <a:extLst>
            <a:ext uri="{FF2B5EF4-FFF2-40B4-BE49-F238E27FC236}">
              <a16:creationId xmlns:a16="http://schemas.microsoft.com/office/drawing/2014/main" id="{00000000-0008-0000-0100-0000D3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299</xdr:row>
      <xdr:rowOff>0</xdr:rowOff>
    </xdr:from>
    <xdr:ext cx="200025" cy="200025"/>
    <xdr:pic>
      <xdr:nvPicPr>
        <xdr:cNvPr id="1236" name="image1.png">
          <a:extLst>
            <a:ext uri="{FF2B5EF4-FFF2-40B4-BE49-F238E27FC236}">
              <a16:creationId xmlns:a16="http://schemas.microsoft.com/office/drawing/2014/main" id="{00000000-0008-0000-0100-0000D4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299</xdr:row>
      <xdr:rowOff>0</xdr:rowOff>
    </xdr:from>
    <xdr:ext cx="200025" cy="200025"/>
    <xdr:pic>
      <xdr:nvPicPr>
        <xdr:cNvPr id="1237" name="image4.png">
          <a:extLst>
            <a:ext uri="{FF2B5EF4-FFF2-40B4-BE49-F238E27FC236}">
              <a16:creationId xmlns:a16="http://schemas.microsoft.com/office/drawing/2014/main" id="{00000000-0008-0000-0100-0000D5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299</xdr:row>
      <xdr:rowOff>0</xdr:rowOff>
    </xdr:from>
    <xdr:ext cx="200025" cy="200025"/>
    <xdr:pic>
      <xdr:nvPicPr>
        <xdr:cNvPr id="1238" name="image10.png">
          <a:extLst>
            <a:ext uri="{FF2B5EF4-FFF2-40B4-BE49-F238E27FC236}">
              <a16:creationId xmlns:a16="http://schemas.microsoft.com/office/drawing/2014/main" id="{00000000-0008-0000-0100-0000D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300</xdr:row>
      <xdr:rowOff>0</xdr:rowOff>
    </xdr:from>
    <xdr:ext cx="200025" cy="200025"/>
    <xdr:pic>
      <xdr:nvPicPr>
        <xdr:cNvPr id="1239" name="image8.png">
          <a:extLst>
            <a:ext uri="{FF2B5EF4-FFF2-40B4-BE49-F238E27FC236}">
              <a16:creationId xmlns:a16="http://schemas.microsoft.com/office/drawing/2014/main" id="{00000000-0008-0000-0100-0000D7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300</xdr:row>
      <xdr:rowOff>0</xdr:rowOff>
    </xdr:from>
    <xdr:ext cx="200025" cy="200025"/>
    <xdr:pic>
      <xdr:nvPicPr>
        <xdr:cNvPr id="1240" name="image5.png">
          <a:extLst>
            <a:ext uri="{FF2B5EF4-FFF2-40B4-BE49-F238E27FC236}">
              <a16:creationId xmlns:a16="http://schemas.microsoft.com/office/drawing/2014/main" id="{00000000-0008-0000-0100-0000D8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300</xdr:row>
      <xdr:rowOff>0</xdr:rowOff>
    </xdr:from>
    <xdr:ext cx="200025" cy="200025"/>
    <xdr:pic>
      <xdr:nvPicPr>
        <xdr:cNvPr id="1241" name="image4.png">
          <a:extLst>
            <a:ext uri="{FF2B5EF4-FFF2-40B4-BE49-F238E27FC236}">
              <a16:creationId xmlns:a16="http://schemas.microsoft.com/office/drawing/2014/main" id="{00000000-0008-0000-0100-0000D9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300</xdr:row>
      <xdr:rowOff>0</xdr:rowOff>
    </xdr:from>
    <xdr:ext cx="200025" cy="200025"/>
    <xdr:pic>
      <xdr:nvPicPr>
        <xdr:cNvPr id="1242" name="image10.png">
          <a:extLst>
            <a:ext uri="{FF2B5EF4-FFF2-40B4-BE49-F238E27FC236}">
              <a16:creationId xmlns:a16="http://schemas.microsoft.com/office/drawing/2014/main" id="{00000000-0008-0000-0100-0000D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301</xdr:row>
      <xdr:rowOff>0</xdr:rowOff>
    </xdr:from>
    <xdr:ext cx="200025" cy="200025"/>
    <xdr:pic>
      <xdr:nvPicPr>
        <xdr:cNvPr id="1243" name="image8.png">
          <a:extLst>
            <a:ext uri="{FF2B5EF4-FFF2-40B4-BE49-F238E27FC236}">
              <a16:creationId xmlns:a16="http://schemas.microsoft.com/office/drawing/2014/main" id="{00000000-0008-0000-0100-0000DB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301</xdr:row>
      <xdr:rowOff>0</xdr:rowOff>
    </xdr:from>
    <xdr:ext cx="200025" cy="200025"/>
    <xdr:pic>
      <xdr:nvPicPr>
        <xdr:cNvPr id="1244" name="image12.png">
          <a:extLst>
            <a:ext uri="{FF2B5EF4-FFF2-40B4-BE49-F238E27FC236}">
              <a16:creationId xmlns:a16="http://schemas.microsoft.com/office/drawing/2014/main" id="{00000000-0008-0000-0100-0000DC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301</xdr:row>
      <xdr:rowOff>0</xdr:rowOff>
    </xdr:from>
    <xdr:ext cx="200025" cy="200025"/>
    <xdr:pic>
      <xdr:nvPicPr>
        <xdr:cNvPr id="1245" name="image3.png">
          <a:extLst>
            <a:ext uri="{FF2B5EF4-FFF2-40B4-BE49-F238E27FC236}">
              <a16:creationId xmlns:a16="http://schemas.microsoft.com/office/drawing/2014/main" id="{00000000-0008-0000-0100-0000DD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302</xdr:row>
      <xdr:rowOff>0</xdr:rowOff>
    </xdr:from>
    <xdr:ext cx="200025" cy="200025"/>
    <xdr:pic>
      <xdr:nvPicPr>
        <xdr:cNvPr id="1246" name="image5.png">
          <a:extLst>
            <a:ext uri="{FF2B5EF4-FFF2-40B4-BE49-F238E27FC236}">
              <a16:creationId xmlns:a16="http://schemas.microsoft.com/office/drawing/2014/main" id="{00000000-0008-0000-0100-0000DE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302</xdr:row>
      <xdr:rowOff>0</xdr:rowOff>
    </xdr:from>
    <xdr:ext cx="200025" cy="200025"/>
    <xdr:pic>
      <xdr:nvPicPr>
        <xdr:cNvPr id="1247" name="image3.png">
          <a:extLst>
            <a:ext uri="{FF2B5EF4-FFF2-40B4-BE49-F238E27FC236}">
              <a16:creationId xmlns:a16="http://schemas.microsoft.com/office/drawing/2014/main" id="{00000000-0008-0000-0100-0000DF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0</xdr:colOff>
      <xdr:row>302</xdr:row>
      <xdr:rowOff>0</xdr:rowOff>
    </xdr:from>
    <xdr:ext cx="200025" cy="200025"/>
    <xdr:pic>
      <xdr:nvPicPr>
        <xdr:cNvPr id="1248" name="image11.png">
          <a:extLst>
            <a:ext uri="{FF2B5EF4-FFF2-40B4-BE49-F238E27FC236}">
              <a16:creationId xmlns:a16="http://schemas.microsoft.com/office/drawing/2014/main" id="{00000000-0008-0000-0100-0000E0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303</xdr:row>
      <xdr:rowOff>0</xdr:rowOff>
    </xdr:from>
    <xdr:ext cx="200025" cy="200025"/>
    <xdr:pic>
      <xdr:nvPicPr>
        <xdr:cNvPr id="1249" name="image8.png">
          <a:extLst>
            <a:ext uri="{FF2B5EF4-FFF2-40B4-BE49-F238E27FC236}">
              <a16:creationId xmlns:a16="http://schemas.microsoft.com/office/drawing/2014/main" id="{00000000-0008-0000-0100-0000E1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303</xdr:row>
      <xdr:rowOff>0</xdr:rowOff>
    </xdr:from>
    <xdr:ext cx="200025" cy="200025"/>
    <xdr:pic>
      <xdr:nvPicPr>
        <xdr:cNvPr id="1250" name="image5.png">
          <a:extLst>
            <a:ext uri="{FF2B5EF4-FFF2-40B4-BE49-F238E27FC236}">
              <a16:creationId xmlns:a16="http://schemas.microsoft.com/office/drawing/2014/main" id="{00000000-0008-0000-0100-0000E2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303</xdr:row>
      <xdr:rowOff>0</xdr:rowOff>
    </xdr:from>
    <xdr:ext cx="200025" cy="200025"/>
    <xdr:pic>
      <xdr:nvPicPr>
        <xdr:cNvPr id="1251" name="image9.png">
          <a:extLst>
            <a:ext uri="{FF2B5EF4-FFF2-40B4-BE49-F238E27FC236}">
              <a16:creationId xmlns:a16="http://schemas.microsoft.com/office/drawing/2014/main" id="{00000000-0008-0000-0100-0000E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304</xdr:row>
      <xdr:rowOff>0</xdr:rowOff>
    </xdr:from>
    <xdr:ext cx="200025" cy="200025"/>
    <xdr:pic>
      <xdr:nvPicPr>
        <xdr:cNvPr id="1252" name="image10.png">
          <a:extLst>
            <a:ext uri="{FF2B5EF4-FFF2-40B4-BE49-F238E27FC236}">
              <a16:creationId xmlns:a16="http://schemas.microsoft.com/office/drawing/2014/main" id="{00000000-0008-0000-0100-0000E4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304</xdr:row>
      <xdr:rowOff>0</xdr:rowOff>
    </xdr:from>
    <xdr:ext cx="200025" cy="200025"/>
    <xdr:pic>
      <xdr:nvPicPr>
        <xdr:cNvPr id="1253" name="image8.png">
          <a:extLst>
            <a:ext uri="{FF2B5EF4-FFF2-40B4-BE49-F238E27FC236}">
              <a16:creationId xmlns:a16="http://schemas.microsoft.com/office/drawing/2014/main" id="{00000000-0008-0000-0100-0000E5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304</xdr:row>
      <xdr:rowOff>0</xdr:rowOff>
    </xdr:from>
    <xdr:ext cx="200025" cy="200025"/>
    <xdr:pic>
      <xdr:nvPicPr>
        <xdr:cNvPr id="1254" name="image2.png">
          <a:extLst>
            <a:ext uri="{FF2B5EF4-FFF2-40B4-BE49-F238E27FC236}">
              <a16:creationId xmlns:a16="http://schemas.microsoft.com/office/drawing/2014/main" id="{00000000-0008-0000-0100-0000E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304</xdr:row>
      <xdr:rowOff>0</xdr:rowOff>
    </xdr:from>
    <xdr:ext cx="200025" cy="200025"/>
    <xdr:pic>
      <xdr:nvPicPr>
        <xdr:cNvPr id="1255" name="image1.png">
          <a:extLst>
            <a:ext uri="{FF2B5EF4-FFF2-40B4-BE49-F238E27FC236}">
              <a16:creationId xmlns:a16="http://schemas.microsoft.com/office/drawing/2014/main" id="{00000000-0008-0000-0100-0000E7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8</xdr:col>
      <xdr:colOff>0</xdr:colOff>
      <xdr:row>304</xdr:row>
      <xdr:rowOff>0</xdr:rowOff>
    </xdr:from>
    <xdr:ext cx="200025" cy="200025"/>
    <xdr:pic>
      <xdr:nvPicPr>
        <xdr:cNvPr id="1256" name="image6.png">
          <a:extLst>
            <a:ext uri="{FF2B5EF4-FFF2-40B4-BE49-F238E27FC236}">
              <a16:creationId xmlns:a16="http://schemas.microsoft.com/office/drawing/2014/main" id="{00000000-0008-0000-0100-0000E8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304</xdr:row>
      <xdr:rowOff>0</xdr:rowOff>
    </xdr:from>
    <xdr:ext cx="200025" cy="200025"/>
    <xdr:pic>
      <xdr:nvPicPr>
        <xdr:cNvPr id="1257" name="image2.png">
          <a:extLst>
            <a:ext uri="{FF2B5EF4-FFF2-40B4-BE49-F238E27FC236}">
              <a16:creationId xmlns:a16="http://schemas.microsoft.com/office/drawing/2014/main" id="{00000000-0008-0000-0100-0000E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305</xdr:row>
      <xdr:rowOff>0</xdr:rowOff>
    </xdr:from>
    <xdr:ext cx="200025" cy="200025"/>
    <xdr:pic>
      <xdr:nvPicPr>
        <xdr:cNvPr id="1258" name="image10.png">
          <a:extLst>
            <a:ext uri="{FF2B5EF4-FFF2-40B4-BE49-F238E27FC236}">
              <a16:creationId xmlns:a16="http://schemas.microsoft.com/office/drawing/2014/main" id="{00000000-0008-0000-0100-0000E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305</xdr:row>
      <xdr:rowOff>0</xdr:rowOff>
    </xdr:from>
    <xdr:ext cx="200025" cy="200025"/>
    <xdr:pic>
      <xdr:nvPicPr>
        <xdr:cNvPr id="1259" name="image8.png">
          <a:extLst>
            <a:ext uri="{FF2B5EF4-FFF2-40B4-BE49-F238E27FC236}">
              <a16:creationId xmlns:a16="http://schemas.microsoft.com/office/drawing/2014/main" id="{00000000-0008-0000-0100-0000EB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305</xdr:row>
      <xdr:rowOff>0</xdr:rowOff>
    </xdr:from>
    <xdr:ext cx="200025" cy="200025"/>
    <xdr:pic>
      <xdr:nvPicPr>
        <xdr:cNvPr id="1260" name="image2.png">
          <a:extLst>
            <a:ext uri="{FF2B5EF4-FFF2-40B4-BE49-F238E27FC236}">
              <a16:creationId xmlns:a16="http://schemas.microsoft.com/office/drawing/2014/main" id="{00000000-0008-0000-0100-0000E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305</xdr:row>
      <xdr:rowOff>0</xdr:rowOff>
    </xdr:from>
    <xdr:ext cx="200025" cy="200025"/>
    <xdr:pic>
      <xdr:nvPicPr>
        <xdr:cNvPr id="1261" name="image1.png">
          <a:extLst>
            <a:ext uri="{FF2B5EF4-FFF2-40B4-BE49-F238E27FC236}">
              <a16:creationId xmlns:a16="http://schemas.microsoft.com/office/drawing/2014/main" id="{00000000-0008-0000-0100-0000E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8</xdr:col>
      <xdr:colOff>0</xdr:colOff>
      <xdr:row>305</xdr:row>
      <xdr:rowOff>0</xdr:rowOff>
    </xdr:from>
    <xdr:ext cx="200025" cy="200025"/>
    <xdr:pic>
      <xdr:nvPicPr>
        <xdr:cNvPr id="1262" name="image6.png">
          <a:extLst>
            <a:ext uri="{FF2B5EF4-FFF2-40B4-BE49-F238E27FC236}">
              <a16:creationId xmlns:a16="http://schemas.microsoft.com/office/drawing/2014/main" id="{00000000-0008-0000-0100-0000EE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305</xdr:row>
      <xdr:rowOff>0</xdr:rowOff>
    </xdr:from>
    <xdr:ext cx="200025" cy="200025"/>
    <xdr:pic>
      <xdr:nvPicPr>
        <xdr:cNvPr id="1263" name="image2.png">
          <a:extLst>
            <a:ext uri="{FF2B5EF4-FFF2-40B4-BE49-F238E27FC236}">
              <a16:creationId xmlns:a16="http://schemas.microsoft.com/office/drawing/2014/main" id="{00000000-0008-0000-0100-0000EF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306</xdr:row>
      <xdr:rowOff>0</xdr:rowOff>
    </xdr:from>
    <xdr:ext cx="200025" cy="200025"/>
    <xdr:pic>
      <xdr:nvPicPr>
        <xdr:cNvPr id="1264" name="image10.png">
          <a:extLst>
            <a:ext uri="{FF2B5EF4-FFF2-40B4-BE49-F238E27FC236}">
              <a16:creationId xmlns:a16="http://schemas.microsoft.com/office/drawing/2014/main" id="{00000000-0008-0000-0100-0000F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306</xdr:row>
      <xdr:rowOff>0</xdr:rowOff>
    </xdr:from>
    <xdr:ext cx="200025" cy="200025"/>
    <xdr:pic>
      <xdr:nvPicPr>
        <xdr:cNvPr id="1265" name="image8.png">
          <a:extLst>
            <a:ext uri="{FF2B5EF4-FFF2-40B4-BE49-F238E27FC236}">
              <a16:creationId xmlns:a16="http://schemas.microsoft.com/office/drawing/2014/main" id="{00000000-0008-0000-0100-0000F1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306</xdr:row>
      <xdr:rowOff>0</xdr:rowOff>
    </xdr:from>
    <xdr:ext cx="200025" cy="200025"/>
    <xdr:pic>
      <xdr:nvPicPr>
        <xdr:cNvPr id="1266" name="image1.png">
          <a:extLst>
            <a:ext uri="{FF2B5EF4-FFF2-40B4-BE49-F238E27FC236}">
              <a16:creationId xmlns:a16="http://schemas.microsoft.com/office/drawing/2014/main" id="{00000000-0008-0000-0100-0000F2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306</xdr:row>
      <xdr:rowOff>0</xdr:rowOff>
    </xdr:from>
    <xdr:ext cx="200025" cy="200025"/>
    <xdr:pic>
      <xdr:nvPicPr>
        <xdr:cNvPr id="1267" name="image12.png">
          <a:extLst>
            <a:ext uri="{FF2B5EF4-FFF2-40B4-BE49-F238E27FC236}">
              <a16:creationId xmlns:a16="http://schemas.microsoft.com/office/drawing/2014/main" id="{00000000-0008-0000-0100-0000F3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306</xdr:row>
      <xdr:rowOff>0</xdr:rowOff>
    </xdr:from>
    <xdr:ext cx="200025" cy="200025"/>
    <xdr:pic>
      <xdr:nvPicPr>
        <xdr:cNvPr id="1268" name="image11.png">
          <a:extLst>
            <a:ext uri="{FF2B5EF4-FFF2-40B4-BE49-F238E27FC236}">
              <a16:creationId xmlns:a16="http://schemas.microsoft.com/office/drawing/2014/main" id="{00000000-0008-0000-0100-0000F4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307</xdr:row>
      <xdr:rowOff>0</xdr:rowOff>
    </xdr:from>
    <xdr:ext cx="200025" cy="200025"/>
    <xdr:pic>
      <xdr:nvPicPr>
        <xdr:cNvPr id="1269" name="image8.png">
          <a:extLst>
            <a:ext uri="{FF2B5EF4-FFF2-40B4-BE49-F238E27FC236}">
              <a16:creationId xmlns:a16="http://schemas.microsoft.com/office/drawing/2014/main" id="{00000000-0008-0000-0100-0000F5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307</xdr:row>
      <xdr:rowOff>0</xdr:rowOff>
    </xdr:from>
    <xdr:ext cx="200025" cy="200025"/>
    <xdr:pic>
      <xdr:nvPicPr>
        <xdr:cNvPr id="1270" name="image9.png">
          <a:extLst>
            <a:ext uri="{FF2B5EF4-FFF2-40B4-BE49-F238E27FC236}">
              <a16:creationId xmlns:a16="http://schemas.microsoft.com/office/drawing/2014/main" id="{00000000-0008-0000-0100-0000F6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307</xdr:row>
      <xdr:rowOff>0</xdr:rowOff>
    </xdr:from>
    <xdr:ext cx="200025" cy="200025"/>
    <xdr:pic>
      <xdr:nvPicPr>
        <xdr:cNvPr id="1271" name="image1.png">
          <a:extLst>
            <a:ext uri="{FF2B5EF4-FFF2-40B4-BE49-F238E27FC236}">
              <a16:creationId xmlns:a16="http://schemas.microsoft.com/office/drawing/2014/main" id="{00000000-0008-0000-0100-0000F7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307</xdr:row>
      <xdr:rowOff>0</xdr:rowOff>
    </xdr:from>
    <xdr:ext cx="200025" cy="200025"/>
    <xdr:pic>
      <xdr:nvPicPr>
        <xdr:cNvPr id="1272" name="image3.png">
          <a:extLst>
            <a:ext uri="{FF2B5EF4-FFF2-40B4-BE49-F238E27FC236}">
              <a16:creationId xmlns:a16="http://schemas.microsoft.com/office/drawing/2014/main" id="{00000000-0008-0000-0100-0000F8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307</xdr:row>
      <xdr:rowOff>0</xdr:rowOff>
    </xdr:from>
    <xdr:ext cx="200025" cy="200025"/>
    <xdr:pic>
      <xdr:nvPicPr>
        <xdr:cNvPr id="1273" name="image11.png">
          <a:extLst>
            <a:ext uri="{FF2B5EF4-FFF2-40B4-BE49-F238E27FC236}">
              <a16:creationId xmlns:a16="http://schemas.microsoft.com/office/drawing/2014/main" id="{00000000-0008-0000-0100-0000F9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308</xdr:row>
      <xdr:rowOff>0</xdr:rowOff>
    </xdr:from>
    <xdr:ext cx="200025" cy="200025"/>
    <xdr:pic>
      <xdr:nvPicPr>
        <xdr:cNvPr id="1274" name="image10.png">
          <a:extLst>
            <a:ext uri="{FF2B5EF4-FFF2-40B4-BE49-F238E27FC236}">
              <a16:creationId xmlns:a16="http://schemas.microsoft.com/office/drawing/2014/main" id="{00000000-0008-0000-0100-0000F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308</xdr:row>
      <xdr:rowOff>0</xdr:rowOff>
    </xdr:from>
    <xdr:ext cx="200025" cy="200025"/>
    <xdr:pic>
      <xdr:nvPicPr>
        <xdr:cNvPr id="1275" name="image8.png">
          <a:extLst>
            <a:ext uri="{FF2B5EF4-FFF2-40B4-BE49-F238E27FC236}">
              <a16:creationId xmlns:a16="http://schemas.microsoft.com/office/drawing/2014/main" id="{00000000-0008-0000-0100-0000FB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308</xdr:row>
      <xdr:rowOff>0</xdr:rowOff>
    </xdr:from>
    <xdr:ext cx="200025" cy="200025"/>
    <xdr:pic>
      <xdr:nvPicPr>
        <xdr:cNvPr id="1276" name="image2.png">
          <a:extLst>
            <a:ext uri="{FF2B5EF4-FFF2-40B4-BE49-F238E27FC236}">
              <a16:creationId xmlns:a16="http://schemas.microsoft.com/office/drawing/2014/main" id="{00000000-0008-0000-0100-0000F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308</xdr:row>
      <xdr:rowOff>0</xdr:rowOff>
    </xdr:from>
    <xdr:ext cx="200025" cy="200025"/>
    <xdr:pic>
      <xdr:nvPicPr>
        <xdr:cNvPr id="1277" name="image7.png">
          <a:extLst>
            <a:ext uri="{FF2B5EF4-FFF2-40B4-BE49-F238E27FC236}">
              <a16:creationId xmlns:a16="http://schemas.microsoft.com/office/drawing/2014/main" id="{00000000-0008-0000-0100-0000FD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308</xdr:row>
      <xdr:rowOff>0</xdr:rowOff>
    </xdr:from>
    <xdr:ext cx="200025" cy="200025"/>
    <xdr:pic>
      <xdr:nvPicPr>
        <xdr:cNvPr id="1278" name="image11.png">
          <a:extLst>
            <a:ext uri="{FF2B5EF4-FFF2-40B4-BE49-F238E27FC236}">
              <a16:creationId xmlns:a16="http://schemas.microsoft.com/office/drawing/2014/main" id="{00000000-0008-0000-0100-0000FE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309</xdr:row>
      <xdr:rowOff>0</xdr:rowOff>
    </xdr:from>
    <xdr:ext cx="200025" cy="200025"/>
    <xdr:pic>
      <xdr:nvPicPr>
        <xdr:cNvPr id="1279" name="image10.png">
          <a:extLst>
            <a:ext uri="{FF2B5EF4-FFF2-40B4-BE49-F238E27FC236}">
              <a16:creationId xmlns:a16="http://schemas.microsoft.com/office/drawing/2014/main" id="{00000000-0008-0000-0100-0000FF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309</xdr:row>
      <xdr:rowOff>0</xdr:rowOff>
    </xdr:from>
    <xdr:ext cx="200025" cy="200025"/>
    <xdr:pic>
      <xdr:nvPicPr>
        <xdr:cNvPr id="1280" name="image1.png">
          <a:extLst>
            <a:ext uri="{FF2B5EF4-FFF2-40B4-BE49-F238E27FC236}">
              <a16:creationId xmlns:a16="http://schemas.microsoft.com/office/drawing/2014/main" id="{00000000-0008-0000-0100-000000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309</xdr:row>
      <xdr:rowOff>0</xdr:rowOff>
    </xdr:from>
    <xdr:ext cx="200025" cy="200025"/>
    <xdr:pic>
      <xdr:nvPicPr>
        <xdr:cNvPr id="1281" name="image6.png">
          <a:extLst>
            <a:ext uri="{FF2B5EF4-FFF2-40B4-BE49-F238E27FC236}">
              <a16:creationId xmlns:a16="http://schemas.microsoft.com/office/drawing/2014/main" id="{00000000-0008-0000-0100-000001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309</xdr:row>
      <xdr:rowOff>0</xdr:rowOff>
    </xdr:from>
    <xdr:ext cx="200025" cy="200025"/>
    <xdr:pic>
      <xdr:nvPicPr>
        <xdr:cNvPr id="1282" name="image7.png">
          <a:extLst>
            <a:ext uri="{FF2B5EF4-FFF2-40B4-BE49-F238E27FC236}">
              <a16:creationId xmlns:a16="http://schemas.microsoft.com/office/drawing/2014/main" id="{00000000-0008-0000-0100-000002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309</xdr:row>
      <xdr:rowOff>0</xdr:rowOff>
    </xdr:from>
    <xdr:ext cx="200025" cy="200025"/>
    <xdr:pic>
      <xdr:nvPicPr>
        <xdr:cNvPr id="1283" name="image11.png">
          <a:extLst>
            <a:ext uri="{FF2B5EF4-FFF2-40B4-BE49-F238E27FC236}">
              <a16:creationId xmlns:a16="http://schemas.microsoft.com/office/drawing/2014/main" id="{00000000-0008-0000-0100-000003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310</xdr:row>
      <xdr:rowOff>0</xdr:rowOff>
    </xdr:from>
    <xdr:ext cx="200025" cy="200025"/>
    <xdr:pic>
      <xdr:nvPicPr>
        <xdr:cNvPr id="1284" name="image5.png">
          <a:extLst>
            <a:ext uri="{FF2B5EF4-FFF2-40B4-BE49-F238E27FC236}">
              <a16:creationId xmlns:a16="http://schemas.microsoft.com/office/drawing/2014/main" id="{00000000-0008-0000-0100-000004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310</xdr:row>
      <xdr:rowOff>0</xdr:rowOff>
    </xdr:from>
    <xdr:ext cx="200025" cy="200025"/>
    <xdr:pic>
      <xdr:nvPicPr>
        <xdr:cNvPr id="1285" name="image7.png">
          <a:extLst>
            <a:ext uri="{FF2B5EF4-FFF2-40B4-BE49-F238E27FC236}">
              <a16:creationId xmlns:a16="http://schemas.microsoft.com/office/drawing/2014/main" id="{00000000-0008-0000-0100-000005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310</xdr:row>
      <xdr:rowOff>0</xdr:rowOff>
    </xdr:from>
    <xdr:ext cx="200025" cy="200025"/>
    <xdr:pic>
      <xdr:nvPicPr>
        <xdr:cNvPr id="1286" name="image11.png">
          <a:extLst>
            <a:ext uri="{FF2B5EF4-FFF2-40B4-BE49-F238E27FC236}">
              <a16:creationId xmlns:a16="http://schemas.microsoft.com/office/drawing/2014/main" id="{00000000-0008-0000-0100-000006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311</xdr:row>
      <xdr:rowOff>0</xdr:rowOff>
    </xdr:from>
    <xdr:ext cx="200025" cy="200025"/>
    <xdr:pic>
      <xdr:nvPicPr>
        <xdr:cNvPr id="1287" name="image8.png">
          <a:extLst>
            <a:ext uri="{FF2B5EF4-FFF2-40B4-BE49-F238E27FC236}">
              <a16:creationId xmlns:a16="http://schemas.microsoft.com/office/drawing/2014/main" id="{00000000-0008-0000-0100-000007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311</xdr:row>
      <xdr:rowOff>0</xdr:rowOff>
    </xdr:from>
    <xdr:ext cx="200025" cy="200025"/>
    <xdr:pic>
      <xdr:nvPicPr>
        <xdr:cNvPr id="1288" name="image2.png">
          <a:extLst>
            <a:ext uri="{FF2B5EF4-FFF2-40B4-BE49-F238E27FC236}">
              <a16:creationId xmlns:a16="http://schemas.microsoft.com/office/drawing/2014/main" id="{00000000-0008-0000-0100-00000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311</xdr:row>
      <xdr:rowOff>0</xdr:rowOff>
    </xdr:from>
    <xdr:ext cx="200025" cy="200025"/>
    <xdr:pic>
      <xdr:nvPicPr>
        <xdr:cNvPr id="1289" name="image5.png">
          <a:extLst>
            <a:ext uri="{FF2B5EF4-FFF2-40B4-BE49-F238E27FC236}">
              <a16:creationId xmlns:a16="http://schemas.microsoft.com/office/drawing/2014/main" id="{00000000-0008-0000-0100-000009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311</xdr:row>
      <xdr:rowOff>0</xdr:rowOff>
    </xdr:from>
    <xdr:ext cx="200025" cy="200025"/>
    <xdr:pic>
      <xdr:nvPicPr>
        <xdr:cNvPr id="1290" name="image8.png">
          <a:extLst>
            <a:ext uri="{FF2B5EF4-FFF2-40B4-BE49-F238E27FC236}">
              <a16:creationId xmlns:a16="http://schemas.microsoft.com/office/drawing/2014/main" id="{00000000-0008-0000-0100-00000A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312</xdr:row>
      <xdr:rowOff>0</xdr:rowOff>
    </xdr:from>
    <xdr:ext cx="200025" cy="200025"/>
    <xdr:pic>
      <xdr:nvPicPr>
        <xdr:cNvPr id="1291" name="image1.png">
          <a:extLst>
            <a:ext uri="{FF2B5EF4-FFF2-40B4-BE49-F238E27FC236}">
              <a16:creationId xmlns:a16="http://schemas.microsoft.com/office/drawing/2014/main" id="{00000000-0008-0000-0100-00000B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312</xdr:row>
      <xdr:rowOff>0</xdr:rowOff>
    </xdr:from>
    <xdr:ext cx="200025" cy="200025"/>
    <xdr:pic>
      <xdr:nvPicPr>
        <xdr:cNvPr id="1292" name="image6.png">
          <a:extLst>
            <a:ext uri="{FF2B5EF4-FFF2-40B4-BE49-F238E27FC236}">
              <a16:creationId xmlns:a16="http://schemas.microsoft.com/office/drawing/2014/main" id="{00000000-0008-0000-0100-00000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312</xdr:row>
      <xdr:rowOff>0</xdr:rowOff>
    </xdr:from>
    <xdr:ext cx="200025" cy="200025"/>
    <xdr:pic>
      <xdr:nvPicPr>
        <xdr:cNvPr id="1293" name="image11.png">
          <a:extLst>
            <a:ext uri="{FF2B5EF4-FFF2-40B4-BE49-F238E27FC236}">
              <a16:creationId xmlns:a16="http://schemas.microsoft.com/office/drawing/2014/main" id="{00000000-0008-0000-0100-00000D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312</xdr:row>
      <xdr:rowOff>0</xdr:rowOff>
    </xdr:from>
    <xdr:ext cx="200025" cy="200025"/>
    <xdr:pic>
      <xdr:nvPicPr>
        <xdr:cNvPr id="1294" name="image8.png">
          <a:extLst>
            <a:ext uri="{FF2B5EF4-FFF2-40B4-BE49-F238E27FC236}">
              <a16:creationId xmlns:a16="http://schemas.microsoft.com/office/drawing/2014/main" id="{00000000-0008-0000-0100-00000E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313</xdr:row>
      <xdr:rowOff>0</xdr:rowOff>
    </xdr:from>
    <xdr:ext cx="200025" cy="200025"/>
    <xdr:pic>
      <xdr:nvPicPr>
        <xdr:cNvPr id="1295" name="image9.png">
          <a:extLst>
            <a:ext uri="{FF2B5EF4-FFF2-40B4-BE49-F238E27FC236}">
              <a16:creationId xmlns:a16="http://schemas.microsoft.com/office/drawing/2014/main" id="{00000000-0008-0000-0100-00000F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313</xdr:row>
      <xdr:rowOff>0</xdr:rowOff>
    </xdr:from>
    <xdr:ext cx="200025" cy="200025"/>
    <xdr:pic>
      <xdr:nvPicPr>
        <xdr:cNvPr id="1296" name="image2.png">
          <a:extLst>
            <a:ext uri="{FF2B5EF4-FFF2-40B4-BE49-F238E27FC236}">
              <a16:creationId xmlns:a16="http://schemas.microsoft.com/office/drawing/2014/main" id="{00000000-0008-0000-0100-000010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313</xdr:row>
      <xdr:rowOff>0</xdr:rowOff>
    </xdr:from>
    <xdr:ext cx="200025" cy="200025"/>
    <xdr:pic>
      <xdr:nvPicPr>
        <xdr:cNvPr id="1297" name="image6.png">
          <a:extLst>
            <a:ext uri="{FF2B5EF4-FFF2-40B4-BE49-F238E27FC236}">
              <a16:creationId xmlns:a16="http://schemas.microsoft.com/office/drawing/2014/main" id="{00000000-0008-0000-0100-000011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313</xdr:row>
      <xdr:rowOff>0</xdr:rowOff>
    </xdr:from>
    <xdr:ext cx="200025" cy="200025"/>
    <xdr:pic>
      <xdr:nvPicPr>
        <xdr:cNvPr id="1298" name="image4.png">
          <a:extLst>
            <a:ext uri="{FF2B5EF4-FFF2-40B4-BE49-F238E27FC236}">
              <a16:creationId xmlns:a16="http://schemas.microsoft.com/office/drawing/2014/main" id="{00000000-0008-0000-0100-000012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313</xdr:row>
      <xdr:rowOff>0</xdr:rowOff>
    </xdr:from>
    <xdr:ext cx="200025" cy="200025"/>
    <xdr:pic>
      <xdr:nvPicPr>
        <xdr:cNvPr id="1299" name="image7.png">
          <a:extLst>
            <a:ext uri="{FF2B5EF4-FFF2-40B4-BE49-F238E27FC236}">
              <a16:creationId xmlns:a16="http://schemas.microsoft.com/office/drawing/2014/main" id="{00000000-0008-0000-0100-000013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313</xdr:row>
      <xdr:rowOff>0</xdr:rowOff>
    </xdr:from>
    <xdr:ext cx="200025" cy="200025"/>
    <xdr:pic>
      <xdr:nvPicPr>
        <xdr:cNvPr id="1300" name="image10.png">
          <a:extLst>
            <a:ext uri="{FF2B5EF4-FFF2-40B4-BE49-F238E27FC236}">
              <a16:creationId xmlns:a16="http://schemas.microsoft.com/office/drawing/2014/main" id="{00000000-0008-0000-0100-000014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314</xdr:row>
      <xdr:rowOff>0</xdr:rowOff>
    </xdr:from>
    <xdr:ext cx="200025" cy="200025"/>
    <xdr:pic>
      <xdr:nvPicPr>
        <xdr:cNvPr id="1301" name="image10.png">
          <a:extLst>
            <a:ext uri="{FF2B5EF4-FFF2-40B4-BE49-F238E27FC236}">
              <a16:creationId xmlns:a16="http://schemas.microsoft.com/office/drawing/2014/main" id="{00000000-0008-0000-0100-000015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314</xdr:row>
      <xdr:rowOff>0</xdr:rowOff>
    </xdr:from>
    <xdr:ext cx="200025" cy="200025"/>
    <xdr:pic>
      <xdr:nvPicPr>
        <xdr:cNvPr id="1302" name="image2.png">
          <a:extLst>
            <a:ext uri="{FF2B5EF4-FFF2-40B4-BE49-F238E27FC236}">
              <a16:creationId xmlns:a16="http://schemas.microsoft.com/office/drawing/2014/main" id="{00000000-0008-0000-0100-00001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314</xdr:row>
      <xdr:rowOff>0</xdr:rowOff>
    </xdr:from>
    <xdr:ext cx="200025" cy="200025"/>
    <xdr:pic>
      <xdr:nvPicPr>
        <xdr:cNvPr id="1303" name="image5.png">
          <a:extLst>
            <a:ext uri="{FF2B5EF4-FFF2-40B4-BE49-F238E27FC236}">
              <a16:creationId xmlns:a16="http://schemas.microsoft.com/office/drawing/2014/main" id="{00000000-0008-0000-0100-000017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314</xdr:row>
      <xdr:rowOff>0</xdr:rowOff>
    </xdr:from>
    <xdr:ext cx="200025" cy="200025"/>
    <xdr:pic>
      <xdr:nvPicPr>
        <xdr:cNvPr id="1304" name="image8.png">
          <a:extLst>
            <a:ext uri="{FF2B5EF4-FFF2-40B4-BE49-F238E27FC236}">
              <a16:creationId xmlns:a16="http://schemas.microsoft.com/office/drawing/2014/main" id="{00000000-0008-0000-0100-000018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315</xdr:row>
      <xdr:rowOff>0</xdr:rowOff>
    </xdr:from>
    <xdr:ext cx="200025" cy="200025"/>
    <xdr:pic>
      <xdr:nvPicPr>
        <xdr:cNvPr id="1305" name="image8.png">
          <a:extLst>
            <a:ext uri="{FF2B5EF4-FFF2-40B4-BE49-F238E27FC236}">
              <a16:creationId xmlns:a16="http://schemas.microsoft.com/office/drawing/2014/main" id="{00000000-0008-0000-0100-000019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315</xdr:row>
      <xdr:rowOff>0</xdr:rowOff>
    </xdr:from>
    <xdr:ext cx="200025" cy="200025"/>
    <xdr:pic>
      <xdr:nvPicPr>
        <xdr:cNvPr id="1306" name="image12.png">
          <a:extLst>
            <a:ext uri="{FF2B5EF4-FFF2-40B4-BE49-F238E27FC236}">
              <a16:creationId xmlns:a16="http://schemas.microsoft.com/office/drawing/2014/main" id="{00000000-0008-0000-0100-00001A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316</xdr:row>
      <xdr:rowOff>0</xdr:rowOff>
    </xdr:from>
    <xdr:ext cx="200025" cy="200025"/>
    <xdr:pic>
      <xdr:nvPicPr>
        <xdr:cNvPr id="1307" name="image8.png">
          <a:extLst>
            <a:ext uri="{FF2B5EF4-FFF2-40B4-BE49-F238E27FC236}">
              <a16:creationId xmlns:a16="http://schemas.microsoft.com/office/drawing/2014/main" id="{00000000-0008-0000-0100-00001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316</xdr:row>
      <xdr:rowOff>0</xdr:rowOff>
    </xdr:from>
    <xdr:ext cx="200025" cy="200025"/>
    <xdr:pic>
      <xdr:nvPicPr>
        <xdr:cNvPr id="1308" name="image12.png">
          <a:extLst>
            <a:ext uri="{FF2B5EF4-FFF2-40B4-BE49-F238E27FC236}">
              <a16:creationId xmlns:a16="http://schemas.microsoft.com/office/drawing/2014/main" id="{00000000-0008-0000-0100-00001C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316</xdr:row>
      <xdr:rowOff>0</xdr:rowOff>
    </xdr:from>
    <xdr:ext cx="200025" cy="200025"/>
    <xdr:pic>
      <xdr:nvPicPr>
        <xdr:cNvPr id="1309" name="image11.png">
          <a:extLst>
            <a:ext uri="{FF2B5EF4-FFF2-40B4-BE49-F238E27FC236}">
              <a16:creationId xmlns:a16="http://schemas.microsoft.com/office/drawing/2014/main" id="{00000000-0008-0000-0100-00001D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316</xdr:row>
      <xdr:rowOff>0</xdr:rowOff>
    </xdr:from>
    <xdr:ext cx="200025" cy="200025"/>
    <xdr:pic>
      <xdr:nvPicPr>
        <xdr:cNvPr id="1310" name="image8.png">
          <a:extLst>
            <a:ext uri="{FF2B5EF4-FFF2-40B4-BE49-F238E27FC236}">
              <a16:creationId xmlns:a16="http://schemas.microsoft.com/office/drawing/2014/main" id="{00000000-0008-0000-0100-00001E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317</xdr:row>
      <xdr:rowOff>0</xdr:rowOff>
    </xdr:from>
    <xdr:ext cx="200025" cy="200025"/>
    <xdr:pic>
      <xdr:nvPicPr>
        <xdr:cNvPr id="1311" name="image10.png">
          <a:extLst>
            <a:ext uri="{FF2B5EF4-FFF2-40B4-BE49-F238E27FC236}">
              <a16:creationId xmlns:a16="http://schemas.microsoft.com/office/drawing/2014/main" id="{00000000-0008-0000-0100-00001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317</xdr:row>
      <xdr:rowOff>0</xdr:rowOff>
    </xdr:from>
    <xdr:ext cx="200025" cy="200025"/>
    <xdr:pic>
      <xdr:nvPicPr>
        <xdr:cNvPr id="1312" name="image2.png">
          <a:extLst>
            <a:ext uri="{FF2B5EF4-FFF2-40B4-BE49-F238E27FC236}">
              <a16:creationId xmlns:a16="http://schemas.microsoft.com/office/drawing/2014/main" id="{00000000-0008-0000-0100-000020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317</xdr:row>
      <xdr:rowOff>0</xdr:rowOff>
    </xdr:from>
    <xdr:ext cx="200025" cy="200025"/>
    <xdr:pic>
      <xdr:nvPicPr>
        <xdr:cNvPr id="1313" name="image8.png">
          <a:extLst>
            <a:ext uri="{FF2B5EF4-FFF2-40B4-BE49-F238E27FC236}">
              <a16:creationId xmlns:a16="http://schemas.microsoft.com/office/drawing/2014/main" id="{00000000-0008-0000-0100-000021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318</xdr:row>
      <xdr:rowOff>0</xdr:rowOff>
    </xdr:from>
    <xdr:ext cx="200025" cy="200025"/>
    <xdr:pic>
      <xdr:nvPicPr>
        <xdr:cNvPr id="1314" name="image8.png">
          <a:extLst>
            <a:ext uri="{FF2B5EF4-FFF2-40B4-BE49-F238E27FC236}">
              <a16:creationId xmlns:a16="http://schemas.microsoft.com/office/drawing/2014/main" id="{00000000-0008-0000-0100-000022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318</xdr:row>
      <xdr:rowOff>0</xdr:rowOff>
    </xdr:from>
    <xdr:ext cx="200025" cy="200025"/>
    <xdr:pic>
      <xdr:nvPicPr>
        <xdr:cNvPr id="1315" name="image1.png">
          <a:extLst>
            <a:ext uri="{FF2B5EF4-FFF2-40B4-BE49-F238E27FC236}">
              <a16:creationId xmlns:a16="http://schemas.microsoft.com/office/drawing/2014/main" id="{00000000-0008-0000-0100-00002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318</xdr:row>
      <xdr:rowOff>0</xdr:rowOff>
    </xdr:from>
    <xdr:ext cx="200025" cy="200025"/>
    <xdr:pic>
      <xdr:nvPicPr>
        <xdr:cNvPr id="1316" name="image12.png">
          <a:extLst>
            <a:ext uri="{FF2B5EF4-FFF2-40B4-BE49-F238E27FC236}">
              <a16:creationId xmlns:a16="http://schemas.microsoft.com/office/drawing/2014/main" id="{00000000-0008-0000-0100-000024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319</xdr:row>
      <xdr:rowOff>0</xdr:rowOff>
    </xdr:from>
    <xdr:ext cx="200025" cy="200025"/>
    <xdr:pic>
      <xdr:nvPicPr>
        <xdr:cNvPr id="1317" name="image1.png">
          <a:extLst>
            <a:ext uri="{FF2B5EF4-FFF2-40B4-BE49-F238E27FC236}">
              <a16:creationId xmlns:a16="http://schemas.microsoft.com/office/drawing/2014/main" id="{00000000-0008-0000-0100-000025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319</xdr:row>
      <xdr:rowOff>0</xdr:rowOff>
    </xdr:from>
    <xdr:ext cx="200025" cy="200025"/>
    <xdr:pic>
      <xdr:nvPicPr>
        <xdr:cNvPr id="1318" name="image5.png">
          <a:extLst>
            <a:ext uri="{FF2B5EF4-FFF2-40B4-BE49-F238E27FC236}">
              <a16:creationId xmlns:a16="http://schemas.microsoft.com/office/drawing/2014/main" id="{00000000-0008-0000-0100-000026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319</xdr:row>
      <xdr:rowOff>0</xdr:rowOff>
    </xdr:from>
    <xdr:ext cx="200025" cy="200025"/>
    <xdr:pic>
      <xdr:nvPicPr>
        <xdr:cNvPr id="1319" name="image7.png">
          <a:extLst>
            <a:ext uri="{FF2B5EF4-FFF2-40B4-BE49-F238E27FC236}">
              <a16:creationId xmlns:a16="http://schemas.microsoft.com/office/drawing/2014/main" id="{00000000-0008-0000-0100-000027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319</xdr:row>
      <xdr:rowOff>0</xdr:rowOff>
    </xdr:from>
    <xdr:ext cx="200025" cy="200025"/>
    <xdr:pic>
      <xdr:nvPicPr>
        <xdr:cNvPr id="1320" name="image12.png">
          <a:extLst>
            <a:ext uri="{FF2B5EF4-FFF2-40B4-BE49-F238E27FC236}">
              <a16:creationId xmlns:a16="http://schemas.microsoft.com/office/drawing/2014/main" id="{00000000-0008-0000-0100-000028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320</xdr:row>
      <xdr:rowOff>0</xdr:rowOff>
    </xdr:from>
    <xdr:ext cx="200025" cy="200025"/>
    <xdr:pic>
      <xdr:nvPicPr>
        <xdr:cNvPr id="1321" name="image1.png">
          <a:extLst>
            <a:ext uri="{FF2B5EF4-FFF2-40B4-BE49-F238E27FC236}">
              <a16:creationId xmlns:a16="http://schemas.microsoft.com/office/drawing/2014/main" id="{00000000-0008-0000-0100-000029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320</xdr:row>
      <xdr:rowOff>0</xdr:rowOff>
    </xdr:from>
    <xdr:ext cx="200025" cy="200025"/>
    <xdr:pic>
      <xdr:nvPicPr>
        <xdr:cNvPr id="1322" name="image5.png">
          <a:extLst>
            <a:ext uri="{FF2B5EF4-FFF2-40B4-BE49-F238E27FC236}">
              <a16:creationId xmlns:a16="http://schemas.microsoft.com/office/drawing/2014/main" id="{00000000-0008-0000-0100-00002A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320</xdr:row>
      <xdr:rowOff>0</xdr:rowOff>
    </xdr:from>
    <xdr:ext cx="200025" cy="200025"/>
    <xdr:pic>
      <xdr:nvPicPr>
        <xdr:cNvPr id="1323" name="image11.png">
          <a:extLst>
            <a:ext uri="{FF2B5EF4-FFF2-40B4-BE49-F238E27FC236}">
              <a16:creationId xmlns:a16="http://schemas.microsoft.com/office/drawing/2014/main" id="{00000000-0008-0000-0100-00002B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320</xdr:row>
      <xdr:rowOff>0</xdr:rowOff>
    </xdr:from>
    <xdr:ext cx="200025" cy="200025"/>
    <xdr:pic>
      <xdr:nvPicPr>
        <xdr:cNvPr id="1324" name="image10.png">
          <a:extLst>
            <a:ext uri="{FF2B5EF4-FFF2-40B4-BE49-F238E27FC236}">
              <a16:creationId xmlns:a16="http://schemas.microsoft.com/office/drawing/2014/main" id="{00000000-0008-0000-0100-00002C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321</xdr:row>
      <xdr:rowOff>0</xdr:rowOff>
    </xdr:from>
    <xdr:ext cx="200025" cy="200025"/>
    <xdr:pic>
      <xdr:nvPicPr>
        <xdr:cNvPr id="1325" name="image1.png">
          <a:extLst>
            <a:ext uri="{FF2B5EF4-FFF2-40B4-BE49-F238E27FC236}">
              <a16:creationId xmlns:a16="http://schemas.microsoft.com/office/drawing/2014/main" id="{00000000-0008-0000-0100-00002D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321</xdr:row>
      <xdr:rowOff>0</xdr:rowOff>
    </xdr:from>
    <xdr:ext cx="200025" cy="200025"/>
    <xdr:pic>
      <xdr:nvPicPr>
        <xdr:cNvPr id="1326" name="image4.png">
          <a:extLst>
            <a:ext uri="{FF2B5EF4-FFF2-40B4-BE49-F238E27FC236}">
              <a16:creationId xmlns:a16="http://schemas.microsoft.com/office/drawing/2014/main" id="{00000000-0008-0000-0100-00002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321</xdr:row>
      <xdr:rowOff>0</xdr:rowOff>
    </xdr:from>
    <xdr:ext cx="200025" cy="200025"/>
    <xdr:pic>
      <xdr:nvPicPr>
        <xdr:cNvPr id="1327" name="image11.png">
          <a:extLst>
            <a:ext uri="{FF2B5EF4-FFF2-40B4-BE49-F238E27FC236}">
              <a16:creationId xmlns:a16="http://schemas.microsoft.com/office/drawing/2014/main" id="{00000000-0008-0000-0100-00002F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321</xdr:row>
      <xdr:rowOff>0</xdr:rowOff>
    </xdr:from>
    <xdr:ext cx="200025" cy="200025"/>
    <xdr:pic>
      <xdr:nvPicPr>
        <xdr:cNvPr id="1328" name="image8.png">
          <a:extLst>
            <a:ext uri="{FF2B5EF4-FFF2-40B4-BE49-F238E27FC236}">
              <a16:creationId xmlns:a16="http://schemas.microsoft.com/office/drawing/2014/main" id="{00000000-0008-0000-0100-000030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322</xdr:row>
      <xdr:rowOff>0</xdr:rowOff>
    </xdr:from>
    <xdr:ext cx="200025" cy="200025"/>
    <xdr:pic>
      <xdr:nvPicPr>
        <xdr:cNvPr id="1329" name="image1.png">
          <a:extLst>
            <a:ext uri="{FF2B5EF4-FFF2-40B4-BE49-F238E27FC236}">
              <a16:creationId xmlns:a16="http://schemas.microsoft.com/office/drawing/2014/main" id="{00000000-0008-0000-0100-000031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322</xdr:row>
      <xdr:rowOff>0</xdr:rowOff>
    </xdr:from>
    <xdr:ext cx="200025" cy="200025"/>
    <xdr:pic>
      <xdr:nvPicPr>
        <xdr:cNvPr id="1330" name="image6.png">
          <a:extLst>
            <a:ext uri="{FF2B5EF4-FFF2-40B4-BE49-F238E27FC236}">
              <a16:creationId xmlns:a16="http://schemas.microsoft.com/office/drawing/2014/main" id="{00000000-0008-0000-0100-000032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322</xdr:row>
      <xdr:rowOff>0</xdr:rowOff>
    </xdr:from>
    <xdr:ext cx="200025" cy="200025"/>
    <xdr:pic>
      <xdr:nvPicPr>
        <xdr:cNvPr id="1331" name="image4.png">
          <a:extLst>
            <a:ext uri="{FF2B5EF4-FFF2-40B4-BE49-F238E27FC236}">
              <a16:creationId xmlns:a16="http://schemas.microsoft.com/office/drawing/2014/main" id="{00000000-0008-0000-0100-000033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322</xdr:row>
      <xdr:rowOff>0</xdr:rowOff>
    </xdr:from>
    <xdr:ext cx="200025" cy="200025"/>
    <xdr:pic>
      <xdr:nvPicPr>
        <xdr:cNvPr id="1332" name="image11.png">
          <a:extLst>
            <a:ext uri="{FF2B5EF4-FFF2-40B4-BE49-F238E27FC236}">
              <a16:creationId xmlns:a16="http://schemas.microsoft.com/office/drawing/2014/main" id="{00000000-0008-0000-0100-000034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322</xdr:row>
      <xdr:rowOff>0</xdr:rowOff>
    </xdr:from>
    <xdr:ext cx="200025" cy="200025"/>
    <xdr:pic>
      <xdr:nvPicPr>
        <xdr:cNvPr id="1333" name="image10.png">
          <a:extLst>
            <a:ext uri="{FF2B5EF4-FFF2-40B4-BE49-F238E27FC236}">
              <a16:creationId xmlns:a16="http://schemas.microsoft.com/office/drawing/2014/main" id="{00000000-0008-0000-0100-000035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323</xdr:row>
      <xdr:rowOff>0</xdr:rowOff>
    </xdr:from>
    <xdr:ext cx="200025" cy="200025"/>
    <xdr:pic>
      <xdr:nvPicPr>
        <xdr:cNvPr id="1334" name="image8.png">
          <a:extLst>
            <a:ext uri="{FF2B5EF4-FFF2-40B4-BE49-F238E27FC236}">
              <a16:creationId xmlns:a16="http://schemas.microsoft.com/office/drawing/2014/main" id="{00000000-0008-0000-0100-000036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323</xdr:row>
      <xdr:rowOff>0</xdr:rowOff>
    </xdr:from>
    <xdr:ext cx="200025" cy="200025"/>
    <xdr:pic>
      <xdr:nvPicPr>
        <xdr:cNvPr id="1335" name="image6.png">
          <a:extLst>
            <a:ext uri="{FF2B5EF4-FFF2-40B4-BE49-F238E27FC236}">
              <a16:creationId xmlns:a16="http://schemas.microsoft.com/office/drawing/2014/main" id="{00000000-0008-0000-0100-00003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323</xdr:row>
      <xdr:rowOff>0</xdr:rowOff>
    </xdr:from>
    <xdr:ext cx="200025" cy="200025"/>
    <xdr:pic>
      <xdr:nvPicPr>
        <xdr:cNvPr id="1336" name="image4.png">
          <a:extLst>
            <a:ext uri="{FF2B5EF4-FFF2-40B4-BE49-F238E27FC236}">
              <a16:creationId xmlns:a16="http://schemas.microsoft.com/office/drawing/2014/main" id="{00000000-0008-0000-0100-000038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323</xdr:row>
      <xdr:rowOff>0</xdr:rowOff>
    </xdr:from>
    <xdr:ext cx="200025" cy="200025"/>
    <xdr:pic>
      <xdr:nvPicPr>
        <xdr:cNvPr id="1337" name="image8.png">
          <a:extLst>
            <a:ext uri="{FF2B5EF4-FFF2-40B4-BE49-F238E27FC236}">
              <a16:creationId xmlns:a16="http://schemas.microsoft.com/office/drawing/2014/main" id="{00000000-0008-0000-0100-000039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324</xdr:row>
      <xdr:rowOff>0</xdr:rowOff>
    </xdr:from>
    <xdr:ext cx="200025" cy="200025"/>
    <xdr:pic>
      <xdr:nvPicPr>
        <xdr:cNvPr id="1338" name="image8.png">
          <a:extLst>
            <a:ext uri="{FF2B5EF4-FFF2-40B4-BE49-F238E27FC236}">
              <a16:creationId xmlns:a16="http://schemas.microsoft.com/office/drawing/2014/main" id="{00000000-0008-0000-0100-00003A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324</xdr:row>
      <xdr:rowOff>0</xdr:rowOff>
    </xdr:from>
    <xdr:ext cx="200025" cy="200025"/>
    <xdr:pic>
      <xdr:nvPicPr>
        <xdr:cNvPr id="1339" name="image6.png">
          <a:extLst>
            <a:ext uri="{FF2B5EF4-FFF2-40B4-BE49-F238E27FC236}">
              <a16:creationId xmlns:a16="http://schemas.microsoft.com/office/drawing/2014/main" id="{00000000-0008-0000-0100-00003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324</xdr:row>
      <xdr:rowOff>0</xdr:rowOff>
    </xdr:from>
    <xdr:ext cx="200025" cy="200025"/>
    <xdr:pic>
      <xdr:nvPicPr>
        <xdr:cNvPr id="1340" name="image11.png">
          <a:extLst>
            <a:ext uri="{FF2B5EF4-FFF2-40B4-BE49-F238E27FC236}">
              <a16:creationId xmlns:a16="http://schemas.microsoft.com/office/drawing/2014/main" id="{00000000-0008-0000-0100-00003C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324</xdr:row>
      <xdr:rowOff>0</xdr:rowOff>
    </xdr:from>
    <xdr:ext cx="200025" cy="200025"/>
    <xdr:pic>
      <xdr:nvPicPr>
        <xdr:cNvPr id="1341" name="image8.png">
          <a:extLst>
            <a:ext uri="{FF2B5EF4-FFF2-40B4-BE49-F238E27FC236}">
              <a16:creationId xmlns:a16="http://schemas.microsoft.com/office/drawing/2014/main" id="{00000000-0008-0000-0100-00003D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325</xdr:row>
      <xdr:rowOff>0</xdr:rowOff>
    </xdr:from>
    <xdr:ext cx="200025" cy="200025"/>
    <xdr:pic>
      <xdr:nvPicPr>
        <xdr:cNvPr id="1342" name="image10.png">
          <a:extLst>
            <a:ext uri="{FF2B5EF4-FFF2-40B4-BE49-F238E27FC236}">
              <a16:creationId xmlns:a16="http://schemas.microsoft.com/office/drawing/2014/main" id="{00000000-0008-0000-0100-00003E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325</xdr:row>
      <xdr:rowOff>0</xdr:rowOff>
    </xdr:from>
    <xdr:ext cx="200025" cy="200025"/>
    <xdr:pic>
      <xdr:nvPicPr>
        <xdr:cNvPr id="1343" name="image9.png">
          <a:extLst>
            <a:ext uri="{FF2B5EF4-FFF2-40B4-BE49-F238E27FC236}">
              <a16:creationId xmlns:a16="http://schemas.microsoft.com/office/drawing/2014/main" id="{00000000-0008-0000-0100-00003F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325</xdr:row>
      <xdr:rowOff>0</xdr:rowOff>
    </xdr:from>
    <xdr:ext cx="200025" cy="200025"/>
    <xdr:pic>
      <xdr:nvPicPr>
        <xdr:cNvPr id="1344" name="image5.png">
          <a:extLst>
            <a:ext uri="{FF2B5EF4-FFF2-40B4-BE49-F238E27FC236}">
              <a16:creationId xmlns:a16="http://schemas.microsoft.com/office/drawing/2014/main" id="{00000000-0008-0000-0100-000040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325</xdr:row>
      <xdr:rowOff>0</xdr:rowOff>
    </xdr:from>
    <xdr:ext cx="200025" cy="200025"/>
    <xdr:pic>
      <xdr:nvPicPr>
        <xdr:cNvPr id="1345" name="image7.png">
          <a:extLst>
            <a:ext uri="{FF2B5EF4-FFF2-40B4-BE49-F238E27FC236}">
              <a16:creationId xmlns:a16="http://schemas.microsoft.com/office/drawing/2014/main" id="{00000000-0008-0000-0100-000041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325</xdr:row>
      <xdr:rowOff>0</xdr:rowOff>
    </xdr:from>
    <xdr:ext cx="200025" cy="200025"/>
    <xdr:pic>
      <xdr:nvPicPr>
        <xdr:cNvPr id="1346" name="image8.png">
          <a:extLst>
            <a:ext uri="{FF2B5EF4-FFF2-40B4-BE49-F238E27FC236}">
              <a16:creationId xmlns:a16="http://schemas.microsoft.com/office/drawing/2014/main" id="{00000000-0008-0000-0100-000042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326</xdr:row>
      <xdr:rowOff>0</xdr:rowOff>
    </xdr:from>
    <xdr:ext cx="200025" cy="200025"/>
    <xdr:pic>
      <xdr:nvPicPr>
        <xdr:cNvPr id="1347" name="image9.png">
          <a:extLst>
            <a:ext uri="{FF2B5EF4-FFF2-40B4-BE49-F238E27FC236}">
              <a16:creationId xmlns:a16="http://schemas.microsoft.com/office/drawing/2014/main" id="{00000000-0008-0000-0100-000043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326</xdr:row>
      <xdr:rowOff>0</xdr:rowOff>
    </xdr:from>
    <xdr:ext cx="200025" cy="200025"/>
    <xdr:pic>
      <xdr:nvPicPr>
        <xdr:cNvPr id="1348" name="image7.png">
          <a:extLst>
            <a:ext uri="{FF2B5EF4-FFF2-40B4-BE49-F238E27FC236}">
              <a16:creationId xmlns:a16="http://schemas.microsoft.com/office/drawing/2014/main" id="{00000000-0008-0000-0100-000044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327</xdr:row>
      <xdr:rowOff>0</xdr:rowOff>
    </xdr:from>
    <xdr:ext cx="200025" cy="200025"/>
    <xdr:pic>
      <xdr:nvPicPr>
        <xdr:cNvPr id="1349" name="image10.png">
          <a:extLst>
            <a:ext uri="{FF2B5EF4-FFF2-40B4-BE49-F238E27FC236}">
              <a16:creationId xmlns:a16="http://schemas.microsoft.com/office/drawing/2014/main" id="{00000000-0008-0000-0100-000045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327</xdr:row>
      <xdr:rowOff>0</xdr:rowOff>
    </xdr:from>
    <xdr:ext cx="200025" cy="200025"/>
    <xdr:pic>
      <xdr:nvPicPr>
        <xdr:cNvPr id="1350" name="image2.png">
          <a:extLst>
            <a:ext uri="{FF2B5EF4-FFF2-40B4-BE49-F238E27FC236}">
              <a16:creationId xmlns:a16="http://schemas.microsoft.com/office/drawing/2014/main" id="{00000000-0008-0000-0100-00004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327</xdr:row>
      <xdr:rowOff>0</xdr:rowOff>
    </xdr:from>
    <xdr:ext cx="200025" cy="200025"/>
    <xdr:pic>
      <xdr:nvPicPr>
        <xdr:cNvPr id="1351" name="image12.png">
          <a:extLst>
            <a:ext uri="{FF2B5EF4-FFF2-40B4-BE49-F238E27FC236}">
              <a16:creationId xmlns:a16="http://schemas.microsoft.com/office/drawing/2014/main" id="{00000000-0008-0000-0100-000047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327</xdr:row>
      <xdr:rowOff>0</xdr:rowOff>
    </xdr:from>
    <xdr:ext cx="200025" cy="200025"/>
    <xdr:pic>
      <xdr:nvPicPr>
        <xdr:cNvPr id="1352" name="image4.png">
          <a:extLst>
            <a:ext uri="{FF2B5EF4-FFF2-40B4-BE49-F238E27FC236}">
              <a16:creationId xmlns:a16="http://schemas.microsoft.com/office/drawing/2014/main" id="{00000000-0008-0000-0100-000048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327</xdr:row>
      <xdr:rowOff>0</xdr:rowOff>
    </xdr:from>
    <xdr:ext cx="200025" cy="200025"/>
    <xdr:pic>
      <xdr:nvPicPr>
        <xdr:cNvPr id="1353" name="image10.png">
          <a:extLst>
            <a:ext uri="{FF2B5EF4-FFF2-40B4-BE49-F238E27FC236}">
              <a16:creationId xmlns:a16="http://schemas.microsoft.com/office/drawing/2014/main" id="{00000000-0008-0000-0100-000049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328</xdr:row>
      <xdr:rowOff>0</xdr:rowOff>
    </xdr:from>
    <xdr:ext cx="200025" cy="200025"/>
    <xdr:pic>
      <xdr:nvPicPr>
        <xdr:cNvPr id="1354" name="image10.png">
          <a:extLst>
            <a:ext uri="{FF2B5EF4-FFF2-40B4-BE49-F238E27FC236}">
              <a16:creationId xmlns:a16="http://schemas.microsoft.com/office/drawing/2014/main" id="{00000000-0008-0000-0100-00004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328</xdr:row>
      <xdr:rowOff>0</xdr:rowOff>
    </xdr:from>
    <xdr:ext cx="200025" cy="200025"/>
    <xdr:pic>
      <xdr:nvPicPr>
        <xdr:cNvPr id="1355" name="image6.png">
          <a:extLst>
            <a:ext uri="{FF2B5EF4-FFF2-40B4-BE49-F238E27FC236}">
              <a16:creationId xmlns:a16="http://schemas.microsoft.com/office/drawing/2014/main" id="{00000000-0008-0000-0100-00004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328</xdr:row>
      <xdr:rowOff>0</xdr:rowOff>
    </xdr:from>
    <xdr:ext cx="200025" cy="200025"/>
    <xdr:pic>
      <xdr:nvPicPr>
        <xdr:cNvPr id="1356" name="image12.png">
          <a:extLst>
            <a:ext uri="{FF2B5EF4-FFF2-40B4-BE49-F238E27FC236}">
              <a16:creationId xmlns:a16="http://schemas.microsoft.com/office/drawing/2014/main" id="{00000000-0008-0000-0100-00004C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328</xdr:row>
      <xdr:rowOff>0</xdr:rowOff>
    </xdr:from>
    <xdr:ext cx="200025" cy="200025"/>
    <xdr:pic>
      <xdr:nvPicPr>
        <xdr:cNvPr id="1357" name="image4.png">
          <a:extLst>
            <a:ext uri="{FF2B5EF4-FFF2-40B4-BE49-F238E27FC236}">
              <a16:creationId xmlns:a16="http://schemas.microsoft.com/office/drawing/2014/main" id="{00000000-0008-0000-0100-00004D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328</xdr:row>
      <xdr:rowOff>0</xdr:rowOff>
    </xdr:from>
    <xdr:ext cx="200025" cy="200025"/>
    <xdr:pic>
      <xdr:nvPicPr>
        <xdr:cNvPr id="1358" name="image11.png">
          <a:extLst>
            <a:ext uri="{FF2B5EF4-FFF2-40B4-BE49-F238E27FC236}">
              <a16:creationId xmlns:a16="http://schemas.microsoft.com/office/drawing/2014/main" id="{00000000-0008-0000-0100-00004E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328</xdr:row>
      <xdr:rowOff>0</xdr:rowOff>
    </xdr:from>
    <xdr:ext cx="200025" cy="200025"/>
    <xdr:pic>
      <xdr:nvPicPr>
        <xdr:cNvPr id="1359" name="image8.png">
          <a:extLst>
            <a:ext uri="{FF2B5EF4-FFF2-40B4-BE49-F238E27FC236}">
              <a16:creationId xmlns:a16="http://schemas.microsoft.com/office/drawing/2014/main" id="{00000000-0008-0000-0100-00004F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329</xdr:row>
      <xdr:rowOff>0</xdr:rowOff>
    </xdr:from>
    <xdr:ext cx="200025" cy="200025"/>
    <xdr:pic>
      <xdr:nvPicPr>
        <xdr:cNvPr id="1360" name="image9.png">
          <a:extLst>
            <a:ext uri="{FF2B5EF4-FFF2-40B4-BE49-F238E27FC236}">
              <a16:creationId xmlns:a16="http://schemas.microsoft.com/office/drawing/2014/main" id="{00000000-0008-0000-0100-000050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329</xdr:row>
      <xdr:rowOff>0</xdr:rowOff>
    </xdr:from>
    <xdr:ext cx="200025" cy="200025"/>
    <xdr:pic>
      <xdr:nvPicPr>
        <xdr:cNvPr id="1361" name="image2.png">
          <a:extLst>
            <a:ext uri="{FF2B5EF4-FFF2-40B4-BE49-F238E27FC236}">
              <a16:creationId xmlns:a16="http://schemas.microsoft.com/office/drawing/2014/main" id="{00000000-0008-0000-0100-000051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329</xdr:row>
      <xdr:rowOff>0</xdr:rowOff>
    </xdr:from>
    <xdr:ext cx="200025" cy="200025"/>
    <xdr:pic>
      <xdr:nvPicPr>
        <xdr:cNvPr id="1362" name="image12.png">
          <a:extLst>
            <a:ext uri="{FF2B5EF4-FFF2-40B4-BE49-F238E27FC236}">
              <a16:creationId xmlns:a16="http://schemas.microsoft.com/office/drawing/2014/main" id="{00000000-0008-0000-0100-000052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329</xdr:row>
      <xdr:rowOff>0</xdr:rowOff>
    </xdr:from>
    <xdr:ext cx="200025" cy="200025"/>
    <xdr:pic>
      <xdr:nvPicPr>
        <xdr:cNvPr id="1363" name="image11.png">
          <a:extLst>
            <a:ext uri="{FF2B5EF4-FFF2-40B4-BE49-F238E27FC236}">
              <a16:creationId xmlns:a16="http://schemas.microsoft.com/office/drawing/2014/main" id="{00000000-0008-0000-0100-000053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329</xdr:row>
      <xdr:rowOff>0</xdr:rowOff>
    </xdr:from>
    <xdr:ext cx="200025" cy="200025"/>
    <xdr:pic>
      <xdr:nvPicPr>
        <xdr:cNvPr id="1364" name="image9.png">
          <a:extLst>
            <a:ext uri="{FF2B5EF4-FFF2-40B4-BE49-F238E27FC236}">
              <a16:creationId xmlns:a16="http://schemas.microsoft.com/office/drawing/2014/main" id="{00000000-0008-0000-0100-000054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330</xdr:row>
      <xdr:rowOff>0</xdr:rowOff>
    </xdr:from>
    <xdr:ext cx="200025" cy="200025"/>
    <xdr:pic>
      <xdr:nvPicPr>
        <xdr:cNvPr id="1365" name="image8.png">
          <a:extLst>
            <a:ext uri="{FF2B5EF4-FFF2-40B4-BE49-F238E27FC236}">
              <a16:creationId xmlns:a16="http://schemas.microsoft.com/office/drawing/2014/main" id="{00000000-0008-0000-0100-000055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330</xdr:row>
      <xdr:rowOff>0</xdr:rowOff>
    </xdr:from>
    <xdr:ext cx="200025" cy="200025"/>
    <xdr:pic>
      <xdr:nvPicPr>
        <xdr:cNvPr id="1366" name="image9.png">
          <a:extLst>
            <a:ext uri="{FF2B5EF4-FFF2-40B4-BE49-F238E27FC236}">
              <a16:creationId xmlns:a16="http://schemas.microsoft.com/office/drawing/2014/main" id="{00000000-0008-0000-0100-000056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330</xdr:row>
      <xdr:rowOff>0</xdr:rowOff>
    </xdr:from>
    <xdr:ext cx="200025" cy="200025"/>
    <xdr:pic>
      <xdr:nvPicPr>
        <xdr:cNvPr id="1367" name="image1.png">
          <a:extLst>
            <a:ext uri="{FF2B5EF4-FFF2-40B4-BE49-F238E27FC236}">
              <a16:creationId xmlns:a16="http://schemas.microsoft.com/office/drawing/2014/main" id="{00000000-0008-0000-0100-000057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330</xdr:row>
      <xdr:rowOff>0</xdr:rowOff>
    </xdr:from>
    <xdr:ext cx="200025" cy="200025"/>
    <xdr:pic>
      <xdr:nvPicPr>
        <xdr:cNvPr id="1368" name="image3.png">
          <a:extLst>
            <a:ext uri="{FF2B5EF4-FFF2-40B4-BE49-F238E27FC236}">
              <a16:creationId xmlns:a16="http://schemas.microsoft.com/office/drawing/2014/main" id="{00000000-0008-0000-0100-000058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330</xdr:row>
      <xdr:rowOff>0</xdr:rowOff>
    </xdr:from>
    <xdr:ext cx="200025" cy="200025"/>
    <xdr:pic>
      <xdr:nvPicPr>
        <xdr:cNvPr id="1369" name="image3.png">
          <a:extLst>
            <a:ext uri="{FF2B5EF4-FFF2-40B4-BE49-F238E27FC236}">
              <a16:creationId xmlns:a16="http://schemas.microsoft.com/office/drawing/2014/main" id="{00000000-0008-0000-0100-000059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331</xdr:row>
      <xdr:rowOff>0</xdr:rowOff>
    </xdr:from>
    <xdr:ext cx="200025" cy="200025"/>
    <xdr:pic>
      <xdr:nvPicPr>
        <xdr:cNvPr id="1370" name="image10.png">
          <a:extLst>
            <a:ext uri="{FF2B5EF4-FFF2-40B4-BE49-F238E27FC236}">
              <a16:creationId xmlns:a16="http://schemas.microsoft.com/office/drawing/2014/main" id="{00000000-0008-0000-0100-00005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331</xdr:row>
      <xdr:rowOff>0</xdr:rowOff>
    </xdr:from>
    <xdr:ext cx="200025" cy="200025"/>
    <xdr:pic>
      <xdr:nvPicPr>
        <xdr:cNvPr id="1371" name="image8.png">
          <a:extLst>
            <a:ext uri="{FF2B5EF4-FFF2-40B4-BE49-F238E27FC236}">
              <a16:creationId xmlns:a16="http://schemas.microsoft.com/office/drawing/2014/main" id="{00000000-0008-0000-0100-00005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331</xdr:row>
      <xdr:rowOff>0</xdr:rowOff>
    </xdr:from>
    <xdr:ext cx="200025" cy="200025"/>
    <xdr:pic>
      <xdr:nvPicPr>
        <xdr:cNvPr id="1372" name="image4.png">
          <a:extLst>
            <a:ext uri="{FF2B5EF4-FFF2-40B4-BE49-F238E27FC236}">
              <a16:creationId xmlns:a16="http://schemas.microsoft.com/office/drawing/2014/main" id="{00000000-0008-0000-0100-00005C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331</xdr:row>
      <xdr:rowOff>0</xdr:rowOff>
    </xdr:from>
    <xdr:ext cx="200025" cy="200025"/>
    <xdr:pic>
      <xdr:nvPicPr>
        <xdr:cNvPr id="1373" name="image7.png">
          <a:extLst>
            <a:ext uri="{FF2B5EF4-FFF2-40B4-BE49-F238E27FC236}">
              <a16:creationId xmlns:a16="http://schemas.microsoft.com/office/drawing/2014/main" id="{00000000-0008-0000-0100-00005D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332</xdr:row>
      <xdr:rowOff>0</xdr:rowOff>
    </xdr:from>
    <xdr:ext cx="200025" cy="200025"/>
    <xdr:pic>
      <xdr:nvPicPr>
        <xdr:cNvPr id="1374" name="image10.png">
          <a:extLst>
            <a:ext uri="{FF2B5EF4-FFF2-40B4-BE49-F238E27FC236}">
              <a16:creationId xmlns:a16="http://schemas.microsoft.com/office/drawing/2014/main" id="{00000000-0008-0000-0100-00005E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332</xdr:row>
      <xdr:rowOff>0</xdr:rowOff>
    </xdr:from>
    <xdr:ext cx="200025" cy="200025"/>
    <xdr:pic>
      <xdr:nvPicPr>
        <xdr:cNvPr id="1375" name="image1.png">
          <a:extLst>
            <a:ext uri="{FF2B5EF4-FFF2-40B4-BE49-F238E27FC236}">
              <a16:creationId xmlns:a16="http://schemas.microsoft.com/office/drawing/2014/main" id="{00000000-0008-0000-0100-00005F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332</xdr:row>
      <xdr:rowOff>0</xdr:rowOff>
    </xdr:from>
    <xdr:ext cx="200025" cy="200025"/>
    <xdr:pic>
      <xdr:nvPicPr>
        <xdr:cNvPr id="1376" name="image12.png">
          <a:extLst>
            <a:ext uri="{FF2B5EF4-FFF2-40B4-BE49-F238E27FC236}">
              <a16:creationId xmlns:a16="http://schemas.microsoft.com/office/drawing/2014/main" id="{00000000-0008-0000-0100-000060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332</xdr:row>
      <xdr:rowOff>0</xdr:rowOff>
    </xdr:from>
    <xdr:ext cx="200025" cy="200025"/>
    <xdr:pic>
      <xdr:nvPicPr>
        <xdr:cNvPr id="1377" name="image7.png">
          <a:extLst>
            <a:ext uri="{FF2B5EF4-FFF2-40B4-BE49-F238E27FC236}">
              <a16:creationId xmlns:a16="http://schemas.microsoft.com/office/drawing/2014/main" id="{00000000-0008-0000-0100-000061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333</xdr:row>
      <xdr:rowOff>0</xdr:rowOff>
    </xdr:from>
    <xdr:ext cx="200025" cy="200025"/>
    <xdr:pic>
      <xdr:nvPicPr>
        <xdr:cNvPr id="1378" name="image8.png">
          <a:extLst>
            <a:ext uri="{FF2B5EF4-FFF2-40B4-BE49-F238E27FC236}">
              <a16:creationId xmlns:a16="http://schemas.microsoft.com/office/drawing/2014/main" id="{00000000-0008-0000-0100-000062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333</xdr:row>
      <xdr:rowOff>0</xdr:rowOff>
    </xdr:from>
    <xdr:ext cx="200025" cy="200025"/>
    <xdr:pic>
      <xdr:nvPicPr>
        <xdr:cNvPr id="1379" name="image1.png">
          <a:extLst>
            <a:ext uri="{FF2B5EF4-FFF2-40B4-BE49-F238E27FC236}">
              <a16:creationId xmlns:a16="http://schemas.microsoft.com/office/drawing/2014/main" id="{00000000-0008-0000-0100-00006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333</xdr:row>
      <xdr:rowOff>0</xdr:rowOff>
    </xdr:from>
    <xdr:ext cx="200025" cy="200025"/>
    <xdr:pic>
      <xdr:nvPicPr>
        <xdr:cNvPr id="1380" name="image6.png">
          <a:extLst>
            <a:ext uri="{FF2B5EF4-FFF2-40B4-BE49-F238E27FC236}">
              <a16:creationId xmlns:a16="http://schemas.microsoft.com/office/drawing/2014/main" id="{00000000-0008-0000-0100-000064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333</xdr:row>
      <xdr:rowOff>0</xdr:rowOff>
    </xdr:from>
    <xdr:ext cx="200025" cy="200025"/>
    <xdr:pic>
      <xdr:nvPicPr>
        <xdr:cNvPr id="1381" name="image3.png">
          <a:extLst>
            <a:ext uri="{FF2B5EF4-FFF2-40B4-BE49-F238E27FC236}">
              <a16:creationId xmlns:a16="http://schemas.microsoft.com/office/drawing/2014/main" id="{00000000-0008-0000-0100-000065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333</xdr:row>
      <xdr:rowOff>0</xdr:rowOff>
    </xdr:from>
    <xdr:ext cx="200025" cy="200025"/>
    <xdr:pic>
      <xdr:nvPicPr>
        <xdr:cNvPr id="1382" name="image4.png">
          <a:extLst>
            <a:ext uri="{FF2B5EF4-FFF2-40B4-BE49-F238E27FC236}">
              <a16:creationId xmlns:a16="http://schemas.microsoft.com/office/drawing/2014/main" id="{00000000-0008-0000-0100-000066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334</xdr:row>
      <xdr:rowOff>0</xdr:rowOff>
    </xdr:from>
    <xdr:ext cx="200025" cy="200025"/>
    <xdr:pic>
      <xdr:nvPicPr>
        <xdr:cNvPr id="1383" name="image8.png">
          <a:extLst>
            <a:ext uri="{FF2B5EF4-FFF2-40B4-BE49-F238E27FC236}">
              <a16:creationId xmlns:a16="http://schemas.microsoft.com/office/drawing/2014/main" id="{00000000-0008-0000-0100-000067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334</xdr:row>
      <xdr:rowOff>0</xdr:rowOff>
    </xdr:from>
    <xdr:ext cx="200025" cy="200025"/>
    <xdr:pic>
      <xdr:nvPicPr>
        <xdr:cNvPr id="1384" name="image1.png">
          <a:extLst>
            <a:ext uri="{FF2B5EF4-FFF2-40B4-BE49-F238E27FC236}">
              <a16:creationId xmlns:a16="http://schemas.microsoft.com/office/drawing/2014/main" id="{00000000-0008-0000-0100-000068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334</xdr:row>
      <xdr:rowOff>0</xdr:rowOff>
    </xdr:from>
    <xdr:ext cx="200025" cy="200025"/>
    <xdr:pic>
      <xdr:nvPicPr>
        <xdr:cNvPr id="1385" name="image3.png">
          <a:extLst>
            <a:ext uri="{FF2B5EF4-FFF2-40B4-BE49-F238E27FC236}">
              <a16:creationId xmlns:a16="http://schemas.microsoft.com/office/drawing/2014/main" id="{00000000-0008-0000-0100-000069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334</xdr:row>
      <xdr:rowOff>0</xdr:rowOff>
    </xdr:from>
    <xdr:ext cx="200025" cy="200025"/>
    <xdr:pic>
      <xdr:nvPicPr>
        <xdr:cNvPr id="1386" name="image4.png">
          <a:extLst>
            <a:ext uri="{FF2B5EF4-FFF2-40B4-BE49-F238E27FC236}">
              <a16:creationId xmlns:a16="http://schemas.microsoft.com/office/drawing/2014/main" id="{00000000-0008-0000-0100-00006A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335</xdr:row>
      <xdr:rowOff>0</xdr:rowOff>
    </xdr:from>
    <xdr:ext cx="200025" cy="200025"/>
    <xdr:pic>
      <xdr:nvPicPr>
        <xdr:cNvPr id="1387" name="image10.png">
          <a:extLst>
            <a:ext uri="{FF2B5EF4-FFF2-40B4-BE49-F238E27FC236}">
              <a16:creationId xmlns:a16="http://schemas.microsoft.com/office/drawing/2014/main" id="{00000000-0008-0000-0100-00006B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335</xdr:row>
      <xdr:rowOff>0</xdr:rowOff>
    </xdr:from>
    <xdr:ext cx="200025" cy="200025"/>
    <xdr:pic>
      <xdr:nvPicPr>
        <xdr:cNvPr id="1388" name="image9.png">
          <a:extLst>
            <a:ext uri="{FF2B5EF4-FFF2-40B4-BE49-F238E27FC236}">
              <a16:creationId xmlns:a16="http://schemas.microsoft.com/office/drawing/2014/main" id="{00000000-0008-0000-0100-00006C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335</xdr:row>
      <xdr:rowOff>0</xdr:rowOff>
    </xdr:from>
    <xdr:ext cx="200025" cy="200025"/>
    <xdr:pic>
      <xdr:nvPicPr>
        <xdr:cNvPr id="1389" name="image1.png">
          <a:extLst>
            <a:ext uri="{FF2B5EF4-FFF2-40B4-BE49-F238E27FC236}">
              <a16:creationId xmlns:a16="http://schemas.microsoft.com/office/drawing/2014/main" id="{00000000-0008-0000-0100-00006D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335</xdr:row>
      <xdr:rowOff>0</xdr:rowOff>
    </xdr:from>
    <xdr:ext cx="200025" cy="200025"/>
    <xdr:pic>
      <xdr:nvPicPr>
        <xdr:cNvPr id="1390" name="image3.png">
          <a:extLst>
            <a:ext uri="{FF2B5EF4-FFF2-40B4-BE49-F238E27FC236}">
              <a16:creationId xmlns:a16="http://schemas.microsoft.com/office/drawing/2014/main" id="{00000000-0008-0000-0100-00006E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335</xdr:row>
      <xdr:rowOff>0</xdr:rowOff>
    </xdr:from>
    <xdr:ext cx="200025" cy="200025"/>
    <xdr:pic>
      <xdr:nvPicPr>
        <xdr:cNvPr id="1391" name="image4.png">
          <a:extLst>
            <a:ext uri="{FF2B5EF4-FFF2-40B4-BE49-F238E27FC236}">
              <a16:creationId xmlns:a16="http://schemas.microsoft.com/office/drawing/2014/main" id="{00000000-0008-0000-0100-00006F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336</xdr:row>
      <xdr:rowOff>0</xdr:rowOff>
    </xdr:from>
    <xdr:ext cx="200025" cy="200025"/>
    <xdr:pic>
      <xdr:nvPicPr>
        <xdr:cNvPr id="1392" name="image10.png">
          <a:extLst>
            <a:ext uri="{FF2B5EF4-FFF2-40B4-BE49-F238E27FC236}">
              <a16:creationId xmlns:a16="http://schemas.microsoft.com/office/drawing/2014/main" id="{00000000-0008-0000-0100-00007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336</xdr:row>
      <xdr:rowOff>0</xdr:rowOff>
    </xdr:from>
    <xdr:ext cx="200025" cy="200025"/>
    <xdr:pic>
      <xdr:nvPicPr>
        <xdr:cNvPr id="1393" name="image9.png">
          <a:extLst>
            <a:ext uri="{FF2B5EF4-FFF2-40B4-BE49-F238E27FC236}">
              <a16:creationId xmlns:a16="http://schemas.microsoft.com/office/drawing/2014/main" id="{00000000-0008-0000-0100-000071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336</xdr:row>
      <xdr:rowOff>0</xdr:rowOff>
    </xdr:from>
    <xdr:ext cx="200025" cy="200025"/>
    <xdr:pic>
      <xdr:nvPicPr>
        <xdr:cNvPr id="1394" name="image1.png">
          <a:extLst>
            <a:ext uri="{FF2B5EF4-FFF2-40B4-BE49-F238E27FC236}">
              <a16:creationId xmlns:a16="http://schemas.microsoft.com/office/drawing/2014/main" id="{00000000-0008-0000-0100-000072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336</xdr:row>
      <xdr:rowOff>0</xdr:rowOff>
    </xdr:from>
    <xdr:ext cx="200025" cy="200025"/>
    <xdr:pic>
      <xdr:nvPicPr>
        <xdr:cNvPr id="1395" name="image3.png">
          <a:extLst>
            <a:ext uri="{FF2B5EF4-FFF2-40B4-BE49-F238E27FC236}">
              <a16:creationId xmlns:a16="http://schemas.microsoft.com/office/drawing/2014/main" id="{00000000-0008-0000-0100-000073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336</xdr:row>
      <xdr:rowOff>0</xdr:rowOff>
    </xdr:from>
    <xdr:ext cx="200025" cy="200025"/>
    <xdr:pic>
      <xdr:nvPicPr>
        <xdr:cNvPr id="1396" name="image4.png">
          <a:extLst>
            <a:ext uri="{FF2B5EF4-FFF2-40B4-BE49-F238E27FC236}">
              <a16:creationId xmlns:a16="http://schemas.microsoft.com/office/drawing/2014/main" id="{00000000-0008-0000-0100-00007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337</xdr:row>
      <xdr:rowOff>0</xdr:rowOff>
    </xdr:from>
    <xdr:ext cx="200025" cy="200025"/>
    <xdr:pic>
      <xdr:nvPicPr>
        <xdr:cNvPr id="1397" name="image10.png">
          <a:extLst>
            <a:ext uri="{FF2B5EF4-FFF2-40B4-BE49-F238E27FC236}">
              <a16:creationId xmlns:a16="http://schemas.microsoft.com/office/drawing/2014/main" id="{00000000-0008-0000-0100-000075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337</xdr:row>
      <xdr:rowOff>0</xdr:rowOff>
    </xdr:from>
    <xdr:ext cx="200025" cy="200025"/>
    <xdr:pic>
      <xdr:nvPicPr>
        <xdr:cNvPr id="1398" name="image8.png">
          <a:extLst>
            <a:ext uri="{FF2B5EF4-FFF2-40B4-BE49-F238E27FC236}">
              <a16:creationId xmlns:a16="http://schemas.microsoft.com/office/drawing/2014/main" id="{00000000-0008-0000-0100-000076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337</xdr:row>
      <xdr:rowOff>0</xdr:rowOff>
    </xdr:from>
    <xdr:ext cx="200025" cy="200025"/>
    <xdr:pic>
      <xdr:nvPicPr>
        <xdr:cNvPr id="1399" name="image2.png">
          <a:extLst>
            <a:ext uri="{FF2B5EF4-FFF2-40B4-BE49-F238E27FC236}">
              <a16:creationId xmlns:a16="http://schemas.microsoft.com/office/drawing/2014/main" id="{00000000-0008-0000-0100-00007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337</xdr:row>
      <xdr:rowOff>0</xdr:rowOff>
    </xdr:from>
    <xdr:ext cx="200025" cy="200025"/>
    <xdr:pic>
      <xdr:nvPicPr>
        <xdr:cNvPr id="1400" name="image3.png">
          <a:extLst>
            <a:ext uri="{FF2B5EF4-FFF2-40B4-BE49-F238E27FC236}">
              <a16:creationId xmlns:a16="http://schemas.microsoft.com/office/drawing/2014/main" id="{00000000-0008-0000-0100-000078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337</xdr:row>
      <xdr:rowOff>0</xdr:rowOff>
    </xdr:from>
    <xdr:ext cx="200025" cy="200025"/>
    <xdr:pic>
      <xdr:nvPicPr>
        <xdr:cNvPr id="1401" name="image4.png">
          <a:extLst>
            <a:ext uri="{FF2B5EF4-FFF2-40B4-BE49-F238E27FC236}">
              <a16:creationId xmlns:a16="http://schemas.microsoft.com/office/drawing/2014/main" id="{00000000-0008-0000-0100-00007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338</xdr:row>
      <xdr:rowOff>0</xdr:rowOff>
    </xdr:from>
    <xdr:ext cx="200025" cy="200025"/>
    <xdr:pic>
      <xdr:nvPicPr>
        <xdr:cNvPr id="1402" name="image10.png">
          <a:extLst>
            <a:ext uri="{FF2B5EF4-FFF2-40B4-BE49-F238E27FC236}">
              <a16:creationId xmlns:a16="http://schemas.microsoft.com/office/drawing/2014/main" id="{00000000-0008-0000-0100-00007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338</xdr:row>
      <xdr:rowOff>0</xdr:rowOff>
    </xdr:from>
    <xdr:ext cx="200025" cy="200025"/>
    <xdr:pic>
      <xdr:nvPicPr>
        <xdr:cNvPr id="1403" name="image8.png">
          <a:extLst>
            <a:ext uri="{FF2B5EF4-FFF2-40B4-BE49-F238E27FC236}">
              <a16:creationId xmlns:a16="http://schemas.microsoft.com/office/drawing/2014/main" id="{00000000-0008-0000-0100-00007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338</xdr:row>
      <xdr:rowOff>0</xdr:rowOff>
    </xdr:from>
    <xdr:ext cx="200025" cy="200025"/>
    <xdr:pic>
      <xdr:nvPicPr>
        <xdr:cNvPr id="1404" name="image2.png">
          <a:extLst>
            <a:ext uri="{FF2B5EF4-FFF2-40B4-BE49-F238E27FC236}">
              <a16:creationId xmlns:a16="http://schemas.microsoft.com/office/drawing/2014/main" id="{00000000-0008-0000-0100-00007C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338</xdr:row>
      <xdr:rowOff>0</xdr:rowOff>
    </xdr:from>
    <xdr:ext cx="200025" cy="200025"/>
    <xdr:pic>
      <xdr:nvPicPr>
        <xdr:cNvPr id="1405" name="image3.png">
          <a:extLst>
            <a:ext uri="{FF2B5EF4-FFF2-40B4-BE49-F238E27FC236}">
              <a16:creationId xmlns:a16="http://schemas.microsoft.com/office/drawing/2014/main" id="{00000000-0008-0000-0100-00007D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338</xdr:row>
      <xdr:rowOff>0</xdr:rowOff>
    </xdr:from>
    <xdr:ext cx="200025" cy="200025"/>
    <xdr:pic>
      <xdr:nvPicPr>
        <xdr:cNvPr id="1406" name="image4.png">
          <a:extLst>
            <a:ext uri="{FF2B5EF4-FFF2-40B4-BE49-F238E27FC236}">
              <a16:creationId xmlns:a16="http://schemas.microsoft.com/office/drawing/2014/main" id="{00000000-0008-0000-0100-00007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339</xdr:row>
      <xdr:rowOff>0</xdr:rowOff>
    </xdr:from>
    <xdr:ext cx="200025" cy="200025"/>
    <xdr:pic>
      <xdr:nvPicPr>
        <xdr:cNvPr id="1407" name="image10.png">
          <a:extLst>
            <a:ext uri="{FF2B5EF4-FFF2-40B4-BE49-F238E27FC236}">
              <a16:creationId xmlns:a16="http://schemas.microsoft.com/office/drawing/2014/main" id="{00000000-0008-0000-0100-00007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339</xdr:row>
      <xdr:rowOff>0</xdr:rowOff>
    </xdr:from>
    <xdr:ext cx="200025" cy="200025"/>
    <xdr:pic>
      <xdr:nvPicPr>
        <xdr:cNvPr id="1408" name="image1.png">
          <a:extLst>
            <a:ext uri="{FF2B5EF4-FFF2-40B4-BE49-F238E27FC236}">
              <a16:creationId xmlns:a16="http://schemas.microsoft.com/office/drawing/2014/main" id="{00000000-0008-0000-0100-000080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339</xdr:row>
      <xdr:rowOff>0</xdr:rowOff>
    </xdr:from>
    <xdr:ext cx="200025" cy="200025"/>
    <xdr:pic>
      <xdr:nvPicPr>
        <xdr:cNvPr id="1409" name="image6.png">
          <a:extLst>
            <a:ext uri="{FF2B5EF4-FFF2-40B4-BE49-F238E27FC236}">
              <a16:creationId xmlns:a16="http://schemas.microsoft.com/office/drawing/2014/main" id="{00000000-0008-0000-0100-000081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339</xdr:row>
      <xdr:rowOff>0</xdr:rowOff>
    </xdr:from>
    <xdr:ext cx="200025" cy="200025"/>
    <xdr:pic>
      <xdr:nvPicPr>
        <xdr:cNvPr id="1410" name="image3.png">
          <a:extLst>
            <a:ext uri="{FF2B5EF4-FFF2-40B4-BE49-F238E27FC236}">
              <a16:creationId xmlns:a16="http://schemas.microsoft.com/office/drawing/2014/main" id="{00000000-0008-0000-0100-000082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200025" cy="200025"/>
    <xdr:pic>
      <xdr:nvPicPr>
        <xdr:cNvPr id="1411" name="image4.png">
          <a:extLst>
            <a:ext uri="{FF2B5EF4-FFF2-40B4-BE49-F238E27FC236}">
              <a16:creationId xmlns:a16="http://schemas.microsoft.com/office/drawing/2014/main" id="{00000000-0008-0000-0100-000083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340</xdr:row>
      <xdr:rowOff>0</xdr:rowOff>
    </xdr:from>
    <xdr:ext cx="200025" cy="200025"/>
    <xdr:pic>
      <xdr:nvPicPr>
        <xdr:cNvPr id="1412" name="image10.png">
          <a:extLst>
            <a:ext uri="{FF2B5EF4-FFF2-40B4-BE49-F238E27FC236}">
              <a16:creationId xmlns:a16="http://schemas.microsoft.com/office/drawing/2014/main" id="{00000000-0008-0000-0100-000084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340</xdr:row>
      <xdr:rowOff>0</xdr:rowOff>
    </xdr:from>
    <xdr:ext cx="200025" cy="200025"/>
    <xdr:pic>
      <xdr:nvPicPr>
        <xdr:cNvPr id="1413" name="image8.png">
          <a:extLst>
            <a:ext uri="{FF2B5EF4-FFF2-40B4-BE49-F238E27FC236}">
              <a16:creationId xmlns:a16="http://schemas.microsoft.com/office/drawing/2014/main" id="{00000000-0008-0000-0100-000085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340</xdr:row>
      <xdr:rowOff>0</xdr:rowOff>
    </xdr:from>
    <xdr:ext cx="200025" cy="200025"/>
    <xdr:pic>
      <xdr:nvPicPr>
        <xdr:cNvPr id="1414" name="image2.png">
          <a:extLst>
            <a:ext uri="{FF2B5EF4-FFF2-40B4-BE49-F238E27FC236}">
              <a16:creationId xmlns:a16="http://schemas.microsoft.com/office/drawing/2014/main" id="{00000000-0008-0000-0100-00008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340</xdr:row>
      <xdr:rowOff>0</xdr:rowOff>
    </xdr:from>
    <xdr:ext cx="200025" cy="200025"/>
    <xdr:pic>
      <xdr:nvPicPr>
        <xdr:cNvPr id="1415" name="image6.png">
          <a:extLst>
            <a:ext uri="{FF2B5EF4-FFF2-40B4-BE49-F238E27FC236}">
              <a16:creationId xmlns:a16="http://schemas.microsoft.com/office/drawing/2014/main" id="{00000000-0008-0000-0100-00008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340</xdr:row>
      <xdr:rowOff>0</xdr:rowOff>
    </xdr:from>
    <xdr:ext cx="200025" cy="200025"/>
    <xdr:pic>
      <xdr:nvPicPr>
        <xdr:cNvPr id="1416" name="image3.png">
          <a:extLst>
            <a:ext uri="{FF2B5EF4-FFF2-40B4-BE49-F238E27FC236}">
              <a16:creationId xmlns:a16="http://schemas.microsoft.com/office/drawing/2014/main" id="{00000000-0008-0000-0100-000088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340</xdr:row>
      <xdr:rowOff>0</xdr:rowOff>
    </xdr:from>
    <xdr:ext cx="200025" cy="200025"/>
    <xdr:pic>
      <xdr:nvPicPr>
        <xdr:cNvPr id="1417" name="image4.png">
          <a:extLst>
            <a:ext uri="{FF2B5EF4-FFF2-40B4-BE49-F238E27FC236}">
              <a16:creationId xmlns:a16="http://schemas.microsoft.com/office/drawing/2014/main" id="{00000000-0008-0000-0100-00008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341</xdr:row>
      <xdr:rowOff>0</xdr:rowOff>
    </xdr:from>
    <xdr:ext cx="200025" cy="200025"/>
    <xdr:pic>
      <xdr:nvPicPr>
        <xdr:cNvPr id="1418" name="image10.png">
          <a:extLst>
            <a:ext uri="{FF2B5EF4-FFF2-40B4-BE49-F238E27FC236}">
              <a16:creationId xmlns:a16="http://schemas.microsoft.com/office/drawing/2014/main" id="{00000000-0008-0000-0100-00008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341</xdr:row>
      <xdr:rowOff>0</xdr:rowOff>
    </xdr:from>
    <xdr:ext cx="200025" cy="200025"/>
    <xdr:pic>
      <xdr:nvPicPr>
        <xdr:cNvPr id="1419" name="image8.png">
          <a:extLst>
            <a:ext uri="{FF2B5EF4-FFF2-40B4-BE49-F238E27FC236}">
              <a16:creationId xmlns:a16="http://schemas.microsoft.com/office/drawing/2014/main" id="{00000000-0008-0000-0100-00008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341</xdr:row>
      <xdr:rowOff>0</xdr:rowOff>
    </xdr:from>
    <xdr:ext cx="200025" cy="200025"/>
    <xdr:pic>
      <xdr:nvPicPr>
        <xdr:cNvPr id="1420" name="image2.png">
          <a:extLst>
            <a:ext uri="{FF2B5EF4-FFF2-40B4-BE49-F238E27FC236}">
              <a16:creationId xmlns:a16="http://schemas.microsoft.com/office/drawing/2014/main" id="{00000000-0008-0000-0100-00008C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341</xdr:row>
      <xdr:rowOff>0</xdr:rowOff>
    </xdr:from>
    <xdr:ext cx="200025" cy="200025"/>
    <xdr:pic>
      <xdr:nvPicPr>
        <xdr:cNvPr id="1421" name="image6.png">
          <a:extLst>
            <a:ext uri="{FF2B5EF4-FFF2-40B4-BE49-F238E27FC236}">
              <a16:creationId xmlns:a16="http://schemas.microsoft.com/office/drawing/2014/main" id="{00000000-0008-0000-0100-00008D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341</xdr:row>
      <xdr:rowOff>0</xdr:rowOff>
    </xdr:from>
    <xdr:ext cx="200025" cy="200025"/>
    <xdr:pic>
      <xdr:nvPicPr>
        <xdr:cNvPr id="1422" name="image3.png">
          <a:extLst>
            <a:ext uri="{FF2B5EF4-FFF2-40B4-BE49-F238E27FC236}">
              <a16:creationId xmlns:a16="http://schemas.microsoft.com/office/drawing/2014/main" id="{00000000-0008-0000-0100-00008E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341</xdr:row>
      <xdr:rowOff>0</xdr:rowOff>
    </xdr:from>
    <xdr:ext cx="200025" cy="200025"/>
    <xdr:pic>
      <xdr:nvPicPr>
        <xdr:cNvPr id="1423" name="image4.png">
          <a:extLst>
            <a:ext uri="{FF2B5EF4-FFF2-40B4-BE49-F238E27FC236}">
              <a16:creationId xmlns:a16="http://schemas.microsoft.com/office/drawing/2014/main" id="{00000000-0008-0000-0100-00008F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342</xdr:row>
      <xdr:rowOff>0</xdr:rowOff>
    </xdr:from>
    <xdr:ext cx="200025" cy="200025"/>
    <xdr:pic>
      <xdr:nvPicPr>
        <xdr:cNvPr id="1424" name="image3.png">
          <a:extLst>
            <a:ext uri="{FF2B5EF4-FFF2-40B4-BE49-F238E27FC236}">
              <a16:creationId xmlns:a16="http://schemas.microsoft.com/office/drawing/2014/main" id="{00000000-0008-0000-0100-000090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0</xdr:colOff>
      <xdr:row>342</xdr:row>
      <xdr:rowOff>0</xdr:rowOff>
    </xdr:from>
    <xdr:ext cx="200025" cy="200025"/>
    <xdr:pic>
      <xdr:nvPicPr>
        <xdr:cNvPr id="1425" name="image11.png">
          <a:extLst>
            <a:ext uri="{FF2B5EF4-FFF2-40B4-BE49-F238E27FC236}">
              <a16:creationId xmlns:a16="http://schemas.microsoft.com/office/drawing/2014/main" id="{00000000-0008-0000-0100-000091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342</xdr:row>
      <xdr:rowOff>0</xdr:rowOff>
    </xdr:from>
    <xdr:ext cx="200025" cy="200025"/>
    <xdr:pic>
      <xdr:nvPicPr>
        <xdr:cNvPr id="1426" name="image4.png">
          <a:extLst>
            <a:ext uri="{FF2B5EF4-FFF2-40B4-BE49-F238E27FC236}">
              <a16:creationId xmlns:a16="http://schemas.microsoft.com/office/drawing/2014/main" id="{00000000-0008-0000-0100-000092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343</xdr:row>
      <xdr:rowOff>0</xdr:rowOff>
    </xdr:from>
    <xdr:ext cx="200025" cy="200025"/>
    <xdr:pic>
      <xdr:nvPicPr>
        <xdr:cNvPr id="1427" name="image10.png">
          <a:extLst>
            <a:ext uri="{FF2B5EF4-FFF2-40B4-BE49-F238E27FC236}">
              <a16:creationId xmlns:a16="http://schemas.microsoft.com/office/drawing/2014/main" id="{00000000-0008-0000-0100-000093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343</xdr:row>
      <xdr:rowOff>0</xdr:rowOff>
    </xdr:from>
    <xdr:ext cx="200025" cy="200025"/>
    <xdr:pic>
      <xdr:nvPicPr>
        <xdr:cNvPr id="1428" name="image8.png">
          <a:extLst>
            <a:ext uri="{FF2B5EF4-FFF2-40B4-BE49-F238E27FC236}">
              <a16:creationId xmlns:a16="http://schemas.microsoft.com/office/drawing/2014/main" id="{00000000-0008-0000-0100-000094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343</xdr:row>
      <xdr:rowOff>0</xdr:rowOff>
    </xdr:from>
    <xdr:ext cx="200025" cy="200025"/>
    <xdr:pic>
      <xdr:nvPicPr>
        <xdr:cNvPr id="1429" name="image2.png">
          <a:extLst>
            <a:ext uri="{FF2B5EF4-FFF2-40B4-BE49-F238E27FC236}">
              <a16:creationId xmlns:a16="http://schemas.microsoft.com/office/drawing/2014/main" id="{00000000-0008-0000-0100-000095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344</xdr:row>
      <xdr:rowOff>0</xdr:rowOff>
    </xdr:from>
    <xdr:ext cx="200025" cy="200025"/>
    <xdr:pic>
      <xdr:nvPicPr>
        <xdr:cNvPr id="1430" name="image10.png">
          <a:extLst>
            <a:ext uri="{FF2B5EF4-FFF2-40B4-BE49-F238E27FC236}">
              <a16:creationId xmlns:a16="http://schemas.microsoft.com/office/drawing/2014/main" id="{00000000-0008-0000-0100-00009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344</xdr:row>
      <xdr:rowOff>0</xdr:rowOff>
    </xdr:from>
    <xdr:ext cx="200025" cy="200025"/>
    <xdr:pic>
      <xdr:nvPicPr>
        <xdr:cNvPr id="1431" name="image8.png">
          <a:extLst>
            <a:ext uri="{FF2B5EF4-FFF2-40B4-BE49-F238E27FC236}">
              <a16:creationId xmlns:a16="http://schemas.microsoft.com/office/drawing/2014/main" id="{00000000-0008-0000-0100-000097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344</xdr:row>
      <xdr:rowOff>0</xdr:rowOff>
    </xdr:from>
    <xdr:ext cx="200025" cy="200025"/>
    <xdr:pic>
      <xdr:nvPicPr>
        <xdr:cNvPr id="1432" name="image1.png">
          <a:extLst>
            <a:ext uri="{FF2B5EF4-FFF2-40B4-BE49-F238E27FC236}">
              <a16:creationId xmlns:a16="http://schemas.microsoft.com/office/drawing/2014/main" id="{00000000-0008-0000-0100-000098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344</xdr:row>
      <xdr:rowOff>0</xdr:rowOff>
    </xdr:from>
    <xdr:ext cx="200025" cy="200025"/>
    <xdr:pic>
      <xdr:nvPicPr>
        <xdr:cNvPr id="1433" name="image12.png">
          <a:extLst>
            <a:ext uri="{FF2B5EF4-FFF2-40B4-BE49-F238E27FC236}">
              <a16:creationId xmlns:a16="http://schemas.microsoft.com/office/drawing/2014/main" id="{00000000-0008-0000-0100-000099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344</xdr:row>
      <xdr:rowOff>0</xdr:rowOff>
    </xdr:from>
    <xdr:ext cx="200025" cy="200025"/>
    <xdr:pic>
      <xdr:nvPicPr>
        <xdr:cNvPr id="1434" name="image9.png">
          <a:extLst>
            <a:ext uri="{FF2B5EF4-FFF2-40B4-BE49-F238E27FC236}">
              <a16:creationId xmlns:a16="http://schemas.microsoft.com/office/drawing/2014/main" id="{00000000-0008-0000-0100-00009A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345</xdr:row>
      <xdr:rowOff>0</xdr:rowOff>
    </xdr:from>
    <xdr:ext cx="200025" cy="200025"/>
    <xdr:pic>
      <xdr:nvPicPr>
        <xdr:cNvPr id="1435" name="image8.png">
          <a:extLst>
            <a:ext uri="{FF2B5EF4-FFF2-40B4-BE49-F238E27FC236}">
              <a16:creationId xmlns:a16="http://schemas.microsoft.com/office/drawing/2014/main" id="{00000000-0008-0000-0100-00009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345</xdr:row>
      <xdr:rowOff>0</xdr:rowOff>
    </xdr:from>
    <xdr:ext cx="200025" cy="200025"/>
    <xdr:pic>
      <xdr:nvPicPr>
        <xdr:cNvPr id="1436" name="image12.png">
          <a:extLst>
            <a:ext uri="{FF2B5EF4-FFF2-40B4-BE49-F238E27FC236}">
              <a16:creationId xmlns:a16="http://schemas.microsoft.com/office/drawing/2014/main" id="{00000000-0008-0000-0100-00009C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345</xdr:row>
      <xdr:rowOff>0</xdr:rowOff>
    </xdr:from>
    <xdr:ext cx="200025" cy="200025"/>
    <xdr:pic>
      <xdr:nvPicPr>
        <xdr:cNvPr id="1437" name="image3.png">
          <a:extLst>
            <a:ext uri="{FF2B5EF4-FFF2-40B4-BE49-F238E27FC236}">
              <a16:creationId xmlns:a16="http://schemas.microsoft.com/office/drawing/2014/main" id="{00000000-0008-0000-0100-00009D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345</xdr:row>
      <xdr:rowOff>0</xdr:rowOff>
    </xdr:from>
    <xdr:ext cx="200025" cy="200025"/>
    <xdr:pic>
      <xdr:nvPicPr>
        <xdr:cNvPr id="1438" name="image10.png">
          <a:extLst>
            <a:ext uri="{FF2B5EF4-FFF2-40B4-BE49-F238E27FC236}">
              <a16:creationId xmlns:a16="http://schemas.microsoft.com/office/drawing/2014/main" id="{00000000-0008-0000-0100-00009E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346</xdr:row>
      <xdr:rowOff>0</xdr:rowOff>
    </xdr:from>
    <xdr:ext cx="200025" cy="200025"/>
    <xdr:pic>
      <xdr:nvPicPr>
        <xdr:cNvPr id="1439" name="image10.png">
          <a:extLst>
            <a:ext uri="{FF2B5EF4-FFF2-40B4-BE49-F238E27FC236}">
              <a16:creationId xmlns:a16="http://schemas.microsoft.com/office/drawing/2014/main" id="{00000000-0008-0000-0100-00009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346</xdr:row>
      <xdr:rowOff>0</xdr:rowOff>
    </xdr:from>
    <xdr:ext cx="200025" cy="200025"/>
    <xdr:pic>
      <xdr:nvPicPr>
        <xdr:cNvPr id="1440" name="image5.png">
          <a:extLst>
            <a:ext uri="{FF2B5EF4-FFF2-40B4-BE49-F238E27FC236}">
              <a16:creationId xmlns:a16="http://schemas.microsoft.com/office/drawing/2014/main" id="{00000000-0008-0000-0100-0000A0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346</xdr:row>
      <xdr:rowOff>0</xdr:rowOff>
    </xdr:from>
    <xdr:ext cx="200025" cy="200025"/>
    <xdr:pic>
      <xdr:nvPicPr>
        <xdr:cNvPr id="1441" name="image1.png">
          <a:extLst>
            <a:ext uri="{FF2B5EF4-FFF2-40B4-BE49-F238E27FC236}">
              <a16:creationId xmlns:a16="http://schemas.microsoft.com/office/drawing/2014/main" id="{00000000-0008-0000-0100-0000A1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347</xdr:row>
      <xdr:rowOff>0</xdr:rowOff>
    </xdr:from>
    <xdr:ext cx="200025" cy="200025"/>
    <xdr:pic>
      <xdr:nvPicPr>
        <xdr:cNvPr id="1442" name="image2.png">
          <a:extLst>
            <a:ext uri="{FF2B5EF4-FFF2-40B4-BE49-F238E27FC236}">
              <a16:creationId xmlns:a16="http://schemas.microsoft.com/office/drawing/2014/main" id="{00000000-0008-0000-0100-0000A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347</xdr:row>
      <xdr:rowOff>0</xdr:rowOff>
    </xdr:from>
    <xdr:ext cx="200025" cy="200025"/>
    <xdr:pic>
      <xdr:nvPicPr>
        <xdr:cNvPr id="1443" name="image1.png">
          <a:extLst>
            <a:ext uri="{FF2B5EF4-FFF2-40B4-BE49-F238E27FC236}">
              <a16:creationId xmlns:a16="http://schemas.microsoft.com/office/drawing/2014/main" id="{00000000-0008-0000-0100-0000A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347</xdr:row>
      <xdr:rowOff>0</xdr:rowOff>
    </xdr:from>
    <xdr:ext cx="200025" cy="200025"/>
    <xdr:pic>
      <xdr:nvPicPr>
        <xdr:cNvPr id="1444" name="image5.png">
          <a:extLst>
            <a:ext uri="{FF2B5EF4-FFF2-40B4-BE49-F238E27FC236}">
              <a16:creationId xmlns:a16="http://schemas.microsoft.com/office/drawing/2014/main" id="{00000000-0008-0000-0100-0000A4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347</xdr:row>
      <xdr:rowOff>0</xdr:rowOff>
    </xdr:from>
    <xdr:ext cx="200025" cy="200025"/>
    <xdr:pic>
      <xdr:nvPicPr>
        <xdr:cNvPr id="1445" name="image4.png">
          <a:extLst>
            <a:ext uri="{FF2B5EF4-FFF2-40B4-BE49-F238E27FC236}">
              <a16:creationId xmlns:a16="http://schemas.microsoft.com/office/drawing/2014/main" id="{00000000-0008-0000-0100-0000A5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347</xdr:row>
      <xdr:rowOff>0</xdr:rowOff>
    </xdr:from>
    <xdr:ext cx="200025" cy="200025"/>
    <xdr:pic>
      <xdr:nvPicPr>
        <xdr:cNvPr id="1446" name="image10.png">
          <a:extLst>
            <a:ext uri="{FF2B5EF4-FFF2-40B4-BE49-F238E27FC236}">
              <a16:creationId xmlns:a16="http://schemas.microsoft.com/office/drawing/2014/main" id="{00000000-0008-0000-0100-0000A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348</xdr:row>
      <xdr:rowOff>0</xdr:rowOff>
    </xdr:from>
    <xdr:ext cx="200025" cy="200025"/>
    <xdr:pic>
      <xdr:nvPicPr>
        <xdr:cNvPr id="1447" name="image10.png">
          <a:extLst>
            <a:ext uri="{FF2B5EF4-FFF2-40B4-BE49-F238E27FC236}">
              <a16:creationId xmlns:a16="http://schemas.microsoft.com/office/drawing/2014/main" id="{00000000-0008-0000-0100-0000A7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348</xdr:row>
      <xdr:rowOff>0</xdr:rowOff>
    </xdr:from>
    <xdr:ext cx="200025" cy="200025"/>
    <xdr:pic>
      <xdr:nvPicPr>
        <xdr:cNvPr id="1448" name="image1.png">
          <a:extLst>
            <a:ext uri="{FF2B5EF4-FFF2-40B4-BE49-F238E27FC236}">
              <a16:creationId xmlns:a16="http://schemas.microsoft.com/office/drawing/2014/main" id="{00000000-0008-0000-0100-0000A8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348</xdr:row>
      <xdr:rowOff>0</xdr:rowOff>
    </xdr:from>
    <xdr:ext cx="200025" cy="200025"/>
    <xdr:pic>
      <xdr:nvPicPr>
        <xdr:cNvPr id="1449" name="image3.png">
          <a:extLst>
            <a:ext uri="{FF2B5EF4-FFF2-40B4-BE49-F238E27FC236}">
              <a16:creationId xmlns:a16="http://schemas.microsoft.com/office/drawing/2014/main" id="{00000000-0008-0000-0100-0000A9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348</xdr:row>
      <xdr:rowOff>0</xdr:rowOff>
    </xdr:from>
    <xdr:ext cx="200025" cy="200025"/>
    <xdr:pic>
      <xdr:nvPicPr>
        <xdr:cNvPr id="1450" name="image9.png">
          <a:extLst>
            <a:ext uri="{FF2B5EF4-FFF2-40B4-BE49-F238E27FC236}">
              <a16:creationId xmlns:a16="http://schemas.microsoft.com/office/drawing/2014/main" id="{00000000-0008-0000-0100-0000AA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349</xdr:row>
      <xdr:rowOff>0</xdr:rowOff>
    </xdr:from>
    <xdr:ext cx="200025" cy="200025"/>
    <xdr:pic>
      <xdr:nvPicPr>
        <xdr:cNvPr id="1451" name="image2.png">
          <a:extLst>
            <a:ext uri="{FF2B5EF4-FFF2-40B4-BE49-F238E27FC236}">
              <a16:creationId xmlns:a16="http://schemas.microsoft.com/office/drawing/2014/main" id="{00000000-0008-0000-0100-0000AB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349</xdr:row>
      <xdr:rowOff>0</xdr:rowOff>
    </xdr:from>
    <xdr:ext cx="200025" cy="200025"/>
    <xdr:pic>
      <xdr:nvPicPr>
        <xdr:cNvPr id="1452" name="image6.png">
          <a:extLst>
            <a:ext uri="{FF2B5EF4-FFF2-40B4-BE49-F238E27FC236}">
              <a16:creationId xmlns:a16="http://schemas.microsoft.com/office/drawing/2014/main" id="{00000000-0008-0000-0100-0000A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349</xdr:row>
      <xdr:rowOff>0</xdr:rowOff>
    </xdr:from>
    <xdr:ext cx="200025" cy="200025"/>
    <xdr:pic>
      <xdr:nvPicPr>
        <xdr:cNvPr id="1453" name="image5.png">
          <a:extLst>
            <a:ext uri="{FF2B5EF4-FFF2-40B4-BE49-F238E27FC236}">
              <a16:creationId xmlns:a16="http://schemas.microsoft.com/office/drawing/2014/main" id="{00000000-0008-0000-0100-0000AD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349</xdr:row>
      <xdr:rowOff>0</xdr:rowOff>
    </xdr:from>
    <xdr:ext cx="200025" cy="200025"/>
    <xdr:pic>
      <xdr:nvPicPr>
        <xdr:cNvPr id="1454" name="image7.png">
          <a:extLst>
            <a:ext uri="{FF2B5EF4-FFF2-40B4-BE49-F238E27FC236}">
              <a16:creationId xmlns:a16="http://schemas.microsoft.com/office/drawing/2014/main" id="{00000000-0008-0000-0100-0000AE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349</xdr:row>
      <xdr:rowOff>0</xdr:rowOff>
    </xdr:from>
    <xdr:ext cx="200025" cy="200025"/>
    <xdr:pic>
      <xdr:nvPicPr>
        <xdr:cNvPr id="1455" name="image10.png">
          <a:extLst>
            <a:ext uri="{FF2B5EF4-FFF2-40B4-BE49-F238E27FC236}">
              <a16:creationId xmlns:a16="http://schemas.microsoft.com/office/drawing/2014/main" id="{00000000-0008-0000-0100-0000A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350</xdr:row>
      <xdr:rowOff>0</xdr:rowOff>
    </xdr:from>
    <xdr:ext cx="200025" cy="200025"/>
    <xdr:pic>
      <xdr:nvPicPr>
        <xdr:cNvPr id="1456" name="image10.png">
          <a:extLst>
            <a:ext uri="{FF2B5EF4-FFF2-40B4-BE49-F238E27FC236}">
              <a16:creationId xmlns:a16="http://schemas.microsoft.com/office/drawing/2014/main" id="{00000000-0008-0000-0100-0000B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350</xdr:row>
      <xdr:rowOff>0</xdr:rowOff>
    </xdr:from>
    <xdr:ext cx="200025" cy="200025"/>
    <xdr:pic>
      <xdr:nvPicPr>
        <xdr:cNvPr id="1457" name="image8.png">
          <a:extLst>
            <a:ext uri="{FF2B5EF4-FFF2-40B4-BE49-F238E27FC236}">
              <a16:creationId xmlns:a16="http://schemas.microsoft.com/office/drawing/2014/main" id="{00000000-0008-0000-0100-0000B1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350</xdr:row>
      <xdr:rowOff>0</xdr:rowOff>
    </xdr:from>
    <xdr:ext cx="200025" cy="200025"/>
    <xdr:pic>
      <xdr:nvPicPr>
        <xdr:cNvPr id="1458" name="image2.png">
          <a:extLst>
            <a:ext uri="{FF2B5EF4-FFF2-40B4-BE49-F238E27FC236}">
              <a16:creationId xmlns:a16="http://schemas.microsoft.com/office/drawing/2014/main" id="{00000000-0008-0000-0100-0000B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350</xdr:row>
      <xdr:rowOff>0</xdr:rowOff>
    </xdr:from>
    <xdr:ext cx="200025" cy="200025"/>
    <xdr:pic>
      <xdr:nvPicPr>
        <xdr:cNvPr id="1459" name="image1.png">
          <a:extLst>
            <a:ext uri="{FF2B5EF4-FFF2-40B4-BE49-F238E27FC236}">
              <a16:creationId xmlns:a16="http://schemas.microsoft.com/office/drawing/2014/main" id="{00000000-0008-0000-0100-0000B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351</xdr:row>
      <xdr:rowOff>0</xdr:rowOff>
    </xdr:from>
    <xdr:ext cx="200025" cy="200025"/>
    <xdr:pic>
      <xdr:nvPicPr>
        <xdr:cNvPr id="1460" name="image10.png">
          <a:extLst>
            <a:ext uri="{FF2B5EF4-FFF2-40B4-BE49-F238E27FC236}">
              <a16:creationId xmlns:a16="http://schemas.microsoft.com/office/drawing/2014/main" id="{00000000-0008-0000-0100-0000B4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351</xdr:row>
      <xdr:rowOff>0</xdr:rowOff>
    </xdr:from>
    <xdr:ext cx="200025" cy="200025"/>
    <xdr:pic>
      <xdr:nvPicPr>
        <xdr:cNvPr id="1461" name="image9.png">
          <a:extLst>
            <a:ext uri="{FF2B5EF4-FFF2-40B4-BE49-F238E27FC236}">
              <a16:creationId xmlns:a16="http://schemas.microsoft.com/office/drawing/2014/main" id="{00000000-0008-0000-0100-0000B5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351</xdr:row>
      <xdr:rowOff>0</xdr:rowOff>
    </xdr:from>
    <xdr:ext cx="200025" cy="200025"/>
    <xdr:pic>
      <xdr:nvPicPr>
        <xdr:cNvPr id="1462" name="image5.png">
          <a:extLst>
            <a:ext uri="{FF2B5EF4-FFF2-40B4-BE49-F238E27FC236}">
              <a16:creationId xmlns:a16="http://schemas.microsoft.com/office/drawing/2014/main" id="{00000000-0008-0000-0100-0000B6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352</xdr:row>
      <xdr:rowOff>0</xdr:rowOff>
    </xdr:from>
    <xdr:ext cx="200025" cy="200025"/>
    <xdr:pic>
      <xdr:nvPicPr>
        <xdr:cNvPr id="1463" name="image10.png">
          <a:extLst>
            <a:ext uri="{FF2B5EF4-FFF2-40B4-BE49-F238E27FC236}">
              <a16:creationId xmlns:a16="http://schemas.microsoft.com/office/drawing/2014/main" id="{00000000-0008-0000-0100-0000B7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352</xdr:row>
      <xdr:rowOff>0</xdr:rowOff>
    </xdr:from>
    <xdr:ext cx="200025" cy="200025"/>
    <xdr:pic>
      <xdr:nvPicPr>
        <xdr:cNvPr id="1464" name="image9.png">
          <a:extLst>
            <a:ext uri="{FF2B5EF4-FFF2-40B4-BE49-F238E27FC236}">
              <a16:creationId xmlns:a16="http://schemas.microsoft.com/office/drawing/2014/main" id="{00000000-0008-0000-0100-0000B8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352</xdr:row>
      <xdr:rowOff>0</xdr:rowOff>
    </xdr:from>
    <xdr:ext cx="200025" cy="200025"/>
    <xdr:pic>
      <xdr:nvPicPr>
        <xdr:cNvPr id="1465" name="image5.png">
          <a:extLst>
            <a:ext uri="{FF2B5EF4-FFF2-40B4-BE49-F238E27FC236}">
              <a16:creationId xmlns:a16="http://schemas.microsoft.com/office/drawing/2014/main" id="{00000000-0008-0000-0100-0000B9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353</xdr:row>
      <xdr:rowOff>0</xdr:rowOff>
    </xdr:from>
    <xdr:ext cx="200025" cy="200025"/>
    <xdr:pic>
      <xdr:nvPicPr>
        <xdr:cNvPr id="1466" name="image10.png">
          <a:extLst>
            <a:ext uri="{FF2B5EF4-FFF2-40B4-BE49-F238E27FC236}">
              <a16:creationId xmlns:a16="http://schemas.microsoft.com/office/drawing/2014/main" id="{00000000-0008-0000-0100-0000B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353</xdr:row>
      <xdr:rowOff>0</xdr:rowOff>
    </xdr:from>
    <xdr:ext cx="200025" cy="200025"/>
    <xdr:pic>
      <xdr:nvPicPr>
        <xdr:cNvPr id="1467" name="image9.png">
          <a:extLst>
            <a:ext uri="{FF2B5EF4-FFF2-40B4-BE49-F238E27FC236}">
              <a16:creationId xmlns:a16="http://schemas.microsoft.com/office/drawing/2014/main" id="{00000000-0008-0000-0100-0000BB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353</xdr:row>
      <xdr:rowOff>0</xdr:rowOff>
    </xdr:from>
    <xdr:ext cx="200025" cy="200025"/>
    <xdr:pic>
      <xdr:nvPicPr>
        <xdr:cNvPr id="1468" name="image5.png">
          <a:extLst>
            <a:ext uri="{FF2B5EF4-FFF2-40B4-BE49-F238E27FC236}">
              <a16:creationId xmlns:a16="http://schemas.microsoft.com/office/drawing/2014/main" id="{00000000-0008-0000-0100-0000BC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354</xdr:row>
      <xdr:rowOff>0</xdr:rowOff>
    </xdr:from>
    <xdr:ext cx="200025" cy="200025"/>
    <xdr:pic>
      <xdr:nvPicPr>
        <xdr:cNvPr id="1469" name="image8.png">
          <a:extLst>
            <a:ext uri="{FF2B5EF4-FFF2-40B4-BE49-F238E27FC236}">
              <a16:creationId xmlns:a16="http://schemas.microsoft.com/office/drawing/2014/main" id="{00000000-0008-0000-0100-0000BD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354</xdr:row>
      <xdr:rowOff>0</xdr:rowOff>
    </xdr:from>
    <xdr:ext cx="200025" cy="200025"/>
    <xdr:pic>
      <xdr:nvPicPr>
        <xdr:cNvPr id="1470" name="image1.png">
          <a:extLst>
            <a:ext uri="{FF2B5EF4-FFF2-40B4-BE49-F238E27FC236}">
              <a16:creationId xmlns:a16="http://schemas.microsoft.com/office/drawing/2014/main" id="{00000000-0008-0000-0100-0000BE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354</xdr:row>
      <xdr:rowOff>0</xdr:rowOff>
    </xdr:from>
    <xdr:ext cx="200025" cy="200025"/>
    <xdr:pic>
      <xdr:nvPicPr>
        <xdr:cNvPr id="1471" name="image6.png">
          <a:extLst>
            <a:ext uri="{FF2B5EF4-FFF2-40B4-BE49-F238E27FC236}">
              <a16:creationId xmlns:a16="http://schemas.microsoft.com/office/drawing/2014/main" id="{00000000-0008-0000-0100-0000BF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354</xdr:row>
      <xdr:rowOff>0</xdr:rowOff>
    </xdr:from>
    <xdr:ext cx="200025" cy="200025"/>
    <xdr:pic>
      <xdr:nvPicPr>
        <xdr:cNvPr id="1472" name="image11.png">
          <a:extLst>
            <a:ext uri="{FF2B5EF4-FFF2-40B4-BE49-F238E27FC236}">
              <a16:creationId xmlns:a16="http://schemas.microsoft.com/office/drawing/2014/main" id="{00000000-0008-0000-0100-0000C0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354</xdr:row>
      <xdr:rowOff>0</xdr:rowOff>
    </xdr:from>
    <xdr:ext cx="200025" cy="200025"/>
    <xdr:pic>
      <xdr:nvPicPr>
        <xdr:cNvPr id="1473" name="image9.png">
          <a:extLst>
            <a:ext uri="{FF2B5EF4-FFF2-40B4-BE49-F238E27FC236}">
              <a16:creationId xmlns:a16="http://schemas.microsoft.com/office/drawing/2014/main" id="{00000000-0008-0000-0100-0000C1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355</xdr:row>
      <xdr:rowOff>0</xdr:rowOff>
    </xdr:from>
    <xdr:ext cx="200025" cy="200025"/>
    <xdr:pic>
      <xdr:nvPicPr>
        <xdr:cNvPr id="1474" name="image10.png">
          <a:extLst>
            <a:ext uri="{FF2B5EF4-FFF2-40B4-BE49-F238E27FC236}">
              <a16:creationId xmlns:a16="http://schemas.microsoft.com/office/drawing/2014/main" id="{00000000-0008-0000-0100-0000C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355</xdr:row>
      <xdr:rowOff>0</xdr:rowOff>
    </xdr:from>
    <xdr:ext cx="200025" cy="200025"/>
    <xdr:pic>
      <xdr:nvPicPr>
        <xdr:cNvPr id="1475" name="image8.png">
          <a:extLst>
            <a:ext uri="{FF2B5EF4-FFF2-40B4-BE49-F238E27FC236}">
              <a16:creationId xmlns:a16="http://schemas.microsoft.com/office/drawing/2014/main" id="{00000000-0008-0000-0100-0000C3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355</xdr:row>
      <xdr:rowOff>0</xdr:rowOff>
    </xdr:from>
    <xdr:ext cx="200025" cy="200025"/>
    <xdr:pic>
      <xdr:nvPicPr>
        <xdr:cNvPr id="1476" name="image1.png">
          <a:extLst>
            <a:ext uri="{FF2B5EF4-FFF2-40B4-BE49-F238E27FC236}">
              <a16:creationId xmlns:a16="http://schemas.microsoft.com/office/drawing/2014/main" id="{00000000-0008-0000-0100-0000C4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355</xdr:row>
      <xdr:rowOff>0</xdr:rowOff>
    </xdr:from>
    <xdr:ext cx="200025" cy="200025"/>
    <xdr:pic>
      <xdr:nvPicPr>
        <xdr:cNvPr id="1477" name="image3.png">
          <a:extLst>
            <a:ext uri="{FF2B5EF4-FFF2-40B4-BE49-F238E27FC236}">
              <a16:creationId xmlns:a16="http://schemas.microsoft.com/office/drawing/2014/main" id="{00000000-0008-0000-0100-0000C5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355</xdr:row>
      <xdr:rowOff>0</xdr:rowOff>
    </xdr:from>
    <xdr:ext cx="200025" cy="200025"/>
    <xdr:pic>
      <xdr:nvPicPr>
        <xdr:cNvPr id="1478" name="image9.png">
          <a:extLst>
            <a:ext uri="{FF2B5EF4-FFF2-40B4-BE49-F238E27FC236}">
              <a16:creationId xmlns:a16="http://schemas.microsoft.com/office/drawing/2014/main" id="{00000000-0008-0000-0100-0000C6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356</xdr:row>
      <xdr:rowOff>0</xdr:rowOff>
    </xdr:from>
    <xdr:ext cx="200025" cy="200025"/>
    <xdr:pic>
      <xdr:nvPicPr>
        <xdr:cNvPr id="1479" name="image2.png">
          <a:extLst>
            <a:ext uri="{FF2B5EF4-FFF2-40B4-BE49-F238E27FC236}">
              <a16:creationId xmlns:a16="http://schemas.microsoft.com/office/drawing/2014/main" id="{00000000-0008-0000-0100-0000C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356</xdr:row>
      <xdr:rowOff>0</xdr:rowOff>
    </xdr:from>
    <xdr:ext cx="200025" cy="200025"/>
    <xdr:pic>
      <xdr:nvPicPr>
        <xdr:cNvPr id="1480" name="image12.png">
          <a:extLst>
            <a:ext uri="{FF2B5EF4-FFF2-40B4-BE49-F238E27FC236}">
              <a16:creationId xmlns:a16="http://schemas.microsoft.com/office/drawing/2014/main" id="{00000000-0008-0000-0100-0000C8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356</xdr:row>
      <xdr:rowOff>0</xdr:rowOff>
    </xdr:from>
    <xdr:ext cx="200025" cy="200025"/>
    <xdr:pic>
      <xdr:nvPicPr>
        <xdr:cNvPr id="1481" name="image4.png">
          <a:extLst>
            <a:ext uri="{FF2B5EF4-FFF2-40B4-BE49-F238E27FC236}">
              <a16:creationId xmlns:a16="http://schemas.microsoft.com/office/drawing/2014/main" id="{00000000-0008-0000-0100-0000C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356</xdr:row>
      <xdr:rowOff>0</xdr:rowOff>
    </xdr:from>
    <xdr:ext cx="200025" cy="200025"/>
    <xdr:pic>
      <xdr:nvPicPr>
        <xdr:cNvPr id="1482" name="image6.png">
          <a:extLst>
            <a:ext uri="{FF2B5EF4-FFF2-40B4-BE49-F238E27FC236}">
              <a16:creationId xmlns:a16="http://schemas.microsoft.com/office/drawing/2014/main" id="{00000000-0008-0000-0100-0000CA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357</xdr:row>
      <xdr:rowOff>0</xdr:rowOff>
    </xdr:from>
    <xdr:ext cx="200025" cy="200025"/>
    <xdr:pic>
      <xdr:nvPicPr>
        <xdr:cNvPr id="1483" name="image8.png">
          <a:extLst>
            <a:ext uri="{FF2B5EF4-FFF2-40B4-BE49-F238E27FC236}">
              <a16:creationId xmlns:a16="http://schemas.microsoft.com/office/drawing/2014/main" id="{00000000-0008-0000-0100-0000CB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357</xdr:row>
      <xdr:rowOff>0</xdr:rowOff>
    </xdr:from>
    <xdr:ext cx="200025" cy="200025"/>
    <xdr:pic>
      <xdr:nvPicPr>
        <xdr:cNvPr id="1484" name="image1.png">
          <a:extLst>
            <a:ext uri="{FF2B5EF4-FFF2-40B4-BE49-F238E27FC236}">
              <a16:creationId xmlns:a16="http://schemas.microsoft.com/office/drawing/2014/main" id="{00000000-0008-0000-0100-0000CC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357</xdr:row>
      <xdr:rowOff>0</xdr:rowOff>
    </xdr:from>
    <xdr:ext cx="200025" cy="200025"/>
    <xdr:pic>
      <xdr:nvPicPr>
        <xdr:cNvPr id="1485" name="image6.png">
          <a:extLst>
            <a:ext uri="{FF2B5EF4-FFF2-40B4-BE49-F238E27FC236}">
              <a16:creationId xmlns:a16="http://schemas.microsoft.com/office/drawing/2014/main" id="{00000000-0008-0000-0100-0000CD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357</xdr:row>
      <xdr:rowOff>0</xdr:rowOff>
    </xdr:from>
    <xdr:ext cx="200025" cy="200025"/>
    <xdr:pic>
      <xdr:nvPicPr>
        <xdr:cNvPr id="1486" name="image4.png">
          <a:extLst>
            <a:ext uri="{FF2B5EF4-FFF2-40B4-BE49-F238E27FC236}">
              <a16:creationId xmlns:a16="http://schemas.microsoft.com/office/drawing/2014/main" id="{00000000-0008-0000-0100-0000C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357</xdr:row>
      <xdr:rowOff>0</xdr:rowOff>
    </xdr:from>
    <xdr:ext cx="200025" cy="200025"/>
    <xdr:pic>
      <xdr:nvPicPr>
        <xdr:cNvPr id="1487" name="image3.png">
          <a:extLst>
            <a:ext uri="{FF2B5EF4-FFF2-40B4-BE49-F238E27FC236}">
              <a16:creationId xmlns:a16="http://schemas.microsoft.com/office/drawing/2014/main" id="{00000000-0008-0000-0100-0000CF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358</xdr:row>
      <xdr:rowOff>0</xdr:rowOff>
    </xdr:from>
    <xdr:ext cx="200025" cy="200025"/>
    <xdr:pic>
      <xdr:nvPicPr>
        <xdr:cNvPr id="1488" name="image8.png">
          <a:extLst>
            <a:ext uri="{FF2B5EF4-FFF2-40B4-BE49-F238E27FC236}">
              <a16:creationId xmlns:a16="http://schemas.microsoft.com/office/drawing/2014/main" id="{00000000-0008-0000-0100-0000D0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358</xdr:row>
      <xdr:rowOff>0</xdr:rowOff>
    </xdr:from>
    <xdr:ext cx="200025" cy="200025"/>
    <xdr:pic>
      <xdr:nvPicPr>
        <xdr:cNvPr id="1489" name="image1.png">
          <a:extLst>
            <a:ext uri="{FF2B5EF4-FFF2-40B4-BE49-F238E27FC236}">
              <a16:creationId xmlns:a16="http://schemas.microsoft.com/office/drawing/2014/main" id="{00000000-0008-0000-0100-0000D1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358</xdr:row>
      <xdr:rowOff>0</xdr:rowOff>
    </xdr:from>
    <xdr:ext cx="200025" cy="200025"/>
    <xdr:pic>
      <xdr:nvPicPr>
        <xdr:cNvPr id="1490" name="image4.png">
          <a:extLst>
            <a:ext uri="{FF2B5EF4-FFF2-40B4-BE49-F238E27FC236}">
              <a16:creationId xmlns:a16="http://schemas.microsoft.com/office/drawing/2014/main" id="{00000000-0008-0000-0100-0000D2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358</xdr:row>
      <xdr:rowOff>0</xdr:rowOff>
    </xdr:from>
    <xdr:ext cx="200025" cy="200025"/>
    <xdr:pic>
      <xdr:nvPicPr>
        <xdr:cNvPr id="1491" name="image3.png">
          <a:extLst>
            <a:ext uri="{FF2B5EF4-FFF2-40B4-BE49-F238E27FC236}">
              <a16:creationId xmlns:a16="http://schemas.microsoft.com/office/drawing/2014/main" id="{00000000-0008-0000-0100-0000D3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359</xdr:row>
      <xdr:rowOff>0</xdr:rowOff>
    </xdr:from>
    <xdr:ext cx="200025" cy="200025"/>
    <xdr:pic>
      <xdr:nvPicPr>
        <xdr:cNvPr id="1492" name="image12.png">
          <a:extLst>
            <a:ext uri="{FF2B5EF4-FFF2-40B4-BE49-F238E27FC236}">
              <a16:creationId xmlns:a16="http://schemas.microsoft.com/office/drawing/2014/main" id="{00000000-0008-0000-0100-0000D4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359</xdr:row>
      <xdr:rowOff>0</xdr:rowOff>
    </xdr:from>
    <xdr:ext cx="200025" cy="200025"/>
    <xdr:pic>
      <xdr:nvPicPr>
        <xdr:cNvPr id="1493" name="image4.png">
          <a:extLst>
            <a:ext uri="{FF2B5EF4-FFF2-40B4-BE49-F238E27FC236}">
              <a16:creationId xmlns:a16="http://schemas.microsoft.com/office/drawing/2014/main" id="{00000000-0008-0000-0100-0000D5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359</xdr:row>
      <xdr:rowOff>0</xdr:rowOff>
    </xdr:from>
    <xdr:ext cx="200025" cy="200025"/>
    <xdr:pic>
      <xdr:nvPicPr>
        <xdr:cNvPr id="1494" name="image3.png">
          <a:extLst>
            <a:ext uri="{FF2B5EF4-FFF2-40B4-BE49-F238E27FC236}">
              <a16:creationId xmlns:a16="http://schemas.microsoft.com/office/drawing/2014/main" id="{00000000-0008-0000-0100-0000D6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360</xdr:row>
      <xdr:rowOff>0</xdr:rowOff>
    </xdr:from>
    <xdr:ext cx="200025" cy="200025"/>
    <xdr:pic>
      <xdr:nvPicPr>
        <xdr:cNvPr id="1495" name="image10.png">
          <a:extLst>
            <a:ext uri="{FF2B5EF4-FFF2-40B4-BE49-F238E27FC236}">
              <a16:creationId xmlns:a16="http://schemas.microsoft.com/office/drawing/2014/main" id="{00000000-0008-0000-0100-0000D7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360</xdr:row>
      <xdr:rowOff>0</xdr:rowOff>
    </xdr:from>
    <xdr:ext cx="200025" cy="200025"/>
    <xdr:pic>
      <xdr:nvPicPr>
        <xdr:cNvPr id="1496" name="image9.png">
          <a:extLst>
            <a:ext uri="{FF2B5EF4-FFF2-40B4-BE49-F238E27FC236}">
              <a16:creationId xmlns:a16="http://schemas.microsoft.com/office/drawing/2014/main" id="{00000000-0008-0000-0100-0000D8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360</xdr:row>
      <xdr:rowOff>0</xdr:rowOff>
    </xdr:from>
    <xdr:ext cx="200025" cy="200025"/>
    <xdr:pic>
      <xdr:nvPicPr>
        <xdr:cNvPr id="1497" name="image1.png">
          <a:extLst>
            <a:ext uri="{FF2B5EF4-FFF2-40B4-BE49-F238E27FC236}">
              <a16:creationId xmlns:a16="http://schemas.microsoft.com/office/drawing/2014/main" id="{00000000-0008-0000-0100-0000D9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360</xdr:row>
      <xdr:rowOff>0</xdr:rowOff>
    </xdr:from>
    <xdr:ext cx="200025" cy="200025"/>
    <xdr:pic>
      <xdr:nvPicPr>
        <xdr:cNvPr id="1498" name="image4.png">
          <a:extLst>
            <a:ext uri="{FF2B5EF4-FFF2-40B4-BE49-F238E27FC236}">
              <a16:creationId xmlns:a16="http://schemas.microsoft.com/office/drawing/2014/main" id="{00000000-0008-0000-0100-0000DA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360</xdr:row>
      <xdr:rowOff>0</xdr:rowOff>
    </xdr:from>
    <xdr:ext cx="200025" cy="200025"/>
    <xdr:pic>
      <xdr:nvPicPr>
        <xdr:cNvPr id="1499" name="image3.png">
          <a:extLst>
            <a:ext uri="{FF2B5EF4-FFF2-40B4-BE49-F238E27FC236}">
              <a16:creationId xmlns:a16="http://schemas.microsoft.com/office/drawing/2014/main" id="{00000000-0008-0000-0100-0000DB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361</xdr:row>
      <xdr:rowOff>0</xdr:rowOff>
    </xdr:from>
    <xdr:ext cx="200025" cy="200025"/>
    <xdr:pic>
      <xdr:nvPicPr>
        <xdr:cNvPr id="1500" name="image10.png">
          <a:extLst>
            <a:ext uri="{FF2B5EF4-FFF2-40B4-BE49-F238E27FC236}">
              <a16:creationId xmlns:a16="http://schemas.microsoft.com/office/drawing/2014/main" id="{00000000-0008-0000-0100-0000DC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361</xdr:row>
      <xdr:rowOff>0</xdr:rowOff>
    </xdr:from>
    <xdr:ext cx="200025" cy="200025"/>
    <xdr:pic>
      <xdr:nvPicPr>
        <xdr:cNvPr id="1501" name="image9.png">
          <a:extLst>
            <a:ext uri="{FF2B5EF4-FFF2-40B4-BE49-F238E27FC236}">
              <a16:creationId xmlns:a16="http://schemas.microsoft.com/office/drawing/2014/main" id="{00000000-0008-0000-0100-0000DD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361</xdr:row>
      <xdr:rowOff>0</xdr:rowOff>
    </xdr:from>
    <xdr:ext cx="200025" cy="200025"/>
    <xdr:pic>
      <xdr:nvPicPr>
        <xdr:cNvPr id="1502" name="image1.png">
          <a:extLst>
            <a:ext uri="{FF2B5EF4-FFF2-40B4-BE49-F238E27FC236}">
              <a16:creationId xmlns:a16="http://schemas.microsoft.com/office/drawing/2014/main" id="{00000000-0008-0000-0100-0000DE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361</xdr:row>
      <xdr:rowOff>0</xdr:rowOff>
    </xdr:from>
    <xdr:ext cx="200025" cy="200025"/>
    <xdr:pic>
      <xdr:nvPicPr>
        <xdr:cNvPr id="1503" name="image4.png">
          <a:extLst>
            <a:ext uri="{FF2B5EF4-FFF2-40B4-BE49-F238E27FC236}">
              <a16:creationId xmlns:a16="http://schemas.microsoft.com/office/drawing/2014/main" id="{00000000-0008-0000-0100-0000DF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361</xdr:row>
      <xdr:rowOff>0</xdr:rowOff>
    </xdr:from>
    <xdr:ext cx="200025" cy="200025"/>
    <xdr:pic>
      <xdr:nvPicPr>
        <xdr:cNvPr id="1504" name="image3.png">
          <a:extLst>
            <a:ext uri="{FF2B5EF4-FFF2-40B4-BE49-F238E27FC236}">
              <a16:creationId xmlns:a16="http://schemas.microsoft.com/office/drawing/2014/main" id="{00000000-0008-0000-0100-0000E0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362</xdr:row>
      <xdr:rowOff>0</xdr:rowOff>
    </xdr:from>
    <xdr:ext cx="200025" cy="200025"/>
    <xdr:pic>
      <xdr:nvPicPr>
        <xdr:cNvPr id="1505" name="image10.png">
          <a:extLst>
            <a:ext uri="{FF2B5EF4-FFF2-40B4-BE49-F238E27FC236}">
              <a16:creationId xmlns:a16="http://schemas.microsoft.com/office/drawing/2014/main" id="{00000000-0008-0000-0100-0000E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362</xdr:row>
      <xdr:rowOff>0</xdr:rowOff>
    </xdr:from>
    <xdr:ext cx="200025" cy="200025"/>
    <xdr:pic>
      <xdr:nvPicPr>
        <xdr:cNvPr id="1506" name="image8.png">
          <a:extLst>
            <a:ext uri="{FF2B5EF4-FFF2-40B4-BE49-F238E27FC236}">
              <a16:creationId xmlns:a16="http://schemas.microsoft.com/office/drawing/2014/main" id="{00000000-0008-0000-0100-0000E2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362</xdr:row>
      <xdr:rowOff>0</xdr:rowOff>
    </xdr:from>
    <xdr:ext cx="200025" cy="200025"/>
    <xdr:pic>
      <xdr:nvPicPr>
        <xdr:cNvPr id="1507" name="image2.png">
          <a:extLst>
            <a:ext uri="{FF2B5EF4-FFF2-40B4-BE49-F238E27FC236}">
              <a16:creationId xmlns:a16="http://schemas.microsoft.com/office/drawing/2014/main" id="{00000000-0008-0000-0100-0000E3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362</xdr:row>
      <xdr:rowOff>0</xdr:rowOff>
    </xdr:from>
    <xdr:ext cx="200025" cy="200025"/>
    <xdr:pic>
      <xdr:nvPicPr>
        <xdr:cNvPr id="1508" name="image4.png">
          <a:extLst>
            <a:ext uri="{FF2B5EF4-FFF2-40B4-BE49-F238E27FC236}">
              <a16:creationId xmlns:a16="http://schemas.microsoft.com/office/drawing/2014/main" id="{00000000-0008-0000-0100-0000E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362</xdr:row>
      <xdr:rowOff>0</xdr:rowOff>
    </xdr:from>
    <xdr:ext cx="200025" cy="200025"/>
    <xdr:pic>
      <xdr:nvPicPr>
        <xdr:cNvPr id="1509" name="image3.png">
          <a:extLst>
            <a:ext uri="{FF2B5EF4-FFF2-40B4-BE49-F238E27FC236}">
              <a16:creationId xmlns:a16="http://schemas.microsoft.com/office/drawing/2014/main" id="{00000000-0008-0000-0100-0000E5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363</xdr:row>
      <xdr:rowOff>0</xdr:rowOff>
    </xdr:from>
    <xdr:ext cx="200025" cy="200025"/>
    <xdr:pic>
      <xdr:nvPicPr>
        <xdr:cNvPr id="1510" name="image10.png">
          <a:extLst>
            <a:ext uri="{FF2B5EF4-FFF2-40B4-BE49-F238E27FC236}">
              <a16:creationId xmlns:a16="http://schemas.microsoft.com/office/drawing/2014/main" id="{00000000-0008-0000-0100-0000E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363</xdr:row>
      <xdr:rowOff>0</xdr:rowOff>
    </xdr:from>
    <xdr:ext cx="200025" cy="200025"/>
    <xdr:pic>
      <xdr:nvPicPr>
        <xdr:cNvPr id="1511" name="image8.png">
          <a:extLst>
            <a:ext uri="{FF2B5EF4-FFF2-40B4-BE49-F238E27FC236}">
              <a16:creationId xmlns:a16="http://schemas.microsoft.com/office/drawing/2014/main" id="{00000000-0008-0000-0100-0000E7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363</xdr:row>
      <xdr:rowOff>0</xdr:rowOff>
    </xdr:from>
    <xdr:ext cx="200025" cy="200025"/>
    <xdr:pic>
      <xdr:nvPicPr>
        <xdr:cNvPr id="1512" name="image2.png">
          <a:extLst>
            <a:ext uri="{FF2B5EF4-FFF2-40B4-BE49-F238E27FC236}">
              <a16:creationId xmlns:a16="http://schemas.microsoft.com/office/drawing/2014/main" id="{00000000-0008-0000-0100-0000E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363</xdr:row>
      <xdr:rowOff>0</xdr:rowOff>
    </xdr:from>
    <xdr:ext cx="200025" cy="200025"/>
    <xdr:pic>
      <xdr:nvPicPr>
        <xdr:cNvPr id="1513" name="image4.png">
          <a:extLst>
            <a:ext uri="{FF2B5EF4-FFF2-40B4-BE49-F238E27FC236}">
              <a16:creationId xmlns:a16="http://schemas.microsoft.com/office/drawing/2014/main" id="{00000000-0008-0000-0100-0000E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363</xdr:row>
      <xdr:rowOff>0</xdr:rowOff>
    </xdr:from>
    <xdr:ext cx="200025" cy="200025"/>
    <xdr:pic>
      <xdr:nvPicPr>
        <xdr:cNvPr id="1514" name="image3.png">
          <a:extLst>
            <a:ext uri="{FF2B5EF4-FFF2-40B4-BE49-F238E27FC236}">
              <a16:creationId xmlns:a16="http://schemas.microsoft.com/office/drawing/2014/main" id="{00000000-0008-0000-0100-0000EA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364</xdr:row>
      <xdr:rowOff>0</xdr:rowOff>
    </xdr:from>
    <xdr:ext cx="200025" cy="200025"/>
    <xdr:pic>
      <xdr:nvPicPr>
        <xdr:cNvPr id="1515" name="image10.png">
          <a:extLst>
            <a:ext uri="{FF2B5EF4-FFF2-40B4-BE49-F238E27FC236}">
              <a16:creationId xmlns:a16="http://schemas.microsoft.com/office/drawing/2014/main" id="{00000000-0008-0000-0100-0000EB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364</xdr:row>
      <xdr:rowOff>0</xdr:rowOff>
    </xdr:from>
    <xdr:ext cx="200025" cy="200025"/>
    <xdr:pic>
      <xdr:nvPicPr>
        <xdr:cNvPr id="1516" name="image1.png">
          <a:extLst>
            <a:ext uri="{FF2B5EF4-FFF2-40B4-BE49-F238E27FC236}">
              <a16:creationId xmlns:a16="http://schemas.microsoft.com/office/drawing/2014/main" id="{00000000-0008-0000-0100-0000EC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364</xdr:row>
      <xdr:rowOff>0</xdr:rowOff>
    </xdr:from>
    <xdr:ext cx="200025" cy="200025"/>
    <xdr:pic>
      <xdr:nvPicPr>
        <xdr:cNvPr id="1517" name="image6.png">
          <a:extLst>
            <a:ext uri="{FF2B5EF4-FFF2-40B4-BE49-F238E27FC236}">
              <a16:creationId xmlns:a16="http://schemas.microsoft.com/office/drawing/2014/main" id="{00000000-0008-0000-0100-0000ED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364</xdr:row>
      <xdr:rowOff>0</xdr:rowOff>
    </xdr:from>
    <xdr:ext cx="200025" cy="200025"/>
    <xdr:pic>
      <xdr:nvPicPr>
        <xdr:cNvPr id="1518" name="image4.png">
          <a:extLst>
            <a:ext uri="{FF2B5EF4-FFF2-40B4-BE49-F238E27FC236}">
              <a16:creationId xmlns:a16="http://schemas.microsoft.com/office/drawing/2014/main" id="{00000000-0008-0000-0100-0000E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364</xdr:row>
      <xdr:rowOff>0</xdr:rowOff>
    </xdr:from>
    <xdr:ext cx="200025" cy="200025"/>
    <xdr:pic>
      <xdr:nvPicPr>
        <xdr:cNvPr id="1519" name="image3.png">
          <a:extLst>
            <a:ext uri="{FF2B5EF4-FFF2-40B4-BE49-F238E27FC236}">
              <a16:creationId xmlns:a16="http://schemas.microsoft.com/office/drawing/2014/main" id="{00000000-0008-0000-0100-0000EF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365</xdr:row>
      <xdr:rowOff>0</xdr:rowOff>
    </xdr:from>
    <xdr:ext cx="200025" cy="200025"/>
    <xdr:pic>
      <xdr:nvPicPr>
        <xdr:cNvPr id="1520" name="image10.png">
          <a:extLst>
            <a:ext uri="{FF2B5EF4-FFF2-40B4-BE49-F238E27FC236}">
              <a16:creationId xmlns:a16="http://schemas.microsoft.com/office/drawing/2014/main" id="{00000000-0008-0000-0100-0000F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365</xdr:row>
      <xdr:rowOff>0</xdr:rowOff>
    </xdr:from>
    <xdr:ext cx="200025" cy="200025"/>
    <xdr:pic>
      <xdr:nvPicPr>
        <xdr:cNvPr id="1521" name="image8.png">
          <a:extLst>
            <a:ext uri="{FF2B5EF4-FFF2-40B4-BE49-F238E27FC236}">
              <a16:creationId xmlns:a16="http://schemas.microsoft.com/office/drawing/2014/main" id="{00000000-0008-0000-0100-0000F1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365</xdr:row>
      <xdr:rowOff>0</xdr:rowOff>
    </xdr:from>
    <xdr:ext cx="200025" cy="200025"/>
    <xdr:pic>
      <xdr:nvPicPr>
        <xdr:cNvPr id="1522" name="image2.png">
          <a:extLst>
            <a:ext uri="{FF2B5EF4-FFF2-40B4-BE49-F238E27FC236}">
              <a16:creationId xmlns:a16="http://schemas.microsoft.com/office/drawing/2014/main" id="{00000000-0008-0000-0100-0000F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365</xdr:row>
      <xdr:rowOff>0</xdr:rowOff>
    </xdr:from>
    <xdr:ext cx="200025" cy="200025"/>
    <xdr:pic>
      <xdr:nvPicPr>
        <xdr:cNvPr id="1523" name="image6.png">
          <a:extLst>
            <a:ext uri="{FF2B5EF4-FFF2-40B4-BE49-F238E27FC236}">
              <a16:creationId xmlns:a16="http://schemas.microsoft.com/office/drawing/2014/main" id="{00000000-0008-0000-0100-0000F3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365</xdr:row>
      <xdr:rowOff>0</xdr:rowOff>
    </xdr:from>
    <xdr:ext cx="200025" cy="200025"/>
    <xdr:pic>
      <xdr:nvPicPr>
        <xdr:cNvPr id="1524" name="image4.png">
          <a:extLst>
            <a:ext uri="{FF2B5EF4-FFF2-40B4-BE49-F238E27FC236}">
              <a16:creationId xmlns:a16="http://schemas.microsoft.com/office/drawing/2014/main" id="{00000000-0008-0000-0100-0000F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365</xdr:row>
      <xdr:rowOff>0</xdr:rowOff>
    </xdr:from>
    <xdr:ext cx="200025" cy="200025"/>
    <xdr:pic>
      <xdr:nvPicPr>
        <xdr:cNvPr id="1525" name="image3.png">
          <a:extLst>
            <a:ext uri="{FF2B5EF4-FFF2-40B4-BE49-F238E27FC236}">
              <a16:creationId xmlns:a16="http://schemas.microsoft.com/office/drawing/2014/main" id="{00000000-0008-0000-0100-0000F5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366</xdr:row>
      <xdr:rowOff>0</xdr:rowOff>
    </xdr:from>
    <xdr:ext cx="200025" cy="200025"/>
    <xdr:pic>
      <xdr:nvPicPr>
        <xdr:cNvPr id="1526" name="image10.png">
          <a:extLst>
            <a:ext uri="{FF2B5EF4-FFF2-40B4-BE49-F238E27FC236}">
              <a16:creationId xmlns:a16="http://schemas.microsoft.com/office/drawing/2014/main" id="{00000000-0008-0000-0100-0000F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366</xdr:row>
      <xdr:rowOff>0</xdr:rowOff>
    </xdr:from>
    <xdr:ext cx="200025" cy="200025"/>
    <xdr:pic>
      <xdr:nvPicPr>
        <xdr:cNvPr id="1527" name="image8.png">
          <a:extLst>
            <a:ext uri="{FF2B5EF4-FFF2-40B4-BE49-F238E27FC236}">
              <a16:creationId xmlns:a16="http://schemas.microsoft.com/office/drawing/2014/main" id="{00000000-0008-0000-0100-0000F7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366</xdr:row>
      <xdr:rowOff>0</xdr:rowOff>
    </xdr:from>
    <xdr:ext cx="200025" cy="200025"/>
    <xdr:pic>
      <xdr:nvPicPr>
        <xdr:cNvPr id="1528" name="image2.png">
          <a:extLst>
            <a:ext uri="{FF2B5EF4-FFF2-40B4-BE49-F238E27FC236}">
              <a16:creationId xmlns:a16="http://schemas.microsoft.com/office/drawing/2014/main" id="{00000000-0008-0000-0100-0000F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366</xdr:row>
      <xdr:rowOff>0</xdr:rowOff>
    </xdr:from>
    <xdr:ext cx="200025" cy="200025"/>
    <xdr:pic>
      <xdr:nvPicPr>
        <xdr:cNvPr id="1529" name="image6.png">
          <a:extLst>
            <a:ext uri="{FF2B5EF4-FFF2-40B4-BE49-F238E27FC236}">
              <a16:creationId xmlns:a16="http://schemas.microsoft.com/office/drawing/2014/main" id="{00000000-0008-0000-0100-0000F9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366</xdr:row>
      <xdr:rowOff>0</xdr:rowOff>
    </xdr:from>
    <xdr:ext cx="200025" cy="200025"/>
    <xdr:pic>
      <xdr:nvPicPr>
        <xdr:cNvPr id="1530" name="image4.png">
          <a:extLst>
            <a:ext uri="{FF2B5EF4-FFF2-40B4-BE49-F238E27FC236}">
              <a16:creationId xmlns:a16="http://schemas.microsoft.com/office/drawing/2014/main" id="{00000000-0008-0000-0100-0000FA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366</xdr:row>
      <xdr:rowOff>0</xdr:rowOff>
    </xdr:from>
    <xdr:ext cx="200025" cy="200025"/>
    <xdr:pic>
      <xdr:nvPicPr>
        <xdr:cNvPr id="1531" name="image3.png">
          <a:extLst>
            <a:ext uri="{FF2B5EF4-FFF2-40B4-BE49-F238E27FC236}">
              <a16:creationId xmlns:a16="http://schemas.microsoft.com/office/drawing/2014/main" id="{00000000-0008-0000-0100-0000FB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367</xdr:row>
      <xdr:rowOff>0</xdr:rowOff>
    </xdr:from>
    <xdr:ext cx="200025" cy="200025"/>
    <xdr:pic>
      <xdr:nvPicPr>
        <xdr:cNvPr id="1532" name="image4.png">
          <a:extLst>
            <a:ext uri="{FF2B5EF4-FFF2-40B4-BE49-F238E27FC236}">
              <a16:creationId xmlns:a16="http://schemas.microsoft.com/office/drawing/2014/main" id="{00000000-0008-0000-0100-0000FC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0</xdr:colOff>
      <xdr:row>367</xdr:row>
      <xdr:rowOff>0</xdr:rowOff>
    </xdr:from>
    <xdr:ext cx="200025" cy="200025"/>
    <xdr:pic>
      <xdr:nvPicPr>
        <xdr:cNvPr id="1533" name="image7.png">
          <a:extLst>
            <a:ext uri="{FF2B5EF4-FFF2-40B4-BE49-F238E27FC236}">
              <a16:creationId xmlns:a16="http://schemas.microsoft.com/office/drawing/2014/main" id="{00000000-0008-0000-0100-0000FD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367</xdr:row>
      <xdr:rowOff>0</xdr:rowOff>
    </xdr:from>
    <xdr:ext cx="200025" cy="200025"/>
    <xdr:pic>
      <xdr:nvPicPr>
        <xdr:cNvPr id="1534" name="image3.png">
          <a:extLst>
            <a:ext uri="{FF2B5EF4-FFF2-40B4-BE49-F238E27FC236}">
              <a16:creationId xmlns:a16="http://schemas.microsoft.com/office/drawing/2014/main" id="{00000000-0008-0000-0100-0000FE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368</xdr:row>
      <xdr:rowOff>0</xdr:rowOff>
    </xdr:from>
    <xdr:ext cx="200025" cy="200025"/>
    <xdr:pic>
      <xdr:nvPicPr>
        <xdr:cNvPr id="1535" name="image8.png">
          <a:extLst>
            <a:ext uri="{FF2B5EF4-FFF2-40B4-BE49-F238E27FC236}">
              <a16:creationId xmlns:a16="http://schemas.microsoft.com/office/drawing/2014/main" id="{00000000-0008-0000-0100-0000FF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368</xdr:row>
      <xdr:rowOff>0</xdr:rowOff>
    </xdr:from>
    <xdr:ext cx="200025" cy="200025"/>
    <xdr:pic>
      <xdr:nvPicPr>
        <xdr:cNvPr id="1536" name="image1.png">
          <a:extLst>
            <a:ext uri="{FF2B5EF4-FFF2-40B4-BE49-F238E27FC236}">
              <a16:creationId xmlns:a16="http://schemas.microsoft.com/office/drawing/2014/main" id="{00000000-0008-0000-0100-000000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368</xdr:row>
      <xdr:rowOff>0</xdr:rowOff>
    </xdr:from>
    <xdr:ext cx="200025" cy="200025"/>
    <xdr:pic>
      <xdr:nvPicPr>
        <xdr:cNvPr id="1537" name="image5.png">
          <a:extLst>
            <a:ext uri="{FF2B5EF4-FFF2-40B4-BE49-F238E27FC236}">
              <a16:creationId xmlns:a16="http://schemas.microsoft.com/office/drawing/2014/main" id="{00000000-0008-0000-0100-000001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368</xdr:row>
      <xdr:rowOff>0</xdr:rowOff>
    </xdr:from>
    <xdr:ext cx="200025" cy="200025"/>
    <xdr:pic>
      <xdr:nvPicPr>
        <xdr:cNvPr id="1538" name="image3.png">
          <a:extLst>
            <a:ext uri="{FF2B5EF4-FFF2-40B4-BE49-F238E27FC236}">
              <a16:creationId xmlns:a16="http://schemas.microsoft.com/office/drawing/2014/main" id="{00000000-0008-0000-0100-000002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368</xdr:row>
      <xdr:rowOff>0</xdr:rowOff>
    </xdr:from>
    <xdr:ext cx="200025" cy="200025"/>
    <xdr:pic>
      <xdr:nvPicPr>
        <xdr:cNvPr id="1539" name="image3.png">
          <a:extLst>
            <a:ext uri="{FF2B5EF4-FFF2-40B4-BE49-F238E27FC236}">
              <a16:creationId xmlns:a16="http://schemas.microsoft.com/office/drawing/2014/main" id="{00000000-0008-0000-0100-000003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369</xdr:row>
      <xdr:rowOff>0</xdr:rowOff>
    </xdr:from>
    <xdr:ext cx="200025" cy="200025"/>
    <xdr:pic>
      <xdr:nvPicPr>
        <xdr:cNvPr id="1540" name="image10.png">
          <a:extLst>
            <a:ext uri="{FF2B5EF4-FFF2-40B4-BE49-F238E27FC236}">
              <a16:creationId xmlns:a16="http://schemas.microsoft.com/office/drawing/2014/main" id="{00000000-0008-0000-0100-000004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369</xdr:row>
      <xdr:rowOff>0</xdr:rowOff>
    </xdr:from>
    <xdr:ext cx="200025" cy="200025"/>
    <xdr:pic>
      <xdr:nvPicPr>
        <xdr:cNvPr id="1541" name="image3.png">
          <a:extLst>
            <a:ext uri="{FF2B5EF4-FFF2-40B4-BE49-F238E27FC236}">
              <a16:creationId xmlns:a16="http://schemas.microsoft.com/office/drawing/2014/main" id="{00000000-0008-0000-0100-000005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369</xdr:row>
      <xdr:rowOff>0</xdr:rowOff>
    </xdr:from>
    <xdr:ext cx="200025" cy="200025"/>
    <xdr:pic>
      <xdr:nvPicPr>
        <xdr:cNvPr id="1542" name="image1.png">
          <a:extLst>
            <a:ext uri="{FF2B5EF4-FFF2-40B4-BE49-F238E27FC236}">
              <a16:creationId xmlns:a16="http://schemas.microsoft.com/office/drawing/2014/main" id="{00000000-0008-0000-0100-000006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370</xdr:row>
      <xdr:rowOff>0</xdr:rowOff>
    </xdr:from>
    <xdr:ext cx="200025" cy="200025"/>
    <xdr:pic>
      <xdr:nvPicPr>
        <xdr:cNvPr id="1543" name="image10.png">
          <a:extLst>
            <a:ext uri="{FF2B5EF4-FFF2-40B4-BE49-F238E27FC236}">
              <a16:creationId xmlns:a16="http://schemas.microsoft.com/office/drawing/2014/main" id="{00000000-0008-0000-0100-000007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370</xdr:row>
      <xdr:rowOff>0</xdr:rowOff>
    </xdr:from>
    <xdr:ext cx="200025" cy="200025"/>
    <xdr:pic>
      <xdr:nvPicPr>
        <xdr:cNvPr id="1544" name="image2.png">
          <a:extLst>
            <a:ext uri="{FF2B5EF4-FFF2-40B4-BE49-F238E27FC236}">
              <a16:creationId xmlns:a16="http://schemas.microsoft.com/office/drawing/2014/main" id="{00000000-0008-0000-0100-000008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370</xdr:row>
      <xdr:rowOff>0</xdr:rowOff>
    </xdr:from>
    <xdr:ext cx="200025" cy="200025"/>
    <xdr:pic>
      <xdr:nvPicPr>
        <xdr:cNvPr id="1545" name="image5.png">
          <a:extLst>
            <a:ext uri="{FF2B5EF4-FFF2-40B4-BE49-F238E27FC236}">
              <a16:creationId xmlns:a16="http://schemas.microsoft.com/office/drawing/2014/main" id="{00000000-0008-0000-0100-000009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370</xdr:row>
      <xdr:rowOff>0</xdr:rowOff>
    </xdr:from>
    <xdr:ext cx="200025" cy="200025"/>
    <xdr:pic>
      <xdr:nvPicPr>
        <xdr:cNvPr id="1546" name="image1.png">
          <a:extLst>
            <a:ext uri="{FF2B5EF4-FFF2-40B4-BE49-F238E27FC236}">
              <a16:creationId xmlns:a16="http://schemas.microsoft.com/office/drawing/2014/main" id="{00000000-0008-0000-0100-00000A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371</xdr:row>
      <xdr:rowOff>0</xdr:rowOff>
    </xdr:from>
    <xdr:ext cx="200025" cy="200025"/>
    <xdr:pic>
      <xdr:nvPicPr>
        <xdr:cNvPr id="1547" name="image2.png">
          <a:extLst>
            <a:ext uri="{FF2B5EF4-FFF2-40B4-BE49-F238E27FC236}">
              <a16:creationId xmlns:a16="http://schemas.microsoft.com/office/drawing/2014/main" id="{00000000-0008-0000-0100-00000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371</xdr:row>
      <xdr:rowOff>0</xdr:rowOff>
    </xdr:from>
    <xdr:ext cx="200025" cy="200025"/>
    <xdr:pic>
      <xdr:nvPicPr>
        <xdr:cNvPr id="1548" name="image6.png">
          <a:extLst>
            <a:ext uri="{FF2B5EF4-FFF2-40B4-BE49-F238E27FC236}">
              <a16:creationId xmlns:a16="http://schemas.microsoft.com/office/drawing/2014/main" id="{00000000-0008-0000-0100-00000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371</xdr:row>
      <xdr:rowOff>0</xdr:rowOff>
    </xdr:from>
    <xdr:ext cx="200025" cy="200025"/>
    <xdr:pic>
      <xdr:nvPicPr>
        <xdr:cNvPr id="1549" name="image5.png">
          <a:extLst>
            <a:ext uri="{FF2B5EF4-FFF2-40B4-BE49-F238E27FC236}">
              <a16:creationId xmlns:a16="http://schemas.microsoft.com/office/drawing/2014/main" id="{00000000-0008-0000-0100-00000D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371</xdr:row>
      <xdr:rowOff>0</xdr:rowOff>
    </xdr:from>
    <xdr:ext cx="200025" cy="200025"/>
    <xdr:pic>
      <xdr:nvPicPr>
        <xdr:cNvPr id="1550" name="image4.png">
          <a:extLst>
            <a:ext uri="{FF2B5EF4-FFF2-40B4-BE49-F238E27FC236}">
              <a16:creationId xmlns:a16="http://schemas.microsoft.com/office/drawing/2014/main" id="{00000000-0008-0000-0100-00000E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371</xdr:row>
      <xdr:rowOff>0</xdr:rowOff>
    </xdr:from>
    <xdr:ext cx="200025" cy="200025"/>
    <xdr:pic>
      <xdr:nvPicPr>
        <xdr:cNvPr id="1551" name="image9.png">
          <a:extLst>
            <a:ext uri="{FF2B5EF4-FFF2-40B4-BE49-F238E27FC236}">
              <a16:creationId xmlns:a16="http://schemas.microsoft.com/office/drawing/2014/main" id="{00000000-0008-0000-0100-00000F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372</xdr:row>
      <xdr:rowOff>0</xdr:rowOff>
    </xdr:from>
    <xdr:ext cx="200025" cy="200025"/>
    <xdr:pic>
      <xdr:nvPicPr>
        <xdr:cNvPr id="1552" name="image10.png">
          <a:extLst>
            <a:ext uri="{FF2B5EF4-FFF2-40B4-BE49-F238E27FC236}">
              <a16:creationId xmlns:a16="http://schemas.microsoft.com/office/drawing/2014/main" id="{00000000-0008-0000-0100-00001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372</xdr:row>
      <xdr:rowOff>0</xdr:rowOff>
    </xdr:from>
    <xdr:ext cx="200025" cy="200025"/>
    <xdr:pic>
      <xdr:nvPicPr>
        <xdr:cNvPr id="1553" name="image2.png">
          <a:extLst>
            <a:ext uri="{FF2B5EF4-FFF2-40B4-BE49-F238E27FC236}">
              <a16:creationId xmlns:a16="http://schemas.microsoft.com/office/drawing/2014/main" id="{00000000-0008-0000-0100-00001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372</xdr:row>
      <xdr:rowOff>0</xdr:rowOff>
    </xdr:from>
    <xdr:ext cx="200025" cy="200025"/>
    <xdr:pic>
      <xdr:nvPicPr>
        <xdr:cNvPr id="1554" name="image6.png">
          <a:extLst>
            <a:ext uri="{FF2B5EF4-FFF2-40B4-BE49-F238E27FC236}">
              <a16:creationId xmlns:a16="http://schemas.microsoft.com/office/drawing/2014/main" id="{00000000-0008-0000-0100-000012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372</xdr:row>
      <xdr:rowOff>0</xdr:rowOff>
    </xdr:from>
    <xdr:ext cx="200025" cy="200025"/>
    <xdr:pic>
      <xdr:nvPicPr>
        <xdr:cNvPr id="1555" name="image4.png">
          <a:extLst>
            <a:ext uri="{FF2B5EF4-FFF2-40B4-BE49-F238E27FC236}">
              <a16:creationId xmlns:a16="http://schemas.microsoft.com/office/drawing/2014/main" id="{00000000-0008-0000-0100-000013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372</xdr:row>
      <xdr:rowOff>0</xdr:rowOff>
    </xdr:from>
    <xdr:ext cx="200025" cy="200025"/>
    <xdr:pic>
      <xdr:nvPicPr>
        <xdr:cNvPr id="1556" name="image10.png">
          <a:extLst>
            <a:ext uri="{FF2B5EF4-FFF2-40B4-BE49-F238E27FC236}">
              <a16:creationId xmlns:a16="http://schemas.microsoft.com/office/drawing/2014/main" id="{00000000-0008-0000-0100-000014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373</xdr:row>
      <xdr:rowOff>0</xdr:rowOff>
    </xdr:from>
    <xdr:ext cx="200025" cy="200025"/>
    <xdr:pic>
      <xdr:nvPicPr>
        <xdr:cNvPr id="1557" name="image10.png">
          <a:extLst>
            <a:ext uri="{FF2B5EF4-FFF2-40B4-BE49-F238E27FC236}">
              <a16:creationId xmlns:a16="http://schemas.microsoft.com/office/drawing/2014/main" id="{00000000-0008-0000-0100-00001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373</xdr:row>
      <xdr:rowOff>0</xdr:rowOff>
    </xdr:from>
    <xdr:ext cx="200025" cy="200025"/>
    <xdr:pic>
      <xdr:nvPicPr>
        <xdr:cNvPr id="1558" name="image9.png">
          <a:extLst>
            <a:ext uri="{FF2B5EF4-FFF2-40B4-BE49-F238E27FC236}">
              <a16:creationId xmlns:a16="http://schemas.microsoft.com/office/drawing/2014/main" id="{00000000-0008-0000-0100-000016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373</xdr:row>
      <xdr:rowOff>0</xdr:rowOff>
    </xdr:from>
    <xdr:ext cx="200025" cy="200025"/>
    <xdr:pic>
      <xdr:nvPicPr>
        <xdr:cNvPr id="1559" name="image2.png">
          <a:extLst>
            <a:ext uri="{FF2B5EF4-FFF2-40B4-BE49-F238E27FC236}">
              <a16:creationId xmlns:a16="http://schemas.microsoft.com/office/drawing/2014/main" id="{00000000-0008-0000-0100-000017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373</xdr:row>
      <xdr:rowOff>0</xdr:rowOff>
    </xdr:from>
    <xdr:ext cx="200025" cy="200025"/>
    <xdr:pic>
      <xdr:nvPicPr>
        <xdr:cNvPr id="1560" name="image7.png">
          <a:extLst>
            <a:ext uri="{FF2B5EF4-FFF2-40B4-BE49-F238E27FC236}">
              <a16:creationId xmlns:a16="http://schemas.microsoft.com/office/drawing/2014/main" id="{00000000-0008-0000-0100-000018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374</xdr:row>
      <xdr:rowOff>0</xdr:rowOff>
    </xdr:from>
    <xdr:ext cx="200025" cy="200025"/>
    <xdr:pic>
      <xdr:nvPicPr>
        <xdr:cNvPr id="1561" name="image10.png">
          <a:extLst>
            <a:ext uri="{FF2B5EF4-FFF2-40B4-BE49-F238E27FC236}">
              <a16:creationId xmlns:a16="http://schemas.microsoft.com/office/drawing/2014/main" id="{00000000-0008-0000-0100-000019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374</xdr:row>
      <xdr:rowOff>0</xdr:rowOff>
    </xdr:from>
    <xdr:ext cx="200025" cy="200025"/>
    <xdr:pic>
      <xdr:nvPicPr>
        <xdr:cNvPr id="1562" name="image9.png">
          <a:extLst>
            <a:ext uri="{FF2B5EF4-FFF2-40B4-BE49-F238E27FC236}">
              <a16:creationId xmlns:a16="http://schemas.microsoft.com/office/drawing/2014/main" id="{00000000-0008-0000-0100-00001A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374</xdr:row>
      <xdr:rowOff>0</xdr:rowOff>
    </xdr:from>
    <xdr:ext cx="200025" cy="200025"/>
    <xdr:pic>
      <xdr:nvPicPr>
        <xdr:cNvPr id="1563" name="image2.png">
          <a:extLst>
            <a:ext uri="{FF2B5EF4-FFF2-40B4-BE49-F238E27FC236}">
              <a16:creationId xmlns:a16="http://schemas.microsoft.com/office/drawing/2014/main" id="{00000000-0008-0000-0100-00001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374</xdr:row>
      <xdr:rowOff>0</xdr:rowOff>
    </xdr:from>
    <xdr:ext cx="200025" cy="200025"/>
    <xdr:pic>
      <xdr:nvPicPr>
        <xdr:cNvPr id="1564" name="image7.png">
          <a:extLst>
            <a:ext uri="{FF2B5EF4-FFF2-40B4-BE49-F238E27FC236}">
              <a16:creationId xmlns:a16="http://schemas.microsoft.com/office/drawing/2014/main" id="{00000000-0008-0000-0100-00001C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377</xdr:row>
      <xdr:rowOff>0</xdr:rowOff>
    </xdr:from>
    <xdr:ext cx="200025" cy="200025"/>
    <xdr:pic>
      <xdr:nvPicPr>
        <xdr:cNvPr id="1565" name="image9.png">
          <a:extLst>
            <a:ext uri="{FF2B5EF4-FFF2-40B4-BE49-F238E27FC236}">
              <a16:creationId xmlns:a16="http://schemas.microsoft.com/office/drawing/2014/main" id="{00000000-0008-0000-0100-00001D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377</xdr:row>
      <xdr:rowOff>0</xdr:rowOff>
    </xdr:from>
    <xdr:ext cx="200025" cy="200025"/>
    <xdr:pic>
      <xdr:nvPicPr>
        <xdr:cNvPr id="1566" name="image6.png">
          <a:extLst>
            <a:ext uri="{FF2B5EF4-FFF2-40B4-BE49-F238E27FC236}">
              <a16:creationId xmlns:a16="http://schemas.microsoft.com/office/drawing/2014/main" id="{00000000-0008-0000-0100-00001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377</xdr:row>
      <xdr:rowOff>0</xdr:rowOff>
    </xdr:from>
    <xdr:ext cx="200025" cy="200025"/>
    <xdr:pic>
      <xdr:nvPicPr>
        <xdr:cNvPr id="1567" name="image7.png">
          <a:extLst>
            <a:ext uri="{FF2B5EF4-FFF2-40B4-BE49-F238E27FC236}">
              <a16:creationId xmlns:a16="http://schemas.microsoft.com/office/drawing/2014/main" id="{00000000-0008-0000-0100-00001F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378</xdr:row>
      <xdr:rowOff>0</xdr:rowOff>
    </xdr:from>
    <xdr:ext cx="200025" cy="200025"/>
    <xdr:pic>
      <xdr:nvPicPr>
        <xdr:cNvPr id="1568" name="image10.png">
          <a:extLst>
            <a:ext uri="{FF2B5EF4-FFF2-40B4-BE49-F238E27FC236}">
              <a16:creationId xmlns:a16="http://schemas.microsoft.com/office/drawing/2014/main" id="{00000000-0008-0000-0100-00002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378</xdr:row>
      <xdr:rowOff>0</xdr:rowOff>
    </xdr:from>
    <xdr:ext cx="200025" cy="200025"/>
    <xdr:pic>
      <xdr:nvPicPr>
        <xdr:cNvPr id="1569" name="image7.png">
          <a:extLst>
            <a:ext uri="{FF2B5EF4-FFF2-40B4-BE49-F238E27FC236}">
              <a16:creationId xmlns:a16="http://schemas.microsoft.com/office/drawing/2014/main" id="{00000000-0008-0000-0100-000021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379</xdr:row>
      <xdr:rowOff>0</xdr:rowOff>
    </xdr:from>
    <xdr:ext cx="200025" cy="200025"/>
    <xdr:pic>
      <xdr:nvPicPr>
        <xdr:cNvPr id="1570" name="image8.png">
          <a:extLst>
            <a:ext uri="{FF2B5EF4-FFF2-40B4-BE49-F238E27FC236}">
              <a16:creationId xmlns:a16="http://schemas.microsoft.com/office/drawing/2014/main" id="{00000000-0008-0000-0100-000022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379</xdr:row>
      <xdr:rowOff>0</xdr:rowOff>
    </xdr:from>
    <xdr:ext cx="200025" cy="200025"/>
    <xdr:pic>
      <xdr:nvPicPr>
        <xdr:cNvPr id="1571" name="image2.png">
          <a:extLst>
            <a:ext uri="{FF2B5EF4-FFF2-40B4-BE49-F238E27FC236}">
              <a16:creationId xmlns:a16="http://schemas.microsoft.com/office/drawing/2014/main" id="{00000000-0008-0000-0100-00002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379</xdr:row>
      <xdr:rowOff>0</xdr:rowOff>
    </xdr:from>
    <xdr:ext cx="200025" cy="200025"/>
    <xdr:pic>
      <xdr:nvPicPr>
        <xdr:cNvPr id="1572" name="image3.png">
          <a:extLst>
            <a:ext uri="{FF2B5EF4-FFF2-40B4-BE49-F238E27FC236}">
              <a16:creationId xmlns:a16="http://schemas.microsoft.com/office/drawing/2014/main" id="{00000000-0008-0000-0100-000024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379</xdr:row>
      <xdr:rowOff>0</xdr:rowOff>
    </xdr:from>
    <xdr:ext cx="200025" cy="200025"/>
    <xdr:pic>
      <xdr:nvPicPr>
        <xdr:cNvPr id="1573" name="image10.png">
          <a:extLst>
            <a:ext uri="{FF2B5EF4-FFF2-40B4-BE49-F238E27FC236}">
              <a16:creationId xmlns:a16="http://schemas.microsoft.com/office/drawing/2014/main" id="{00000000-0008-0000-0100-00002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380</xdr:row>
      <xdr:rowOff>0</xdr:rowOff>
    </xdr:from>
    <xdr:ext cx="200025" cy="200025"/>
    <xdr:pic>
      <xdr:nvPicPr>
        <xdr:cNvPr id="1574" name="image9.png">
          <a:extLst>
            <a:ext uri="{FF2B5EF4-FFF2-40B4-BE49-F238E27FC236}">
              <a16:creationId xmlns:a16="http://schemas.microsoft.com/office/drawing/2014/main" id="{00000000-0008-0000-0100-000026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380</xdr:row>
      <xdr:rowOff>0</xdr:rowOff>
    </xdr:from>
    <xdr:ext cx="200025" cy="200025"/>
    <xdr:pic>
      <xdr:nvPicPr>
        <xdr:cNvPr id="1575" name="image1.png">
          <a:extLst>
            <a:ext uri="{FF2B5EF4-FFF2-40B4-BE49-F238E27FC236}">
              <a16:creationId xmlns:a16="http://schemas.microsoft.com/office/drawing/2014/main" id="{00000000-0008-0000-0100-000027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380</xdr:row>
      <xdr:rowOff>0</xdr:rowOff>
    </xdr:from>
    <xdr:ext cx="200025" cy="200025"/>
    <xdr:pic>
      <xdr:nvPicPr>
        <xdr:cNvPr id="1576" name="image12.png">
          <a:extLst>
            <a:ext uri="{FF2B5EF4-FFF2-40B4-BE49-F238E27FC236}">
              <a16:creationId xmlns:a16="http://schemas.microsoft.com/office/drawing/2014/main" id="{00000000-0008-0000-0100-000028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380</xdr:row>
      <xdr:rowOff>0</xdr:rowOff>
    </xdr:from>
    <xdr:ext cx="200025" cy="200025"/>
    <xdr:pic>
      <xdr:nvPicPr>
        <xdr:cNvPr id="1577" name="image3.png">
          <a:extLst>
            <a:ext uri="{FF2B5EF4-FFF2-40B4-BE49-F238E27FC236}">
              <a16:creationId xmlns:a16="http://schemas.microsoft.com/office/drawing/2014/main" id="{00000000-0008-0000-0100-000029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380</xdr:row>
      <xdr:rowOff>0</xdr:rowOff>
    </xdr:from>
    <xdr:ext cx="200025" cy="200025"/>
    <xdr:pic>
      <xdr:nvPicPr>
        <xdr:cNvPr id="1578" name="image8.png">
          <a:extLst>
            <a:ext uri="{FF2B5EF4-FFF2-40B4-BE49-F238E27FC236}">
              <a16:creationId xmlns:a16="http://schemas.microsoft.com/office/drawing/2014/main" id="{00000000-0008-0000-0100-00002A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381</xdr:row>
      <xdr:rowOff>0</xdr:rowOff>
    </xdr:from>
    <xdr:ext cx="200025" cy="200025"/>
    <xdr:pic>
      <xdr:nvPicPr>
        <xdr:cNvPr id="1579" name="image8.png">
          <a:extLst>
            <a:ext uri="{FF2B5EF4-FFF2-40B4-BE49-F238E27FC236}">
              <a16:creationId xmlns:a16="http://schemas.microsoft.com/office/drawing/2014/main" id="{00000000-0008-0000-0100-00002B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381</xdr:row>
      <xdr:rowOff>0</xdr:rowOff>
    </xdr:from>
    <xdr:ext cx="200025" cy="200025"/>
    <xdr:pic>
      <xdr:nvPicPr>
        <xdr:cNvPr id="1580" name="image1.png">
          <a:extLst>
            <a:ext uri="{FF2B5EF4-FFF2-40B4-BE49-F238E27FC236}">
              <a16:creationId xmlns:a16="http://schemas.microsoft.com/office/drawing/2014/main" id="{00000000-0008-0000-0100-00002C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381</xdr:row>
      <xdr:rowOff>0</xdr:rowOff>
    </xdr:from>
    <xdr:ext cx="200025" cy="200025"/>
    <xdr:pic>
      <xdr:nvPicPr>
        <xdr:cNvPr id="1581" name="image11.png">
          <a:extLst>
            <a:ext uri="{FF2B5EF4-FFF2-40B4-BE49-F238E27FC236}">
              <a16:creationId xmlns:a16="http://schemas.microsoft.com/office/drawing/2014/main" id="{00000000-0008-0000-0100-00002D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381</xdr:row>
      <xdr:rowOff>0</xdr:rowOff>
    </xdr:from>
    <xdr:ext cx="200025" cy="200025"/>
    <xdr:pic>
      <xdr:nvPicPr>
        <xdr:cNvPr id="1582" name="image5.png">
          <a:extLst>
            <a:ext uri="{FF2B5EF4-FFF2-40B4-BE49-F238E27FC236}">
              <a16:creationId xmlns:a16="http://schemas.microsoft.com/office/drawing/2014/main" id="{00000000-0008-0000-0100-00002E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382</xdr:row>
      <xdr:rowOff>0</xdr:rowOff>
    </xdr:from>
    <xdr:ext cx="200025" cy="200025"/>
    <xdr:pic>
      <xdr:nvPicPr>
        <xdr:cNvPr id="1583" name="image8.png">
          <a:extLst>
            <a:ext uri="{FF2B5EF4-FFF2-40B4-BE49-F238E27FC236}">
              <a16:creationId xmlns:a16="http://schemas.microsoft.com/office/drawing/2014/main" id="{00000000-0008-0000-0100-00002F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382</xdr:row>
      <xdr:rowOff>0</xdr:rowOff>
    </xdr:from>
    <xdr:ext cx="200025" cy="200025"/>
    <xdr:pic>
      <xdr:nvPicPr>
        <xdr:cNvPr id="1584" name="image1.png">
          <a:extLst>
            <a:ext uri="{FF2B5EF4-FFF2-40B4-BE49-F238E27FC236}">
              <a16:creationId xmlns:a16="http://schemas.microsoft.com/office/drawing/2014/main" id="{00000000-0008-0000-0100-000030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382</xdr:row>
      <xdr:rowOff>0</xdr:rowOff>
    </xdr:from>
    <xdr:ext cx="200025" cy="200025"/>
    <xdr:pic>
      <xdr:nvPicPr>
        <xdr:cNvPr id="1585" name="image6.png">
          <a:extLst>
            <a:ext uri="{FF2B5EF4-FFF2-40B4-BE49-F238E27FC236}">
              <a16:creationId xmlns:a16="http://schemas.microsoft.com/office/drawing/2014/main" id="{00000000-0008-0000-0100-000031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383</xdr:row>
      <xdr:rowOff>0</xdr:rowOff>
    </xdr:from>
    <xdr:ext cx="200025" cy="200025"/>
    <xdr:pic>
      <xdr:nvPicPr>
        <xdr:cNvPr id="1586" name="image10.png">
          <a:extLst>
            <a:ext uri="{FF2B5EF4-FFF2-40B4-BE49-F238E27FC236}">
              <a16:creationId xmlns:a16="http://schemas.microsoft.com/office/drawing/2014/main" id="{00000000-0008-0000-0100-00003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383</xdr:row>
      <xdr:rowOff>0</xdr:rowOff>
    </xdr:from>
    <xdr:ext cx="200025" cy="200025"/>
    <xdr:pic>
      <xdr:nvPicPr>
        <xdr:cNvPr id="1587" name="image2.png">
          <a:extLst>
            <a:ext uri="{FF2B5EF4-FFF2-40B4-BE49-F238E27FC236}">
              <a16:creationId xmlns:a16="http://schemas.microsoft.com/office/drawing/2014/main" id="{00000000-0008-0000-0100-00003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383</xdr:row>
      <xdr:rowOff>0</xdr:rowOff>
    </xdr:from>
    <xdr:ext cx="200025" cy="200025"/>
    <xdr:pic>
      <xdr:nvPicPr>
        <xdr:cNvPr id="1588" name="image5.png">
          <a:extLst>
            <a:ext uri="{FF2B5EF4-FFF2-40B4-BE49-F238E27FC236}">
              <a16:creationId xmlns:a16="http://schemas.microsoft.com/office/drawing/2014/main" id="{00000000-0008-0000-0100-000034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384</xdr:row>
      <xdr:rowOff>0</xdr:rowOff>
    </xdr:from>
    <xdr:ext cx="200025" cy="200025"/>
    <xdr:pic>
      <xdr:nvPicPr>
        <xdr:cNvPr id="1589" name="image8.png">
          <a:extLst>
            <a:ext uri="{FF2B5EF4-FFF2-40B4-BE49-F238E27FC236}">
              <a16:creationId xmlns:a16="http://schemas.microsoft.com/office/drawing/2014/main" id="{00000000-0008-0000-0100-000035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384</xdr:row>
      <xdr:rowOff>0</xdr:rowOff>
    </xdr:from>
    <xdr:ext cx="200025" cy="200025"/>
    <xdr:pic>
      <xdr:nvPicPr>
        <xdr:cNvPr id="1590" name="image1.png">
          <a:extLst>
            <a:ext uri="{FF2B5EF4-FFF2-40B4-BE49-F238E27FC236}">
              <a16:creationId xmlns:a16="http://schemas.microsoft.com/office/drawing/2014/main" id="{00000000-0008-0000-0100-000036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384</xdr:row>
      <xdr:rowOff>0</xdr:rowOff>
    </xdr:from>
    <xdr:ext cx="200025" cy="200025"/>
    <xdr:pic>
      <xdr:nvPicPr>
        <xdr:cNvPr id="1591" name="image11.png">
          <a:extLst>
            <a:ext uri="{FF2B5EF4-FFF2-40B4-BE49-F238E27FC236}">
              <a16:creationId xmlns:a16="http://schemas.microsoft.com/office/drawing/2014/main" id="{00000000-0008-0000-0100-000037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384</xdr:row>
      <xdr:rowOff>0</xdr:rowOff>
    </xdr:from>
    <xdr:ext cx="200025" cy="200025"/>
    <xdr:pic>
      <xdr:nvPicPr>
        <xdr:cNvPr id="1592" name="image3.png">
          <a:extLst>
            <a:ext uri="{FF2B5EF4-FFF2-40B4-BE49-F238E27FC236}">
              <a16:creationId xmlns:a16="http://schemas.microsoft.com/office/drawing/2014/main" id="{00000000-0008-0000-0100-000038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385</xdr:row>
      <xdr:rowOff>0</xdr:rowOff>
    </xdr:from>
    <xdr:ext cx="200025" cy="200025"/>
    <xdr:pic>
      <xdr:nvPicPr>
        <xdr:cNvPr id="1593" name="image10.png">
          <a:extLst>
            <a:ext uri="{FF2B5EF4-FFF2-40B4-BE49-F238E27FC236}">
              <a16:creationId xmlns:a16="http://schemas.microsoft.com/office/drawing/2014/main" id="{00000000-0008-0000-0100-000039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385</xdr:row>
      <xdr:rowOff>0</xdr:rowOff>
    </xdr:from>
    <xdr:ext cx="200025" cy="200025"/>
    <xdr:pic>
      <xdr:nvPicPr>
        <xdr:cNvPr id="1594" name="image9.png">
          <a:extLst>
            <a:ext uri="{FF2B5EF4-FFF2-40B4-BE49-F238E27FC236}">
              <a16:creationId xmlns:a16="http://schemas.microsoft.com/office/drawing/2014/main" id="{00000000-0008-0000-0100-00003A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385</xdr:row>
      <xdr:rowOff>0</xdr:rowOff>
    </xdr:from>
    <xdr:ext cx="200025" cy="200025"/>
    <xdr:pic>
      <xdr:nvPicPr>
        <xdr:cNvPr id="1595" name="image6.png">
          <a:extLst>
            <a:ext uri="{FF2B5EF4-FFF2-40B4-BE49-F238E27FC236}">
              <a16:creationId xmlns:a16="http://schemas.microsoft.com/office/drawing/2014/main" id="{00000000-0008-0000-0100-00003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385</xdr:row>
      <xdr:rowOff>0</xdr:rowOff>
    </xdr:from>
    <xdr:ext cx="200025" cy="200025"/>
    <xdr:pic>
      <xdr:nvPicPr>
        <xdr:cNvPr id="1596" name="image12.png">
          <a:extLst>
            <a:ext uri="{FF2B5EF4-FFF2-40B4-BE49-F238E27FC236}">
              <a16:creationId xmlns:a16="http://schemas.microsoft.com/office/drawing/2014/main" id="{00000000-0008-0000-0100-00003C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385</xdr:row>
      <xdr:rowOff>0</xdr:rowOff>
    </xdr:from>
    <xdr:ext cx="200025" cy="200025"/>
    <xdr:pic>
      <xdr:nvPicPr>
        <xdr:cNvPr id="1597" name="image3.png">
          <a:extLst>
            <a:ext uri="{FF2B5EF4-FFF2-40B4-BE49-F238E27FC236}">
              <a16:creationId xmlns:a16="http://schemas.microsoft.com/office/drawing/2014/main" id="{00000000-0008-0000-0100-00003D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386</xdr:row>
      <xdr:rowOff>0</xdr:rowOff>
    </xdr:from>
    <xdr:ext cx="200025" cy="200025"/>
    <xdr:pic>
      <xdr:nvPicPr>
        <xdr:cNvPr id="1598" name="image2.png">
          <a:extLst>
            <a:ext uri="{FF2B5EF4-FFF2-40B4-BE49-F238E27FC236}">
              <a16:creationId xmlns:a16="http://schemas.microsoft.com/office/drawing/2014/main" id="{00000000-0008-0000-0100-00003E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386</xdr:row>
      <xdr:rowOff>0</xdr:rowOff>
    </xdr:from>
    <xdr:ext cx="200025" cy="200025"/>
    <xdr:pic>
      <xdr:nvPicPr>
        <xdr:cNvPr id="1599" name="image6.png">
          <a:extLst>
            <a:ext uri="{FF2B5EF4-FFF2-40B4-BE49-F238E27FC236}">
              <a16:creationId xmlns:a16="http://schemas.microsoft.com/office/drawing/2014/main" id="{00000000-0008-0000-0100-00003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386</xdr:row>
      <xdr:rowOff>0</xdr:rowOff>
    </xdr:from>
    <xdr:ext cx="200025" cy="200025"/>
    <xdr:pic>
      <xdr:nvPicPr>
        <xdr:cNvPr id="1600" name="image12.png">
          <a:extLst>
            <a:ext uri="{FF2B5EF4-FFF2-40B4-BE49-F238E27FC236}">
              <a16:creationId xmlns:a16="http://schemas.microsoft.com/office/drawing/2014/main" id="{00000000-0008-0000-0100-000040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386</xdr:row>
      <xdr:rowOff>0</xdr:rowOff>
    </xdr:from>
    <xdr:ext cx="200025" cy="200025"/>
    <xdr:pic>
      <xdr:nvPicPr>
        <xdr:cNvPr id="1601" name="image3.png">
          <a:extLst>
            <a:ext uri="{FF2B5EF4-FFF2-40B4-BE49-F238E27FC236}">
              <a16:creationId xmlns:a16="http://schemas.microsoft.com/office/drawing/2014/main" id="{00000000-0008-0000-0100-000041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386</xdr:row>
      <xdr:rowOff>0</xdr:rowOff>
    </xdr:from>
    <xdr:ext cx="200025" cy="200025"/>
    <xdr:pic>
      <xdr:nvPicPr>
        <xdr:cNvPr id="1602" name="image8.png">
          <a:extLst>
            <a:ext uri="{FF2B5EF4-FFF2-40B4-BE49-F238E27FC236}">
              <a16:creationId xmlns:a16="http://schemas.microsoft.com/office/drawing/2014/main" id="{00000000-0008-0000-0100-000042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389</xdr:row>
      <xdr:rowOff>0</xdr:rowOff>
    </xdr:from>
    <xdr:ext cx="200025" cy="200025"/>
    <xdr:pic>
      <xdr:nvPicPr>
        <xdr:cNvPr id="1603" name="image10.png">
          <a:extLst>
            <a:ext uri="{FF2B5EF4-FFF2-40B4-BE49-F238E27FC236}">
              <a16:creationId xmlns:a16="http://schemas.microsoft.com/office/drawing/2014/main" id="{00000000-0008-0000-0100-000043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389</xdr:row>
      <xdr:rowOff>0</xdr:rowOff>
    </xdr:from>
    <xdr:ext cx="200025" cy="200025"/>
    <xdr:pic>
      <xdr:nvPicPr>
        <xdr:cNvPr id="1604" name="image9.png">
          <a:extLst>
            <a:ext uri="{FF2B5EF4-FFF2-40B4-BE49-F238E27FC236}">
              <a16:creationId xmlns:a16="http://schemas.microsoft.com/office/drawing/2014/main" id="{00000000-0008-0000-0100-000044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389</xdr:row>
      <xdr:rowOff>0</xdr:rowOff>
    </xdr:from>
    <xdr:ext cx="200025" cy="200025"/>
    <xdr:pic>
      <xdr:nvPicPr>
        <xdr:cNvPr id="1605" name="image6.png">
          <a:extLst>
            <a:ext uri="{FF2B5EF4-FFF2-40B4-BE49-F238E27FC236}">
              <a16:creationId xmlns:a16="http://schemas.microsoft.com/office/drawing/2014/main" id="{00000000-0008-0000-0100-000045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389</xdr:row>
      <xdr:rowOff>0</xdr:rowOff>
    </xdr:from>
    <xdr:ext cx="200025" cy="200025"/>
    <xdr:pic>
      <xdr:nvPicPr>
        <xdr:cNvPr id="1606" name="image12.png">
          <a:extLst>
            <a:ext uri="{FF2B5EF4-FFF2-40B4-BE49-F238E27FC236}">
              <a16:creationId xmlns:a16="http://schemas.microsoft.com/office/drawing/2014/main" id="{00000000-0008-0000-0100-000046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389</xdr:row>
      <xdr:rowOff>0</xdr:rowOff>
    </xdr:from>
    <xdr:ext cx="200025" cy="200025"/>
    <xdr:pic>
      <xdr:nvPicPr>
        <xdr:cNvPr id="1607" name="image3.png">
          <a:extLst>
            <a:ext uri="{FF2B5EF4-FFF2-40B4-BE49-F238E27FC236}">
              <a16:creationId xmlns:a16="http://schemas.microsoft.com/office/drawing/2014/main" id="{00000000-0008-0000-0100-000047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390</xdr:row>
      <xdr:rowOff>0</xdr:rowOff>
    </xdr:from>
    <xdr:ext cx="200025" cy="200025"/>
    <xdr:pic>
      <xdr:nvPicPr>
        <xdr:cNvPr id="1608" name="image1.png">
          <a:extLst>
            <a:ext uri="{FF2B5EF4-FFF2-40B4-BE49-F238E27FC236}">
              <a16:creationId xmlns:a16="http://schemas.microsoft.com/office/drawing/2014/main" id="{00000000-0008-0000-0100-000048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390</xdr:row>
      <xdr:rowOff>0</xdr:rowOff>
    </xdr:from>
    <xdr:ext cx="200025" cy="200025"/>
    <xdr:pic>
      <xdr:nvPicPr>
        <xdr:cNvPr id="1609" name="image6.png">
          <a:extLst>
            <a:ext uri="{FF2B5EF4-FFF2-40B4-BE49-F238E27FC236}">
              <a16:creationId xmlns:a16="http://schemas.microsoft.com/office/drawing/2014/main" id="{00000000-0008-0000-0100-000049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390</xdr:row>
      <xdr:rowOff>0</xdr:rowOff>
    </xdr:from>
    <xdr:ext cx="200025" cy="200025"/>
    <xdr:pic>
      <xdr:nvPicPr>
        <xdr:cNvPr id="1610" name="image5.png">
          <a:extLst>
            <a:ext uri="{FF2B5EF4-FFF2-40B4-BE49-F238E27FC236}">
              <a16:creationId xmlns:a16="http://schemas.microsoft.com/office/drawing/2014/main" id="{00000000-0008-0000-0100-00004A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390</xdr:row>
      <xdr:rowOff>0</xdr:rowOff>
    </xdr:from>
    <xdr:ext cx="200025" cy="200025"/>
    <xdr:pic>
      <xdr:nvPicPr>
        <xdr:cNvPr id="1611" name="image7.png">
          <a:extLst>
            <a:ext uri="{FF2B5EF4-FFF2-40B4-BE49-F238E27FC236}">
              <a16:creationId xmlns:a16="http://schemas.microsoft.com/office/drawing/2014/main" id="{00000000-0008-0000-0100-00004B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391</xdr:row>
      <xdr:rowOff>0</xdr:rowOff>
    </xdr:from>
    <xdr:ext cx="200025" cy="200025"/>
    <xdr:pic>
      <xdr:nvPicPr>
        <xdr:cNvPr id="1612" name="image10.png">
          <a:extLst>
            <a:ext uri="{FF2B5EF4-FFF2-40B4-BE49-F238E27FC236}">
              <a16:creationId xmlns:a16="http://schemas.microsoft.com/office/drawing/2014/main" id="{00000000-0008-0000-0100-00004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391</xdr:row>
      <xdr:rowOff>0</xdr:rowOff>
    </xdr:from>
    <xdr:ext cx="200025" cy="200025"/>
    <xdr:pic>
      <xdr:nvPicPr>
        <xdr:cNvPr id="1613" name="image9.png">
          <a:extLst>
            <a:ext uri="{FF2B5EF4-FFF2-40B4-BE49-F238E27FC236}">
              <a16:creationId xmlns:a16="http://schemas.microsoft.com/office/drawing/2014/main" id="{00000000-0008-0000-0100-00004D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391</xdr:row>
      <xdr:rowOff>0</xdr:rowOff>
    </xdr:from>
    <xdr:ext cx="200025" cy="200025"/>
    <xdr:pic>
      <xdr:nvPicPr>
        <xdr:cNvPr id="1614" name="image6.png">
          <a:extLst>
            <a:ext uri="{FF2B5EF4-FFF2-40B4-BE49-F238E27FC236}">
              <a16:creationId xmlns:a16="http://schemas.microsoft.com/office/drawing/2014/main" id="{00000000-0008-0000-0100-00004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391</xdr:row>
      <xdr:rowOff>0</xdr:rowOff>
    </xdr:from>
    <xdr:ext cx="200025" cy="200025"/>
    <xdr:pic>
      <xdr:nvPicPr>
        <xdr:cNvPr id="1615" name="image12.png">
          <a:extLst>
            <a:ext uri="{FF2B5EF4-FFF2-40B4-BE49-F238E27FC236}">
              <a16:creationId xmlns:a16="http://schemas.microsoft.com/office/drawing/2014/main" id="{00000000-0008-0000-0100-00004F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391</xdr:row>
      <xdr:rowOff>0</xdr:rowOff>
    </xdr:from>
    <xdr:ext cx="200025" cy="200025"/>
    <xdr:pic>
      <xdr:nvPicPr>
        <xdr:cNvPr id="1616" name="image3.png">
          <a:extLst>
            <a:ext uri="{FF2B5EF4-FFF2-40B4-BE49-F238E27FC236}">
              <a16:creationId xmlns:a16="http://schemas.microsoft.com/office/drawing/2014/main" id="{00000000-0008-0000-0100-000050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392</xdr:row>
      <xdr:rowOff>0</xdr:rowOff>
    </xdr:from>
    <xdr:ext cx="200025" cy="200025"/>
    <xdr:pic>
      <xdr:nvPicPr>
        <xdr:cNvPr id="1617" name="image8.png">
          <a:extLst>
            <a:ext uri="{FF2B5EF4-FFF2-40B4-BE49-F238E27FC236}">
              <a16:creationId xmlns:a16="http://schemas.microsoft.com/office/drawing/2014/main" id="{00000000-0008-0000-0100-000051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392</xdr:row>
      <xdr:rowOff>0</xdr:rowOff>
    </xdr:from>
    <xdr:ext cx="200025" cy="200025"/>
    <xdr:pic>
      <xdr:nvPicPr>
        <xdr:cNvPr id="1618" name="image2.png">
          <a:extLst>
            <a:ext uri="{FF2B5EF4-FFF2-40B4-BE49-F238E27FC236}">
              <a16:creationId xmlns:a16="http://schemas.microsoft.com/office/drawing/2014/main" id="{00000000-0008-0000-0100-000052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392</xdr:row>
      <xdr:rowOff>0</xdr:rowOff>
    </xdr:from>
    <xdr:ext cx="200025" cy="200025"/>
    <xdr:pic>
      <xdr:nvPicPr>
        <xdr:cNvPr id="1619" name="image5.png">
          <a:extLst>
            <a:ext uri="{FF2B5EF4-FFF2-40B4-BE49-F238E27FC236}">
              <a16:creationId xmlns:a16="http://schemas.microsoft.com/office/drawing/2014/main" id="{00000000-0008-0000-0100-000053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392</xdr:row>
      <xdr:rowOff>0</xdr:rowOff>
    </xdr:from>
    <xdr:ext cx="200025" cy="200025"/>
    <xdr:pic>
      <xdr:nvPicPr>
        <xdr:cNvPr id="1620" name="image4.png">
          <a:extLst>
            <a:ext uri="{FF2B5EF4-FFF2-40B4-BE49-F238E27FC236}">
              <a16:creationId xmlns:a16="http://schemas.microsoft.com/office/drawing/2014/main" id="{00000000-0008-0000-0100-000054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393</xdr:row>
      <xdr:rowOff>0</xdr:rowOff>
    </xdr:from>
    <xdr:ext cx="200025" cy="200025"/>
    <xdr:pic>
      <xdr:nvPicPr>
        <xdr:cNvPr id="1621" name="image8.png">
          <a:extLst>
            <a:ext uri="{FF2B5EF4-FFF2-40B4-BE49-F238E27FC236}">
              <a16:creationId xmlns:a16="http://schemas.microsoft.com/office/drawing/2014/main" id="{00000000-0008-0000-0100-000055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393</xdr:row>
      <xdr:rowOff>0</xdr:rowOff>
    </xdr:from>
    <xdr:ext cx="200025" cy="200025"/>
    <xdr:pic>
      <xdr:nvPicPr>
        <xdr:cNvPr id="1622" name="image2.png">
          <a:extLst>
            <a:ext uri="{FF2B5EF4-FFF2-40B4-BE49-F238E27FC236}">
              <a16:creationId xmlns:a16="http://schemas.microsoft.com/office/drawing/2014/main" id="{00000000-0008-0000-0100-000056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393</xdr:row>
      <xdr:rowOff>0</xdr:rowOff>
    </xdr:from>
    <xdr:ext cx="200025" cy="200025"/>
    <xdr:pic>
      <xdr:nvPicPr>
        <xdr:cNvPr id="1623" name="image4.png">
          <a:extLst>
            <a:ext uri="{FF2B5EF4-FFF2-40B4-BE49-F238E27FC236}">
              <a16:creationId xmlns:a16="http://schemas.microsoft.com/office/drawing/2014/main" id="{00000000-0008-0000-0100-000057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393</xdr:row>
      <xdr:rowOff>0</xdr:rowOff>
    </xdr:from>
    <xdr:ext cx="200025" cy="200025"/>
    <xdr:pic>
      <xdr:nvPicPr>
        <xdr:cNvPr id="1624" name="image3.png">
          <a:extLst>
            <a:ext uri="{FF2B5EF4-FFF2-40B4-BE49-F238E27FC236}">
              <a16:creationId xmlns:a16="http://schemas.microsoft.com/office/drawing/2014/main" id="{00000000-0008-0000-0100-000058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394</xdr:row>
      <xdr:rowOff>0</xdr:rowOff>
    </xdr:from>
    <xdr:ext cx="200025" cy="200025"/>
    <xdr:pic>
      <xdr:nvPicPr>
        <xdr:cNvPr id="1625" name="image1.png">
          <a:extLst>
            <a:ext uri="{FF2B5EF4-FFF2-40B4-BE49-F238E27FC236}">
              <a16:creationId xmlns:a16="http://schemas.microsoft.com/office/drawing/2014/main" id="{00000000-0008-0000-0100-000059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394</xdr:row>
      <xdr:rowOff>0</xdr:rowOff>
    </xdr:from>
    <xdr:ext cx="200025" cy="200025"/>
    <xdr:pic>
      <xdr:nvPicPr>
        <xdr:cNvPr id="1626" name="image6.png">
          <a:extLst>
            <a:ext uri="{FF2B5EF4-FFF2-40B4-BE49-F238E27FC236}">
              <a16:creationId xmlns:a16="http://schemas.microsoft.com/office/drawing/2014/main" id="{00000000-0008-0000-0100-00005A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394</xdr:row>
      <xdr:rowOff>0</xdr:rowOff>
    </xdr:from>
    <xdr:ext cx="200025" cy="200025"/>
    <xdr:pic>
      <xdr:nvPicPr>
        <xdr:cNvPr id="1627" name="image5.png">
          <a:extLst>
            <a:ext uri="{FF2B5EF4-FFF2-40B4-BE49-F238E27FC236}">
              <a16:creationId xmlns:a16="http://schemas.microsoft.com/office/drawing/2014/main" id="{00000000-0008-0000-0100-00005B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394</xdr:row>
      <xdr:rowOff>0</xdr:rowOff>
    </xdr:from>
    <xdr:ext cx="200025" cy="200025"/>
    <xdr:pic>
      <xdr:nvPicPr>
        <xdr:cNvPr id="1628" name="image3.png">
          <a:extLst>
            <a:ext uri="{FF2B5EF4-FFF2-40B4-BE49-F238E27FC236}">
              <a16:creationId xmlns:a16="http://schemas.microsoft.com/office/drawing/2014/main" id="{00000000-0008-0000-0100-00005C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395</xdr:row>
      <xdr:rowOff>0</xdr:rowOff>
    </xdr:from>
    <xdr:ext cx="200025" cy="200025"/>
    <xdr:pic>
      <xdr:nvPicPr>
        <xdr:cNvPr id="1629" name="image10.png">
          <a:extLst>
            <a:ext uri="{FF2B5EF4-FFF2-40B4-BE49-F238E27FC236}">
              <a16:creationId xmlns:a16="http://schemas.microsoft.com/office/drawing/2014/main" id="{00000000-0008-0000-0100-00005D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395</xdr:row>
      <xdr:rowOff>0</xdr:rowOff>
    </xdr:from>
    <xdr:ext cx="200025" cy="200025"/>
    <xdr:pic>
      <xdr:nvPicPr>
        <xdr:cNvPr id="1630" name="image8.png">
          <a:extLst>
            <a:ext uri="{FF2B5EF4-FFF2-40B4-BE49-F238E27FC236}">
              <a16:creationId xmlns:a16="http://schemas.microsoft.com/office/drawing/2014/main" id="{00000000-0008-0000-0100-00005E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396</xdr:row>
      <xdr:rowOff>0</xdr:rowOff>
    </xdr:from>
    <xdr:ext cx="200025" cy="200025"/>
    <xdr:pic>
      <xdr:nvPicPr>
        <xdr:cNvPr id="1631" name="image10.png">
          <a:extLst>
            <a:ext uri="{FF2B5EF4-FFF2-40B4-BE49-F238E27FC236}">
              <a16:creationId xmlns:a16="http://schemas.microsoft.com/office/drawing/2014/main" id="{00000000-0008-0000-0100-00005F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396</xdr:row>
      <xdr:rowOff>0</xdr:rowOff>
    </xdr:from>
    <xdr:ext cx="200025" cy="200025"/>
    <xdr:pic>
      <xdr:nvPicPr>
        <xdr:cNvPr id="1632" name="image8.png">
          <a:extLst>
            <a:ext uri="{FF2B5EF4-FFF2-40B4-BE49-F238E27FC236}">
              <a16:creationId xmlns:a16="http://schemas.microsoft.com/office/drawing/2014/main" id="{00000000-0008-0000-0100-000060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397</xdr:row>
      <xdr:rowOff>0</xdr:rowOff>
    </xdr:from>
    <xdr:ext cx="200025" cy="200025"/>
    <xdr:pic>
      <xdr:nvPicPr>
        <xdr:cNvPr id="1633" name="image8.png">
          <a:extLst>
            <a:ext uri="{FF2B5EF4-FFF2-40B4-BE49-F238E27FC236}">
              <a16:creationId xmlns:a16="http://schemas.microsoft.com/office/drawing/2014/main" id="{00000000-0008-0000-0100-000061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397</xdr:row>
      <xdr:rowOff>0</xdr:rowOff>
    </xdr:from>
    <xdr:ext cx="200025" cy="200025"/>
    <xdr:pic>
      <xdr:nvPicPr>
        <xdr:cNvPr id="1634" name="image9.png">
          <a:extLst>
            <a:ext uri="{FF2B5EF4-FFF2-40B4-BE49-F238E27FC236}">
              <a16:creationId xmlns:a16="http://schemas.microsoft.com/office/drawing/2014/main" id="{00000000-0008-0000-0100-000062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397</xdr:row>
      <xdr:rowOff>0</xdr:rowOff>
    </xdr:from>
    <xdr:ext cx="200025" cy="200025"/>
    <xdr:pic>
      <xdr:nvPicPr>
        <xdr:cNvPr id="1635" name="image6.png">
          <a:extLst>
            <a:ext uri="{FF2B5EF4-FFF2-40B4-BE49-F238E27FC236}">
              <a16:creationId xmlns:a16="http://schemas.microsoft.com/office/drawing/2014/main" id="{00000000-0008-0000-0100-000063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397</xdr:row>
      <xdr:rowOff>0</xdr:rowOff>
    </xdr:from>
    <xdr:ext cx="200025" cy="200025"/>
    <xdr:pic>
      <xdr:nvPicPr>
        <xdr:cNvPr id="1636" name="image12.png">
          <a:extLst>
            <a:ext uri="{FF2B5EF4-FFF2-40B4-BE49-F238E27FC236}">
              <a16:creationId xmlns:a16="http://schemas.microsoft.com/office/drawing/2014/main" id="{00000000-0008-0000-0100-000064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397</xdr:row>
      <xdr:rowOff>0</xdr:rowOff>
    </xdr:from>
    <xdr:ext cx="200025" cy="200025"/>
    <xdr:pic>
      <xdr:nvPicPr>
        <xdr:cNvPr id="1637" name="image4.png">
          <a:extLst>
            <a:ext uri="{FF2B5EF4-FFF2-40B4-BE49-F238E27FC236}">
              <a16:creationId xmlns:a16="http://schemas.microsoft.com/office/drawing/2014/main" id="{00000000-0008-0000-0100-000065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398</xdr:row>
      <xdr:rowOff>0</xdr:rowOff>
    </xdr:from>
    <xdr:ext cx="200025" cy="200025"/>
    <xdr:pic>
      <xdr:nvPicPr>
        <xdr:cNvPr id="1638" name="image10.png">
          <a:extLst>
            <a:ext uri="{FF2B5EF4-FFF2-40B4-BE49-F238E27FC236}">
              <a16:creationId xmlns:a16="http://schemas.microsoft.com/office/drawing/2014/main" id="{00000000-0008-0000-0100-00006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398</xdr:row>
      <xdr:rowOff>0</xdr:rowOff>
    </xdr:from>
    <xdr:ext cx="200025" cy="200025"/>
    <xdr:pic>
      <xdr:nvPicPr>
        <xdr:cNvPr id="1639" name="image2.png">
          <a:extLst>
            <a:ext uri="{FF2B5EF4-FFF2-40B4-BE49-F238E27FC236}">
              <a16:creationId xmlns:a16="http://schemas.microsoft.com/office/drawing/2014/main" id="{00000000-0008-0000-0100-000067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398</xdr:row>
      <xdr:rowOff>0</xdr:rowOff>
    </xdr:from>
    <xdr:ext cx="200025" cy="200025"/>
    <xdr:pic>
      <xdr:nvPicPr>
        <xdr:cNvPr id="1640" name="image5.png">
          <a:extLst>
            <a:ext uri="{FF2B5EF4-FFF2-40B4-BE49-F238E27FC236}">
              <a16:creationId xmlns:a16="http://schemas.microsoft.com/office/drawing/2014/main" id="{00000000-0008-0000-0100-000068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398</xdr:row>
      <xdr:rowOff>0</xdr:rowOff>
    </xdr:from>
    <xdr:ext cx="200025" cy="200025"/>
    <xdr:pic>
      <xdr:nvPicPr>
        <xdr:cNvPr id="1641" name="image3.png">
          <a:extLst>
            <a:ext uri="{FF2B5EF4-FFF2-40B4-BE49-F238E27FC236}">
              <a16:creationId xmlns:a16="http://schemas.microsoft.com/office/drawing/2014/main" id="{00000000-0008-0000-0100-000069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398</xdr:row>
      <xdr:rowOff>0</xdr:rowOff>
    </xdr:from>
    <xdr:ext cx="200025" cy="200025"/>
    <xdr:pic>
      <xdr:nvPicPr>
        <xdr:cNvPr id="1642" name="image11.png">
          <a:extLst>
            <a:ext uri="{FF2B5EF4-FFF2-40B4-BE49-F238E27FC236}">
              <a16:creationId xmlns:a16="http://schemas.microsoft.com/office/drawing/2014/main" id="{00000000-0008-0000-0100-00006A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399</xdr:row>
      <xdr:rowOff>0</xdr:rowOff>
    </xdr:from>
    <xdr:ext cx="200025" cy="200025"/>
    <xdr:pic>
      <xdr:nvPicPr>
        <xdr:cNvPr id="1643" name="image8.png">
          <a:extLst>
            <a:ext uri="{FF2B5EF4-FFF2-40B4-BE49-F238E27FC236}">
              <a16:creationId xmlns:a16="http://schemas.microsoft.com/office/drawing/2014/main" id="{00000000-0008-0000-0100-00006B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399</xdr:row>
      <xdr:rowOff>0</xdr:rowOff>
    </xdr:from>
    <xdr:ext cx="200025" cy="200025"/>
    <xdr:pic>
      <xdr:nvPicPr>
        <xdr:cNvPr id="1644" name="image9.png">
          <a:extLst>
            <a:ext uri="{FF2B5EF4-FFF2-40B4-BE49-F238E27FC236}">
              <a16:creationId xmlns:a16="http://schemas.microsoft.com/office/drawing/2014/main" id="{00000000-0008-0000-0100-00006C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399</xdr:row>
      <xdr:rowOff>0</xdr:rowOff>
    </xdr:from>
    <xdr:ext cx="200025" cy="200025"/>
    <xdr:pic>
      <xdr:nvPicPr>
        <xdr:cNvPr id="1645" name="image1.png">
          <a:extLst>
            <a:ext uri="{FF2B5EF4-FFF2-40B4-BE49-F238E27FC236}">
              <a16:creationId xmlns:a16="http://schemas.microsoft.com/office/drawing/2014/main" id="{00000000-0008-0000-0100-00006D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399</xdr:row>
      <xdr:rowOff>0</xdr:rowOff>
    </xdr:from>
    <xdr:ext cx="200025" cy="200025"/>
    <xdr:pic>
      <xdr:nvPicPr>
        <xdr:cNvPr id="1646" name="image12.png">
          <a:extLst>
            <a:ext uri="{FF2B5EF4-FFF2-40B4-BE49-F238E27FC236}">
              <a16:creationId xmlns:a16="http://schemas.microsoft.com/office/drawing/2014/main" id="{00000000-0008-0000-0100-00006E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399</xdr:row>
      <xdr:rowOff>0</xdr:rowOff>
    </xdr:from>
    <xdr:ext cx="200025" cy="200025"/>
    <xdr:pic>
      <xdr:nvPicPr>
        <xdr:cNvPr id="1647" name="image7.png">
          <a:extLst>
            <a:ext uri="{FF2B5EF4-FFF2-40B4-BE49-F238E27FC236}">
              <a16:creationId xmlns:a16="http://schemas.microsoft.com/office/drawing/2014/main" id="{00000000-0008-0000-0100-00006F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400</xdr:row>
      <xdr:rowOff>0</xdr:rowOff>
    </xdr:from>
    <xdr:ext cx="200025" cy="200025"/>
    <xdr:pic>
      <xdr:nvPicPr>
        <xdr:cNvPr id="1648" name="image10.png">
          <a:extLst>
            <a:ext uri="{FF2B5EF4-FFF2-40B4-BE49-F238E27FC236}">
              <a16:creationId xmlns:a16="http://schemas.microsoft.com/office/drawing/2014/main" id="{00000000-0008-0000-0100-00007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400</xdr:row>
      <xdr:rowOff>0</xdr:rowOff>
    </xdr:from>
    <xdr:ext cx="200025" cy="200025"/>
    <xdr:pic>
      <xdr:nvPicPr>
        <xdr:cNvPr id="1649" name="image2.png">
          <a:extLst>
            <a:ext uri="{FF2B5EF4-FFF2-40B4-BE49-F238E27FC236}">
              <a16:creationId xmlns:a16="http://schemas.microsoft.com/office/drawing/2014/main" id="{00000000-0008-0000-0100-00007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400</xdr:row>
      <xdr:rowOff>0</xdr:rowOff>
    </xdr:from>
    <xdr:ext cx="200025" cy="200025"/>
    <xdr:pic>
      <xdr:nvPicPr>
        <xdr:cNvPr id="1650" name="image3.png">
          <a:extLst>
            <a:ext uri="{FF2B5EF4-FFF2-40B4-BE49-F238E27FC236}">
              <a16:creationId xmlns:a16="http://schemas.microsoft.com/office/drawing/2014/main" id="{00000000-0008-0000-0100-000072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400</xdr:row>
      <xdr:rowOff>0</xdr:rowOff>
    </xdr:from>
    <xdr:ext cx="200025" cy="200025"/>
    <xdr:pic>
      <xdr:nvPicPr>
        <xdr:cNvPr id="1651" name="image11.png">
          <a:extLst>
            <a:ext uri="{FF2B5EF4-FFF2-40B4-BE49-F238E27FC236}">
              <a16:creationId xmlns:a16="http://schemas.microsoft.com/office/drawing/2014/main" id="{00000000-0008-0000-0100-000073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401</xdr:row>
      <xdr:rowOff>0</xdr:rowOff>
    </xdr:from>
    <xdr:ext cx="200025" cy="200025"/>
    <xdr:pic>
      <xdr:nvPicPr>
        <xdr:cNvPr id="1652" name="image9.png">
          <a:extLst>
            <a:ext uri="{FF2B5EF4-FFF2-40B4-BE49-F238E27FC236}">
              <a16:creationId xmlns:a16="http://schemas.microsoft.com/office/drawing/2014/main" id="{00000000-0008-0000-0100-000074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401</xdr:row>
      <xdr:rowOff>0</xdr:rowOff>
    </xdr:from>
    <xdr:ext cx="200025" cy="200025"/>
    <xdr:pic>
      <xdr:nvPicPr>
        <xdr:cNvPr id="1653" name="image2.png">
          <a:extLst>
            <a:ext uri="{FF2B5EF4-FFF2-40B4-BE49-F238E27FC236}">
              <a16:creationId xmlns:a16="http://schemas.microsoft.com/office/drawing/2014/main" id="{00000000-0008-0000-0100-000075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401</xdr:row>
      <xdr:rowOff>0</xdr:rowOff>
    </xdr:from>
    <xdr:ext cx="200025" cy="200025"/>
    <xdr:pic>
      <xdr:nvPicPr>
        <xdr:cNvPr id="1654" name="image6.png">
          <a:extLst>
            <a:ext uri="{FF2B5EF4-FFF2-40B4-BE49-F238E27FC236}">
              <a16:creationId xmlns:a16="http://schemas.microsoft.com/office/drawing/2014/main" id="{00000000-0008-0000-0100-000076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401</xdr:row>
      <xdr:rowOff>0</xdr:rowOff>
    </xdr:from>
    <xdr:ext cx="200025" cy="200025"/>
    <xdr:pic>
      <xdr:nvPicPr>
        <xdr:cNvPr id="1655" name="image12.png">
          <a:extLst>
            <a:ext uri="{FF2B5EF4-FFF2-40B4-BE49-F238E27FC236}">
              <a16:creationId xmlns:a16="http://schemas.microsoft.com/office/drawing/2014/main" id="{00000000-0008-0000-0100-000077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401</xdr:row>
      <xdr:rowOff>0</xdr:rowOff>
    </xdr:from>
    <xdr:ext cx="200025" cy="200025"/>
    <xdr:pic>
      <xdr:nvPicPr>
        <xdr:cNvPr id="1656" name="image11.png">
          <a:extLst>
            <a:ext uri="{FF2B5EF4-FFF2-40B4-BE49-F238E27FC236}">
              <a16:creationId xmlns:a16="http://schemas.microsoft.com/office/drawing/2014/main" id="{00000000-0008-0000-0100-000078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402</xdr:row>
      <xdr:rowOff>0</xdr:rowOff>
    </xdr:from>
    <xdr:ext cx="200025" cy="200025"/>
    <xdr:pic>
      <xdr:nvPicPr>
        <xdr:cNvPr id="1657" name="image10.png">
          <a:extLst>
            <a:ext uri="{FF2B5EF4-FFF2-40B4-BE49-F238E27FC236}">
              <a16:creationId xmlns:a16="http://schemas.microsoft.com/office/drawing/2014/main" id="{00000000-0008-0000-0100-000079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402</xdr:row>
      <xdr:rowOff>0</xdr:rowOff>
    </xdr:from>
    <xdr:ext cx="200025" cy="200025"/>
    <xdr:pic>
      <xdr:nvPicPr>
        <xdr:cNvPr id="1658" name="image9.png">
          <a:extLst>
            <a:ext uri="{FF2B5EF4-FFF2-40B4-BE49-F238E27FC236}">
              <a16:creationId xmlns:a16="http://schemas.microsoft.com/office/drawing/2014/main" id="{00000000-0008-0000-0100-00007A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402</xdr:row>
      <xdr:rowOff>0</xdr:rowOff>
    </xdr:from>
    <xdr:ext cx="200025" cy="200025"/>
    <xdr:pic>
      <xdr:nvPicPr>
        <xdr:cNvPr id="1659" name="image1.png">
          <a:extLst>
            <a:ext uri="{FF2B5EF4-FFF2-40B4-BE49-F238E27FC236}">
              <a16:creationId xmlns:a16="http://schemas.microsoft.com/office/drawing/2014/main" id="{00000000-0008-0000-0100-00007B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402</xdr:row>
      <xdr:rowOff>0</xdr:rowOff>
    </xdr:from>
    <xdr:ext cx="200025" cy="200025"/>
    <xdr:pic>
      <xdr:nvPicPr>
        <xdr:cNvPr id="1660" name="image6.png">
          <a:extLst>
            <a:ext uri="{FF2B5EF4-FFF2-40B4-BE49-F238E27FC236}">
              <a16:creationId xmlns:a16="http://schemas.microsoft.com/office/drawing/2014/main" id="{00000000-0008-0000-0100-00007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402</xdr:row>
      <xdr:rowOff>0</xdr:rowOff>
    </xdr:from>
    <xdr:ext cx="200025" cy="200025"/>
    <xdr:pic>
      <xdr:nvPicPr>
        <xdr:cNvPr id="1661" name="image12.png">
          <a:extLst>
            <a:ext uri="{FF2B5EF4-FFF2-40B4-BE49-F238E27FC236}">
              <a16:creationId xmlns:a16="http://schemas.microsoft.com/office/drawing/2014/main" id="{00000000-0008-0000-0100-00007D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403</xdr:row>
      <xdr:rowOff>0</xdr:rowOff>
    </xdr:from>
    <xdr:ext cx="200025" cy="200025"/>
    <xdr:pic>
      <xdr:nvPicPr>
        <xdr:cNvPr id="1662" name="image9.png">
          <a:extLst>
            <a:ext uri="{FF2B5EF4-FFF2-40B4-BE49-F238E27FC236}">
              <a16:creationId xmlns:a16="http://schemas.microsoft.com/office/drawing/2014/main" id="{00000000-0008-0000-0100-00007E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403</xdr:row>
      <xdr:rowOff>0</xdr:rowOff>
    </xdr:from>
    <xdr:ext cx="200025" cy="200025"/>
    <xdr:pic>
      <xdr:nvPicPr>
        <xdr:cNvPr id="1663" name="image1.png">
          <a:extLst>
            <a:ext uri="{FF2B5EF4-FFF2-40B4-BE49-F238E27FC236}">
              <a16:creationId xmlns:a16="http://schemas.microsoft.com/office/drawing/2014/main" id="{00000000-0008-0000-0100-00007F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403</xdr:row>
      <xdr:rowOff>0</xdr:rowOff>
    </xdr:from>
    <xdr:ext cx="200025" cy="200025"/>
    <xdr:pic>
      <xdr:nvPicPr>
        <xdr:cNvPr id="1664" name="image5.png">
          <a:extLst>
            <a:ext uri="{FF2B5EF4-FFF2-40B4-BE49-F238E27FC236}">
              <a16:creationId xmlns:a16="http://schemas.microsoft.com/office/drawing/2014/main" id="{00000000-0008-0000-0100-000080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403</xdr:row>
      <xdr:rowOff>0</xdr:rowOff>
    </xdr:from>
    <xdr:ext cx="200025" cy="200025"/>
    <xdr:pic>
      <xdr:nvPicPr>
        <xdr:cNvPr id="1665" name="image12.png">
          <a:extLst>
            <a:ext uri="{FF2B5EF4-FFF2-40B4-BE49-F238E27FC236}">
              <a16:creationId xmlns:a16="http://schemas.microsoft.com/office/drawing/2014/main" id="{00000000-0008-0000-0100-000081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403</xdr:row>
      <xdr:rowOff>0</xdr:rowOff>
    </xdr:from>
    <xdr:ext cx="200025" cy="200025"/>
    <xdr:pic>
      <xdr:nvPicPr>
        <xdr:cNvPr id="1666" name="image4.png">
          <a:extLst>
            <a:ext uri="{FF2B5EF4-FFF2-40B4-BE49-F238E27FC236}">
              <a16:creationId xmlns:a16="http://schemas.microsoft.com/office/drawing/2014/main" id="{00000000-0008-0000-0100-000082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404</xdr:row>
      <xdr:rowOff>0</xdr:rowOff>
    </xdr:from>
    <xdr:ext cx="200025" cy="200025"/>
    <xdr:pic>
      <xdr:nvPicPr>
        <xdr:cNvPr id="1667" name="image10.png">
          <a:extLst>
            <a:ext uri="{FF2B5EF4-FFF2-40B4-BE49-F238E27FC236}">
              <a16:creationId xmlns:a16="http://schemas.microsoft.com/office/drawing/2014/main" id="{00000000-0008-0000-0100-000083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404</xdr:row>
      <xdr:rowOff>0</xdr:rowOff>
    </xdr:from>
    <xdr:ext cx="200025" cy="200025"/>
    <xdr:pic>
      <xdr:nvPicPr>
        <xdr:cNvPr id="1668" name="image2.png">
          <a:extLst>
            <a:ext uri="{FF2B5EF4-FFF2-40B4-BE49-F238E27FC236}">
              <a16:creationId xmlns:a16="http://schemas.microsoft.com/office/drawing/2014/main" id="{00000000-0008-0000-0100-000084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404</xdr:row>
      <xdr:rowOff>0</xdr:rowOff>
    </xdr:from>
    <xdr:ext cx="200025" cy="200025"/>
    <xdr:pic>
      <xdr:nvPicPr>
        <xdr:cNvPr id="1669" name="image3.png">
          <a:extLst>
            <a:ext uri="{FF2B5EF4-FFF2-40B4-BE49-F238E27FC236}">
              <a16:creationId xmlns:a16="http://schemas.microsoft.com/office/drawing/2014/main" id="{00000000-0008-0000-0100-000085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404</xdr:row>
      <xdr:rowOff>0</xdr:rowOff>
    </xdr:from>
    <xdr:ext cx="200025" cy="200025"/>
    <xdr:pic>
      <xdr:nvPicPr>
        <xdr:cNvPr id="1670" name="image7.png">
          <a:extLst>
            <a:ext uri="{FF2B5EF4-FFF2-40B4-BE49-F238E27FC236}">
              <a16:creationId xmlns:a16="http://schemas.microsoft.com/office/drawing/2014/main" id="{00000000-0008-0000-0100-000086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405</xdr:row>
      <xdr:rowOff>0</xdr:rowOff>
    </xdr:from>
    <xdr:ext cx="200025" cy="200025"/>
    <xdr:pic>
      <xdr:nvPicPr>
        <xdr:cNvPr id="1671" name="image10.png">
          <a:extLst>
            <a:ext uri="{FF2B5EF4-FFF2-40B4-BE49-F238E27FC236}">
              <a16:creationId xmlns:a16="http://schemas.microsoft.com/office/drawing/2014/main" id="{00000000-0008-0000-0100-000087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405</xdr:row>
      <xdr:rowOff>0</xdr:rowOff>
    </xdr:from>
    <xdr:ext cx="200025" cy="200025"/>
    <xdr:pic>
      <xdr:nvPicPr>
        <xdr:cNvPr id="1672" name="image1.png">
          <a:extLst>
            <a:ext uri="{FF2B5EF4-FFF2-40B4-BE49-F238E27FC236}">
              <a16:creationId xmlns:a16="http://schemas.microsoft.com/office/drawing/2014/main" id="{00000000-0008-0000-0100-000088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405</xdr:row>
      <xdr:rowOff>0</xdr:rowOff>
    </xdr:from>
    <xdr:ext cx="200025" cy="200025"/>
    <xdr:pic>
      <xdr:nvPicPr>
        <xdr:cNvPr id="1673" name="image12.png">
          <a:extLst>
            <a:ext uri="{FF2B5EF4-FFF2-40B4-BE49-F238E27FC236}">
              <a16:creationId xmlns:a16="http://schemas.microsoft.com/office/drawing/2014/main" id="{00000000-0008-0000-0100-000089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405</xdr:row>
      <xdr:rowOff>0</xdr:rowOff>
    </xdr:from>
    <xdr:ext cx="200025" cy="200025"/>
    <xdr:pic>
      <xdr:nvPicPr>
        <xdr:cNvPr id="1674" name="image4.png">
          <a:extLst>
            <a:ext uri="{FF2B5EF4-FFF2-40B4-BE49-F238E27FC236}">
              <a16:creationId xmlns:a16="http://schemas.microsoft.com/office/drawing/2014/main" id="{00000000-0008-0000-0100-00008A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405</xdr:row>
      <xdr:rowOff>0</xdr:rowOff>
    </xdr:from>
    <xdr:ext cx="200025" cy="200025"/>
    <xdr:pic>
      <xdr:nvPicPr>
        <xdr:cNvPr id="1675" name="image7.png">
          <a:extLst>
            <a:ext uri="{FF2B5EF4-FFF2-40B4-BE49-F238E27FC236}">
              <a16:creationId xmlns:a16="http://schemas.microsoft.com/office/drawing/2014/main" id="{00000000-0008-0000-0100-00008B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406</xdr:row>
      <xdr:rowOff>0</xdr:rowOff>
    </xdr:from>
    <xdr:ext cx="200025" cy="200025"/>
    <xdr:pic>
      <xdr:nvPicPr>
        <xdr:cNvPr id="1676" name="image10.png">
          <a:extLst>
            <a:ext uri="{FF2B5EF4-FFF2-40B4-BE49-F238E27FC236}">
              <a16:creationId xmlns:a16="http://schemas.microsoft.com/office/drawing/2014/main" id="{00000000-0008-0000-0100-00008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406</xdr:row>
      <xdr:rowOff>0</xdr:rowOff>
    </xdr:from>
    <xdr:ext cx="200025" cy="200025"/>
    <xdr:pic>
      <xdr:nvPicPr>
        <xdr:cNvPr id="1677" name="image8.png">
          <a:extLst>
            <a:ext uri="{FF2B5EF4-FFF2-40B4-BE49-F238E27FC236}">
              <a16:creationId xmlns:a16="http://schemas.microsoft.com/office/drawing/2014/main" id="{00000000-0008-0000-0100-00008D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406</xdr:row>
      <xdr:rowOff>0</xdr:rowOff>
    </xdr:from>
    <xdr:ext cx="200025" cy="200025"/>
    <xdr:pic>
      <xdr:nvPicPr>
        <xdr:cNvPr id="1678" name="image12.png">
          <a:extLst>
            <a:ext uri="{FF2B5EF4-FFF2-40B4-BE49-F238E27FC236}">
              <a16:creationId xmlns:a16="http://schemas.microsoft.com/office/drawing/2014/main" id="{00000000-0008-0000-0100-00008E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406</xdr:row>
      <xdr:rowOff>0</xdr:rowOff>
    </xdr:from>
    <xdr:ext cx="200025" cy="200025"/>
    <xdr:pic>
      <xdr:nvPicPr>
        <xdr:cNvPr id="1679" name="image4.png">
          <a:extLst>
            <a:ext uri="{FF2B5EF4-FFF2-40B4-BE49-F238E27FC236}">
              <a16:creationId xmlns:a16="http://schemas.microsoft.com/office/drawing/2014/main" id="{00000000-0008-0000-0100-00008F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406</xdr:row>
      <xdr:rowOff>0</xdr:rowOff>
    </xdr:from>
    <xdr:ext cx="200025" cy="200025"/>
    <xdr:pic>
      <xdr:nvPicPr>
        <xdr:cNvPr id="1680" name="image7.png">
          <a:extLst>
            <a:ext uri="{FF2B5EF4-FFF2-40B4-BE49-F238E27FC236}">
              <a16:creationId xmlns:a16="http://schemas.microsoft.com/office/drawing/2014/main" id="{00000000-0008-0000-0100-000090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407</xdr:row>
      <xdr:rowOff>0</xdr:rowOff>
    </xdr:from>
    <xdr:ext cx="200025" cy="200025"/>
    <xdr:pic>
      <xdr:nvPicPr>
        <xdr:cNvPr id="1681" name="image10.png">
          <a:extLst>
            <a:ext uri="{FF2B5EF4-FFF2-40B4-BE49-F238E27FC236}">
              <a16:creationId xmlns:a16="http://schemas.microsoft.com/office/drawing/2014/main" id="{00000000-0008-0000-0100-000091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407</xdr:row>
      <xdr:rowOff>0</xdr:rowOff>
    </xdr:from>
    <xdr:ext cx="200025" cy="200025"/>
    <xdr:pic>
      <xdr:nvPicPr>
        <xdr:cNvPr id="1682" name="image9.png">
          <a:extLst>
            <a:ext uri="{FF2B5EF4-FFF2-40B4-BE49-F238E27FC236}">
              <a16:creationId xmlns:a16="http://schemas.microsoft.com/office/drawing/2014/main" id="{00000000-0008-0000-0100-000092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407</xdr:row>
      <xdr:rowOff>0</xdr:rowOff>
    </xdr:from>
    <xdr:ext cx="200025" cy="200025"/>
    <xdr:pic>
      <xdr:nvPicPr>
        <xdr:cNvPr id="1683" name="image2.png">
          <a:extLst>
            <a:ext uri="{FF2B5EF4-FFF2-40B4-BE49-F238E27FC236}">
              <a16:creationId xmlns:a16="http://schemas.microsoft.com/office/drawing/2014/main" id="{00000000-0008-0000-0100-00009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407</xdr:row>
      <xdr:rowOff>0</xdr:rowOff>
    </xdr:from>
    <xdr:ext cx="200025" cy="200025"/>
    <xdr:pic>
      <xdr:nvPicPr>
        <xdr:cNvPr id="1684" name="image7.png">
          <a:extLst>
            <a:ext uri="{FF2B5EF4-FFF2-40B4-BE49-F238E27FC236}">
              <a16:creationId xmlns:a16="http://schemas.microsoft.com/office/drawing/2014/main" id="{00000000-0008-0000-0100-000094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408</xdr:row>
      <xdr:rowOff>0</xdr:rowOff>
    </xdr:from>
    <xdr:ext cx="200025" cy="200025"/>
    <xdr:pic>
      <xdr:nvPicPr>
        <xdr:cNvPr id="1685" name="image2.png">
          <a:extLst>
            <a:ext uri="{FF2B5EF4-FFF2-40B4-BE49-F238E27FC236}">
              <a16:creationId xmlns:a16="http://schemas.microsoft.com/office/drawing/2014/main" id="{00000000-0008-0000-0100-000095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408</xdr:row>
      <xdr:rowOff>0</xdr:rowOff>
    </xdr:from>
    <xdr:ext cx="200025" cy="200025"/>
    <xdr:pic>
      <xdr:nvPicPr>
        <xdr:cNvPr id="1686" name="image6.png">
          <a:extLst>
            <a:ext uri="{FF2B5EF4-FFF2-40B4-BE49-F238E27FC236}">
              <a16:creationId xmlns:a16="http://schemas.microsoft.com/office/drawing/2014/main" id="{00000000-0008-0000-0100-000096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408</xdr:row>
      <xdr:rowOff>0</xdr:rowOff>
    </xdr:from>
    <xdr:ext cx="200025" cy="200025"/>
    <xdr:pic>
      <xdr:nvPicPr>
        <xdr:cNvPr id="1687" name="image5.png">
          <a:extLst>
            <a:ext uri="{FF2B5EF4-FFF2-40B4-BE49-F238E27FC236}">
              <a16:creationId xmlns:a16="http://schemas.microsoft.com/office/drawing/2014/main" id="{00000000-0008-0000-0100-000097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408</xdr:row>
      <xdr:rowOff>0</xdr:rowOff>
    </xdr:from>
    <xdr:ext cx="200025" cy="200025"/>
    <xdr:pic>
      <xdr:nvPicPr>
        <xdr:cNvPr id="1688" name="image7.png">
          <a:extLst>
            <a:ext uri="{FF2B5EF4-FFF2-40B4-BE49-F238E27FC236}">
              <a16:creationId xmlns:a16="http://schemas.microsoft.com/office/drawing/2014/main" id="{00000000-0008-0000-0100-000098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409</xdr:row>
      <xdr:rowOff>0</xdr:rowOff>
    </xdr:from>
    <xdr:ext cx="200025" cy="200025"/>
    <xdr:pic>
      <xdr:nvPicPr>
        <xdr:cNvPr id="1689" name="image8.png">
          <a:extLst>
            <a:ext uri="{FF2B5EF4-FFF2-40B4-BE49-F238E27FC236}">
              <a16:creationId xmlns:a16="http://schemas.microsoft.com/office/drawing/2014/main" id="{00000000-0008-0000-0100-000099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409</xdr:row>
      <xdr:rowOff>0</xdr:rowOff>
    </xdr:from>
    <xdr:ext cx="200025" cy="200025"/>
    <xdr:pic>
      <xdr:nvPicPr>
        <xdr:cNvPr id="1690" name="image9.png">
          <a:extLst>
            <a:ext uri="{FF2B5EF4-FFF2-40B4-BE49-F238E27FC236}">
              <a16:creationId xmlns:a16="http://schemas.microsoft.com/office/drawing/2014/main" id="{00000000-0008-0000-0100-00009A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409</xdr:row>
      <xdr:rowOff>0</xdr:rowOff>
    </xdr:from>
    <xdr:ext cx="200025" cy="200025"/>
    <xdr:pic>
      <xdr:nvPicPr>
        <xdr:cNvPr id="1691" name="image6.png">
          <a:extLst>
            <a:ext uri="{FF2B5EF4-FFF2-40B4-BE49-F238E27FC236}">
              <a16:creationId xmlns:a16="http://schemas.microsoft.com/office/drawing/2014/main" id="{00000000-0008-0000-0100-00009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409</xdr:row>
      <xdr:rowOff>0</xdr:rowOff>
    </xdr:from>
    <xdr:ext cx="200025" cy="200025"/>
    <xdr:pic>
      <xdr:nvPicPr>
        <xdr:cNvPr id="1692" name="image12.png">
          <a:extLst>
            <a:ext uri="{FF2B5EF4-FFF2-40B4-BE49-F238E27FC236}">
              <a16:creationId xmlns:a16="http://schemas.microsoft.com/office/drawing/2014/main" id="{00000000-0008-0000-0100-00009C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409</xdr:row>
      <xdr:rowOff>0</xdr:rowOff>
    </xdr:from>
    <xdr:ext cx="200025" cy="200025"/>
    <xdr:pic>
      <xdr:nvPicPr>
        <xdr:cNvPr id="1693" name="image7.png">
          <a:extLst>
            <a:ext uri="{FF2B5EF4-FFF2-40B4-BE49-F238E27FC236}">
              <a16:creationId xmlns:a16="http://schemas.microsoft.com/office/drawing/2014/main" id="{00000000-0008-0000-0100-00009D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410</xdr:row>
      <xdr:rowOff>0</xdr:rowOff>
    </xdr:from>
    <xdr:ext cx="200025" cy="200025"/>
    <xdr:pic>
      <xdr:nvPicPr>
        <xdr:cNvPr id="1694" name="image10.png">
          <a:extLst>
            <a:ext uri="{FF2B5EF4-FFF2-40B4-BE49-F238E27FC236}">
              <a16:creationId xmlns:a16="http://schemas.microsoft.com/office/drawing/2014/main" id="{00000000-0008-0000-0100-00009E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410</xdr:row>
      <xdr:rowOff>0</xdr:rowOff>
    </xdr:from>
    <xdr:ext cx="200025" cy="200025"/>
    <xdr:pic>
      <xdr:nvPicPr>
        <xdr:cNvPr id="1695" name="image2.png">
          <a:extLst>
            <a:ext uri="{FF2B5EF4-FFF2-40B4-BE49-F238E27FC236}">
              <a16:creationId xmlns:a16="http://schemas.microsoft.com/office/drawing/2014/main" id="{00000000-0008-0000-0100-00009F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410</xdr:row>
      <xdr:rowOff>0</xdr:rowOff>
    </xdr:from>
    <xdr:ext cx="200025" cy="200025"/>
    <xdr:pic>
      <xdr:nvPicPr>
        <xdr:cNvPr id="1696" name="image4.png">
          <a:extLst>
            <a:ext uri="{FF2B5EF4-FFF2-40B4-BE49-F238E27FC236}">
              <a16:creationId xmlns:a16="http://schemas.microsoft.com/office/drawing/2014/main" id="{00000000-0008-0000-0100-0000A0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410</xdr:row>
      <xdr:rowOff>0</xdr:rowOff>
    </xdr:from>
    <xdr:ext cx="200025" cy="200025"/>
    <xdr:pic>
      <xdr:nvPicPr>
        <xdr:cNvPr id="1697" name="image3.png">
          <a:extLst>
            <a:ext uri="{FF2B5EF4-FFF2-40B4-BE49-F238E27FC236}">
              <a16:creationId xmlns:a16="http://schemas.microsoft.com/office/drawing/2014/main" id="{00000000-0008-0000-0100-0000A1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411</xdr:row>
      <xdr:rowOff>0</xdr:rowOff>
    </xdr:from>
    <xdr:ext cx="200025" cy="200025"/>
    <xdr:pic>
      <xdr:nvPicPr>
        <xdr:cNvPr id="1698" name="image10.png">
          <a:extLst>
            <a:ext uri="{FF2B5EF4-FFF2-40B4-BE49-F238E27FC236}">
              <a16:creationId xmlns:a16="http://schemas.microsoft.com/office/drawing/2014/main" id="{00000000-0008-0000-0100-0000A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411</xdr:row>
      <xdr:rowOff>0</xdr:rowOff>
    </xdr:from>
    <xdr:ext cx="200025" cy="200025"/>
    <xdr:pic>
      <xdr:nvPicPr>
        <xdr:cNvPr id="1699" name="image9.png">
          <a:extLst>
            <a:ext uri="{FF2B5EF4-FFF2-40B4-BE49-F238E27FC236}">
              <a16:creationId xmlns:a16="http://schemas.microsoft.com/office/drawing/2014/main" id="{00000000-0008-0000-0100-0000A3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411</xdr:row>
      <xdr:rowOff>0</xdr:rowOff>
    </xdr:from>
    <xdr:ext cx="200025" cy="200025"/>
    <xdr:pic>
      <xdr:nvPicPr>
        <xdr:cNvPr id="1700" name="image3.png">
          <a:extLst>
            <a:ext uri="{FF2B5EF4-FFF2-40B4-BE49-F238E27FC236}">
              <a16:creationId xmlns:a16="http://schemas.microsoft.com/office/drawing/2014/main" id="{00000000-0008-0000-0100-0000A4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411</xdr:row>
      <xdr:rowOff>0</xdr:rowOff>
    </xdr:from>
    <xdr:ext cx="200025" cy="200025"/>
    <xdr:pic>
      <xdr:nvPicPr>
        <xdr:cNvPr id="1701" name="image11.png">
          <a:extLst>
            <a:ext uri="{FF2B5EF4-FFF2-40B4-BE49-F238E27FC236}">
              <a16:creationId xmlns:a16="http://schemas.microsoft.com/office/drawing/2014/main" id="{00000000-0008-0000-0100-0000A5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412</xdr:row>
      <xdr:rowOff>0</xdr:rowOff>
    </xdr:from>
    <xdr:ext cx="200025" cy="200025"/>
    <xdr:pic>
      <xdr:nvPicPr>
        <xdr:cNvPr id="1702" name="image10.png">
          <a:extLst>
            <a:ext uri="{FF2B5EF4-FFF2-40B4-BE49-F238E27FC236}">
              <a16:creationId xmlns:a16="http://schemas.microsoft.com/office/drawing/2014/main" id="{00000000-0008-0000-0100-0000A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412</xdr:row>
      <xdr:rowOff>0</xdr:rowOff>
    </xdr:from>
    <xdr:ext cx="200025" cy="200025"/>
    <xdr:pic>
      <xdr:nvPicPr>
        <xdr:cNvPr id="1703" name="image9.png">
          <a:extLst>
            <a:ext uri="{FF2B5EF4-FFF2-40B4-BE49-F238E27FC236}">
              <a16:creationId xmlns:a16="http://schemas.microsoft.com/office/drawing/2014/main" id="{00000000-0008-0000-0100-0000A7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412</xdr:row>
      <xdr:rowOff>0</xdr:rowOff>
    </xdr:from>
    <xdr:ext cx="200025" cy="200025"/>
    <xdr:pic>
      <xdr:nvPicPr>
        <xdr:cNvPr id="1704" name="image4.png">
          <a:extLst>
            <a:ext uri="{FF2B5EF4-FFF2-40B4-BE49-F238E27FC236}">
              <a16:creationId xmlns:a16="http://schemas.microsoft.com/office/drawing/2014/main" id="{00000000-0008-0000-0100-0000A8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412</xdr:row>
      <xdr:rowOff>0</xdr:rowOff>
    </xdr:from>
    <xdr:ext cx="200025" cy="200025"/>
    <xdr:pic>
      <xdr:nvPicPr>
        <xdr:cNvPr id="1705" name="image11.png">
          <a:extLst>
            <a:ext uri="{FF2B5EF4-FFF2-40B4-BE49-F238E27FC236}">
              <a16:creationId xmlns:a16="http://schemas.microsoft.com/office/drawing/2014/main" id="{00000000-0008-0000-0100-0000A9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413</xdr:row>
      <xdr:rowOff>0</xdr:rowOff>
    </xdr:from>
    <xdr:ext cx="200025" cy="200025"/>
    <xdr:pic>
      <xdr:nvPicPr>
        <xdr:cNvPr id="1706" name="image2.png">
          <a:extLst>
            <a:ext uri="{FF2B5EF4-FFF2-40B4-BE49-F238E27FC236}">
              <a16:creationId xmlns:a16="http://schemas.microsoft.com/office/drawing/2014/main" id="{00000000-0008-0000-0100-0000AA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413</xdr:row>
      <xdr:rowOff>0</xdr:rowOff>
    </xdr:from>
    <xdr:ext cx="200025" cy="200025"/>
    <xdr:pic>
      <xdr:nvPicPr>
        <xdr:cNvPr id="1707" name="image6.png">
          <a:extLst>
            <a:ext uri="{FF2B5EF4-FFF2-40B4-BE49-F238E27FC236}">
              <a16:creationId xmlns:a16="http://schemas.microsoft.com/office/drawing/2014/main" id="{00000000-0008-0000-0100-0000A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413</xdr:row>
      <xdr:rowOff>0</xdr:rowOff>
    </xdr:from>
    <xdr:ext cx="200025" cy="200025"/>
    <xdr:pic>
      <xdr:nvPicPr>
        <xdr:cNvPr id="1708" name="image5.png">
          <a:extLst>
            <a:ext uri="{FF2B5EF4-FFF2-40B4-BE49-F238E27FC236}">
              <a16:creationId xmlns:a16="http://schemas.microsoft.com/office/drawing/2014/main" id="{00000000-0008-0000-0100-0000AC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413</xdr:row>
      <xdr:rowOff>0</xdr:rowOff>
    </xdr:from>
    <xdr:ext cx="200025" cy="200025"/>
    <xdr:pic>
      <xdr:nvPicPr>
        <xdr:cNvPr id="1709" name="image7.png">
          <a:extLst>
            <a:ext uri="{FF2B5EF4-FFF2-40B4-BE49-F238E27FC236}">
              <a16:creationId xmlns:a16="http://schemas.microsoft.com/office/drawing/2014/main" id="{00000000-0008-0000-0100-0000AD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414</xdr:row>
      <xdr:rowOff>0</xdr:rowOff>
    </xdr:from>
    <xdr:ext cx="200025" cy="200025"/>
    <xdr:pic>
      <xdr:nvPicPr>
        <xdr:cNvPr id="1710" name="image9.png">
          <a:extLst>
            <a:ext uri="{FF2B5EF4-FFF2-40B4-BE49-F238E27FC236}">
              <a16:creationId xmlns:a16="http://schemas.microsoft.com/office/drawing/2014/main" id="{00000000-0008-0000-0100-0000AE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414</xdr:row>
      <xdr:rowOff>0</xdr:rowOff>
    </xdr:from>
    <xdr:ext cx="200025" cy="200025"/>
    <xdr:pic>
      <xdr:nvPicPr>
        <xdr:cNvPr id="1711" name="image1.png">
          <a:extLst>
            <a:ext uri="{FF2B5EF4-FFF2-40B4-BE49-F238E27FC236}">
              <a16:creationId xmlns:a16="http://schemas.microsoft.com/office/drawing/2014/main" id="{00000000-0008-0000-0100-0000AF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414</xdr:row>
      <xdr:rowOff>0</xdr:rowOff>
    </xdr:from>
    <xdr:ext cx="200025" cy="200025"/>
    <xdr:pic>
      <xdr:nvPicPr>
        <xdr:cNvPr id="1712" name="image5.png">
          <a:extLst>
            <a:ext uri="{FF2B5EF4-FFF2-40B4-BE49-F238E27FC236}">
              <a16:creationId xmlns:a16="http://schemas.microsoft.com/office/drawing/2014/main" id="{00000000-0008-0000-0100-0000B0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414</xdr:row>
      <xdr:rowOff>0</xdr:rowOff>
    </xdr:from>
    <xdr:ext cx="200025" cy="200025"/>
    <xdr:pic>
      <xdr:nvPicPr>
        <xdr:cNvPr id="1713" name="image3.png">
          <a:extLst>
            <a:ext uri="{FF2B5EF4-FFF2-40B4-BE49-F238E27FC236}">
              <a16:creationId xmlns:a16="http://schemas.microsoft.com/office/drawing/2014/main" id="{00000000-0008-0000-0100-0000B1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415</xdr:row>
      <xdr:rowOff>0</xdr:rowOff>
    </xdr:from>
    <xdr:ext cx="200025" cy="200025"/>
    <xdr:pic>
      <xdr:nvPicPr>
        <xdr:cNvPr id="1714" name="image9.png">
          <a:extLst>
            <a:ext uri="{FF2B5EF4-FFF2-40B4-BE49-F238E27FC236}">
              <a16:creationId xmlns:a16="http://schemas.microsoft.com/office/drawing/2014/main" id="{00000000-0008-0000-0100-0000B2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415</xdr:row>
      <xdr:rowOff>0</xdr:rowOff>
    </xdr:from>
    <xdr:ext cx="200025" cy="200025"/>
    <xdr:pic>
      <xdr:nvPicPr>
        <xdr:cNvPr id="1715" name="image1.png">
          <a:extLst>
            <a:ext uri="{FF2B5EF4-FFF2-40B4-BE49-F238E27FC236}">
              <a16:creationId xmlns:a16="http://schemas.microsoft.com/office/drawing/2014/main" id="{00000000-0008-0000-0100-0000B3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415</xdr:row>
      <xdr:rowOff>0</xdr:rowOff>
    </xdr:from>
    <xdr:ext cx="200025" cy="200025"/>
    <xdr:pic>
      <xdr:nvPicPr>
        <xdr:cNvPr id="1716" name="image12.png">
          <a:extLst>
            <a:ext uri="{FF2B5EF4-FFF2-40B4-BE49-F238E27FC236}">
              <a16:creationId xmlns:a16="http://schemas.microsoft.com/office/drawing/2014/main" id="{00000000-0008-0000-0100-0000B4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415</xdr:row>
      <xdr:rowOff>0</xdr:rowOff>
    </xdr:from>
    <xdr:ext cx="200025" cy="200025"/>
    <xdr:pic>
      <xdr:nvPicPr>
        <xdr:cNvPr id="1717" name="image11.png">
          <a:extLst>
            <a:ext uri="{FF2B5EF4-FFF2-40B4-BE49-F238E27FC236}">
              <a16:creationId xmlns:a16="http://schemas.microsoft.com/office/drawing/2014/main" id="{00000000-0008-0000-0100-0000B5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416</xdr:row>
      <xdr:rowOff>0</xdr:rowOff>
    </xdr:from>
    <xdr:ext cx="200025" cy="200025"/>
    <xdr:pic>
      <xdr:nvPicPr>
        <xdr:cNvPr id="1718" name="image2.png">
          <a:extLst>
            <a:ext uri="{FF2B5EF4-FFF2-40B4-BE49-F238E27FC236}">
              <a16:creationId xmlns:a16="http://schemas.microsoft.com/office/drawing/2014/main" id="{00000000-0008-0000-0100-0000B6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416</xdr:row>
      <xdr:rowOff>0</xdr:rowOff>
    </xdr:from>
    <xdr:ext cx="200025" cy="200025"/>
    <xdr:pic>
      <xdr:nvPicPr>
        <xdr:cNvPr id="1719" name="image6.png">
          <a:extLst>
            <a:ext uri="{FF2B5EF4-FFF2-40B4-BE49-F238E27FC236}">
              <a16:creationId xmlns:a16="http://schemas.microsoft.com/office/drawing/2014/main" id="{00000000-0008-0000-0100-0000B7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416</xdr:row>
      <xdr:rowOff>0</xdr:rowOff>
    </xdr:from>
    <xdr:ext cx="200025" cy="200025"/>
    <xdr:pic>
      <xdr:nvPicPr>
        <xdr:cNvPr id="1720" name="image5.png">
          <a:extLst>
            <a:ext uri="{FF2B5EF4-FFF2-40B4-BE49-F238E27FC236}">
              <a16:creationId xmlns:a16="http://schemas.microsoft.com/office/drawing/2014/main" id="{00000000-0008-0000-0100-0000B8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416</xdr:row>
      <xdr:rowOff>0</xdr:rowOff>
    </xdr:from>
    <xdr:ext cx="200025" cy="200025"/>
    <xdr:pic>
      <xdr:nvPicPr>
        <xdr:cNvPr id="1721" name="image7.png">
          <a:extLst>
            <a:ext uri="{FF2B5EF4-FFF2-40B4-BE49-F238E27FC236}">
              <a16:creationId xmlns:a16="http://schemas.microsoft.com/office/drawing/2014/main" id="{00000000-0008-0000-0100-0000B9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417</xdr:row>
      <xdr:rowOff>0</xdr:rowOff>
    </xdr:from>
    <xdr:ext cx="200025" cy="200025"/>
    <xdr:pic>
      <xdr:nvPicPr>
        <xdr:cNvPr id="1722" name="image8.png">
          <a:extLst>
            <a:ext uri="{FF2B5EF4-FFF2-40B4-BE49-F238E27FC236}">
              <a16:creationId xmlns:a16="http://schemas.microsoft.com/office/drawing/2014/main" id="{00000000-0008-0000-0100-0000BA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417</xdr:row>
      <xdr:rowOff>0</xdr:rowOff>
    </xdr:from>
    <xdr:ext cx="200025" cy="200025"/>
    <xdr:pic>
      <xdr:nvPicPr>
        <xdr:cNvPr id="1723" name="image2.png">
          <a:extLst>
            <a:ext uri="{FF2B5EF4-FFF2-40B4-BE49-F238E27FC236}">
              <a16:creationId xmlns:a16="http://schemas.microsoft.com/office/drawing/2014/main" id="{00000000-0008-0000-0100-0000B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417</xdr:row>
      <xdr:rowOff>0</xdr:rowOff>
    </xdr:from>
    <xdr:ext cx="200025" cy="200025"/>
    <xdr:pic>
      <xdr:nvPicPr>
        <xdr:cNvPr id="1724" name="image1.png">
          <a:extLst>
            <a:ext uri="{FF2B5EF4-FFF2-40B4-BE49-F238E27FC236}">
              <a16:creationId xmlns:a16="http://schemas.microsoft.com/office/drawing/2014/main" id="{00000000-0008-0000-0100-0000BC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417</xdr:row>
      <xdr:rowOff>0</xdr:rowOff>
    </xdr:from>
    <xdr:ext cx="200025" cy="200025"/>
    <xdr:pic>
      <xdr:nvPicPr>
        <xdr:cNvPr id="1725" name="image5.png">
          <a:extLst>
            <a:ext uri="{FF2B5EF4-FFF2-40B4-BE49-F238E27FC236}">
              <a16:creationId xmlns:a16="http://schemas.microsoft.com/office/drawing/2014/main" id="{00000000-0008-0000-0100-0000BD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417</xdr:row>
      <xdr:rowOff>0</xdr:rowOff>
    </xdr:from>
    <xdr:ext cx="200025" cy="200025"/>
    <xdr:pic>
      <xdr:nvPicPr>
        <xdr:cNvPr id="1726" name="image11.png">
          <a:extLst>
            <a:ext uri="{FF2B5EF4-FFF2-40B4-BE49-F238E27FC236}">
              <a16:creationId xmlns:a16="http://schemas.microsoft.com/office/drawing/2014/main" id="{00000000-0008-0000-0100-0000BE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418</xdr:row>
      <xdr:rowOff>0</xdr:rowOff>
    </xdr:from>
    <xdr:ext cx="200025" cy="200025"/>
    <xdr:pic>
      <xdr:nvPicPr>
        <xdr:cNvPr id="1727" name="image10.png">
          <a:extLst>
            <a:ext uri="{FF2B5EF4-FFF2-40B4-BE49-F238E27FC236}">
              <a16:creationId xmlns:a16="http://schemas.microsoft.com/office/drawing/2014/main" id="{00000000-0008-0000-0100-0000BF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418</xdr:row>
      <xdr:rowOff>0</xdr:rowOff>
    </xdr:from>
    <xdr:ext cx="200025" cy="200025"/>
    <xdr:pic>
      <xdr:nvPicPr>
        <xdr:cNvPr id="1728" name="image6.png">
          <a:extLst>
            <a:ext uri="{FF2B5EF4-FFF2-40B4-BE49-F238E27FC236}">
              <a16:creationId xmlns:a16="http://schemas.microsoft.com/office/drawing/2014/main" id="{00000000-0008-0000-0100-0000C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418</xdr:row>
      <xdr:rowOff>0</xdr:rowOff>
    </xdr:from>
    <xdr:ext cx="200025" cy="200025"/>
    <xdr:pic>
      <xdr:nvPicPr>
        <xdr:cNvPr id="1729" name="image12.png">
          <a:extLst>
            <a:ext uri="{FF2B5EF4-FFF2-40B4-BE49-F238E27FC236}">
              <a16:creationId xmlns:a16="http://schemas.microsoft.com/office/drawing/2014/main" id="{00000000-0008-0000-0100-0000C1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418</xdr:row>
      <xdr:rowOff>0</xdr:rowOff>
    </xdr:from>
    <xdr:ext cx="200025" cy="200025"/>
    <xdr:pic>
      <xdr:nvPicPr>
        <xdr:cNvPr id="1730" name="image3.png">
          <a:extLst>
            <a:ext uri="{FF2B5EF4-FFF2-40B4-BE49-F238E27FC236}">
              <a16:creationId xmlns:a16="http://schemas.microsoft.com/office/drawing/2014/main" id="{00000000-0008-0000-0100-0000C2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419</xdr:row>
      <xdr:rowOff>0</xdr:rowOff>
    </xdr:from>
    <xdr:ext cx="200025" cy="200025"/>
    <xdr:pic>
      <xdr:nvPicPr>
        <xdr:cNvPr id="1731" name="image8.png">
          <a:extLst>
            <a:ext uri="{FF2B5EF4-FFF2-40B4-BE49-F238E27FC236}">
              <a16:creationId xmlns:a16="http://schemas.microsoft.com/office/drawing/2014/main" id="{00000000-0008-0000-0100-0000C3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419</xdr:row>
      <xdr:rowOff>0</xdr:rowOff>
    </xdr:from>
    <xdr:ext cx="200025" cy="200025"/>
    <xdr:pic>
      <xdr:nvPicPr>
        <xdr:cNvPr id="1732" name="image6.png">
          <a:extLst>
            <a:ext uri="{FF2B5EF4-FFF2-40B4-BE49-F238E27FC236}">
              <a16:creationId xmlns:a16="http://schemas.microsoft.com/office/drawing/2014/main" id="{00000000-0008-0000-0100-0000C4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419</xdr:row>
      <xdr:rowOff>0</xdr:rowOff>
    </xdr:from>
    <xdr:ext cx="200025" cy="200025"/>
    <xdr:pic>
      <xdr:nvPicPr>
        <xdr:cNvPr id="1733" name="image4.png">
          <a:extLst>
            <a:ext uri="{FF2B5EF4-FFF2-40B4-BE49-F238E27FC236}">
              <a16:creationId xmlns:a16="http://schemas.microsoft.com/office/drawing/2014/main" id="{00000000-0008-0000-0100-0000C5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419</xdr:row>
      <xdr:rowOff>0</xdr:rowOff>
    </xdr:from>
    <xdr:ext cx="200025" cy="200025"/>
    <xdr:pic>
      <xdr:nvPicPr>
        <xdr:cNvPr id="1734" name="image7.png">
          <a:extLst>
            <a:ext uri="{FF2B5EF4-FFF2-40B4-BE49-F238E27FC236}">
              <a16:creationId xmlns:a16="http://schemas.microsoft.com/office/drawing/2014/main" id="{00000000-0008-0000-0100-0000C6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420</xdr:row>
      <xdr:rowOff>0</xdr:rowOff>
    </xdr:from>
    <xdr:ext cx="200025" cy="200025"/>
    <xdr:pic>
      <xdr:nvPicPr>
        <xdr:cNvPr id="1735" name="image9.png">
          <a:extLst>
            <a:ext uri="{FF2B5EF4-FFF2-40B4-BE49-F238E27FC236}">
              <a16:creationId xmlns:a16="http://schemas.microsoft.com/office/drawing/2014/main" id="{00000000-0008-0000-0100-0000C7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420</xdr:row>
      <xdr:rowOff>0</xdr:rowOff>
    </xdr:from>
    <xdr:ext cx="200025" cy="200025"/>
    <xdr:pic>
      <xdr:nvPicPr>
        <xdr:cNvPr id="1736" name="image2.png">
          <a:extLst>
            <a:ext uri="{FF2B5EF4-FFF2-40B4-BE49-F238E27FC236}">
              <a16:creationId xmlns:a16="http://schemas.microsoft.com/office/drawing/2014/main" id="{00000000-0008-0000-0100-0000C8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420</xdr:row>
      <xdr:rowOff>0</xdr:rowOff>
    </xdr:from>
    <xdr:ext cx="200025" cy="200025"/>
    <xdr:pic>
      <xdr:nvPicPr>
        <xdr:cNvPr id="1737" name="image12.png">
          <a:extLst>
            <a:ext uri="{FF2B5EF4-FFF2-40B4-BE49-F238E27FC236}">
              <a16:creationId xmlns:a16="http://schemas.microsoft.com/office/drawing/2014/main" id="{00000000-0008-0000-0100-0000C9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420</xdr:row>
      <xdr:rowOff>0</xdr:rowOff>
    </xdr:from>
    <xdr:ext cx="200025" cy="200025"/>
    <xdr:pic>
      <xdr:nvPicPr>
        <xdr:cNvPr id="1738" name="image3.png">
          <a:extLst>
            <a:ext uri="{FF2B5EF4-FFF2-40B4-BE49-F238E27FC236}">
              <a16:creationId xmlns:a16="http://schemas.microsoft.com/office/drawing/2014/main" id="{00000000-0008-0000-0100-0000CA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421</xdr:row>
      <xdr:rowOff>0</xdr:rowOff>
    </xdr:from>
    <xdr:ext cx="200025" cy="200025"/>
    <xdr:pic>
      <xdr:nvPicPr>
        <xdr:cNvPr id="1739" name="image8.png">
          <a:extLst>
            <a:ext uri="{FF2B5EF4-FFF2-40B4-BE49-F238E27FC236}">
              <a16:creationId xmlns:a16="http://schemas.microsoft.com/office/drawing/2014/main" id="{00000000-0008-0000-0100-0000CB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421</xdr:row>
      <xdr:rowOff>0</xdr:rowOff>
    </xdr:from>
    <xdr:ext cx="200025" cy="200025"/>
    <xdr:pic>
      <xdr:nvPicPr>
        <xdr:cNvPr id="1740" name="image2.png">
          <a:extLst>
            <a:ext uri="{FF2B5EF4-FFF2-40B4-BE49-F238E27FC236}">
              <a16:creationId xmlns:a16="http://schemas.microsoft.com/office/drawing/2014/main" id="{00000000-0008-0000-0100-0000CC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421</xdr:row>
      <xdr:rowOff>0</xdr:rowOff>
    </xdr:from>
    <xdr:ext cx="200025" cy="200025"/>
    <xdr:pic>
      <xdr:nvPicPr>
        <xdr:cNvPr id="1741" name="image5.png">
          <a:extLst>
            <a:ext uri="{FF2B5EF4-FFF2-40B4-BE49-F238E27FC236}">
              <a16:creationId xmlns:a16="http://schemas.microsoft.com/office/drawing/2014/main" id="{00000000-0008-0000-0100-0000CD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421</xdr:row>
      <xdr:rowOff>0</xdr:rowOff>
    </xdr:from>
    <xdr:ext cx="200025" cy="200025"/>
    <xdr:pic>
      <xdr:nvPicPr>
        <xdr:cNvPr id="1742" name="image3.png">
          <a:extLst>
            <a:ext uri="{FF2B5EF4-FFF2-40B4-BE49-F238E27FC236}">
              <a16:creationId xmlns:a16="http://schemas.microsoft.com/office/drawing/2014/main" id="{00000000-0008-0000-0100-0000CE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421</xdr:row>
      <xdr:rowOff>0</xdr:rowOff>
    </xdr:from>
    <xdr:ext cx="200025" cy="200025"/>
    <xdr:pic>
      <xdr:nvPicPr>
        <xdr:cNvPr id="1743" name="image11.png">
          <a:extLst>
            <a:ext uri="{FF2B5EF4-FFF2-40B4-BE49-F238E27FC236}">
              <a16:creationId xmlns:a16="http://schemas.microsoft.com/office/drawing/2014/main" id="{00000000-0008-0000-0100-0000CF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422</xdr:row>
      <xdr:rowOff>0</xdr:rowOff>
    </xdr:from>
    <xdr:ext cx="200025" cy="200025"/>
    <xdr:pic>
      <xdr:nvPicPr>
        <xdr:cNvPr id="1744" name="image10.png">
          <a:extLst>
            <a:ext uri="{FF2B5EF4-FFF2-40B4-BE49-F238E27FC236}">
              <a16:creationId xmlns:a16="http://schemas.microsoft.com/office/drawing/2014/main" id="{00000000-0008-0000-0100-0000D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422</xdr:row>
      <xdr:rowOff>0</xdr:rowOff>
    </xdr:from>
    <xdr:ext cx="200025" cy="200025"/>
    <xdr:pic>
      <xdr:nvPicPr>
        <xdr:cNvPr id="1745" name="image1.png">
          <a:extLst>
            <a:ext uri="{FF2B5EF4-FFF2-40B4-BE49-F238E27FC236}">
              <a16:creationId xmlns:a16="http://schemas.microsoft.com/office/drawing/2014/main" id="{00000000-0008-0000-0100-0000D1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422</xdr:row>
      <xdr:rowOff>0</xdr:rowOff>
    </xdr:from>
    <xdr:ext cx="200025" cy="200025"/>
    <xdr:pic>
      <xdr:nvPicPr>
        <xdr:cNvPr id="1746" name="image12.png">
          <a:extLst>
            <a:ext uri="{FF2B5EF4-FFF2-40B4-BE49-F238E27FC236}">
              <a16:creationId xmlns:a16="http://schemas.microsoft.com/office/drawing/2014/main" id="{00000000-0008-0000-0100-0000D2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422</xdr:row>
      <xdr:rowOff>0</xdr:rowOff>
    </xdr:from>
    <xdr:ext cx="200025" cy="200025"/>
    <xdr:pic>
      <xdr:nvPicPr>
        <xdr:cNvPr id="1747" name="image7.png">
          <a:extLst>
            <a:ext uri="{FF2B5EF4-FFF2-40B4-BE49-F238E27FC236}">
              <a16:creationId xmlns:a16="http://schemas.microsoft.com/office/drawing/2014/main" id="{00000000-0008-0000-0100-0000D3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423</xdr:row>
      <xdr:rowOff>0</xdr:rowOff>
    </xdr:from>
    <xdr:ext cx="200025" cy="200025"/>
    <xdr:pic>
      <xdr:nvPicPr>
        <xdr:cNvPr id="1748" name="image8.png">
          <a:extLst>
            <a:ext uri="{FF2B5EF4-FFF2-40B4-BE49-F238E27FC236}">
              <a16:creationId xmlns:a16="http://schemas.microsoft.com/office/drawing/2014/main" id="{00000000-0008-0000-0100-0000D4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423</xdr:row>
      <xdr:rowOff>0</xdr:rowOff>
    </xdr:from>
    <xdr:ext cx="200025" cy="200025"/>
    <xdr:pic>
      <xdr:nvPicPr>
        <xdr:cNvPr id="1749" name="image9.png">
          <a:extLst>
            <a:ext uri="{FF2B5EF4-FFF2-40B4-BE49-F238E27FC236}">
              <a16:creationId xmlns:a16="http://schemas.microsoft.com/office/drawing/2014/main" id="{00000000-0008-0000-0100-0000D5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423</xdr:row>
      <xdr:rowOff>0</xdr:rowOff>
    </xdr:from>
    <xdr:ext cx="200025" cy="200025"/>
    <xdr:pic>
      <xdr:nvPicPr>
        <xdr:cNvPr id="1750" name="image2.png">
          <a:extLst>
            <a:ext uri="{FF2B5EF4-FFF2-40B4-BE49-F238E27FC236}">
              <a16:creationId xmlns:a16="http://schemas.microsoft.com/office/drawing/2014/main" id="{00000000-0008-0000-0100-0000D6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423</xdr:row>
      <xdr:rowOff>0</xdr:rowOff>
    </xdr:from>
    <xdr:ext cx="200025" cy="200025"/>
    <xdr:pic>
      <xdr:nvPicPr>
        <xdr:cNvPr id="1751" name="image3.png">
          <a:extLst>
            <a:ext uri="{FF2B5EF4-FFF2-40B4-BE49-F238E27FC236}">
              <a16:creationId xmlns:a16="http://schemas.microsoft.com/office/drawing/2014/main" id="{00000000-0008-0000-0100-0000D7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423</xdr:row>
      <xdr:rowOff>0</xdr:rowOff>
    </xdr:from>
    <xdr:ext cx="200025" cy="200025"/>
    <xdr:pic>
      <xdr:nvPicPr>
        <xdr:cNvPr id="1752" name="image7.png">
          <a:extLst>
            <a:ext uri="{FF2B5EF4-FFF2-40B4-BE49-F238E27FC236}">
              <a16:creationId xmlns:a16="http://schemas.microsoft.com/office/drawing/2014/main" id="{00000000-0008-0000-0100-0000D8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424</xdr:row>
      <xdr:rowOff>0</xdr:rowOff>
    </xdr:from>
    <xdr:ext cx="200025" cy="200025"/>
    <xdr:pic>
      <xdr:nvPicPr>
        <xdr:cNvPr id="1753" name="image10.png">
          <a:extLst>
            <a:ext uri="{FF2B5EF4-FFF2-40B4-BE49-F238E27FC236}">
              <a16:creationId xmlns:a16="http://schemas.microsoft.com/office/drawing/2014/main" id="{00000000-0008-0000-0100-0000D9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424</xdr:row>
      <xdr:rowOff>0</xdr:rowOff>
    </xdr:from>
    <xdr:ext cx="200025" cy="200025"/>
    <xdr:pic>
      <xdr:nvPicPr>
        <xdr:cNvPr id="1754" name="image6.png">
          <a:extLst>
            <a:ext uri="{FF2B5EF4-FFF2-40B4-BE49-F238E27FC236}">
              <a16:creationId xmlns:a16="http://schemas.microsoft.com/office/drawing/2014/main" id="{00000000-0008-0000-0100-0000DA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424</xdr:row>
      <xdr:rowOff>0</xdr:rowOff>
    </xdr:from>
    <xdr:ext cx="200025" cy="200025"/>
    <xdr:pic>
      <xdr:nvPicPr>
        <xdr:cNvPr id="1755" name="image12.png">
          <a:extLst>
            <a:ext uri="{FF2B5EF4-FFF2-40B4-BE49-F238E27FC236}">
              <a16:creationId xmlns:a16="http://schemas.microsoft.com/office/drawing/2014/main" id="{00000000-0008-0000-0100-0000DB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424</xdr:row>
      <xdr:rowOff>0</xdr:rowOff>
    </xdr:from>
    <xdr:ext cx="200025" cy="200025"/>
    <xdr:pic>
      <xdr:nvPicPr>
        <xdr:cNvPr id="1756" name="image11.png">
          <a:extLst>
            <a:ext uri="{FF2B5EF4-FFF2-40B4-BE49-F238E27FC236}">
              <a16:creationId xmlns:a16="http://schemas.microsoft.com/office/drawing/2014/main" id="{00000000-0008-0000-0100-0000DC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425</xdr:row>
      <xdr:rowOff>0</xdr:rowOff>
    </xdr:from>
    <xdr:ext cx="200025" cy="200025"/>
    <xdr:pic>
      <xdr:nvPicPr>
        <xdr:cNvPr id="1757" name="image9.png">
          <a:extLst>
            <a:ext uri="{FF2B5EF4-FFF2-40B4-BE49-F238E27FC236}">
              <a16:creationId xmlns:a16="http://schemas.microsoft.com/office/drawing/2014/main" id="{00000000-0008-0000-0100-0000DD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425</xdr:row>
      <xdr:rowOff>0</xdr:rowOff>
    </xdr:from>
    <xdr:ext cx="200025" cy="200025"/>
    <xdr:pic>
      <xdr:nvPicPr>
        <xdr:cNvPr id="1758" name="image1.png">
          <a:extLst>
            <a:ext uri="{FF2B5EF4-FFF2-40B4-BE49-F238E27FC236}">
              <a16:creationId xmlns:a16="http://schemas.microsoft.com/office/drawing/2014/main" id="{00000000-0008-0000-0100-0000DE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425</xdr:row>
      <xdr:rowOff>0</xdr:rowOff>
    </xdr:from>
    <xdr:ext cx="200025" cy="200025"/>
    <xdr:pic>
      <xdr:nvPicPr>
        <xdr:cNvPr id="1759" name="image5.png">
          <a:extLst>
            <a:ext uri="{FF2B5EF4-FFF2-40B4-BE49-F238E27FC236}">
              <a16:creationId xmlns:a16="http://schemas.microsoft.com/office/drawing/2014/main" id="{00000000-0008-0000-0100-0000DF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425</xdr:row>
      <xdr:rowOff>0</xdr:rowOff>
    </xdr:from>
    <xdr:ext cx="200025" cy="200025"/>
    <xdr:pic>
      <xdr:nvPicPr>
        <xdr:cNvPr id="1760" name="image3.png">
          <a:extLst>
            <a:ext uri="{FF2B5EF4-FFF2-40B4-BE49-F238E27FC236}">
              <a16:creationId xmlns:a16="http://schemas.microsoft.com/office/drawing/2014/main" id="{00000000-0008-0000-0100-0000E0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426</xdr:row>
      <xdr:rowOff>0</xdr:rowOff>
    </xdr:from>
    <xdr:ext cx="200025" cy="200025"/>
    <xdr:pic>
      <xdr:nvPicPr>
        <xdr:cNvPr id="1761" name="image10.png">
          <a:extLst>
            <a:ext uri="{FF2B5EF4-FFF2-40B4-BE49-F238E27FC236}">
              <a16:creationId xmlns:a16="http://schemas.microsoft.com/office/drawing/2014/main" id="{00000000-0008-0000-0100-0000E1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426</xdr:row>
      <xdr:rowOff>0</xdr:rowOff>
    </xdr:from>
    <xdr:ext cx="200025" cy="200025"/>
    <xdr:pic>
      <xdr:nvPicPr>
        <xdr:cNvPr id="1762" name="image9.png">
          <a:extLst>
            <a:ext uri="{FF2B5EF4-FFF2-40B4-BE49-F238E27FC236}">
              <a16:creationId xmlns:a16="http://schemas.microsoft.com/office/drawing/2014/main" id="{00000000-0008-0000-0100-0000E2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426</xdr:row>
      <xdr:rowOff>0</xdr:rowOff>
    </xdr:from>
    <xdr:ext cx="200025" cy="200025"/>
    <xdr:pic>
      <xdr:nvPicPr>
        <xdr:cNvPr id="1763" name="image2.png">
          <a:extLst>
            <a:ext uri="{FF2B5EF4-FFF2-40B4-BE49-F238E27FC236}">
              <a16:creationId xmlns:a16="http://schemas.microsoft.com/office/drawing/2014/main" id="{00000000-0008-0000-0100-0000E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426</xdr:row>
      <xdr:rowOff>0</xdr:rowOff>
    </xdr:from>
    <xdr:ext cx="200025" cy="200025"/>
    <xdr:pic>
      <xdr:nvPicPr>
        <xdr:cNvPr id="1764" name="image5.png">
          <a:extLst>
            <a:ext uri="{FF2B5EF4-FFF2-40B4-BE49-F238E27FC236}">
              <a16:creationId xmlns:a16="http://schemas.microsoft.com/office/drawing/2014/main" id="{00000000-0008-0000-0100-0000E4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426</xdr:row>
      <xdr:rowOff>0</xdr:rowOff>
    </xdr:from>
    <xdr:ext cx="200025" cy="200025"/>
    <xdr:pic>
      <xdr:nvPicPr>
        <xdr:cNvPr id="1765" name="image7.png">
          <a:extLst>
            <a:ext uri="{FF2B5EF4-FFF2-40B4-BE49-F238E27FC236}">
              <a16:creationId xmlns:a16="http://schemas.microsoft.com/office/drawing/2014/main" id="{00000000-0008-0000-0100-0000E5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427</xdr:row>
      <xdr:rowOff>0</xdr:rowOff>
    </xdr:from>
    <xdr:ext cx="200025" cy="200025"/>
    <xdr:pic>
      <xdr:nvPicPr>
        <xdr:cNvPr id="1766" name="image10.png">
          <a:extLst>
            <a:ext uri="{FF2B5EF4-FFF2-40B4-BE49-F238E27FC236}">
              <a16:creationId xmlns:a16="http://schemas.microsoft.com/office/drawing/2014/main" id="{00000000-0008-0000-0100-0000E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427</xdr:row>
      <xdr:rowOff>0</xdr:rowOff>
    </xdr:from>
    <xdr:ext cx="200025" cy="200025"/>
    <xdr:pic>
      <xdr:nvPicPr>
        <xdr:cNvPr id="1767" name="image8.png">
          <a:extLst>
            <a:ext uri="{FF2B5EF4-FFF2-40B4-BE49-F238E27FC236}">
              <a16:creationId xmlns:a16="http://schemas.microsoft.com/office/drawing/2014/main" id="{00000000-0008-0000-0100-0000E7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427</xdr:row>
      <xdr:rowOff>0</xdr:rowOff>
    </xdr:from>
    <xdr:ext cx="200025" cy="200025"/>
    <xdr:pic>
      <xdr:nvPicPr>
        <xdr:cNvPr id="1768" name="image1.png">
          <a:extLst>
            <a:ext uri="{FF2B5EF4-FFF2-40B4-BE49-F238E27FC236}">
              <a16:creationId xmlns:a16="http://schemas.microsoft.com/office/drawing/2014/main" id="{00000000-0008-0000-0100-0000E8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427</xdr:row>
      <xdr:rowOff>0</xdr:rowOff>
    </xdr:from>
    <xdr:ext cx="200025" cy="200025"/>
    <xdr:pic>
      <xdr:nvPicPr>
        <xdr:cNvPr id="1769" name="image12.png">
          <a:extLst>
            <a:ext uri="{FF2B5EF4-FFF2-40B4-BE49-F238E27FC236}">
              <a16:creationId xmlns:a16="http://schemas.microsoft.com/office/drawing/2014/main" id="{00000000-0008-0000-0100-0000E9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427</xdr:row>
      <xdr:rowOff>0</xdr:rowOff>
    </xdr:from>
    <xdr:ext cx="200025" cy="200025"/>
    <xdr:pic>
      <xdr:nvPicPr>
        <xdr:cNvPr id="1770" name="image3.png">
          <a:extLst>
            <a:ext uri="{FF2B5EF4-FFF2-40B4-BE49-F238E27FC236}">
              <a16:creationId xmlns:a16="http://schemas.microsoft.com/office/drawing/2014/main" id="{00000000-0008-0000-0100-0000EA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428</xdr:row>
      <xdr:rowOff>0</xdr:rowOff>
    </xdr:from>
    <xdr:ext cx="200025" cy="200025"/>
    <xdr:pic>
      <xdr:nvPicPr>
        <xdr:cNvPr id="1771" name="image10.png">
          <a:extLst>
            <a:ext uri="{FF2B5EF4-FFF2-40B4-BE49-F238E27FC236}">
              <a16:creationId xmlns:a16="http://schemas.microsoft.com/office/drawing/2014/main" id="{00000000-0008-0000-0100-0000EB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428</xdr:row>
      <xdr:rowOff>0</xdr:rowOff>
    </xdr:from>
    <xdr:ext cx="200025" cy="200025"/>
    <xdr:pic>
      <xdr:nvPicPr>
        <xdr:cNvPr id="1772" name="image2.png">
          <a:extLst>
            <a:ext uri="{FF2B5EF4-FFF2-40B4-BE49-F238E27FC236}">
              <a16:creationId xmlns:a16="http://schemas.microsoft.com/office/drawing/2014/main" id="{00000000-0008-0000-0100-0000EC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428</xdr:row>
      <xdr:rowOff>0</xdr:rowOff>
    </xdr:from>
    <xdr:ext cx="200025" cy="200025"/>
    <xdr:pic>
      <xdr:nvPicPr>
        <xdr:cNvPr id="1773" name="image5.png">
          <a:extLst>
            <a:ext uri="{FF2B5EF4-FFF2-40B4-BE49-F238E27FC236}">
              <a16:creationId xmlns:a16="http://schemas.microsoft.com/office/drawing/2014/main" id="{00000000-0008-0000-0100-0000ED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428</xdr:row>
      <xdr:rowOff>0</xdr:rowOff>
    </xdr:from>
    <xdr:ext cx="200025" cy="200025"/>
    <xdr:pic>
      <xdr:nvPicPr>
        <xdr:cNvPr id="1774" name="image7.png">
          <a:extLst>
            <a:ext uri="{FF2B5EF4-FFF2-40B4-BE49-F238E27FC236}">
              <a16:creationId xmlns:a16="http://schemas.microsoft.com/office/drawing/2014/main" id="{00000000-0008-0000-0100-0000EE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429</xdr:row>
      <xdr:rowOff>0</xdr:rowOff>
    </xdr:from>
    <xdr:ext cx="200025" cy="200025"/>
    <xdr:pic>
      <xdr:nvPicPr>
        <xdr:cNvPr id="1775" name="image8.png">
          <a:extLst>
            <a:ext uri="{FF2B5EF4-FFF2-40B4-BE49-F238E27FC236}">
              <a16:creationId xmlns:a16="http://schemas.microsoft.com/office/drawing/2014/main" id="{00000000-0008-0000-0100-0000EF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429</xdr:row>
      <xdr:rowOff>0</xdr:rowOff>
    </xdr:from>
    <xdr:ext cx="200025" cy="200025"/>
    <xdr:pic>
      <xdr:nvPicPr>
        <xdr:cNvPr id="1776" name="image9.png">
          <a:extLst>
            <a:ext uri="{FF2B5EF4-FFF2-40B4-BE49-F238E27FC236}">
              <a16:creationId xmlns:a16="http://schemas.microsoft.com/office/drawing/2014/main" id="{00000000-0008-0000-0100-0000F0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429</xdr:row>
      <xdr:rowOff>0</xdr:rowOff>
    </xdr:from>
    <xdr:ext cx="200025" cy="200025"/>
    <xdr:pic>
      <xdr:nvPicPr>
        <xdr:cNvPr id="1777" name="image2.png">
          <a:extLst>
            <a:ext uri="{FF2B5EF4-FFF2-40B4-BE49-F238E27FC236}">
              <a16:creationId xmlns:a16="http://schemas.microsoft.com/office/drawing/2014/main" id="{00000000-0008-0000-0100-0000F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429</xdr:row>
      <xdr:rowOff>0</xdr:rowOff>
    </xdr:from>
    <xdr:ext cx="200025" cy="200025"/>
    <xdr:pic>
      <xdr:nvPicPr>
        <xdr:cNvPr id="1778" name="image5.png">
          <a:extLst>
            <a:ext uri="{FF2B5EF4-FFF2-40B4-BE49-F238E27FC236}">
              <a16:creationId xmlns:a16="http://schemas.microsoft.com/office/drawing/2014/main" id="{00000000-0008-0000-0100-0000F2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429</xdr:row>
      <xdr:rowOff>0</xdr:rowOff>
    </xdr:from>
    <xdr:ext cx="200025" cy="200025"/>
    <xdr:pic>
      <xdr:nvPicPr>
        <xdr:cNvPr id="1779" name="image11.png">
          <a:extLst>
            <a:ext uri="{FF2B5EF4-FFF2-40B4-BE49-F238E27FC236}">
              <a16:creationId xmlns:a16="http://schemas.microsoft.com/office/drawing/2014/main" id="{00000000-0008-0000-0100-0000F3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430</xdr:row>
      <xdr:rowOff>0</xdr:rowOff>
    </xdr:from>
    <xdr:ext cx="200025" cy="200025"/>
    <xdr:pic>
      <xdr:nvPicPr>
        <xdr:cNvPr id="1780" name="image1.png">
          <a:extLst>
            <a:ext uri="{FF2B5EF4-FFF2-40B4-BE49-F238E27FC236}">
              <a16:creationId xmlns:a16="http://schemas.microsoft.com/office/drawing/2014/main" id="{00000000-0008-0000-0100-0000F4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430</xdr:row>
      <xdr:rowOff>0</xdr:rowOff>
    </xdr:from>
    <xdr:ext cx="200025" cy="200025"/>
    <xdr:pic>
      <xdr:nvPicPr>
        <xdr:cNvPr id="1781" name="image6.png">
          <a:extLst>
            <a:ext uri="{FF2B5EF4-FFF2-40B4-BE49-F238E27FC236}">
              <a16:creationId xmlns:a16="http://schemas.microsoft.com/office/drawing/2014/main" id="{00000000-0008-0000-0100-0000F5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430</xdr:row>
      <xdr:rowOff>0</xdr:rowOff>
    </xdr:from>
    <xdr:ext cx="200025" cy="200025"/>
    <xdr:pic>
      <xdr:nvPicPr>
        <xdr:cNvPr id="1782" name="image5.png">
          <a:extLst>
            <a:ext uri="{FF2B5EF4-FFF2-40B4-BE49-F238E27FC236}">
              <a16:creationId xmlns:a16="http://schemas.microsoft.com/office/drawing/2014/main" id="{00000000-0008-0000-0100-0000F6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430</xdr:row>
      <xdr:rowOff>0</xdr:rowOff>
    </xdr:from>
    <xdr:ext cx="200025" cy="200025"/>
    <xdr:pic>
      <xdr:nvPicPr>
        <xdr:cNvPr id="1783" name="image3.png">
          <a:extLst>
            <a:ext uri="{FF2B5EF4-FFF2-40B4-BE49-F238E27FC236}">
              <a16:creationId xmlns:a16="http://schemas.microsoft.com/office/drawing/2014/main" id="{00000000-0008-0000-0100-0000F7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431</xdr:row>
      <xdr:rowOff>0</xdr:rowOff>
    </xdr:from>
    <xdr:ext cx="200025" cy="200025"/>
    <xdr:pic>
      <xdr:nvPicPr>
        <xdr:cNvPr id="1784" name="image2.png">
          <a:extLst>
            <a:ext uri="{FF2B5EF4-FFF2-40B4-BE49-F238E27FC236}">
              <a16:creationId xmlns:a16="http://schemas.microsoft.com/office/drawing/2014/main" id="{00000000-0008-0000-0100-0000F8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431</xdr:row>
      <xdr:rowOff>0</xdr:rowOff>
    </xdr:from>
    <xdr:ext cx="200025" cy="200025"/>
    <xdr:pic>
      <xdr:nvPicPr>
        <xdr:cNvPr id="1785" name="image5.png">
          <a:extLst>
            <a:ext uri="{FF2B5EF4-FFF2-40B4-BE49-F238E27FC236}">
              <a16:creationId xmlns:a16="http://schemas.microsoft.com/office/drawing/2014/main" id="{00000000-0008-0000-0100-0000F9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431</xdr:row>
      <xdr:rowOff>0</xdr:rowOff>
    </xdr:from>
    <xdr:ext cx="200025" cy="200025"/>
    <xdr:pic>
      <xdr:nvPicPr>
        <xdr:cNvPr id="1786" name="image4.png">
          <a:extLst>
            <a:ext uri="{FF2B5EF4-FFF2-40B4-BE49-F238E27FC236}">
              <a16:creationId xmlns:a16="http://schemas.microsoft.com/office/drawing/2014/main" id="{00000000-0008-0000-0100-0000FA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432</xdr:row>
      <xdr:rowOff>0</xdr:rowOff>
    </xdr:from>
    <xdr:ext cx="200025" cy="200025"/>
    <xdr:pic>
      <xdr:nvPicPr>
        <xdr:cNvPr id="1787" name="image9.png">
          <a:extLst>
            <a:ext uri="{FF2B5EF4-FFF2-40B4-BE49-F238E27FC236}">
              <a16:creationId xmlns:a16="http://schemas.microsoft.com/office/drawing/2014/main" id="{00000000-0008-0000-0100-0000FB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432</xdr:row>
      <xdr:rowOff>0</xdr:rowOff>
    </xdr:from>
    <xdr:ext cx="200025" cy="200025"/>
    <xdr:pic>
      <xdr:nvPicPr>
        <xdr:cNvPr id="1788" name="image5.png">
          <a:extLst>
            <a:ext uri="{FF2B5EF4-FFF2-40B4-BE49-F238E27FC236}">
              <a16:creationId xmlns:a16="http://schemas.microsoft.com/office/drawing/2014/main" id="{00000000-0008-0000-0100-0000FC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432</xdr:row>
      <xdr:rowOff>0</xdr:rowOff>
    </xdr:from>
    <xdr:ext cx="200025" cy="200025"/>
    <xdr:pic>
      <xdr:nvPicPr>
        <xdr:cNvPr id="1789" name="image3.png">
          <a:extLst>
            <a:ext uri="{FF2B5EF4-FFF2-40B4-BE49-F238E27FC236}">
              <a16:creationId xmlns:a16="http://schemas.microsoft.com/office/drawing/2014/main" id="{00000000-0008-0000-0100-0000FD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433</xdr:row>
      <xdr:rowOff>0</xdr:rowOff>
    </xdr:from>
    <xdr:ext cx="200025" cy="200025"/>
    <xdr:pic>
      <xdr:nvPicPr>
        <xdr:cNvPr id="1790" name="image8.png">
          <a:extLst>
            <a:ext uri="{FF2B5EF4-FFF2-40B4-BE49-F238E27FC236}">
              <a16:creationId xmlns:a16="http://schemas.microsoft.com/office/drawing/2014/main" id="{00000000-0008-0000-0100-0000FE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433</xdr:row>
      <xdr:rowOff>0</xdr:rowOff>
    </xdr:from>
    <xdr:ext cx="200025" cy="200025"/>
    <xdr:pic>
      <xdr:nvPicPr>
        <xdr:cNvPr id="1791" name="image12.png">
          <a:extLst>
            <a:ext uri="{FF2B5EF4-FFF2-40B4-BE49-F238E27FC236}">
              <a16:creationId xmlns:a16="http://schemas.microsoft.com/office/drawing/2014/main" id="{00000000-0008-0000-0100-0000FF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433</xdr:row>
      <xdr:rowOff>0</xdr:rowOff>
    </xdr:from>
    <xdr:ext cx="200025" cy="200025"/>
    <xdr:pic>
      <xdr:nvPicPr>
        <xdr:cNvPr id="1792" name="image11.png">
          <a:extLst>
            <a:ext uri="{FF2B5EF4-FFF2-40B4-BE49-F238E27FC236}">
              <a16:creationId xmlns:a16="http://schemas.microsoft.com/office/drawing/2014/main" id="{00000000-0008-0000-0100-000000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434</xdr:row>
      <xdr:rowOff>0</xdr:rowOff>
    </xdr:from>
    <xdr:ext cx="200025" cy="200025"/>
    <xdr:pic>
      <xdr:nvPicPr>
        <xdr:cNvPr id="1793" name="image8.png">
          <a:extLst>
            <a:ext uri="{FF2B5EF4-FFF2-40B4-BE49-F238E27FC236}">
              <a16:creationId xmlns:a16="http://schemas.microsoft.com/office/drawing/2014/main" id="{00000000-0008-0000-0100-000001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434</xdr:row>
      <xdr:rowOff>0</xdr:rowOff>
    </xdr:from>
    <xdr:ext cx="200025" cy="200025"/>
    <xdr:pic>
      <xdr:nvPicPr>
        <xdr:cNvPr id="1794" name="image2.png">
          <a:extLst>
            <a:ext uri="{FF2B5EF4-FFF2-40B4-BE49-F238E27FC236}">
              <a16:creationId xmlns:a16="http://schemas.microsoft.com/office/drawing/2014/main" id="{00000000-0008-0000-0100-000002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434</xdr:row>
      <xdr:rowOff>0</xdr:rowOff>
    </xdr:from>
    <xdr:ext cx="200025" cy="200025"/>
    <xdr:pic>
      <xdr:nvPicPr>
        <xdr:cNvPr id="1795" name="image7.png">
          <a:extLst>
            <a:ext uri="{FF2B5EF4-FFF2-40B4-BE49-F238E27FC236}">
              <a16:creationId xmlns:a16="http://schemas.microsoft.com/office/drawing/2014/main" id="{00000000-0008-0000-0100-000003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434</xdr:row>
      <xdr:rowOff>0</xdr:rowOff>
    </xdr:from>
    <xdr:ext cx="200025" cy="200025"/>
    <xdr:pic>
      <xdr:nvPicPr>
        <xdr:cNvPr id="1796" name="image11.png">
          <a:extLst>
            <a:ext uri="{FF2B5EF4-FFF2-40B4-BE49-F238E27FC236}">
              <a16:creationId xmlns:a16="http://schemas.microsoft.com/office/drawing/2014/main" id="{00000000-0008-0000-0100-000004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435</xdr:row>
      <xdr:rowOff>0</xdr:rowOff>
    </xdr:from>
    <xdr:ext cx="200025" cy="200025"/>
    <xdr:pic>
      <xdr:nvPicPr>
        <xdr:cNvPr id="1797" name="image10.png">
          <a:extLst>
            <a:ext uri="{FF2B5EF4-FFF2-40B4-BE49-F238E27FC236}">
              <a16:creationId xmlns:a16="http://schemas.microsoft.com/office/drawing/2014/main" id="{00000000-0008-0000-0100-00000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435</xdr:row>
      <xdr:rowOff>0</xdr:rowOff>
    </xdr:from>
    <xdr:ext cx="200025" cy="200025"/>
    <xdr:pic>
      <xdr:nvPicPr>
        <xdr:cNvPr id="1798" name="image9.png">
          <a:extLst>
            <a:ext uri="{FF2B5EF4-FFF2-40B4-BE49-F238E27FC236}">
              <a16:creationId xmlns:a16="http://schemas.microsoft.com/office/drawing/2014/main" id="{00000000-0008-0000-0100-000006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435</xdr:row>
      <xdr:rowOff>0</xdr:rowOff>
    </xdr:from>
    <xdr:ext cx="200025" cy="200025"/>
    <xdr:pic>
      <xdr:nvPicPr>
        <xdr:cNvPr id="1799" name="image5.png">
          <a:extLst>
            <a:ext uri="{FF2B5EF4-FFF2-40B4-BE49-F238E27FC236}">
              <a16:creationId xmlns:a16="http://schemas.microsoft.com/office/drawing/2014/main" id="{00000000-0008-0000-0100-000007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435</xdr:row>
      <xdr:rowOff>0</xdr:rowOff>
    </xdr:from>
    <xdr:ext cx="200025" cy="200025"/>
    <xdr:pic>
      <xdr:nvPicPr>
        <xdr:cNvPr id="1800" name="image12.png">
          <a:extLst>
            <a:ext uri="{FF2B5EF4-FFF2-40B4-BE49-F238E27FC236}">
              <a16:creationId xmlns:a16="http://schemas.microsoft.com/office/drawing/2014/main" id="{00000000-0008-0000-0100-000008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435</xdr:row>
      <xdr:rowOff>0</xdr:rowOff>
    </xdr:from>
    <xdr:ext cx="200025" cy="200025"/>
    <xdr:pic>
      <xdr:nvPicPr>
        <xdr:cNvPr id="1801" name="image4.png">
          <a:extLst>
            <a:ext uri="{FF2B5EF4-FFF2-40B4-BE49-F238E27FC236}">
              <a16:creationId xmlns:a16="http://schemas.microsoft.com/office/drawing/2014/main" id="{00000000-0008-0000-0100-000009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436</xdr:row>
      <xdr:rowOff>0</xdr:rowOff>
    </xdr:from>
    <xdr:ext cx="200025" cy="200025"/>
    <xdr:pic>
      <xdr:nvPicPr>
        <xdr:cNvPr id="1802" name="image9.png">
          <a:extLst>
            <a:ext uri="{FF2B5EF4-FFF2-40B4-BE49-F238E27FC236}">
              <a16:creationId xmlns:a16="http://schemas.microsoft.com/office/drawing/2014/main" id="{00000000-0008-0000-0100-00000A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436</xdr:row>
      <xdr:rowOff>0</xdr:rowOff>
    </xdr:from>
    <xdr:ext cx="200025" cy="200025"/>
    <xdr:pic>
      <xdr:nvPicPr>
        <xdr:cNvPr id="1803" name="image6.png">
          <a:extLst>
            <a:ext uri="{FF2B5EF4-FFF2-40B4-BE49-F238E27FC236}">
              <a16:creationId xmlns:a16="http://schemas.microsoft.com/office/drawing/2014/main" id="{00000000-0008-0000-0100-00000B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436</xdr:row>
      <xdr:rowOff>0</xdr:rowOff>
    </xdr:from>
    <xdr:ext cx="200025" cy="200025"/>
    <xdr:pic>
      <xdr:nvPicPr>
        <xdr:cNvPr id="1804" name="image7.png">
          <a:extLst>
            <a:ext uri="{FF2B5EF4-FFF2-40B4-BE49-F238E27FC236}">
              <a16:creationId xmlns:a16="http://schemas.microsoft.com/office/drawing/2014/main" id="{00000000-0008-0000-0100-00000C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437</xdr:row>
      <xdr:rowOff>0</xdr:rowOff>
    </xdr:from>
    <xdr:ext cx="200025" cy="200025"/>
    <xdr:pic>
      <xdr:nvPicPr>
        <xdr:cNvPr id="1805" name="image9.png">
          <a:extLst>
            <a:ext uri="{FF2B5EF4-FFF2-40B4-BE49-F238E27FC236}">
              <a16:creationId xmlns:a16="http://schemas.microsoft.com/office/drawing/2014/main" id="{00000000-0008-0000-0100-00000D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437</xdr:row>
      <xdr:rowOff>0</xdr:rowOff>
    </xdr:from>
    <xdr:ext cx="200025" cy="200025"/>
    <xdr:pic>
      <xdr:nvPicPr>
        <xdr:cNvPr id="1806" name="image6.png">
          <a:extLst>
            <a:ext uri="{FF2B5EF4-FFF2-40B4-BE49-F238E27FC236}">
              <a16:creationId xmlns:a16="http://schemas.microsoft.com/office/drawing/2014/main" id="{00000000-0008-0000-0100-00000E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437</xdr:row>
      <xdr:rowOff>0</xdr:rowOff>
    </xdr:from>
    <xdr:ext cx="200025" cy="200025"/>
    <xdr:pic>
      <xdr:nvPicPr>
        <xdr:cNvPr id="1807" name="image5.png">
          <a:extLst>
            <a:ext uri="{FF2B5EF4-FFF2-40B4-BE49-F238E27FC236}">
              <a16:creationId xmlns:a16="http://schemas.microsoft.com/office/drawing/2014/main" id="{00000000-0008-0000-0100-00000F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437</xdr:row>
      <xdr:rowOff>0</xdr:rowOff>
    </xdr:from>
    <xdr:ext cx="200025" cy="200025"/>
    <xdr:pic>
      <xdr:nvPicPr>
        <xdr:cNvPr id="1808" name="image7.png">
          <a:extLst>
            <a:ext uri="{FF2B5EF4-FFF2-40B4-BE49-F238E27FC236}">
              <a16:creationId xmlns:a16="http://schemas.microsoft.com/office/drawing/2014/main" id="{00000000-0008-0000-0100-000010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438</xdr:row>
      <xdr:rowOff>0</xdr:rowOff>
    </xdr:from>
    <xdr:ext cx="200025" cy="200025"/>
    <xdr:pic>
      <xdr:nvPicPr>
        <xdr:cNvPr id="1809" name="image9.png">
          <a:extLst>
            <a:ext uri="{FF2B5EF4-FFF2-40B4-BE49-F238E27FC236}">
              <a16:creationId xmlns:a16="http://schemas.microsoft.com/office/drawing/2014/main" id="{00000000-0008-0000-0100-000011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438</xdr:row>
      <xdr:rowOff>0</xdr:rowOff>
    </xdr:from>
    <xdr:ext cx="200025" cy="200025"/>
    <xdr:pic>
      <xdr:nvPicPr>
        <xdr:cNvPr id="1810" name="image6.png">
          <a:extLst>
            <a:ext uri="{FF2B5EF4-FFF2-40B4-BE49-F238E27FC236}">
              <a16:creationId xmlns:a16="http://schemas.microsoft.com/office/drawing/2014/main" id="{00000000-0008-0000-0100-000012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438</xdr:row>
      <xdr:rowOff>0</xdr:rowOff>
    </xdr:from>
    <xdr:ext cx="200025" cy="200025"/>
    <xdr:pic>
      <xdr:nvPicPr>
        <xdr:cNvPr id="1811" name="image5.png">
          <a:extLst>
            <a:ext uri="{FF2B5EF4-FFF2-40B4-BE49-F238E27FC236}">
              <a16:creationId xmlns:a16="http://schemas.microsoft.com/office/drawing/2014/main" id="{00000000-0008-0000-0100-00001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438</xdr:row>
      <xdr:rowOff>0</xdr:rowOff>
    </xdr:from>
    <xdr:ext cx="200025" cy="200025"/>
    <xdr:pic>
      <xdr:nvPicPr>
        <xdr:cNvPr id="1812" name="image12.png">
          <a:extLst>
            <a:ext uri="{FF2B5EF4-FFF2-40B4-BE49-F238E27FC236}">
              <a16:creationId xmlns:a16="http://schemas.microsoft.com/office/drawing/2014/main" id="{00000000-0008-0000-0100-000014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438</xdr:row>
      <xdr:rowOff>0</xdr:rowOff>
    </xdr:from>
    <xdr:ext cx="200025" cy="200025"/>
    <xdr:pic>
      <xdr:nvPicPr>
        <xdr:cNvPr id="1813" name="image7.png">
          <a:extLst>
            <a:ext uri="{FF2B5EF4-FFF2-40B4-BE49-F238E27FC236}">
              <a16:creationId xmlns:a16="http://schemas.microsoft.com/office/drawing/2014/main" id="{00000000-0008-0000-0100-00001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439</xdr:row>
      <xdr:rowOff>0</xdr:rowOff>
    </xdr:from>
    <xdr:ext cx="200025" cy="200025"/>
    <xdr:pic>
      <xdr:nvPicPr>
        <xdr:cNvPr id="1814" name="image8.png">
          <a:extLst>
            <a:ext uri="{FF2B5EF4-FFF2-40B4-BE49-F238E27FC236}">
              <a16:creationId xmlns:a16="http://schemas.microsoft.com/office/drawing/2014/main" id="{00000000-0008-0000-0100-000016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439</xdr:row>
      <xdr:rowOff>0</xdr:rowOff>
    </xdr:from>
    <xdr:ext cx="200025" cy="200025"/>
    <xdr:pic>
      <xdr:nvPicPr>
        <xdr:cNvPr id="1815" name="image2.png">
          <a:extLst>
            <a:ext uri="{FF2B5EF4-FFF2-40B4-BE49-F238E27FC236}">
              <a16:creationId xmlns:a16="http://schemas.microsoft.com/office/drawing/2014/main" id="{00000000-0008-0000-0100-00001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439</xdr:row>
      <xdr:rowOff>0</xdr:rowOff>
    </xdr:from>
    <xdr:ext cx="200025" cy="200025"/>
    <xdr:pic>
      <xdr:nvPicPr>
        <xdr:cNvPr id="1816" name="image4.png">
          <a:extLst>
            <a:ext uri="{FF2B5EF4-FFF2-40B4-BE49-F238E27FC236}">
              <a16:creationId xmlns:a16="http://schemas.microsoft.com/office/drawing/2014/main" id="{00000000-0008-0000-0100-000018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439</xdr:row>
      <xdr:rowOff>0</xdr:rowOff>
    </xdr:from>
    <xdr:ext cx="200025" cy="200025"/>
    <xdr:pic>
      <xdr:nvPicPr>
        <xdr:cNvPr id="1817" name="image11.png">
          <a:extLst>
            <a:ext uri="{FF2B5EF4-FFF2-40B4-BE49-F238E27FC236}">
              <a16:creationId xmlns:a16="http://schemas.microsoft.com/office/drawing/2014/main" id="{00000000-0008-0000-0100-000019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440</xdr:row>
      <xdr:rowOff>0</xdr:rowOff>
    </xdr:from>
    <xdr:ext cx="200025" cy="200025"/>
    <xdr:pic>
      <xdr:nvPicPr>
        <xdr:cNvPr id="1818" name="image8.png">
          <a:extLst>
            <a:ext uri="{FF2B5EF4-FFF2-40B4-BE49-F238E27FC236}">
              <a16:creationId xmlns:a16="http://schemas.microsoft.com/office/drawing/2014/main" id="{00000000-0008-0000-0100-00001A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440</xdr:row>
      <xdr:rowOff>0</xdr:rowOff>
    </xdr:from>
    <xdr:ext cx="200025" cy="200025"/>
    <xdr:pic>
      <xdr:nvPicPr>
        <xdr:cNvPr id="1819" name="image1.png">
          <a:extLst>
            <a:ext uri="{FF2B5EF4-FFF2-40B4-BE49-F238E27FC236}">
              <a16:creationId xmlns:a16="http://schemas.microsoft.com/office/drawing/2014/main" id="{00000000-0008-0000-0100-00001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440</xdr:row>
      <xdr:rowOff>0</xdr:rowOff>
    </xdr:from>
    <xdr:ext cx="200025" cy="200025"/>
    <xdr:pic>
      <xdr:nvPicPr>
        <xdr:cNvPr id="1820" name="image5.png">
          <a:extLst>
            <a:ext uri="{FF2B5EF4-FFF2-40B4-BE49-F238E27FC236}">
              <a16:creationId xmlns:a16="http://schemas.microsoft.com/office/drawing/2014/main" id="{00000000-0008-0000-0100-00001C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440</xdr:row>
      <xdr:rowOff>0</xdr:rowOff>
    </xdr:from>
    <xdr:ext cx="200025" cy="200025"/>
    <xdr:pic>
      <xdr:nvPicPr>
        <xdr:cNvPr id="1821" name="image7.png">
          <a:extLst>
            <a:ext uri="{FF2B5EF4-FFF2-40B4-BE49-F238E27FC236}">
              <a16:creationId xmlns:a16="http://schemas.microsoft.com/office/drawing/2014/main" id="{00000000-0008-0000-0100-00001D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441</xdr:row>
      <xdr:rowOff>0</xdr:rowOff>
    </xdr:from>
    <xdr:ext cx="200025" cy="200025"/>
    <xdr:pic>
      <xdr:nvPicPr>
        <xdr:cNvPr id="1822" name="image8.png">
          <a:extLst>
            <a:ext uri="{FF2B5EF4-FFF2-40B4-BE49-F238E27FC236}">
              <a16:creationId xmlns:a16="http://schemas.microsoft.com/office/drawing/2014/main" id="{00000000-0008-0000-0100-00001E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441</xdr:row>
      <xdr:rowOff>0</xdr:rowOff>
    </xdr:from>
    <xdr:ext cx="200025" cy="200025"/>
    <xdr:pic>
      <xdr:nvPicPr>
        <xdr:cNvPr id="1823" name="image6.png">
          <a:extLst>
            <a:ext uri="{FF2B5EF4-FFF2-40B4-BE49-F238E27FC236}">
              <a16:creationId xmlns:a16="http://schemas.microsoft.com/office/drawing/2014/main" id="{00000000-0008-0000-0100-00001F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441</xdr:row>
      <xdr:rowOff>0</xdr:rowOff>
    </xdr:from>
    <xdr:ext cx="200025" cy="200025"/>
    <xdr:pic>
      <xdr:nvPicPr>
        <xdr:cNvPr id="1824" name="image12.png">
          <a:extLst>
            <a:ext uri="{FF2B5EF4-FFF2-40B4-BE49-F238E27FC236}">
              <a16:creationId xmlns:a16="http://schemas.microsoft.com/office/drawing/2014/main" id="{00000000-0008-0000-0100-000020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442</xdr:row>
      <xdr:rowOff>0</xdr:rowOff>
    </xdr:from>
    <xdr:ext cx="200025" cy="200025"/>
    <xdr:pic>
      <xdr:nvPicPr>
        <xdr:cNvPr id="1825" name="image8.png">
          <a:extLst>
            <a:ext uri="{FF2B5EF4-FFF2-40B4-BE49-F238E27FC236}">
              <a16:creationId xmlns:a16="http://schemas.microsoft.com/office/drawing/2014/main" id="{00000000-0008-0000-0100-000021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442</xdr:row>
      <xdr:rowOff>0</xdr:rowOff>
    </xdr:from>
    <xdr:ext cx="200025" cy="200025"/>
    <xdr:pic>
      <xdr:nvPicPr>
        <xdr:cNvPr id="1826" name="image6.png">
          <a:extLst>
            <a:ext uri="{FF2B5EF4-FFF2-40B4-BE49-F238E27FC236}">
              <a16:creationId xmlns:a16="http://schemas.microsoft.com/office/drawing/2014/main" id="{00000000-0008-0000-0100-000022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442</xdr:row>
      <xdr:rowOff>0</xdr:rowOff>
    </xdr:from>
    <xdr:ext cx="200025" cy="200025"/>
    <xdr:pic>
      <xdr:nvPicPr>
        <xdr:cNvPr id="1827" name="image12.png">
          <a:extLst>
            <a:ext uri="{FF2B5EF4-FFF2-40B4-BE49-F238E27FC236}">
              <a16:creationId xmlns:a16="http://schemas.microsoft.com/office/drawing/2014/main" id="{00000000-0008-0000-0100-000023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443</xdr:row>
      <xdr:rowOff>0</xdr:rowOff>
    </xdr:from>
    <xdr:ext cx="200025" cy="200025"/>
    <xdr:pic>
      <xdr:nvPicPr>
        <xdr:cNvPr id="1828" name="image10.png">
          <a:extLst>
            <a:ext uri="{FF2B5EF4-FFF2-40B4-BE49-F238E27FC236}">
              <a16:creationId xmlns:a16="http://schemas.microsoft.com/office/drawing/2014/main" id="{00000000-0008-0000-0100-00002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443</xdr:row>
      <xdr:rowOff>0</xdr:rowOff>
    </xdr:from>
    <xdr:ext cx="200025" cy="200025"/>
    <xdr:pic>
      <xdr:nvPicPr>
        <xdr:cNvPr id="1829" name="image9.png">
          <a:extLst>
            <a:ext uri="{FF2B5EF4-FFF2-40B4-BE49-F238E27FC236}">
              <a16:creationId xmlns:a16="http://schemas.microsoft.com/office/drawing/2014/main" id="{00000000-0008-0000-0100-000025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443</xdr:row>
      <xdr:rowOff>0</xdr:rowOff>
    </xdr:from>
    <xdr:ext cx="200025" cy="200025"/>
    <xdr:pic>
      <xdr:nvPicPr>
        <xdr:cNvPr id="1830" name="image2.png">
          <a:extLst>
            <a:ext uri="{FF2B5EF4-FFF2-40B4-BE49-F238E27FC236}">
              <a16:creationId xmlns:a16="http://schemas.microsoft.com/office/drawing/2014/main" id="{00000000-0008-0000-0100-000026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443</xdr:row>
      <xdr:rowOff>0</xdr:rowOff>
    </xdr:from>
    <xdr:ext cx="200025" cy="200025"/>
    <xdr:pic>
      <xdr:nvPicPr>
        <xdr:cNvPr id="1831" name="image4.png">
          <a:extLst>
            <a:ext uri="{FF2B5EF4-FFF2-40B4-BE49-F238E27FC236}">
              <a16:creationId xmlns:a16="http://schemas.microsoft.com/office/drawing/2014/main" id="{00000000-0008-0000-0100-000027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443</xdr:row>
      <xdr:rowOff>0</xdr:rowOff>
    </xdr:from>
    <xdr:ext cx="200025" cy="200025"/>
    <xdr:pic>
      <xdr:nvPicPr>
        <xdr:cNvPr id="1832" name="image7.png">
          <a:extLst>
            <a:ext uri="{FF2B5EF4-FFF2-40B4-BE49-F238E27FC236}">
              <a16:creationId xmlns:a16="http://schemas.microsoft.com/office/drawing/2014/main" id="{00000000-0008-0000-0100-000028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444</xdr:row>
      <xdr:rowOff>0</xdr:rowOff>
    </xdr:from>
    <xdr:ext cx="200025" cy="200025"/>
    <xdr:pic>
      <xdr:nvPicPr>
        <xdr:cNvPr id="1833" name="image8.png">
          <a:extLst>
            <a:ext uri="{FF2B5EF4-FFF2-40B4-BE49-F238E27FC236}">
              <a16:creationId xmlns:a16="http://schemas.microsoft.com/office/drawing/2014/main" id="{00000000-0008-0000-0100-000029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444</xdr:row>
      <xdr:rowOff>0</xdr:rowOff>
    </xdr:from>
    <xdr:ext cx="200025" cy="200025"/>
    <xdr:pic>
      <xdr:nvPicPr>
        <xdr:cNvPr id="1834" name="image6.png">
          <a:extLst>
            <a:ext uri="{FF2B5EF4-FFF2-40B4-BE49-F238E27FC236}">
              <a16:creationId xmlns:a16="http://schemas.microsoft.com/office/drawing/2014/main" id="{00000000-0008-0000-0100-00002A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444</xdr:row>
      <xdr:rowOff>0</xdr:rowOff>
    </xdr:from>
    <xdr:ext cx="200025" cy="200025"/>
    <xdr:pic>
      <xdr:nvPicPr>
        <xdr:cNvPr id="1835" name="image12.png">
          <a:extLst>
            <a:ext uri="{FF2B5EF4-FFF2-40B4-BE49-F238E27FC236}">
              <a16:creationId xmlns:a16="http://schemas.microsoft.com/office/drawing/2014/main" id="{00000000-0008-0000-0100-00002B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444</xdr:row>
      <xdr:rowOff>0</xdr:rowOff>
    </xdr:from>
    <xdr:ext cx="200025" cy="200025"/>
    <xdr:pic>
      <xdr:nvPicPr>
        <xdr:cNvPr id="1836" name="image3.png">
          <a:extLst>
            <a:ext uri="{FF2B5EF4-FFF2-40B4-BE49-F238E27FC236}">
              <a16:creationId xmlns:a16="http://schemas.microsoft.com/office/drawing/2014/main" id="{00000000-0008-0000-0100-00002C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445</xdr:row>
      <xdr:rowOff>0</xdr:rowOff>
    </xdr:from>
    <xdr:ext cx="200025" cy="200025"/>
    <xdr:pic>
      <xdr:nvPicPr>
        <xdr:cNvPr id="1837" name="image10.png">
          <a:extLst>
            <a:ext uri="{FF2B5EF4-FFF2-40B4-BE49-F238E27FC236}">
              <a16:creationId xmlns:a16="http://schemas.microsoft.com/office/drawing/2014/main" id="{00000000-0008-0000-0100-00002D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445</xdr:row>
      <xdr:rowOff>0</xdr:rowOff>
    </xdr:from>
    <xdr:ext cx="200025" cy="200025"/>
    <xdr:pic>
      <xdr:nvPicPr>
        <xdr:cNvPr id="1838" name="image2.png">
          <a:extLst>
            <a:ext uri="{FF2B5EF4-FFF2-40B4-BE49-F238E27FC236}">
              <a16:creationId xmlns:a16="http://schemas.microsoft.com/office/drawing/2014/main" id="{00000000-0008-0000-0100-00002E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445</xdr:row>
      <xdr:rowOff>0</xdr:rowOff>
    </xdr:from>
    <xdr:ext cx="200025" cy="200025"/>
    <xdr:pic>
      <xdr:nvPicPr>
        <xdr:cNvPr id="1839" name="image12.png">
          <a:extLst>
            <a:ext uri="{FF2B5EF4-FFF2-40B4-BE49-F238E27FC236}">
              <a16:creationId xmlns:a16="http://schemas.microsoft.com/office/drawing/2014/main" id="{00000000-0008-0000-0100-00002F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445</xdr:row>
      <xdr:rowOff>0</xdr:rowOff>
    </xdr:from>
    <xdr:ext cx="200025" cy="200025"/>
    <xdr:pic>
      <xdr:nvPicPr>
        <xdr:cNvPr id="1840" name="image11.png">
          <a:extLst>
            <a:ext uri="{FF2B5EF4-FFF2-40B4-BE49-F238E27FC236}">
              <a16:creationId xmlns:a16="http://schemas.microsoft.com/office/drawing/2014/main" id="{00000000-0008-0000-0100-000030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446</xdr:row>
      <xdr:rowOff>0</xdr:rowOff>
    </xdr:from>
    <xdr:ext cx="200025" cy="200025"/>
    <xdr:pic>
      <xdr:nvPicPr>
        <xdr:cNvPr id="1841" name="image10.png">
          <a:extLst>
            <a:ext uri="{FF2B5EF4-FFF2-40B4-BE49-F238E27FC236}">
              <a16:creationId xmlns:a16="http://schemas.microsoft.com/office/drawing/2014/main" id="{00000000-0008-0000-0100-000031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446</xdr:row>
      <xdr:rowOff>0</xdr:rowOff>
    </xdr:from>
    <xdr:ext cx="200025" cy="200025"/>
    <xdr:pic>
      <xdr:nvPicPr>
        <xdr:cNvPr id="1842" name="image9.png">
          <a:extLst>
            <a:ext uri="{FF2B5EF4-FFF2-40B4-BE49-F238E27FC236}">
              <a16:creationId xmlns:a16="http://schemas.microsoft.com/office/drawing/2014/main" id="{00000000-0008-0000-0100-000032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446</xdr:row>
      <xdr:rowOff>0</xdr:rowOff>
    </xdr:from>
    <xdr:ext cx="200025" cy="200025"/>
    <xdr:pic>
      <xdr:nvPicPr>
        <xdr:cNvPr id="1843" name="image1.png">
          <a:extLst>
            <a:ext uri="{FF2B5EF4-FFF2-40B4-BE49-F238E27FC236}">
              <a16:creationId xmlns:a16="http://schemas.microsoft.com/office/drawing/2014/main" id="{00000000-0008-0000-0100-000033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446</xdr:row>
      <xdr:rowOff>0</xdr:rowOff>
    </xdr:from>
    <xdr:ext cx="200025" cy="200025"/>
    <xdr:pic>
      <xdr:nvPicPr>
        <xdr:cNvPr id="1844" name="image3.png">
          <a:extLst>
            <a:ext uri="{FF2B5EF4-FFF2-40B4-BE49-F238E27FC236}">
              <a16:creationId xmlns:a16="http://schemas.microsoft.com/office/drawing/2014/main" id="{00000000-0008-0000-0100-000034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446</xdr:row>
      <xdr:rowOff>0</xdr:rowOff>
    </xdr:from>
    <xdr:ext cx="200025" cy="200025"/>
    <xdr:pic>
      <xdr:nvPicPr>
        <xdr:cNvPr id="1845" name="image7.png">
          <a:extLst>
            <a:ext uri="{FF2B5EF4-FFF2-40B4-BE49-F238E27FC236}">
              <a16:creationId xmlns:a16="http://schemas.microsoft.com/office/drawing/2014/main" id="{00000000-0008-0000-0100-00003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447</xdr:row>
      <xdr:rowOff>0</xdr:rowOff>
    </xdr:from>
    <xdr:ext cx="200025" cy="200025"/>
    <xdr:pic>
      <xdr:nvPicPr>
        <xdr:cNvPr id="1846" name="image8.png">
          <a:extLst>
            <a:ext uri="{FF2B5EF4-FFF2-40B4-BE49-F238E27FC236}">
              <a16:creationId xmlns:a16="http://schemas.microsoft.com/office/drawing/2014/main" id="{00000000-0008-0000-0100-000036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447</xdr:row>
      <xdr:rowOff>0</xdr:rowOff>
    </xdr:from>
    <xdr:ext cx="200025" cy="200025"/>
    <xdr:pic>
      <xdr:nvPicPr>
        <xdr:cNvPr id="1847" name="image2.png">
          <a:extLst>
            <a:ext uri="{FF2B5EF4-FFF2-40B4-BE49-F238E27FC236}">
              <a16:creationId xmlns:a16="http://schemas.microsoft.com/office/drawing/2014/main" id="{00000000-0008-0000-0100-00003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447</xdr:row>
      <xdr:rowOff>0</xdr:rowOff>
    </xdr:from>
    <xdr:ext cx="200025" cy="200025"/>
    <xdr:pic>
      <xdr:nvPicPr>
        <xdr:cNvPr id="1848" name="image5.png">
          <a:extLst>
            <a:ext uri="{FF2B5EF4-FFF2-40B4-BE49-F238E27FC236}">
              <a16:creationId xmlns:a16="http://schemas.microsoft.com/office/drawing/2014/main" id="{00000000-0008-0000-0100-000038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447</xdr:row>
      <xdr:rowOff>0</xdr:rowOff>
    </xdr:from>
    <xdr:ext cx="200025" cy="200025"/>
    <xdr:pic>
      <xdr:nvPicPr>
        <xdr:cNvPr id="1849" name="image4.png">
          <a:extLst>
            <a:ext uri="{FF2B5EF4-FFF2-40B4-BE49-F238E27FC236}">
              <a16:creationId xmlns:a16="http://schemas.microsoft.com/office/drawing/2014/main" id="{00000000-0008-0000-0100-000039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448</xdr:row>
      <xdr:rowOff>0</xdr:rowOff>
    </xdr:from>
    <xdr:ext cx="200025" cy="200025"/>
    <xdr:pic>
      <xdr:nvPicPr>
        <xdr:cNvPr id="1850" name="image10.png">
          <a:extLst>
            <a:ext uri="{FF2B5EF4-FFF2-40B4-BE49-F238E27FC236}">
              <a16:creationId xmlns:a16="http://schemas.microsoft.com/office/drawing/2014/main" id="{00000000-0008-0000-0100-00003A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448</xdr:row>
      <xdr:rowOff>0</xdr:rowOff>
    </xdr:from>
    <xdr:ext cx="200025" cy="200025"/>
    <xdr:pic>
      <xdr:nvPicPr>
        <xdr:cNvPr id="1851" name="image1.png">
          <a:extLst>
            <a:ext uri="{FF2B5EF4-FFF2-40B4-BE49-F238E27FC236}">
              <a16:creationId xmlns:a16="http://schemas.microsoft.com/office/drawing/2014/main" id="{00000000-0008-0000-0100-00003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448</xdr:row>
      <xdr:rowOff>0</xdr:rowOff>
    </xdr:from>
    <xdr:ext cx="200025" cy="200025"/>
    <xdr:pic>
      <xdr:nvPicPr>
        <xdr:cNvPr id="1852" name="image3.png">
          <a:extLst>
            <a:ext uri="{FF2B5EF4-FFF2-40B4-BE49-F238E27FC236}">
              <a16:creationId xmlns:a16="http://schemas.microsoft.com/office/drawing/2014/main" id="{00000000-0008-0000-0100-00003C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448</xdr:row>
      <xdr:rowOff>0</xdr:rowOff>
    </xdr:from>
    <xdr:ext cx="200025" cy="200025"/>
    <xdr:pic>
      <xdr:nvPicPr>
        <xdr:cNvPr id="1853" name="image7.png">
          <a:extLst>
            <a:ext uri="{FF2B5EF4-FFF2-40B4-BE49-F238E27FC236}">
              <a16:creationId xmlns:a16="http://schemas.microsoft.com/office/drawing/2014/main" id="{00000000-0008-0000-0100-00003D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449</xdr:row>
      <xdr:rowOff>0</xdr:rowOff>
    </xdr:from>
    <xdr:ext cx="200025" cy="200025"/>
    <xdr:pic>
      <xdr:nvPicPr>
        <xdr:cNvPr id="1854" name="image8.png">
          <a:extLst>
            <a:ext uri="{FF2B5EF4-FFF2-40B4-BE49-F238E27FC236}">
              <a16:creationId xmlns:a16="http://schemas.microsoft.com/office/drawing/2014/main" id="{00000000-0008-0000-0100-00003E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449</xdr:row>
      <xdr:rowOff>0</xdr:rowOff>
    </xdr:from>
    <xdr:ext cx="200025" cy="200025"/>
    <xdr:pic>
      <xdr:nvPicPr>
        <xdr:cNvPr id="1855" name="image9.png">
          <a:extLst>
            <a:ext uri="{FF2B5EF4-FFF2-40B4-BE49-F238E27FC236}">
              <a16:creationId xmlns:a16="http://schemas.microsoft.com/office/drawing/2014/main" id="{00000000-0008-0000-0100-00003F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449</xdr:row>
      <xdr:rowOff>0</xdr:rowOff>
    </xdr:from>
    <xdr:ext cx="200025" cy="200025"/>
    <xdr:pic>
      <xdr:nvPicPr>
        <xdr:cNvPr id="1856" name="image5.png">
          <a:extLst>
            <a:ext uri="{FF2B5EF4-FFF2-40B4-BE49-F238E27FC236}">
              <a16:creationId xmlns:a16="http://schemas.microsoft.com/office/drawing/2014/main" id="{00000000-0008-0000-0100-000040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449</xdr:row>
      <xdr:rowOff>0</xdr:rowOff>
    </xdr:from>
    <xdr:ext cx="200025" cy="200025"/>
    <xdr:pic>
      <xdr:nvPicPr>
        <xdr:cNvPr id="1857" name="image7.png">
          <a:extLst>
            <a:ext uri="{FF2B5EF4-FFF2-40B4-BE49-F238E27FC236}">
              <a16:creationId xmlns:a16="http://schemas.microsoft.com/office/drawing/2014/main" id="{00000000-0008-0000-0100-000041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450</xdr:row>
      <xdr:rowOff>0</xdr:rowOff>
    </xdr:from>
    <xdr:ext cx="200025" cy="200025"/>
    <xdr:pic>
      <xdr:nvPicPr>
        <xdr:cNvPr id="1858" name="image2.png">
          <a:extLst>
            <a:ext uri="{FF2B5EF4-FFF2-40B4-BE49-F238E27FC236}">
              <a16:creationId xmlns:a16="http://schemas.microsoft.com/office/drawing/2014/main" id="{00000000-0008-0000-0100-000042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450</xdr:row>
      <xdr:rowOff>0</xdr:rowOff>
    </xdr:from>
    <xdr:ext cx="200025" cy="200025"/>
    <xdr:pic>
      <xdr:nvPicPr>
        <xdr:cNvPr id="1859" name="image6.png">
          <a:extLst>
            <a:ext uri="{FF2B5EF4-FFF2-40B4-BE49-F238E27FC236}">
              <a16:creationId xmlns:a16="http://schemas.microsoft.com/office/drawing/2014/main" id="{00000000-0008-0000-0100-000043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450</xdr:row>
      <xdr:rowOff>0</xdr:rowOff>
    </xdr:from>
    <xdr:ext cx="200025" cy="200025"/>
    <xdr:pic>
      <xdr:nvPicPr>
        <xdr:cNvPr id="1860" name="image12.png">
          <a:extLst>
            <a:ext uri="{FF2B5EF4-FFF2-40B4-BE49-F238E27FC236}">
              <a16:creationId xmlns:a16="http://schemas.microsoft.com/office/drawing/2014/main" id="{00000000-0008-0000-0100-000044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450</xdr:row>
      <xdr:rowOff>0</xdr:rowOff>
    </xdr:from>
    <xdr:ext cx="200025" cy="200025"/>
    <xdr:pic>
      <xdr:nvPicPr>
        <xdr:cNvPr id="1861" name="image4.png">
          <a:extLst>
            <a:ext uri="{FF2B5EF4-FFF2-40B4-BE49-F238E27FC236}">
              <a16:creationId xmlns:a16="http://schemas.microsoft.com/office/drawing/2014/main" id="{00000000-0008-0000-0100-000045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451</xdr:row>
      <xdr:rowOff>0</xdr:rowOff>
    </xdr:from>
    <xdr:ext cx="200025" cy="200025"/>
    <xdr:pic>
      <xdr:nvPicPr>
        <xdr:cNvPr id="1862" name="image10.png">
          <a:extLst>
            <a:ext uri="{FF2B5EF4-FFF2-40B4-BE49-F238E27FC236}">
              <a16:creationId xmlns:a16="http://schemas.microsoft.com/office/drawing/2014/main" id="{00000000-0008-0000-0100-00004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451</xdr:row>
      <xdr:rowOff>0</xdr:rowOff>
    </xdr:from>
    <xdr:ext cx="200025" cy="200025"/>
    <xdr:pic>
      <xdr:nvPicPr>
        <xdr:cNvPr id="1863" name="image2.png">
          <a:extLst>
            <a:ext uri="{FF2B5EF4-FFF2-40B4-BE49-F238E27FC236}">
              <a16:creationId xmlns:a16="http://schemas.microsoft.com/office/drawing/2014/main" id="{00000000-0008-0000-0100-00004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451</xdr:row>
      <xdr:rowOff>0</xdr:rowOff>
    </xdr:from>
    <xdr:ext cx="200025" cy="200025"/>
    <xdr:pic>
      <xdr:nvPicPr>
        <xdr:cNvPr id="1864" name="image5.png">
          <a:extLst>
            <a:ext uri="{FF2B5EF4-FFF2-40B4-BE49-F238E27FC236}">
              <a16:creationId xmlns:a16="http://schemas.microsoft.com/office/drawing/2014/main" id="{00000000-0008-0000-0100-000048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451</xdr:row>
      <xdr:rowOff>0</xdr:rowOff>
    </xdr:from>
    <xdr:ext cx="200025" cy="200025"/>
    <xdr:pic>
      <xdr:nvPicPr>
        <xdr:cNvPr id="1865" name="image4.png">
          <a:extLst>
            <a:ext uri="{FF2B5EF4-FFF2-40B4-BE49-F238E27FC236}">
              <a16:creationId xmlns:a16="http://schemas.microsoft.com/office/drawing/2014/main" id="{00000000-0008-0000-0100-000049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452</xdr:row>
      <xdr:rowOff>0</xdr:rowOff>
    </xdr:from>
    <xdr:ext cx="200025" cy="200025"/>
    <xdr:pic>
      <xdr:nvPicPr>
        <xdr:cNvPr id="1866" name="image10.png">
          <a:extLst>
            <a:ext uri="{FF2B5EF4-FFF2-40B4-BE49-F238E27FC236}">
              <a16:creationId xmlns:a16="http://schemas.microsoft.com/office/drawing/2014/main" id="{00000000-0008-0000-0100-00004A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452</xdr:row>
      <xdr:rowOff>0</xdr:rowOff>
    </xdr:from>
    <xdr:ext cx="200025" cy="200025"/>
    <xdr:pic>
      <xdr:nvPicPr>
        <xdr:cNvPr id="1867" name="image8.png">
          <a:extLst>
            <a:ext uri="{FF2B5EF4-FFF2-40B4-BE49-F238E27FC236}">
              <a16:creationId xmlns:a16="http://schemas.microsoft.com/office/drawing/2014/main" id="{00000000-0008-0000-0100-00004B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452</xdr:row>
      <xdr:rowOff>0</xdr:rowOff>
    </xdr:from>
    <xdr:ext cx="200025" cy="200025"/>
    <xdr:pic>
      <xdr:nvPicPr>
        <xdr:cNvPr id="1868" name="image4.png">
          <a:extLst>
            <a:ext uri="{FF2B5EF4-FFF2-40B4-BE49-F238E27FC236}">
              <a16:creationId xmlns:a16="http://schemas.microsoft.com/office/drawing/2014/main" id="{00000000-0008-0000-0100-00004C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452</xdr:row>
      <xdr:rowOff>0</xdr:rowOff>
    </xdr:from>
    <xdr:ext cx="200025" cy="200025"/>
    <xdr:pic>
      <xdr:nvPicPr>
        <xdr:cNvPr id="1869" name="image7.png">
          <a:extLst>
            <a:ext uri="{FF2B5EF4-FFF2-40B4-BE49-F238E27FC236}">
              <a16:creationId xmlns:a16="http://schemas.microsoft.com/office/drawing/2014/main" id="{00000000-0008-0000-0100-00004D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453</xdr:row>
      <xdr:rowOff>0</xdr:rowOff>
    </xdr:from>
    <xdr:ext cx="200025" cy="200025"/>
    <xdr:pic>
      <xdr:nvPicPr>
        <xdr:cNvPr id="1870" name="image10.png">
          <a:extLst>
            <a:ext uri="{FF2B5EF4-FFF2-40B4-BE49-F238E27FC236}">
              <a16:creationId xmlns:a16="http://schemas.microsoft.com/office/drawing/2014/main" id="{00000000-0008-0000-0100-00004E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453</xdr:row>
      <xdr:rowOff>0</xdr:rowOff>
    </xdr:from>
    <xdr:ext cx="200025" cy="200025"/>
    <xdr:pic>
      <xdr:nvPicPr>
        <xdr:cNvPr id="1871" name="image1.png">
          <a:extLst>
            <a:ext uri="{FF2B5EF4-FFF2-40B4-BE49-F238E27FC236}">
              <a16:creationId xmlns:a16="http://schemas.microsoft.com/office/drawing/2014/main" id="{00000000-0008-0000-0100-00004F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453</xdr:row>
      <xdr:rowOff>0</xdr:rowOff>
    </xdr:from>
    <xdr:ext cx="200025" cy="200025"/>
    <xdr:pic>
      <xdr:nvPicPr>
        <xdr:cNvPr id="1872" name="image12.png">
          <a:extLst>
            <a:ext uri="{FF2B5EF4-FFF2-40B4-BE49-F238E27FC236}">
              <a16:creationId xmlns:a16="http://schemas.microsoft.com/office/drawing/2014/main" id="{00000000-0008-0000-0100-000050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453</xdr:row>
      <xdr:rowOff>0</xdr:rowOff>
    </xdr:from>
    <xdr:ext cx="200025" cy="200025"/>
    <xdr:pic>
      <xdr:nvPicPr>
        <xdr:cNvPr id="1873" name="image7.png">
          <a:extLst>
            <a:ext uri="{FF2B5EF4-FFF2-40B4-BE49-F238E27FC236}">
              <a16:creationId xmlns:a16="http://schemas.microsoft.com/office/drawing/2014/main" id="{00000000-0008-0000-0100-000051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454</xdr:row>
      <xdr:rowOff>0</xdr:rowOff>
    </xdr:from>
    <xdr:ext cx="200025" cy="200025"/>
    <xdr:pic>
      <xdr:nvPicPr>
        <xdr:cNvPr id="1874" name="image10.png">
          <a:extLst>
            <a:ext uri="{FF2B5EF4-FFF2-40B4-BE49-F238E27FC236}">
              <a16:creationId xmlns:a16="http://schemas.microsoft.com/office/drawing/2014/main" id="{00000000-0008-0000-0100-00005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454</xdr:row>
      <xdr:rowOff>0</xdr:rowOff>
    </xdr:from>
    <xdr:ext cx="200025" cy="200025"/>
    <xdr:pic>
      <xdr:nvPicPr>
        <xdr:cNvPr id="1875" name="image2.png">
          <a:extLst>
            <a:ext uri="{FF2B5EF4-FFF2-40B4-BE49-F238E27FC236}">
              <a16:creationId xmlns:a16="http://schemas.microsoft.com/office/drawing/2014/main" id="{00000000-0008-0000-0100-000053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454</xdr:row>
      <xdr:rowOff>0</xdr:rowOff>
    </xdr:from>
    <xdr:ext cx="200025" cy="200025"/>
    <xdr:pic>
      <xdr:nvPicPr>
        <xdr:cNvPr id="1876" name="image6.png">
          <a:extLst>
            <a:ext uri="{FF2B5EF4-FFF2-40B4-BE49-F238E27FC236}">
              <a16:creationId xmlns:a16="http://schemas.microsoft.com/office/drawing/2014/main" id="{00000000-0008-0000-0100-000054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454</xdr:row>
      <xdr:rowOff>0</xdr:rowOff>
    </xdr:from>
    <xdr:ext cx="200025" cy="200025"/>
    <xdr:pic>
      <xdr:nvPicPr>
        <xdr:cNvPr id="1877" name="image12.png">
          <a:extLst>
            <a:ext uri="{FF2B5EF4-FFF2-40B4-BE49-F238E27FC236}">
              <a16:creationId xmlns:a16="http://schemas.microsoft.com/office/drawing/2014/main" id="{00000000-0008-0000-0100-000055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454</xdr:row>
      <xdr:rowOff>0</xdr:rowOff>
    </xdr:from>
    <xdr:ext cx="200025" cy="200025"/>
    <xdr:pic>
      <xdr:nvPicPr>
        <xdr:cNvPr id="1878" name="image3.png">
          <a:extLst>
            <a:ext uri="{FF2B5EF4-FFF2-40B4-BE49-F238E27FC236}">
              <a16:creationId xmlns:a16="http://schemas.microsoft.com/office/drawing/2014/main" id="{00000000-0008-0000-0100-000056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455</xdr:row>
      <xdr:rowOff>0</xdr:rowOff>
    </xdr:from>
    <xdr:ext cx="200025" cy="200025"/>
    <xdr:pic>
      <xdr:nvPicPr>
        <xdr:cNvPr id="1879" name="image8.png">
          <a:extLst>
            <a:ext uri="{FF2B5EF4-FFF2-40B4-BE49-F238E27FC236}">
              <a16:creationId xmlns:a16="http://schemas.microsoft.com/office/drawing/2014/main" id="{00000000-0008-0000-0100-000057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455</xdr:row>
      <xdr:rowOff>0</xdr:rowOff>
    </xdr:from>
    <xdr:ext cx="200025" cy="200025"/>
    <xdr:pic>
      <xdr:nvPicPr>
        <xdr:cNvPr id="1880" name="image9.png">
          <a:extLst>
            <a:ext uri="{FF2B5EF4-FFF2-40B4-BE49-F238E27FC236}">
              <a16:creationId xmlns:a16="http://schemas.microsoft.com/office/drawing/2014/main" id="{00000000-0008-0000-0100-000058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455</xdr:row>
      <xdr:rowOff>0</xdr:rowOff>
    </xdr:from>
    <xdr:ext cx="200025" cy="200025"/>
    <xdr:pic>
      <xdr:nvPicPr>
        <xdr:cNvPr id="1881" name="image5.png">
          <a:extLst>
            <a:ext uri="{FF2B5EF4-FFF2-40B4-BE49-F238E27FC236}">
              <a16:creationId xmlns:a16="http://schemas.microsoft.com/office/drawing/2014/main" id="{00000000-0008-0000-0100-000059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455</xdr:row>
      <xdr:rowOff>0</xdr:rowOff>
    </xdr:from>
    <xdr:ext cx="200025" cy="200025"/>
    <xdr:pic>
      <xdr:nvPicPr>
        <xdr:cNvPr id="1882" name="image4.png">
          <a:extLst>
            <a:ext uri="{FF2B5EF4-FFF2-40B4-BE49-F238E27FC236}">
              <a16:creationId xmlns:a16="http://schemas.microsoft.com/office/drawing/2014/main" id="{00000000-0008-0000-0100-00005A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456</xdr:row>
      <xdr:rowOff>0</xdr:rowOff>
    </xdr:from>
    <xdr:ext cx="200025" cy="200025"/>
    <xdr:pic>
      <xdr:nvPicPr>
        <xdr:cNvPr id="1883" name="image10.png">
          <a:extLst>
            <a:ext uri="{FF2B5EF4-FFF2-40B4-BE49-F238E27FC236}">
              <a16:creationId xmlns:a16="http://schemas.microsoft.com/office/drawing/2014/main" id="{00000000-0008-0000-0100-00005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456</xdr:row>
      <xdr:rowOff>0</xdr:rowOff>
    </xdr:from>
    <xdr:ext cx="200025" cy="200025"/>
    <xdr:pic>
      <xdr:nvPicPr>
        <xdr:cNvPr id="1884" name="image2.png">
          <a:extLst>
            <a:ext uri="{FF2B5EF4-FFF2-40B4-BE49-F238E27FC236}">
              <a16:creationId xmlns:a16="http://schemas.microsoft.com/office/drawing/2014/main" id="{00000000-0008-0000-0100-00005C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456</xdr:row>
      <xdr:rowOff>0</xdr:rowOff>
    </xdr:from>
    <xdr:ext cx="200025" cy="200025"/>
    <xdr:pic>
      <xdr:nvPicPr>
        <xdr:cNvPr id="1885" name="image1.png">
          <a:extLst>
            <a:ext uri="{FF2B5EF4-FFF2-40B4-BE49-F238E27FC236}">
              <a16:creationId xmlns:a16="http://schemas.microsoft.com/office/drawing/2014/main" id="{00000000-0008-0000-0100-00005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456</xdr:row>
      <xdr:rowOff>0</xdr:rowOff>
    </xdr:from>
    <xdr:ext cx="200025" cy="200025"/>
    <xdr:pic>
      <xdr:nvPicPr>
        <xdr:cNvPr id="1886" name="image12.png">
          <a:extLst>
            <a:ext uri="{FF2B5EF4-FFF2-40B4-BE49-F238E27FC236}">
              <a16:creationId xmlns:a16="http://schemas.microsoft.com/office/drawing/2014/main" id="{00000000-0008-0000-0100-00005E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456</xdr:row>
      <xdr:rowOff>0</xdr:rowOff>
    </xdr:from>
    <xdr:ext cx="200025" cy="200025"/>
    <xdr:pic>
      <xdr:nvPicPr>
        <xdr:cNvPr id="1887" name="image7.png">
          <a:extLst>
            <a:ext uri="{FF2B5EF4-FFF2-40B4-BE49-F238E27FC236}">
              <a16:creationId xmlns:a16="http://schemas.microsoft.com/office/drawing/2014/main" id="{00000000-0008-0000-0100-00005F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457</xdr:row>
      <xdr:rowOff>0</xdr:rowOff>
    </xdr:from>
    <xdr:ext cx="200025" cy="200025"/>
    <xdr:pic>
      <xdr:nvPicPr>
        <xdr:cNvPr id="1888" name="image10.png">
          <a:extLst>
            <a:ext uri="{FF2B5EF4-FFF2-40B4-BE49-F238E27FC236}">
              <a16:creationId xmlns:a16="http://schemas.microsoft.com/office/drawing/2014/main" id="{00000000-0008-0000-0100-000060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457</xdr:row>
      <xdr:rowOff>0</xdr:rowOff>
    </xdr:from>
    <xdr:ext cx="200025" cy="200025"/>
    <xdr:pic>
      <xdr:nvPicPr>
        <xdr:cNvPr id="1889" name="image9.png">
          <a:extLst>
            <a:ext uri="{FF2B5EF4-FFF2-40B4-BE49-F238E27FC236}">
              <a16:creationId xmlns:a16="http://schemas.microsoft.com/office/drawing/2014/main" id="{00000000-0008-0000-0100-000061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457</xdr:row>
      <xdr:rowOff>0</xdr:rowOff>
    </xdr:from>
    <xdr:ext cx="200025" cy="200025"/>
    <xdr:pic>
      <xdr:nvPicPr>
        <xdr:cNvPr id="1890" name="image2.png">
          <a:extLst>
            <a:ext uri="{FF2B5EF4-FFF2-40B4-BE49-F238E27FC236}">
              <a16:creationId xmlns:a16="http://schemas.microsoft.com/office/drawing/2014/main" id="{00000000-0008-0000-0100-000062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457</xdr:row>
      <xdr:rowOff>0</xdr:rowOff>
    </xdr:from>
    <xdr:ext cx="200025" cy="200025"/>
    <xdr:pic>
      <xdr:nvPicPr>
        <xdr:cNvPr id="1891" name="image7.png">
          <a:extLst>
            <a:ext uri="{FF2B5EF4-FFF2-40B4-BE49-F238E27FC236}">
              <a16:creationId xmlns:a16="http://schemas.microsoft.com/office/drawing/2014/main" id="{00000000-0008-0000-0100-000063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458</xdr:row>
      <xdr:rowOff>0</xdr:rowOff>
    </xdr:from>
    <xdr:ext cx="200025" cy="200025"/>
    <xdr:pic>
      <xdr:nvPicPr>
        <xdr:cNvPr id="1892" name="image10.png">
          <a:extLst>
            <a:ext uri="{FF2B5EF4-FFF2-40B4-BE49-F238E27FC236}">
              <a16:creationId xmlns:a16="http://schemas.microsoft.com/office/drawing/2014/main" id="{00000000-0008-0000-0100-00006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458</xdr:row>
      <xdr:rowOff>0</xdr:rowOff>
    </xdr:from>
    <xdr:ext cx="200025" cy="200025"/>
    <xdr:pic>
      <xdr:nvPicPr>
        <xdr:cNvPr id="1893" name="image9.png">
          <a:extLst>
            <a:ext uri="{FF2B5EF4-FFF2-40B4-BE49-F238E27FC236}">
              <a16:creationId xmlns:a16="http://schemas.microsoft.com/office/drawing/2014/main" id="{00000000-0008-0000-0100-000065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458</xdr:row>
      <xdr:rowOff>0</xdr:rowOff>
    </xdr:from>
    <xdr:ext cx="200025" cy="200025"/>
    <xdr:pic>
      <xdr:nvPicPr>
        <xdr:cNvPr id="1894" name="image2.png">
          <a:extLst>
            <a:ext uri="{FF2B5EF4-FFF2-40B4-BE49-F238E27FC236}">
              <a16:creationId xmlns:a16="http://schemas.microsoft.com/office/drawing/2014/main" id="{00000000-0008-0000-0100-000066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458</xdr:row>
      <xdr:rowOff>0</xdr:rowOff>
    </xdr:from>
    <xdr:ext cx="200025" cy="200025"/>
    <xdr:pic>
      <xdr:nvPicPr>
        <xdr:cNvPr id="1895" name="image7.png">
          <a:extLst>
            <a:ext uri="{FF2B5EF4-FFF2-40B4-BE49-F238E27FC236}">
              <a16:creationId xmlns:a16="http://schemas.microsoft.com/office/drawing/2014/main" id="{00000000-0008-0000-0100-000067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459</xdr:row>
      <xdr:rowOff>0</xdr:rowOff>
    </xdr:from>
    <xdr:ext cx="200025" cy="200025"/>
    <xdr:pic>
      <xdr:nvPicPr>
        <xdr:cNvPr id="1896" name="image10.png">
          <a:extLst>
            <a:ext uri="{FF2B5EF4-FFF2-40B4-BE49-F238E27FC236}">
              <a16:creationId xmlns:a16="http://schemas.microsoft.com/office/drawing/2014/main" id="{00000000-0008-0000-0100-000068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459</xdr:row>
      <xdr:rowOff>0</xdr:rowOff>
    </xdr:from>
    <xdr:ext cx="200025" cy="200025"/>
    <xdr:pic>
      <xdr:nvPicPr>
        <xdr:cNvPr id="1897" name="image2.png">
          <a:extLst>
            <a:ext uri="{FF2B5EF4-FFF2-40B4-BE49-F238E27FC236}">
              <a16:creationId xmlns:a16="http://schemas.microsoft.com/office/drawing/2014/main" id="{00000000-0008-0000-0100-000069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459</xdr:row>
      <xdr:rowOff>0</xdr:rowOff>
    </xdr:from>
    <xdr:ext cx="200025" cy="200025"/>
    <xdr:pic>
      <xdr:nvPicPr>
        <xdr:cNvPr id="1898" name="image12.png">
          <a:extLst>
            <a:ext uri="{FF2B5EF4-FFF2-40B4-BE49-F238E27FC236}">
              <a16:creationId xmlns:a16="http://schemas.microsoft.com/office/drawing/2014/main" id="{00000000-0008-0000-0100-00006A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459</xdr:row>
      <xdr:rowOff>0</xdr:rowOff>
    </xdr:from>
    <xdr:ext cx="200025" cy="200025"/>
    <xdr:pic>
      <xdr:nvPicPr>
        <xdr:cNvPr id="1899" name="image7.png">
          <a:extLst>
            <a:ext uri="{FF2B5EF4-FFF2-40B4-BE49-F238E27FC236}">
              <a16:creationId xmlns:a16="http://schemas.microsoft.com/office/drawing/2014/main" id="{00000000-0008-0000-0100-00006B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460</xdr:row>
      <xdr:rowOff>0</xdr:rowOff>
    </xdr:from>
    <xdr:ext cx="200025" cy="200025"/>
    <xdr:pic>
      <xdr:nvPicPr>
        <xdr:cNvPr id="1900" name="image9.png">
          <a:extLst>
            <a:ext uri="{FF2B5EF4-FFF2-40B4-BE49-F238E27FC236}">
              <a16:creationId xmlns:a16="http://schemas.microsoft.com/office/drawing/2014/main" id="{00000000-0008-0000-0100-00006C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460</xdr:row>
      <xdr:rowOff>0</xdr:rowOff>
    </xdr:from>
    <xdr:ext cx="200025" cy="200025"/>
    <xdr:pic>
      <xdr:nvPicPr>
        <xdr:cNvPr id="1901" name="image1.png">
          <a:extLst>
            <a:ext uri="{FF2B5EF4-FFF2-40B4-BE49-F238E27FC236}">
              <a16:creationId xmlns:a16="http://schemas.microsoft.com/office/drawing/2014/main" id="{00000000-0008-0000-0100-00006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460</xdr:row>
      <xdr:rowOff>0</xdr:rowOff>
    </xdr:from>
    <xdr:ext cx="200025" cy="200025"/>
    <xdr:pic>
      <xdr:nvPicPr>
        <xdr:cNvPr id="1902" name="image5.png">
          <a:extLst>
            <a:ext uri="{FF2B5EF4-FFF2-40B4-BE49-F238E27FC236}">
              <a16:creationId xmlns:a16="http://schemas.microsoft.com/office/drawing/2014/main" id="{00000000-0008-0000-0100-00006E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460</xdr:row>
      <xdr:rowOff>0</xdr:rowOff>
    </xdr:from>
    <xdr:ext cx="200025" cy="200025"/>
    <xdr:pic>
      <xdr:nvPicPr>
        <xdr:cNvPr id="1903" name="image7.png">
          <a:extLst>
            <a:ext uri="{FF2B5EF4-FFF2-40B4-BE49-F238E27FC236}">
              <a16:creationId xmlns:a16="http://schemas.microsoft.com/office/drawing/2014/main" id="{00000000-0008-0000-0100-00006F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461</xdr:row>
      <xdr:rowOff>0</xdr:rowOff>
    </xdr:from>
    <xdr:ext cx="200025" cy="200025"/>
    <xdr:pic>
      <xdr:nvPicPr>
        <xdr:cNvPr id="1904" name="image6.png">
          <a:extLst>
            <a:ext uri="{FF2B5EF4-FFF2-40B4-BE49-F238E27FC236}">
              <a16:creationId xmlns:a16="http://schemas.microsoft.com/office/drawing/2014/main" id="{00000000-0008-0000-0100-00007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461</xdr:row>
      <xdr:rowOff>0</xdr:rowOff>
    </xdr:from>
    <xdr:ext cx="200025" cy="200025"/>
    <xdr:pic>
      <xdr:nvPicPr>
        <xdr:cNvPr id="1905" name="image4.png">
          <a:extLst>
            <a:ext uri="{FF2B5EF4-FFF2-40B4-BE49-F238E27FC236}">
              <a16:creationId xmlns:a16="http://schemas.microsoft.com/office/drawing/2014/main" id="{00000000-0008-0000-0100-000071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461</xdr:row>
      <xdr:rowOff>0</xdr:rowOff>
    </xdr:from>
    <xdr:ext cx="200025" cy="200025"/>
    <xdr:pic>
      <xdr:nvPicPr>
        <xdr:cNvPr id="1906" name="image3.png">
          <a:extLst>
            <a:ext uri="{FF2B5EF4-FFF2-40B4-BE49-F238E27FC236}">
              <a16:creationId xmlns:a16="http://schemas.microsoft.com/office/drawing/2014/main" id="{00000000-0008-0000-0100-000072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461</xdr:row>
      <xdr:rowOff>0</xdr:rowOff>
    </xdr:from>
    <xdr:ext cx="200025" cy="200025"/>
    <xdr:pic>
      <xdr:nvPicPr>
        <xdr:cNvPr id="1907" name="image7.png">
          <a:extLst>
            <a:ext uri="{FF2B5EF4-FFF2-40B4-BE49-F238E27FC236}">
              <a16:creationId xmlns:a16="http://schemas.microsoft.com/office/drawing/2014/main" id="{00000000-0008-0000-0100-000073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462</xdr:row>
      <xdr:rowOff>0</xdr:rowOff>
    </xdr:from>
    <xdr:ext cx="200025" cy="200025"/>
    <xdr:pic>
      <xdr:nvPicPr>
        <xdr:cNvPr id="1908" name="image8.png">
          <a:extLst>
            <a:ext uri="{FF2B5EF4-FFF2-40B4-BE49-F238E27FC236}">
              <a16:creationId xmlns:a16="http://schemas.microsoft.com/office/drawing/2014/main" id="{00000000-0008-0000-0100-000074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462</xdr:row>
      <xdr:rowOff>0</xdr:rowOff>
    </xdr:from>
    <xdr:ext cx="200025" cy="200025"/>
    <xdr:pic>
      <xdr:nvPicPr>
        <xdr:cNvPr id="1909" name="image9.png">
          <a:extLst>
            <a:ext uri="{FF2B5EF4-FFF2-40B4-BE49-F238E27FC236}">
              <a16:creationId xmlns:a16="http://schemas.microsoft.com/office/drawing/2014/main" id="{00000000-0008-0000-0100-000075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462</xdr:row>
      <xdr:rowOff>0</xdr:rowOff>
    </xdr:from>
    <xdr:ext cx="200025" cy="200025"/>
    <xdr:pic>
      <xdr:nvPicPr>
        <xdr:cNvPr id="1910" name="image4.png">
          <a:extLst>
            <a:ext uri="{FF2B5EF4-FFF2-40B4-BE49-F238E27FC236}">
              <a16:creationId xmlns:a16="http://schemas.microsoft.com/office/drawing/2014/main" id="{00000000-0008-0000-0100-000076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462</xdr:row>
      <xdr:rowOff>0</xdr:rowOff>
    </xdr:from>
    <xdr:ext cx="200025" cy="200025"/>
    <xdr:pic>
      <xdr:nvPicPr>
        <xdr:cNvPr id="1911" name="image7.png">
          <a:extLst>
            <a:ext uri="{FF2B5EF4-FFF2-40B4-BE49-F238E27FC236}">
              <a16:creationId xmlns:a16="http://schemas.microsoft.com/office/drawing/2014/main" id="{00000000-0008-0000-0100-000077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463</xdr:row>
      <xdr:rowOff>0</xdr:rowOff>
    </xdr:from>
    <xdr:ext cx="200025" cy="200025"/>
    <xdr:pic>
      <xdr:nvPicPr>
        <xdr:cNvPr id="1912" name="image10.png">
          <a:extLst>
            <a:ext uri="{FF2B5EF4-FFF2-40B4-BE49-F238E27FC236}">
              <a16:creationId xmlns:a16="http://schemas.microsoft.com/office/drawing/2014/main" id="{00000000-0008-0000-0100-000078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463</xdr:row>
      <xdr:rowOff>0</xdr:rowOff>
    </xdr:from>
    <xdr:ext cx="200025" cy="200025"/>
    <xdr:pic>
      <xdr:nvPicPr>
        <xdr:cNvPr id="1913" name="image8.png">
          <a:extLst>
            <a:ext uri="{FF2B5EF4-FFF2-40B4-BE49-F238E27FC236}">
              <a16:creationId xmlns:a16="http://schemas.microsoft.com/office/drawing/2014/main" id="{00000000-0008-0000-0100-000079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463</xdr:row>
      <xdr:rowOff>0</xdr:rowOff>
    </xdr:from>
    <xdr:ext cx="200025" cy="200025"/>
    <xdr:pic>
      <xdr:nvPicPr>
        <xdr:cNvPr id="1914" name="image9.png">
          <a:extLst>
            <a:ext uri="{FF2B5EF4-FFF2-40B4-BE49-F238E27FC236}">
              <a16:creationId xmlns:a16="http://schemas.microsoft.com/office/drawing/2014/main" id="{00000000-0008-0000-0100-00007A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0</xdr:colOff>
      <xdr:row>463</xdr:row>
      <xdr:rowOff>0</xdr:rowOff>
    </xdr:from>
    <xdr:ext cx="200025" cy="200025"/>
    <xdr:pic>
      <xdr:nvPicPr>
        <xdr:cNvPr id="1915" name="image2.png">
          <a:extLst>
            <a:ext uri="{FF2B5EF4-FFF2-40B4-BE49-F238E27FC236}">
              <a16:creationId xmlns:a16="http://schemas.microsoft.com/office/drawing/2014/main" id="{00000000-0008-0000-0100-00007B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463</xdr:row>
      <xdr:rowOff>0</xdr:rowOff>
    </xdr:from>
    <xdr:ext cx="200025" cy="200025"/>
    <xdr:pic>
      <xdr:nvPicPr>
        <xdr:cNvPr id="1916" name="image1.png">
          <a:extLst>
            <a:ext uri="{FF2B5EF4-FFF2-40B4-BE49-F238E27FC236}">
              <a16:creationId xmlns:a16="http://schemas.microsoft.com/office/drawing/2014/main" id="{00000000-0008-0000-0100-00007C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464</xdr:row>
      <xdr:rowOff>0</xdr:rowOff>
    </xdr:from>
    <xdr:ext cx="200025" cy="200025"/>
    <xdr:pic>
      <xdr:nvPicPr>
        <xdr:cNvPr id="1917" name="image5.png">
          <a:extLst>
            <a:ext uri="{FF2B5EF4-FFF2-40B4-BE49-F238E27FC236}">
              <a16:creationId xmlns:a16="http://schemas.microsoft.com/office/drawing/2014/main" id="{00000000-0008-0000-0100-00007D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464</xdr:row>
      <xdr:rowOff>0</xdr:rowOff>
    </xdr:from>
    <xdr:ext cx="200025" cy="200025"/>
    <xdr:pic>
      <xdr:nvPicPr>
        <xdr:cNvPr id="1918" name="image12.png">
          <a:extLst>
            <a:ext uri="{FF2B5EF4-FFF2-40B4-BE49-F238E27FC236}">
              <a16:creationId xmlns:a16="http://schemas.microsoft.com/office/drawing/2014/main" id="{00000000-0008-0000-0100-00007E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464</xdr:row>
      <xdr:rowOff>0</xdr:rowOff>
    </xdr:from>
    <xdr:ext cx="200025" cy="200025"/>
    <xdr:pic>
      <xdr:nvPicPr>
        <xdr:cNvPr id="1919" name="image4.png">
          <a:extLst>
            <a:ext uri="{FF2B5EF4-FFF2-40B4-BE49-F238E27FC236}">
              <a16:creationId xmlns:a16="http://schemas.microsoft.com/office/drawing/2014/main" id="{00000000-0008-0000-0100-00007F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464</xdr:row>
      <xdr:rowOff>0</xdr:rowOff>
    </xdr:from>
    <xdr:ext cx="200025" cy="200025"/>
    <xdr:pic>
      <xdr:nvPicPr>
        <xdr:cNvPr id="1920" name="image3.png">
          <a:extLst>
            <a:ext uri="{FF2B5EF4-FFF2-40B4-BE49-F238E27FC236}">
              <a16:creationId xmlns:a16="http://schemas.microsoft.com/office/drawing/2014/main" id="{00000000-0008-0000-0100-000080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464</xdr:row>
      <xdr:rowOff>0</xdr:rowOff>
    </xdr:from>
    <xdr:ext cx="200025" cy="200025"/>
    <xdr:pic>
      <xdr:nvPicPr>
        <xdr:cNvPr id="1921" name="image7.png">
          <a:extLst>
            <a:ext uri="{FF2B5EF4-FFF2-40B4-BE49-F238E27FC236}">
              <a16:creationId xmlns:a16="http://schemas.microsoft.com/office/drawing/2014/main" id="{00000000-0008-0000-0100-000081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465</xdr:row>
      <xdr:rowOff>0</xdr:rowOff>
    </xdr:from>
    <xdr:ext cx="200025" cy="200025"/>
    <xdr:pic>
      <xdr:nvPicPr>
        <xdr:cNvPr id="1922" name="image10.png">
          <a:extLst>
            <a:ext uri="{FF2B5EF4-FFF2-40B4-BE49-F238E27FC236}">
              <a16:creationId xmlns:a16="http://schemas.microsoft.com/office/drawing/2014/main" id="{00000000-0008-0000-0100-00008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465</xdr:row>
      <xdr:rowOff>0</xdr:rowOff>
    </xdr:from>
    <xdr:ext cx="200025" cy="200025"/>
    <xdr:pic>
      <xdr:nvPicPr>
        <xdr:cNvPr id="1923" name="image2.png">
          <a:extLst>
            <a:ext uri="{FF2B5EF4-FFF2-40B4-BE49-F238E27FC236}">
              <a16:creationId xmlns:a16="http://schemas.microsoft.com/office/drawing/2014/main" id="{00000000-0008-0000-0100-000083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465</xdr:row>
      <xdr:rowOff>0</xdr:rowOff>
    </xdr:from>
    <xdr:ext cx="200025" cy="200025"/>
    <xdr:pic>
      <xdr:nvPicPr>
        <xdr:cNvPr id="1924" name="image4.png">
          <a:extLst>
            <a:ext uri="{FF2B5EF4-FFF2-40B4-BE49-F238E27FC236}">
              <a16:creationId xmlns:a16="http://schemas.microsoft.com/office/drawing/2014/main" id="{00000000-0008-0000-0100-000084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465</xdr:row>
      <xdr:rowOff>0</xdr:rowOff>
    </xdr:from>
    <xdr:ext cx="200025" cy="200025"/>
    <xdr:pic>
      <xdr:nvPicPr>
        <xdr:cNvPr id="1925" name="image7.png">
          <a:extLst>
            <a:ext uri="{FF2B5EF4-FFF2-40B4-BE49-F238E27FC236}">
              <a16:creationId xmlns:a16="http://schemas.microsoft.com/office/drawing/2014/main" id="{00000000-0008-0000-0100-00008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466</xdr:row>
      <xdr:rowOff>0</xdr:rowOff>
    </xdr:from>
    <xdr:ext cx="200025" cy="200025"/>
    <xdr:pic>
      <xdr:nvPicPr>
        <xdr:cNvPr id="1926" name="image8.png">
          <a:extLst>
            <a:ext uri="{FF2B5EF4-FFF2-40B4-BE49-F238E27FC236}">
              <a16:creationId xmlns:a16="http://schemas.microsoft.com/office/drawing/2014/main" id="{00000000-0008-0000-0100-000086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466</xdr:row>
      <xdr:rowOff>0</xdr:rowOff>
    </xdr:from>
    <xdr:ext cx="200025" cy="200025"/>
    <xdr:pic>
      <xdr:nvPicPr>
        <xdr:cNvPr id="1927" name="image2.png">
          <a:extLst>
            <a:ext uri="{FF2B5EF4-FFF2-40B4-BE49-F238E27FC236}">
              <a16:creationId xmlns:a16="http://schemas.microsoft.com/office/drawing/2014/main" id="{00000000-0008-0000-0100-00008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466</xdr:row>
      <xdr:rowOff>0</xdr:rowOff>
    </xdr:from>
    <xdr:ext cx="200025" cy="200025"/>
    <xdr:pic>
      <xdr:nvPicPr>
        <xdr:cNvPr id="1928" name="image6.png">
          <a:extLst>
            <a:ext uri="{FF2B5EF4-FFF2-40B4-BE49-F238E27FC236}">
              <a16:creationId xmlns:a16="http://schemas.microsoft.com/office/drawing/2014/main" id="{00000000-0008-0000-0100-000088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466</xdr:row>
      <xdr:rowOff>0</xdr:rowOff>
    </xdr:from>
    <xdr:ext cx="200025" cy="200025"/>
    <xdr:pic>
      <xdr:nvPicPr>
        <xdr:cNvPr id="1929" name="image3.png">
          <a:extLst>
            <a:ext uri="{FF2B5EF4-FFF2-40B4-BE49-F238E27FC236}">
              <a16:creationId xmlns:a16="http://schemas.microsoft.com/office/drawing/2014/main" id="{00000000-0008-0000-0100-000089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466</xdr:row>
      <xdr:rowOff>0</xdr:rowOff>
    </xdr:from>
    <xdr:ext cx="200025" cy="200025"/>
    <xdr:pic>
      <xdr:nvPicPr>
        <xdr:cNvPr id="1930" name="image7.png">
          <a:extLst>
            <a:ext uri="{FF2B5EF4-FFF2-40B4-BE49-F238E27FC236}">
              <a16:creationId xmlns:a16="http://schemas.microsoft.com/office/drawing/2014/main" id="{00000000-0008-0000-0100-00008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467</xdr:row>
      <xdr:rowOff>0</xdr:rowOff>
    </xdr:from>
    <xdr:ext cx="200025" cy="200025"/>
    <xdr:pic>
      <xdr:nvPicPr>
        <xdr:cNvPr id="1931" name="image10.png">
          <a:extLst>
            <a:ext uri="{FF2B5EF4-FFF2-40B4-BE49-F238E27FC236}">
              <a16:creationId xmlns:a16="http://schemas.microsoft.com/office/drawing/2014/main" id="{00000000-0008-0000-0100-00008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467</xdr:row>
      <xdr:rowOff>0</xdr:rowOff>
    </xdr:from>
    <xdr:ext cx="200025" cy="200025"/>
    <xdr:pic>
      <xdr:nvPicPr>
        <xdr:cNvPr id="1932" name="image1.png">
          <a:extLst>
            <a:ext uri="{FF2B5EF4-FFF2-40B4-BE49-F238E27FC236}">
              <a16:creationId xmlns:a16="http://schemas.microsoft.com/office/drawing/2014/main" id="{00000000-0008-0000-0100-00008C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467</xdr:row>
      <xdr:rowOff>0</xdr:rowOff>
    </xdr:from>
    <xdr:ext cx="200025" cy="200025"/>
    <xdr:pic>
      <xdr:nvPicPr>
        <xdr:cNvPr id="1933" name="image5.png">
          <a:extLst>
            <a:ext uri="{FF2B5EF4-FFF2-40B4-BE49-F238E27FC236}">
              <a16:creationId xmlns:a16="http://schemas.microsoft.com/office/drawing/2014/main" id="{00000000-0008-0000-0100-00008D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467</xdr:row>
      <xdr:rowOff>0</xdr:rowOff>
    </xdr:from>
    <xdr:ext cx="200025" cy="200025"/>
    <xdr:pic>
      <xdr:nvPicPr>
        <xdr:cNvPr id="1934" name="image4.png">
          <a:extLst>
            <a:ext uri="{FF2B5EF4-FFF2-40B4-BE49-F238E27FC236}">
              <a16:creationId xmlns:a16="http://schemas.microsoft.com/office/drawing/2014/main" id="{00000000-0008-0000-0100-00008E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467</xdr:row>
      <xdr:rowOff>0</xdr:rowOff>
    </xdr:from>
    <xdr:ext cx="200025" cy="200025"/>
    <xdr:pic>
      <xdr:nvPicPr>
        <xdr:cNvPr id="1935" name="image3.png">
          <a:extLst>
            <a:ext uri="{FF2B5EF4-FFF2-40B4-BE49-F238E27FC236}">
              <a16:creationId xmlns:a16="http://schemas.microsoft.com/office/drawing/2014/main" id="{00000000-0008-0000-0100-00008F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468</xdr:row>
      <xdr:rowOff>0</xdr:rowOff>
    </xdr:from>
    <xdr:ext cx="200025" cy="200025"/>
    <xdr:pic>
      <xdr:nvPicPr>
        <xdr:cNvPr id="1936" name="image8.png">
          <a:extLst>
            <a:ext uri="{FF2B5EF4-FFF2-40B4-BE49-F238E27FC236}">
              <a16:creationId xmlns:a16="http://schemas.microsoft.com/office/drawing/2014/main" id="{00000000-0008-0000-0100-000090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468</xdr:row>
      <xdr:rowOff>0</xdr:rowOff>
    </xdr:from>
    <xdr:ext cx="200025" cy="200025"/>
    <xdr:pic>
      <xdr:nvPicPr>
        <xdr:cNvPr id="1937" name="image9.png">
          <a:extLst>
            <a:ext uri="{FF2B5EF4-FFF2-40B4-BE49-F238E27FC236}">
              <a16:creationId xmlns:a16="http://schemas.microsoft.com/office/drawing/2014/main" id="{00000000-0008-0000-0100-000091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468</xdr:row>
      <xdr:rowOff>0</xdr:rowOff>
    </xdr:from>
    <xdr:ext cx="200025" cy="200025"/>
    <xdr:pic>
      <xdr:nvPicPr>
        <xdr:cNvPr id="1938" name="image12.png">
          <a:extLst>
            <a:ext uri="{FF2B5EF4-FFF2-40B4-BE49-F238E27FC236}">
              <a16:creationId xmlns:a16="http://schemas.microsoft.com/office/drawing/2014/main" id="{00000000-0008-0000-0100-000092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468</xdr:row>
      <xdr:rowOff>0</xdr:rowOff>
    </xdr:from>
    <xdr:ext cx="200025" cy="200025"/>
    <xdr:pic>
      <xdr:nvPicPr>
        <xdr:cNvPr id="1939" name="image3.png">
          <a:extLst>
            <a:ext uri="{FF2B5EF4-FFF2-40B4-BE49-F238E27FC236}">
              <a16:creationId xmlns:a16="http://schemas.microsoft.com/office/drawing/2014/main" id="{00000000-0008-0000-0100-000093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468</xdr:row>
      <xdr:rowOff>0</xdr:rowOff>
    </xdr:from>
    <xdr:ext cx="200025" cy="200025"/>
    <xdr:pic>
      <xdr:nvPicPr>
        <xdr:cNvPr id="1940" name="image11.png">
          <a:extLst>
            <a:ext uri="{FF2B5EF4-FFF2-40B4-BE49-F238E27FC236}">
              <a16:creationId xmlns:a16="http://schemas.microsoft.com/office/drawing/2014/main" id="{00000000-0008-0000-0100-000094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469</xdr:row>
      <xdr:rowOff>0</xdr:rowOff>
    </xdr:from>
    <xdr:ext cx="200025" cy="200025"/>
    <xdr:pic>
      <xdr:nvPicPr>
        <xdr:cNvPr id="1941" name="image9.png">
          <a:extLst>
            <a:ext uri="{FF2B5EF4-FFF2-40B4-BE49-F238E27FC236}">
              <a16:creationId xmlns:a16="http://schemas.microsoft.com/office/drawing/2014/main" id="{00000000-0008-0000-0100-000095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469</xdr:row>
      <xdr:rowOff>0</xdr:rowOff>
    </xdr:from>
    <xdr:ext cx="200025" cy="200025"/>
    <xdr:pic>
      <xdr:nvPicPr>
        <xdr:cNvPr id="1942" name="image2.png">
          <a:extLst>
            <a:ext uri="{FF2B5EF4-FFF2-40B4-BE49-F238E27FC236}">
              <a16:creationId xmlns:a16="http://schemas.microsoft.com/office/drawing/2014/main" id="{00000000-0008-0000-0100-000096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469</xdr:row>
      <xdr:rowOff>0</xdr:rowOff>
    </xdr:from>
    <xdr:ext cx="200025" cy="200025"/>
    <xdr:pic>
      <xdr:nvPicPr>
        <xdr:cNvPr id="1943" name="image4.png">
          <a:extLst>
            <a:ext uri="{FF2B5EF4-FFF2-40B4-BE49-F238E27FC236}">
              <a16:creationId xmlns:a16="http://schemas.microsoft.com/office/drawing/2014/main" id="{00000000-0008-0000-0100-000097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469</xdr:row>
      <xdr:rowOff>0</xdr:rowOff>
    </xdr:from>
    <xdr:ext cx="200025" cy="200025"/>
    <xdr:pic>
      <xdr:nvPicPr>
        <xdr:cNvPr id="1944" name="image3.png">
          <a:extLst>
            <a:ext uri="{FF2B5EF4-FFF2-40B4-BE49-F238E27FC236}">
              <a16:creationId xmlns:a16="http://schemas.microsoft.com/office/drawing/2014/main" id="{00000000-0008-0000-0100-000098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469</xdr:row>
      <xdr:rowOff>0</xdr:rowOff>
    </xdr:from>
    <xdr:ext cx="200025" cy="200025"/>
    <xdr:pic>
      <xdr:nvPicPr>
        <xdr:cNvPr id="1945" name="image7.png">
          <a:extLst>
            <a:ext uri="{FF2B5EF4-FFF2-40B4-BE49-F238E27FC236}">
              <a16:creationId xmlns:a16="http://schemas.microsoft.com/office/drawing/2014/main" id="{00000000-0008-0000-0100-000099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470</xdr:row>
      <xdr:rowOff>0</xdr:rowOff>
    </xdr:from>
    <xdr:ext cx="200025" cy="200025"/>
    <xdr:pic>
      <xdr:nvPicPr>
        <xdr:cNvPr id="1946" name="image8.png">
          <a:extLst>
            <a:ext uri="{FF2B5EF4-FFF2-40B4-BE49-F238E27FC236}">
              <a16:creationId xmlns:a16="http://schemas.microsoft.com/office/drawing/2014/main" id="{00000000-0008-0000-0100-00009A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470</xdr:row>
      <xdr:rowOff>0</xdr:rowOff>
    </xdr:from>
    <xdr:ext cx="200025" cy="200025"/>
    <xdr:pic>
      <xdr:nvPicPr>
        <xdr:cNvPr id="1947" name="image9.png">
          <a:extLst>
            <a:ext uri="{FF2B5EF4-FFF2-40B4-BE49-F238E27FC236}">
              <a16:creationId xmlns:a16="http://schemas.microsoft.com/office/drawing/2014/main" id="{00000000-0008-0000-0100-00009B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470</xdr:row>
      <xdr:rowOff>0</xdr:rowOff>
    </xdr:from>
    <xdr:ext cx="200025" cy="200025"/>
    <xdr:pic>
      <xdr:nvPicPr>
        <xdr:cNvPr id="1948" name="image6.png">
          <a:extLst>
            <a:ext uri="{FF2B5EF4-FFF2-40B4-BE49-F238E27FC236}">
              <a16:creationId xmlns:a16="http://schemas.microsoft.com/office/drawing/2014/main" id="{00000000-0008-0000-0100-00009C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470</xdr:row>
      <xdr:rowOff>0</xdr:rowOff>
    </xdr:from>
    <xdr:ext cx="200025" cy="200025"/>
    <xdr:pic>
      <xdr:nvPicPr>
        <xdr:cNvPr id="1949" name="image11.png">
          <a:extLst>
            <a:ext uri="{FF2B5EF4-FFF2-40B4-BE49-F238E27FC236}">
              <a16:creationId xmlns:a16="http://schemas.microsoft.com/office/drawing/2014/main" id="{00000000-0008-0000-0100-00009D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471</xdr:row>
      <xdr:rowOff>0</xdr:rowOff>
    </xdr:from>
    <xdr:ext cx="200025" cy="200025"/>
    <xdr:pic>
      <xdr:nvPicPr>
        <xdr:cNvPr id="1950" name="image2.png">
          <a:extLst>
            <a:ext uri="{FF2B5EF4-FFF2-40B4-BE49-F238E27FC236}">
              <a16:creationId xmlns:a16="http://schemas.microsoft.com/office/drawing/2014/main" id="{00000000-0008-0000-0100-00009E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471</xdr:row>
      <xdr:rowOff>0</xdr:rowOff>
    </xdr:from>
    <xdr:ext cx="200025" cy="200025"/>
    <xdr:pic>
      <xdr:nvPicPr>
        <xdr:cNvPr id="1951" name="image5.png">
          <a:extLst>
            <a:ext uri="{FF2B5EF4-FFF2-40B4-BE49-F238E27FC236}">
              <a16:creationId xmlns:a16="http://schemas.microsoft.com/office/drawing/2014/main" id="{00000000-0008-0000-0100-00009F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471</xdr:row>
      <xdr:rowOff>0</xdr:rowOff>
    </xdr:from>
    <xdr:ext cx="200025" cy="200025"/>
    <xdr:pic>
      <xdr:nvPicPr>
        <xdr:cNvPr id="1952" name="image4.png">
          <a:extLst>
            <a:ext uri="{FF2B5EF4-FFF2-40B4-BE49-F238E27FC236}">
              <a16:creationId xmlns:a16="http://schemas.microsoft.com/office/drawing/2014/main" id="{00000000-0008-0000-0100-0000A0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471</xdr:row>
      <xdr:rowOff>0</xdr:rowOff>
    </xdr:from>
    <xdr:ext cx="200025" cy="200025"/>
    <xdr:pic>
      <xdr:nvPicPr>
        <xdr:cNvPr id="1953" name="image7.png">
          <a:extLst>
            <a:ext uri="{FF2B5EF4-FFF2-40B4-BE49-F238E27FC236}">
              <a16:creationId xmlns:a16="http://schemas.microsoft.com/office/drawing/2014/main" id="{00000000-0008-0000-0100-0000A1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472</xdr:row>
      <xdr:rowOff>0</xdr:rowOff>
    </xdr:from>
    <xdr:ext cx="200025" cy="200025"/>
    <xdr:pic>
      <xdr:nvPicPr>
        <xdr:cNvPr id="1954" name="image10.png">
          <a:extLst>
            <a:ext uri="{FF2B5EF4-FFF2-40B4-BE49-F238E27FC236}">
              <a16:creationId xmlns:a16="http://schemas.microsoft.com/office/drawing/2014/main" id="{00000000-0008-0000-0100-0000A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472</xdr:row>
      <xdr:rowOff>0</xdr:rowOff>
    </xdr:from>
    <xdr:ext cx="200025" cy="200025"/>
    <xdr:pic>
      <xdr:nvPicPr>
        <xdr:cNvPr id="1955" name="image2.png">
          <a:extLst>
            <a:ext uri="{FF2B5EF4-FFF2-40B4-BE49-F238E27FC236}">
              <a16:creationId xmlns:a16="http://schemas.microsoft.com/office/drawing/2014/main" id="{00000000-0008-0000-0100-0000A3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472</xdr:row>
      <xdr:rowOff>0</xdr:rowOff>
    </xdr:from>
    <xdr:ext cx="200025" cy="200025"/>
    <xdr:pic>
      <xdr:nvPicPr>
        <xdr:cNvPr id="1956" name="image6.png">
          <a:extLst>
            <a:ext uri="{FF2B5EF4-FFF2-40B4-BE49-F238E27FC236}">
              <a16:creationId xmlns:a16="http://schemas.microsoft.com/office/drawing/2014/main" id="{00000000-0008-0000-0100-0000A4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472</xdr:row>
      <xdr:rowOff>0</xdr:rowOff>
    </xdr:from>
    <xdr:ext cx="200025" cy="200025"/>
    <xdr:pic>
      <xdr:nvPicPr>
        <xdr:cNvPr id="1957" name="image5.png">
          <a:extLst>
            <a:ext uri="{FF2B5EF4-FFF2-40B4-BE49-F238E27FC236}">
              <a16:creationId xmlns:a16="http://schemas.microsoft.com/office/drawing/2014/main" id="{00000000-0008-0000-0100-0000A5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473</xdr:row>
      <xdr:rowOff>0</xdr:rowOff>
    </xdr:from>
    <xdr:ext cx="200025" cy="200025"/>
    <xdr:pic>
      <xdr:nvPicPr>
        <xdr:cNvPr id="1958" name="image8.png">
          <a:extLst>
            <a:ext uri="{FF2B5EF4-FFF2-40B4-BE49-F238E27FC236}">
              <a16:creationId xmlns:a16="http://schemas.microsoft.com/office/drawing/2014/main" id="{00000000-0008-0000-0100-0000A6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473</xdr:row>
      <xdr:rowOff>0</xdr:rowOff>
    </xdr:from>
    <xdr:ext cx="200025" cy="200025"/>
    <xdr:pic>
      <xdr:nvPicPr>
        <xdr:cNvPr id="1959" name="image9.png">
          <a:extLst>
            <a:ext uri="{FF2B5EF4-FFF2-40B4-BE49-F238E27FC236}">
              <a16:creationId xmlns:a16="http://schemas.microsoft.com/office/drawing/2014/main" id="{00000000-0008-0000-0100-0000A7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473</xdr:row>
      <xdr:rowOff>0</xdr:rowOff>
    </xdr:from>
    <xdr:ext cx="200025" cy="200025"/>
    <xdr:pic>
      <xdr:nvPicPr>
        <xdr:cNvPr id="1960" name="image6.png">
          <a:extLst>
            <a:ext uri="{FF2B5EF4-FFF2-40B4-BE49-F238E27FC236}">
              <a16:creationId xmlns:a16="http://schemas.microsoft.com/office/drawing/2014/main" id="{00000000-0008-0000-0100-0000A8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473</xdr:row>
      <xdr:rowOff>0</xdr:rowOff>
    </xdr:from>
    <xdr:ext cx="200025" cy="200025"/>
    <xdr:pic>
      <xdr:nvPicPr>
        <xdr:cNvPr id="1961" name="image3.png">
          <a:extLst>
            <a:ext uri="{FF2B5EF4-FFF2-40B4-BE49-F238E27FC236}">
              <a16:creationId xmlns:a16="http://schemas.microsoft.com/office/drawing/2014/main" id="{00000000-0008-0000-0100-0000A9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473</xdr:row>
      <xdr:rowOff>0</xdr:rowOff>
    </xdr:from>
    <xdr:ext cx="200025" cy="200025"/>
    <xdr:pic>
      <xdr:nvPicPr>
        <xdr:cNvPr id="1962" name="image11.png">
          <a:extLst>
            <a:ext uri="{FF2B5EF4-FFF2-40B4-BE49-F238E27FC236}">
              <a16:creationId xmlns:a16="http://schemas.microsoft.com/office/drawing/2014/main" id="{00000000-0008-0000-0100-0000AA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474</xdr:row>
      <xdr:rowOff>0</xdr:rowOff>
    </xdr:from>
    <xdr:ext cx="200025" cy="200025"/>
    <xdr:pic>
      <xdr:nvPicPr>
        <xdr:cNvPr id="1963" name="image10.png">
          <a:extLst>
            <a:ext uri="{FF2B5EF4-FFF2-40B4-BE49-F238E27FC236}">
              <a16:creationId xmlns:a16="http://schemas.microsoft.com/office/drawing/2014/main" id="{00000000-0008-0000-0100-0000A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474</xdr:row>
      <xdr:rowOff>0</xdr:rowOff>
    </xdr:from>
    <xdr:ext cx="200025" cy="200025"/>
    <xdr:pic>
      <xdr:nvPicPr>
        <xdr:cNvPr id="1964" name="image2.png">
          <a:extLst>
            <a:ext uri="{FF2B5EF4-FFF2-40B4-BE49-F238E27FC236}">
              <a16:creationId xmlns:a16="http://schemas.microsoft.com/office/drawing/2014/main" id="{00000000-0008-0000-0100-0000AC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474</xdr:row>
      <xdr:rowOff>0</xdr:rowOff>
    </xdr:from>
    <xdr:ext cx="200025" cy="200025"/>
    <xdr:pic>
      <xdr:nvPicPr>
        <xdr:cNvPr id="1965" name="image5.png">
          <a:extLst>
            <a:ext uri="{FF2B5EF4-FFF2-40B4-BE49-F238E27FC236}">
              <a16:creationId xmlns:a16="http://schemas.microsoft.com/office/drawing/2014/main" id="{00000000-0008-0000-0100-0000AD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474</xdr:row>
      <xdr:rowOff>0</xdr:rowOff>
    </xdr:from>
    <xdr:ext cx="200025" cy="200025"/>
    <xdr:pic>
      <xdr:nvPicPr>
        <xdr:cNvPr id="1966" name="image4.png">
          <a:extLst>
            <a:ext uri="{FF2B5EF4-FFF2-40B4-BE49-F238E27FC236}">
              <a16:creationId xmlns:a16="http://schemas.microsoft.com/office/drawing/2014/main" id="{00000000-0008-0000-0100-0000AE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474</xdr:row>
      <xdr:rowOff>0</xdr:rowOff>
    </xdr:from>
    <xdr:ext cx="200025" cy="200025"/>
    <xdr:pic>
      <xdr:nvPicPr>
        <xdr:cNvPr id="1967" name="image11.png">
          <a:extLst>
            <a:ext uri="{FF2B5EF4-FFF2-40B4-BE49-F238E27FC236}">
              <a16:creationId xmlns:a16="http://schemas.microsoft.com/office/drawing/2014/main" id="{00000000-0008-0000-0100-0000AF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475</xdr:row>
      <xdr:rowOff>0</xdr:rowOff>
    </xdr:from>
    <xdr:ext cx="200025" cy="200025"/>
    <xdr:pic>
      <xdr:nvPicPr>
        <xdr:cNvPr id="1968" name="image9.png">
          <a:extLst>
            <a:ext uri="{FF2B5EF4-FFF2-40B4-BE49-F238E27FC236}">
              <a16:creationId xmlns:a16="http://schemas.microsoft.com/office/drawing/2014/main" id="{00000000-0008-0000-0100-0000B0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475</xdr:row>
      <xdr:rowOff>0</xdr:rowOff>
    </xdr:from>
    <xdr:ext cx="200025" cy="200025"/>
    <xdr:pic>
      <xdr:nvPicPr>
        <xdr:cNvPr id="1969" name="image2.png">
          <a:extLst>
            <a:ext uri="{FF2B5EF4-FFF2-40B4-BE49-F238E27FC236}">
              <a16:creationId xmlns:a16="http://schemas.microsoft.com/office/drawing/2014/main" id="{00000000-0008-0000-0100-0000B1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475</xdr:row>
      <xdr:rowOff>0</xdr:rowOff>
    </xdr:from>
    <xdr:ext cx="200025" cy="200025"/>
    <xdr:pic>
      <xdr:nvPicPr>
        <xdr:cNvPr id="1970" name="image1.png">
          <a:extLst>
            <a:ext uri="{FF2B5EF4-FFF2-40B4-BE49-F238E27FC236}">
              <a16:creationId xmlns:a16="http://schemas.microsoft.com/office/drawing/2014/main" id="{00000000-0008-0000-0100-0000B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475</xdr:row>
      <xdr:rowOff>0</xdr:rowOff>
    </xdr:from>
    <xdr:ext cx="200025" cy="200025"/>
    <xdr:pic>
      <xdr:nvPicPr>
        <xdr:cNvPr id="1971" name="image12.png">
          <a:extLst>
            <a:ext uri="{FF2B5EF4-FFF2-40B4-BE49-F238E27FC236}">
              <a16:creationId xmlns:a16="http://schemas.microsoft.com/office/drawing/2014/main" id="{00000000-0008-0000-0100-0000B3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475</xdr:row>
      <xdr:rowOff>0</xdr:rowOff>
    </xdr:from>
    <xdr:ext cx="200025" cy="200025"/>
    <xdr:pic>
      <xdr:nvPicPr>
        <xdr:cNvPr id="1972" name="image11.png">
          <a:extLst>
            <a:ext uri="{FF2B5EF4-FFF2-40B4-BE49-F238E27FC236}">
              <a16:creationId xmlns:a16="http://schemas.microsoft.com/office/drawing/2014/main" id="{00000000-0008-0000-0100-0000B4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476</xdr:row>
      <xdr:rowOff>0</xdr:rowOff>
    </xdr:from>
    <xdr:ext cx="200025" cy="200025"/>
    <xdr:pic>
      <xdr:nvPicPr>
        <xdr:cNvPr id="1973" name="image10.png">
          <a:extLst>
            <a:ext uri="{FF2B5EF4-FFF2-40B4-BE49-F238E27FC236}">
              <a16:creationId xmlns:a16="http://schemas.microsoft.com/office/drawing/2014/main" id="{00000000-0008-0000-0100-0000B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476</xdr:row>
      <xdr:rowOff>0</xdr:rowOff>
    </xdr:from>
    <xdr:ext cx="200025" cy="200025"/>
    <xdr:pic>
      <xdr:nvPicPr>
        <xdr:cNvPr id="1974" name="image9.png">
          <a:extLst>
            <a:ext uri="{FF2B5EF4-FFF2-40B4-BE49-F238E27FC236}">
              <a16:creationId xmlns:a16="http://schemas.microsoft.com/office/drawing/2014/main" id="{00000000-0008-0000-0100-0000B6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476</xdr:row>
      <xdr:rowOff>0</xdr:rowOff>
    </xdr:from>
    <xdr:ext cx="200025" cy="200025"/>
    <xdr:pic>
      <xdr:nvPicPr>
        <xdr:cNvPr id="1975" name="image6.png">
          <a:extLst>
            <a:ext uri="{FF2B5EF4-FFF2-40B4-BE49-F238E27FC236}">
              <a16:creationId xmlns:a16="http://schemas.microsoft.com/office/drawing/2014/main" id="{00000000-0008-0000-0100-0000B7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476</xdr:row>
      <xdr:rowOff>0</xdr:rowOff>
    </xdr:from>
    <xdr:ext cx="200025" cy="200025"/>
    <xdr:pic>
      <xdr:nvPicPr>
        <xdr:cNvPr id="1976" name="image3.png">
          <a:extLst>
            <a:ext uri="{FF2B5EF4-FFF2-40B4-BE49-F238E27FC236}">
              <a16:creationId xmlns:a16="http://schemas.microsoft.com/office/drawing/2014/main" id="{00000000-0008-0000-0100-0000B8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476</xdr:row>
      <xdr:rowOff>0</xdr:rowOff>
    </xdr:from>
    <xdr:ext cx="200025" cy="200025"/>
    <xdr:pic>
      <xdr:nvPicPr>
        <xdr:cNvPr id="1977" name="image11.png">
          <a:extLst>
            <a:ext uri="{FF2B5EF4-FFF2-40B4-BE49-F238E27FC236}">
              <a16:creationId xmlns:a16="http://schemas.microsoft.com/office/drawing/2014/main" id="{00000000-0008-0000-0100-0000B9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477</xdr:row>
      <xdr:rowOff>0</xdr:rowOff>
    </xdr:from>
    <xdr:ext cx="200025" cy="200025"/>
    <xdr:pic>
      <xdr:nvPicPr>
        <xdr:cNvPr id="1978" name="image10.png">
          <a:extLst>
            <a:ext uri="{FF2B5EF4-FFF2-40B4-BE49-F238E27FC236}">
              <a16:creationId xmlns:a16="http://schemas.microsoft.com/office/drawing/2014/main" id="{00000000-0008-0000-0100-0000BA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477</xdr:row>
      <xdr:rowOff>0</xdr:rowOff>
    </xdr:from>
    <xdr:ext cx="200025" cy="200025"/>
    <xdr:pic>
      <xdr:nvPicPr>
        <xdr:cNvPr id="1979" name="image1.png">
          <a:extLst>
            <a:ext uri="{FF2B5EF4-FFF2-40B4-BE49-F238E27FC236}">
              <a16:creationId xmlns:a16="http://schemas.microsoft.com/office/drawing/2014/main" id="{00000000-0008-0000-0100-0000B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477</xdr:row>
      <xdr:rowOff>0</xdr:rowOff>
    </xdr:from>
    <xdr:ext cx="200025" cy="200025"/>
    <xdr:pic>
      <xdr:nvPicPr>
        <xdr:cNvPr id="1980" name="image12.png">
          <a:extLst>
            <a:ext uri="{FF2B5EF4-FFF2-40B4-BE49-F238E27FC236}">
              <a16:creationId xmlns:a16="http://schemas.microsoft.com/office/drawing/2014/main" id="{00000000-0008-0000-0100-0000BC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477</xdr:row>
      <xdr:rowOff>0</xdr:rowOff>
    </xdr:from>
    <xdr:ext cx="200025" cy="200025"/>
    <xdr:pic>
      <xdr:nvPicPr>
        <xdr:cNvPr id="1981" name="image4.png">
          <a:extLst>
            <a:ext uri="{FF2B5EF4-FFF2-40B4-BE49-F238E27FC236}">
              <a16:creationId xmlns:a16="http://schemas.microsoft.com/office/drawing/2014/main" id="{00000000-0008-0000-0100-0000BD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477</xdr:row>
      <xdr:rowOff>0</xdr:rowOff>
    </xdr:from>
    <xdr:ext cx="200025" cy="200025"/>
    <xdr:pic>
      <xdr:nvPicPr>
        <xdr:cNvPr id="1982" name="image11.png">
          <a:extLst>
            <a:ext uri="{FF2B5EF4-FFF2-40B4-BE49-F238E27FC236}">
              <a16:creationId xmlns:a16="http://schemas.microsoft.com/office/drawing/2014/main" id="{00000000-0008-0000-0100-0000BE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478</xdr:row>
      <xdr:rowOff>0</xdr:rowOff>
    </xdr:from>
    <xdr:ext cx="200025" cy="200025"/>
    <xdr:pic>
      <xdr:nvPicPr>
        <xdr:cNvPr id="1983" name="image10.png">
          <a:extLst>
            <a:ext uri="{FF2B5EF4-FFF2-40B4-BE49-F238E27FC236}">
              <a16:creationId xmlns:a16="http://schemas.microsoft.com/office/drawing/2014/main" id="{00000000-0008-0000-0100-0000BF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478</xdr:row>
      <xdr:rowOff>0</xdr:rowOff>
    </xdr:from>
    <xdr:ext cx="200025" cy="200025"/>
    <xdr:pic>
      <xdr:nvPicPr>
        <xdr:cNvPr id="1984" name="image1.png">
          <a:extLst>
            <a:ext uri="{FF2B5EF4-FFF2-40B4-BE49-F238E27FC236}">
              <a16:creationId xmlns:a16="http://schemas.microsoft.com/office/drawing/2014/main" id="{00000000-0008-0000-0100-0000C0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478</xdr:row>
      <xdr:rowOff>0</xdr:rowOff>
    </xdr:from>
    <xdr:ext cx="200025" cy="200025"/>
    <xdr:pic>
      <xdr:nvPicPr>
        <xdr:cNvPr id="1985" name="image12.png">
          <a:extLst>
            <a:ext uri="{FF2B5EF4-FFF2-40B4-BE49-F238E27FC236}">
              <a16:creationId xmlns:a16="http://schemas.microsoft.com/office/drawing/2014/main" id="{00000000-0008-0000-0100-0000C1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478</xdr:row>
      <xdr:rowOff>0</xdr:rowOff>
    </xdr:from>
    <xdr:ext cx="200025" cy="200025"/>
    <xdr:pic>
      <xdr:nvPicPr>
        <xdr:cNvPr id="1986" name="image7.png">
          <a:extLst>
            <a:ext uri="{FF2B5EF4-FFF2-40B4-BE49-F238E27FC236}">
              <a16:creationId xmlns:a16="http://schemas.microsoft.com/office/drawing/2014/main" id="{00000000-0008-0000-0100-0000C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479</xdr:row>
      <xdr:rowOff>0</xdr:rowOff>
    </xdr:from>
    <xdr:ext cx="200025" cy="200025"/>
    <xdr:pic>
      <xdr:nvPicPr>
        <xdr:cNvPr id="1987" name="image10.png">
          <a:extLst>
            <a:ext uri="{FF2B5EF4-FFF2-40B4-BE49-F238E27FC236}">
              <a16:creationId xmlns:a16="http://schemas.microsoft.com/office/drawing/2014/main" id="{00000000-0008-0000-0100-0000C3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479</xdr:row>
      <xdr:rowOff>0</xdr:rowOff>
    </xdr:from>
    <xdr:ext cx="200025" cy="200025"/>
    <xdr:pic>
      <xdr:nvPicPr>
        <xdr:cNvPr id="1988" name="image8.png">
          <a:extLst>
            <a:ext uri="{FF2B5EF4-FFF2-40B4-BE49-F238E27FC236}">
              <a16:creationId xmlns:a16="http://schemas.microsoft.com/office/drawing/2014/main" id="{00000000-0008-0000-0100-0000C4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479</xdr:row>
      <xdr:rowOff>0</xdr:rowOff>
    </xdr:from>
    <xdr:ext cx="200025" cy="200025"/>
    <xdr:pic>
      <xdr:nvPicPr>
        <xdr:cNvPr id="1989" name="image4.png">
          <a:extLst>
            <a:ext uri="{FF2B5EF4-FFF2-40B4-BE49-F238E27FC236}">
              <a16:creationId xmlns:a16="http://schemas.microsoft.com/office/drawing/2014/main" id="{00000000-0008-0000-0100-0000C5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479</xdr:row>
      <xdr:rowOff>0</xdr:rowOff>
    </xdr:from>
    <xdr:ext cx="200025" cy="200025"/>
    <xdr:pic>
      <xdr:nvPicPr>
        <xdr:cNvPr id="1990" name="image7.png">
          <a:extLst>
            <a:ext uri="{FF2B5EF4-FFF2-40B4-BE49-F238E27FC236}">
              <a16:creationId xmlns:a16="http://schemas.microsoft.com/office/drawing/2014/main" id="{00000000-0008-0000-0100-0000C6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480</xdr:row>
      <xdr:rowOff>0</xdr:rowOff>
    </xdr:from>
    <xdr:ext cx="200025" cy="200025"/>
    <xdr:pic>
      <xdr:nvPicPr>
        <xdr:cNvPr id="1991" name="image8.png">
          <a:extLst>
            <a:ext uri="{FF2B5EF4-FFF2-40B4-BE49-F238E27FC236}">
              <a16:creationId xmlns:a16="http://schemas.microsoft.com/office/drawing/2014/main" id="{00000000-0008-0000-0100-0000C7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480</xdr:row>
      <xdr:rowOff>0</xdr:rowOff>
    </xdr:from>
    <xdr:ext cx="200025" cy="200025"/>
    <xdr:pic>
      <xdr:nvPicPr>
        <xdr:cNvPr id="1992" name="image9.png">
          <a:extLst>
            <a:ext uri="{FF2B5EF4-FFF2-40B4-BE49-F238E27FC236}">
              <a16:creationId xmlns:a16="http://schemas.microsoft.com/office/drawing/2014/main" id="{00000000-0008-0000-0100-0000C8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480</xdr:row>
      <xdr:rowOff>0</xdr:rowOff>
    </xdr:from>
    <xdr:ext cx="200025" cy="200025"/>
    <xdr:pic>
      <xdr:nvPicPr>
        <xdr:cNvPr id="1993" name="image2.png">
          <a:extLst>
            <a:ext uri="{FF2B5EF4-FFF2-40B4-BE49-F238E27FC236}">
              <a16:creationId xmlns:a16="http://schemas.microsoft.com/office/drawing/2014/main" id="{00000000-0008-0000-0100-0000C9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480</xdr:row>
      <xdr:rowOff>0</xdr:rowOff>
    </xdr:from>
    <xdr:ext cx="200025" cy="200025"/>
    <xdr:pic>
      <xdr:nvPicPr>
        <xdr:cNvPr id="1994" name="image12.png">
          <a:extLst>
            <a:ext uri="{FF2B5EF4-FFF2-40B4-BE49-F238E27FC236}">
              <a16:creationId xmlns:a16="http://schemas.microsoft.com/office/drawing/2014/main" id="{00000000-0008-0000-0100-0000CA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480</xdr:row>
      <xdr:rowOff>0</xdr:rowOff>
    </xdr:from>
    <xdr:ext cx="200025" cy="200025"/>
    <xdr:pic>
      <xdr:nvPicPr>
        <xdr:cNvPr id="1995" name="image3.png">
          <a:extLst>
            <a:ext uri="{FF2B5EF4-FFF2-40B4-BE49-F238E27FC236}">
              <a16:creationId xmlns:a16="http://schemas.microsoft.com/office/drawing/2014/main" id="{00000000-0008-0000-0100-0000CB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481</xdr:row>
      <xdr:rowOff>0</xdr:rowOff>
    </xdr:from>
    <xdr:ext cx="200025" cy="200025"/>
    <xdr:pic>
      <xdr:nvPicPr>
        <xdr:cNvPr id="1996" name="image9.png">
          <a:extLst>
            <a:ext uri="{FF2B5EF4-FFF2-40B4-BE49-F238E27FC236}">
              <a16:creationId xmlns:a16="http://schemas.microsoft.com/office/drawing/2014/main" id="{00000000-0008-0000-0100-0000CC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481</xdr:row>
      <xdr:rowOff>0</xdr:rowOff>
    </xdr:from>
    <xdr:ext cx="200025" cy="200025"/>
    <xdr:pic>
      <xdr:nvPicPr>
        <xdr:cNvPr id="1997" name="image1.png">
          <a:extLst>
            <a:ext uri="{FF2B5EF4-FFF2-40B4-BE49-F238E27FC236}">
              <a16:creationId xmlns:a16="http://schemas.microsoft.com/office/drawing/2014/main" id="{00000000-0008-0000-0100-0000C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481</xdr:row>
      <xdr:rowOff>0</xdr:rowOff>
    </xdr:from>
    <xdr:ext cx="200025" cy="200025"/>
    <xdr:pic>
      <xdr:nvPicPr>
        <xdr:cNvPr id="1998" name="image6.png">
          <a:extLst>
            <a:ext uri="{FF2B5EF4-FFF2-40B4-BE49-F238E27FC236}">
              <a16:creationId xmlns:a16="http://schemas.microsoft.com/office/drawing/2014/main" id="{00000000-0008-0000-0100-0000CE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481</xdr:row>
      <xdr:rowOff>0</xdr:rowOff>
    </xdr:from>
    <xdr:ext cx="200025" cy="200025"/>
    <xdr:pic>
      <xdr:nvPicPr>
        <xdr:cNvPr id="1999" name="image5.png">
          <a:extLst>
            <a:ext uri="{FF2B5EF4-FFF2-40B4-BE49-F238E27FC236}">
              <a16:creationId xmlns:a16="http://schemas.microsoft.com/office/drawing/2014/main" id="{00000000-0008-0000-0100-0000CF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481</xdr:row>
      <xdr:rowOff>0</xdr:rowOff>
    </xdr:from>
    <xdr:ext cx="200025" cy="200025"/>
    <xdr:pic>
      <xdr:nvPicPr>
        <xdr:cNvPr id="2000" name="image7.png">
          <a:extLst>
            <a:ext uri="{FF2B5EF4-FFF2-40B4-BE49-F238E27FC236}">
              <a16:creationId xmlns:a16="http://schemas.microsoft.com/office/drawing/2014/main" id="{00000000-0008-0000-0100-0000D0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482</xdr:row>
      <xdr:rowOff>0</xdr:rowOff>
    </xdr:from>
    <xdr:ext cx="200025" cy="200025"/>
    <xdr:pic>
      <xdr:nvPicPr>
        <xdr:cNvPr id="2001" name="image8.png">
          <a:extLst>
            <a:ext uri="{FF2B5EF4-FFF2-40B4-BE49-F238E27FC236}">
              <a16:creationId xmlns:a16="http://schemas.microsoft.com/office/drawing/2014/main" id="{00000000-0008-0000-0100-0000D1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482</xdr:row>
      <xdr:rowOff>0</xdr:rowOff>
    </xdr:from>
    <xdr:ext cx="200025" cy="200025"/>
    <xdr:pic>
      <xdr:nvPicPr>
        <xdr:cNvPr id="2002" name="image2.png">
          <a:extLst>
            <a:ext uri="{FF2B5EF4-FFF2-40B4-BE49-F238E27FC236}">
              <a16:creationId xmlns:a16="http://schemas.microsoft.com/office/drawing/2014/main" id="{00000000-0008-0000-0100-0000D2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482</xdr:row>
      <xdr:rowOff>0</xdr:rowOff>
    </xdr:from>
    <xdr:ext cx="200025" cy="200025"/>
    <xdr:pic>
      <xdr:nvPicPr>
        <xdr:cNvPr id="2003" name="image4.png">
          <a:extLst>
            <a:ext uri="{FF2B5EF4-FFF2-40B4-BE49-F238E27FC236}">
              <a16:creationId xmlns:a16="http://schemas.microsoft.com/office/drawing/2014/main" id="{00000000-0008-0000-0100-0000D3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482</xdr:row>
      <xdr:rowOff>0</xdr:rowOff>
    </xdr:from>
    <xdr:ext cx="200025" cy="200025"/>
    <xdr:pic>
      <xdr:nvPicPr>
        <xdr:cNvPr id="2004" name="image3.png">
          <a:extLst>
            <a:ext uri="{FF2B5EF4-FFF2-40B4-BE49-F238E27FC236}">
              <a16:creationId xmlns:a16="http://schemas.microsoft.com/office/drawing/2014/main" id="{00000000-0008-0000-0100-0000D4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8</xdr:col>
      <xdr:colOff>0</xdr:colOff>
      <xdr:row>482</xdr:row>
      <xdr:rowOff>0</xdr:rowOff>
    </xdr:from>
    <xdr:ext cx="200025" cy="200025"/>
    <xdr:pic>
      <xdr:nvPicPr>
        <xdr:cNvPr id="2005" name="image7.png">
          <a:extLst>
            <a:ext uri="{FF2B5EF4-FFF2-40B4-BE49-F238E27FC236}">
              <a16:creationId xmlns:a16="http://schemas.microsoft.com/office/drawing/2014/main" id="{00000000-0008-0000-0100-0000D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483</xdr:row>
      <xdr:rowOff>0</xdr:rowOff>
    </xdr:from>
    <xdr:ext cx="200025" cy="200025"/>
    <xdr:pic>
      <xdr:nvPicPr>
        <xdr:cNvPr id="2006" name="image10.png">
          <a:extLst>
            <a:ext uri="{FF2B5EF4-FFF2-40B4-BE49-F238E27FC236}">
              <a16:creationId xmlns:a16="http://schemas.microsoft.com/office/drawing/2014/main" id="{00000000-0008-0000-0100-0000D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483</xdr:row>
      <xdr:rowOff>0</xdr:rowOff>
    </xdr:from>
    <xdr:ext cx="200025" cy="200025"/>
    <xdr:pic>
      <xdr:nvPicPr>
        <xdr:cNvPr id="2007" name="image1.png">
          <a:extLst>
            <a:ext uri="{FF2B5EF4-FFF2-40B4-BE49-F238E27FC236}">
              <a16:creationId xmlns:a16="http://schemas.microsoft.com/office/drawing/2014/main" id="{00000000-0008-0000-0100-0000D7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483</xdr:row>
      <xdr:rowOff>0</xdr:rowOff>
    </xdr:from>
    <xdr:ext cx="200025" cy="200025"/>
    <xdr:pic>
      <xdr:nvPicPr>
        <xdr:cNvPr id="2008" name="image5.png">
          <a:extLst>
            <a:ext uri="{FF2B5EF4-FFF2-40B4-BE49-F238E27FC236}">
              <a16:creationId xmlns:a16="http://schemas.microsoft.com/office/drawing/2014/main" id="{00000000-0008-0000-0100-0000D8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483</xdr:row>
      <xdr:rowOff>0</xdr:rowOff>
    </xdr:from>
    <xdr:ext cx="200025" cy="200025"/>
    <xdr:pic>
      <xdr:nvPicPr>
        <xdr:cNvPr id="2009" name="image4.png">
          <a:extLst>
            <a:ext uri="{FF2B5EF4-FFF2-40B4-BE49-F238E27FC236}">
              <a16:creationId xmlns:a16="http://schemas.microsoft.com/office/drawing/2014/main" id="{00000000-0008-0000-0100-0000D9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483</xdr:row>
      <xdr:rowOff>0</xdr:rowOff>
    </xdr:from>
    <xdr:ext cx="200025" cy="200025"/>
    <xdr:pic>
      <xdr:nvPicPr>
        <xdr:cNvPr id="2010" name="image7.png">
          <a:extLst>
            <a:ext uri="{FF2B5EF4-FFF2-40B4-BE49-F238E27FC236}">
              <a16:creationId xmlns:a16="http://schemas.microsoft.com/office/drawing/2014/main" id="{00000000-0008-0000-0100-0000D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484</xdr:row>
      <xdr:rowOff>0</xdr:rowOff>
    </xdr:from>
    <xdr:ext cx="200025" cy="200025"/>
    <xdr:pic>
      <xdr:nvPicPr>
        <xdr:cNvPr id="2011" name="image10.png">
          <a:extLst>
            <a:ext uri="{FF2B5EF4-FFF2-40B4-BE49-F238E27FC236}">
              <a16:creationId xmlns:a16="http://schemas.microsoft.com/office/drawing/2014/main" id="{00000000-0008-0000-0100-0000D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484</xdr:row>
      <xdr:rowOff>0</xdr:rowOff>
    </xdr:from>
    <xdr:ext cx="200025" cy="200025"/>
    <xdr:pic>
      <xdr:nvPicPr>
        <xdr:cNvPr id="2012" name="image9.png">
          <a:extLst>
            <a:ext uri="{FF2B5EF4-FFF2-40B4-BE49-F238E27FC236}">
              <a16:creationId xmlns:a16="http://schemas.microsoft.com/office/drawing/2014/main" id="{00000000-0008-0000-0100-0000DC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484</xdr:row>
      <xdr:rowOff>0</xdr:rowOff>
    </xdr:from>
    <xdr:ext cx="200025" cy="200025"/>
    <xdr:pic>
      <xdr:nvPicPr>
        <xdr:cNvPr id="2013" name="image5.png">
          <a:extLst>
            <a:ext uri="{FF2B5EF4-FFF2-40B4-BE49-F238E27FC236}">
              <a16:creationId xmlns:a16="http://schemas.microsoft.com/office/drawing/2014/main" id="{00000000-0008-0000-0100-0000DD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484</xdr:row>
      <xdr:rowOff>0</xdr:rowOff>
    </xdr:from>
    <xdr:ext cx="200025" cy="200025"/>
    <xdr:pic>
      <xdr:nvPicPr>
        <xdr:cNvPr id="2014" name="image12.png">
          <a:extLst>
            <a:ext uri="{FF2B5EF4-FFF2-40B4-BE49-F238E27FC236}">
              <a16:creationId xmlns:a16="http://schemas.microsoft.com/office/drawing/2014/main" id="{00000000-0008-0000-0100-0000DE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484</xdr:row>
      <xdr:rowOff>0</xdr:rowOff>
    </xdr:from>
    <xdr:ext cx="200025" cy="200025"/>
    <xdr:pic>
      <xdr:nvPicPr>
        <xdr:cNvPr id="2015" name="image4.png">
          <a:extLst>
            <a:ext uri="{FF2B5EF4-FFF2-40B4-BE49-F238E27FC236}">
              <a16:creationId xmlns:a16="http://schemas.microsoft.com/office/drawing/2014/main" id="{00000000-0008-0000-0100-0000DF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485</xdr:row>
      <xdr:rowOff>0</xdr:rowOff>
    </xdr:from>
    <xdr:ext cx="200025" cy="200025"/>
    <xdr:pic>
      <xdr:nvPicPr>
        <xdr:cNvPr id="2016" name="image11.png">
          <a:extLst>
            <a:ext uri="{FF2B5EF4-FFF2-40B4-BE49-F238E27FC236}">
              <a16:creationId xmlns:a16="http://schemas.microsoft.com/office/drawing/2014/main" id="{00000000-0008-0000-0100-0000E0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486</xdr:row>
      <xdr:rowOff>0</xdr:rowOff>
    </xdr:from>
    <xdr:ext cx="200025" cy="200025"/>
    <xdr:pic>
      <xdr:nvPicPr>
        <xdr:cNvPr id="2017" name="image8.png">
          <a:extLst>
            <a:ext uri="{FF2B5EF4-FFF2-40B4-BE49-F238E27FC236}">
              <a16:creationId xmlns:a16="http://schemas.microsoft.com/office/drawing/2014/main" id="{00000000-0008-0000-0100-0000E1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486</xdr:row>
      <xdr:rowOff>0</xdr:rowOff>
    </xdr:from>
    <xdr:ext cx="200025" cy="200025"/>
    <xdr:pic>
      <xdr:nvPicPr>
        <xdr:cNvPr id="2018" name="image1.png">
          <a:extLst>
            <a:ext uri="{FF2B5EF4-FFF2-40B4-BE49-F238E27FC236}">
              <a16:creationId xmlns:a16="http://schemas.microsoft.com/office/drawing/2014/main" id="{00000000-0008-0000-0100-0000E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486</xdr:row>
      <xdr:rowOff>0</xdr:rowOff>
    </xdr:from>
    <xdr:ext cx="200025" cy="200025"/>
    <xdr:pic>
      <xdr:nvPicPr>
        <xdr:cNvPr id="2019" name="image5.png">
          <a:extLst>
            <a:ext uri="{FF2B5EF4-FFF2-40B4-BE49-F238E27FC236}">
              <a16:creationId xmlns:a16="http://schemas.microsoft.com/office/drawing/2014/main" id="{00000000-0008-0000-0100-0000E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486</xdr:row>
      <xdr:rowOff>0</xdr:rowOff>
    </xdr:from>
    <xdr:ext cx="200025" cy="200025"/>
    <xdr:pic>
      <xdr:nvPicPr>
        <xdr:cNvPr id="2020" name="image12.png">
          <a:extLst>
            <a:ext uri="{FF2B5EF4-FFF2-40B4-BE49-F238E27FC236}">
              <a16:creationId xmlns:a16="http://schemas.microsoft.com/office/drawing/2014/main" id="{00000000-0008-0000-0100-0000E4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487</xdr:row>
      <xdr:rowOff>0</xdr:rowOff>
    </xdr:from>
    <xdr:ext cx="200025" cy="200025"/>
    <xdr:pic>
      <xdr:nvPicPr>
        <xdr:cNvPr id="2021" name="image10.png">
          <a:extLst>
            <a:ext uri="{FF2B5EF4-FFF2-40B4-BE49-F238E27FC236}">
              <a16:creationId xmlns:a16="http://schemas.microsoft.com/office/drawing/2014/main" id="{00000000-0008-0000-0100-0000E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487</xdr:row>
      <xdr:rowOff>0</xdr:rowOff>
    </xdr:from>
    <xdr:ext cx="200025" cy="200025"/>
    <xdr:pic>
      <xdr:nvPicPr>
        <xdr:cNvPr id="2022" name="image9.png">
          <a:extLst>
            <a:ext uri="{FF2B5EF4-FFF2-40B4-BE49-F238E27FC236}">
              <a16:creationId xmlns:a16="http://schemas.microsoft.com/office/drawing/2014/main" id="{00000000-0008-0000-0100-0000E6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487</xdr:row>
      <xdr:rowOff>0</xdr:rowOff>
    </xdr:from>
    <xdr:ext cx="200025" cy="200025"/>
    <xdr:pic>
      <xdr:nvPicPr>
        <xdr:cNvPr id="2023" name="image4.png">
          <a:extLst>
            <a:ext uri="{FF2B5EF4-FFF2-40B4-BE49-F238E27FC236}">
              <a16:creationId xmlns:a16="http://schemas.microsoft.com/office/drawing/2014/main" id="{00000000-0008-0000-0100-0000E7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487</xdr:row>
      <xdr:rowOff>0</xdr:rowOff>
    </xdr:from>
    <xdr:ext cx="200025" cy="200025"/>
    <xdr:pic>
      <xdr:nvPicPr>
        <xdr:cNvPr id="2024" name="image3.png">
          <a:extLst>
            <a:ext uri="{FF2B5EF4-FFF2-40B4-BE49-F238E27FC236}">
              <a16:creationId xmlns:a16="http://schemas.microsoft.com/office/drawing/2014/main" id="{00000000-0008-0000-0100-0000E8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488</xdr:row>
      <xdr:rowOff>0</xdr:rowOff>
    </xdr:from>
    <xdr:ext cx="200025" cy="200025"/>
    <xdr:pic>
      <xdr:nvPicPr>
        <xdr:cNvPr id="2025" name="image9.png">
          <a:extLst>
            <a:ext uri="{FF2B5EF4-FFF2-40B4-BE49-F238E27FC236}">
              <a16:creationId xmlns:a16="http://schemas.microsoft.com/office/drawing/2014/main" id="{00000000-0008-0000-0100-0000E9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488</xdr:row>
      <xdr:rowOff>0</xdr:rowOff>
    </xdr:from>
    <xdr:ext cx="200025" cy="200025"/>
    <xdr:pic>
      <xdr:nvPicPr>
        <xdr:cNvPr id="2026" name="image2.png">
          <a:extLst>
            <a:ext uri="{FF2B5EF4-FFF2-40B4-BE49-F238E27FC236}">
              <a16:creationId xmlns:a16="http://schemas.microsoft.com/office/drawing/2014/main" id="{00000000-0008-0000-0100-0000EA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488</xdr:row>
      <xdr:rowOff>0</xdr:rowOff>
    </xdr:from>
    <xdr:ext cx="200025" cy="200025"/>
    <xdr:pic>
      <xdr:nvPicPr>
        <xdr:cNvPr id="2027" name="image1.png">
          <a:extLst>
            <a:ext uri="{FF2B5EF4-FFF2-40B4-BE49-F238E27FC236}">
              <a16:creationId xmlns:a16="http://schemas.microsoft.com/office/drawing/2014/main" id="{00000000-0008-0000-0100-0000E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488</xdr:row>
      <xdr:rowOff>0</xdr:rowOff>
    </xdr:from>
    <xdr:ext cx="200025" cy="200025"/>
    <xdr:pic>
      <xdr:nvPicPr>
        <xdr:cNvPr id="2028" name="image7.png">
          <a:extLst>
            <a:ext uri="{FF2B5EF4-FFF2-40B4-BE49-F238E27FC236}">
              <a16:creationId xmlns:a16="http://schemas.microsoft.com/office/drawing/2014/main" id="{00000000-0008-0000-0100-0000EC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8</xdr:col>
      <xdr:colOff>0</xdr:colOff>
      <xdr:row>488</xdr:row>
      <xdr:rowOff>0</xdr:rowOff>
    </xdr:from>
    <xdr:ext cx="200025" cy="200025"/>
    <xdr:pic>
      <xdr:nvPicPr>
        <xdr:cNvPr id="2029" name="image11.png">
          <a:extLst>
            <a:ext uri="{FF2B5EF4-FFF2-40B4-BE49-F238E27FC236}">
              <a16:creationId xmlns:a16="http://schemas.microsoft.com/office/drawing/2014/main" id="{00000000-0008-0000-0100-0000ED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489</xdr:row>
      <xdr:rowOff>0</xdr:rowOff>
    </xdr:from>
    <xdr:ext cx="200025" cy="200025"/>
    <xdr:pic>
      <xdr:nvPicPr>
        <xdr:cNvPr id="2030" name="image6.png">
          <a:extLst>
            <a:ext uri="{FF2B5EF4-FFF2-40B4-BE49-F238E27FC236}">
              <a16:creationId xmlns:a16="http://schemas.microsoft.com/office/drawing/2014/main" id="{00000000-0008-0000-0100-0000EE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489</xdr:row>
      <xdr:rowOff>0</xdr:rowOff>
    </xdr:from>
    <xdr:ext cx="200025" cy="200025"/>
    <xdr:pic>
      <xdr:nvPicPr>
        <xdr:cNvPr id="2031" name="image12.png">
          <a:extLst>
            <a:ext uri="{FF2B5EF4-FFF2-40B4-BE49-F238E27FC236}">
              <a16:creationId xmlns:a16="http://schemas.microsoft.com/office/drawing/2014/main" id="{00000000-0008-0000-0100-0000EF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489</xdr:row>
      <xdr:rowOff>0</xdr:rowOff>
    </xdr:from>
    <xdr:ext cx="200025" cy="200025"/>
    <xdr:pic>
      <xdr:nvPicPr>
        <xdr:cNvPr id="2032" name="image3.png">
          <a:extLst>
            <a:ext uri="{FF2B5EF4-FFF2-40B4-BE49-F238E27FC236}">
              <a16:creationId xmlns:a16="http://schemas.microsoft.com/office/drawing/2014/main" id="{00000000-0008-0000-0100-0000F0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489</xdr:row>
      <xdr:rowOff>0</xdr:rowOff>
    </xdr:from>
    <xdr:ext cx="200025" cy="200025"/>
    <xdr:pic>
      <xdr:nvPicPr>
        <xdr:cNvPr id="2033" name="image11.png">
          <a:extLst>
            <a:ext uri="{FF2B5EF4-FFF2-40B4-BE49-F238E27FC236}">
              <a16:creationId xmlns:a16="http://schemas.microsoft.com/office/drawing/2014/main" id="{00000000-0008-0000-0100-0000F1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490</xdr:row>
      <xdr:rowOff>0</xdr:rowOff>
    </xdr:from>
    <xdr:ext cx="200025" cy="200025"/>
    <xdr:pic>
      <xdr:nvPicPr>
        <xdr:cNvPr id="2034" name="image10.png">
          <a:extLst>
            <a:ext uri="{FF2B5EF4-FFF2-40B4-BE49-F238E27FC236}">
              <a16:creationId xmlns:a16="http://schemas.microsoft.com/office/drawing/2014/main" id="{00000000-0008-0000-0100-0000F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490</xdr:row>
      <xdr:rowOff>0</xdr:rowOff>
    </xdr:from>
    <xdr:ext cx="200025" cy="200025"/>
    <xdr:pic>
      <xdr:nvPicPr>
        <xdr:cNvPr id="2035" name="image5.png">
          <a:extLst>
            <a:ext uri="{FF2B5EF4-FFF2-40B4-BE49-F238E27FC236}">
              <a16:creationId xmlns:a16="http://schemas.microsoft.com/office/drawing/2014/main" id="{00000000-0008-0000-0100-0000F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490</xdr:row>
      <xdr:rowOff>0</xdr:rowOff>
    </xdr:from>
    <xdr:ext cx="200025" cy="200025"/>
    <xdr:pic>
      <xdr:nvPicPr>
        <xdr:cNvPr id="2036" name="image4.png">
          <a:extLst>
            <a:ext uri="{FF2B5EF4-FFF2-40B4-BE49-F238E27FC236}">
              <a16:creationId xmlns:a16="http://schemas.microsoft.com/office/drawing/2014/main" id="{00000000-0008-0000-0100-0000F4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490</xdr:row>
      <xdr:rowOff>0</xdr:rowOff>
    </xdr:from>
    <xdr:ext cx="200025" cy="200025"/>
    <xdr:pic>
      <xdr:nvPicPr>
        <xdr:cNvPr id="2037" name="image7.png">
          <a:extLst>
            <a:ext uri="{FF2B5EF4-FFF2-40B4-BE49-F238E27FC236}">
              <a16:creationId xmlns:a16="http://schemas.microsoft.com/office/drawing/2014/main" id="{00000000-0008-0000-0100-0000F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491</xdr:row>
      <xdr:rowOff>0</xdr:rowOff>
    </xdr:from>
    <xdr:ext cx="200025" cy="200025"/>
    <xdr:pic>
      <xdr:nvPicPr>
        <xdr:cNvPr id="2038" name="image10.png">
          <a:extLst>
            <a:ext uri="{FF2B5EF4-FFF2-40B4-BE49-F238E27FC236}">
              <a16:creationId xmlns:a16="http://schemas.microsoft.com/office/drawing/2014/main" id="{00000000-0008-0000-0100-0000F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491</xdr:row>
      <xdr:rowOff>0</xdr:rowOff>
    </xdr:from>
    <xdr:ext cx="200025" cy="200025"/>
    <xdr:pic>
      <xdr:nvPicPr>
        <xdr:cNvPr id="2039" name="image8.png">
          <a:extLst>
            <a:ext uri="{FF2B5EF4-FFF2-40B4-BE49-F238E27FC236}">
              <a16:creationId xmlns:a16="http://schemas.microsoft.com/office/drawing/2014/main" id="{00000000-0008-0000-0100-0000F7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491</xdr:row>
      <xdr:rowOff>0</xdr:rowOff>
    </xdr:from>
    <xdr:ext cx="200025" cy="200025"/>
    <xdr:pic>
      <xdr:nvPicPr>
        <xdr:cNvPr id="2040" name="image2.png">
          <a:extLst>
            <a:ext uri="{FF2B5EF4-FFF2-40B4-BE49-F238E27FC236}">
              <a16:creationId xmlns:a16="http://schemas.microsoft.com/office/drawing/2014/main" id="{00000000-0008-0000-0100-0000F8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491</xdr:row>
      <xdr:rowOff>0</xdr:rowOff>
    </xdr:from>
    <xdr:ext cx="200025" cy="200025"/>
    <xdr:pic>
      <xdr:nvPicPr>
        <xdr:cNvPr id="2041" name="image4.png">
          <a:extLst>
            <a:ext uri="{FF2B5EF4-FFF2-40B4-BE49-F238E27FC236}">
              <a16:creationId xmlns:a16="http://schemas.microsoft.com/office/drawing/2014/main" id="{00000000-0008-0000-0100-0000F9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491</xdr:row>
      <xdr:rowOff>0</xdr:rowOff>
    </xdr:from>
    <xdr:ext cx="200025" cy="200025"/>
    <xdr:pic>
      <xdr:nvPicPr>
        <xdr:cNvPr id="2042" name="image7.png">
          <a:extLst>
            <a:ext uri="{FF2B5EF4-FFF2-40B4-BE49-F238E27FC236}">
              <a16:creationId xmlns:a16="http://schemas.microsoft.com/office/drawing/2014/main" id="{00000000-0008-0000-0100-0000F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492</xdr:row>
      <xdr:rowOff>0</xdr:rowOff>
    </xdr:from>
    <xdr:ext cx="200025" cy="200025"/>
    <xdr:pic>
      <xdr:nvPicPr>
        <xdr:cNvPr id="2043" name="image10.png">
          <a:extLst>
            <a:ext uri="{FF2B5EF4-FFF2-40B4-BE49-F238E27FC236}">
              <a16:creationId xmlns:a16="http://schemas.microsoft.com/office/drawing/2014/main" id="{00000000-0008-0000-0100-0000F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492</xdr:row>
      <xdr:rowOff>0</xdr:rowOff>
    </xdr:from>
    <xdr:ext cx="200025" cy="200025"/>
    <xdr:pic>
      <xdr:nvPicPr>
        <xdr:cNvPr id="2044" name="image4.png">
          <a:extLst>
            <a:ext uri="{FF2B5EF4-FFF2-40B4-BE49-F238E27FC236}">
              <a16:creationId xmlns:a16="http://schemas.microsoft.com/office/drawing/2014/main" id="{00000000-0008-0000-0100-0000FC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492</xdr:row>
      <xdr:rowOff>0</xdr:rowOff>
    </xdr:from>
    <xdr:ext cx="200025" cy="200025"/>
    <xdr:pic>
      <xdr:nvPicPr>
        <xdr:cNvPr id="2045" name="image3.png">
          <a:extLst>
            <a:ext uri="{FF2B5EF4-FFF2-40B4-BE49-F238E27FC236}">
              <a16:creationId xmlns:a16="http://schemas.microsoft.com/office/drawing/2014/main" id="{00000000-0008-0000-0100-0000FD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493</xdr:row>
      <xdr:rowOff>0</xdr:rowOff>
    </xdr:from>
    <xdr:ext cx="200025" cy="200025"/>
    <xdr:pic>
      <xdr:nvPicPr>
        <xdr:cNvPr id="2046" name="image1.png">
          <a:extLst>
            <a:ext uri="{FF2B5EF4-FFF2-40B4-BE49-F238E27FC236}">
              <a16:creationId xmlns:a16="http://schemas.microsoft.com/office/drawing/2014/main" id="{00000000-0008-0000-0100-0000FE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493</xdr:row>
      <xdr:rowOff>0</xdr:rowOff>
    </xdr:from>
    <xdr:ext cx="200025" cy="200025"/>
    <xdr:pic>
      <xdr:nvPicPr>
        <xdr:cNvPr id="2047" name="image7.png">
          <a:extLst>
            <a:ext uri="{FF2B5EF4-FFF2-40B4-BE49-F238E27FC236}">
              <a16:creationId xmlns:a16="http://schemas.microsoft.com/office/drawing/2014/main" id="{00000000-0008-0000-0100-0000FF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0</xdr:colOff>
      <xdr:row>493</xdr:row>
      <xdr:rowOff>0</xdr:rowOff>
    </xdr:from>
    <xdr:ext cx="200025" cy="200025"/>
    <xdr:pic>
      <xdr:nvPicPr>
        <xdr:cNvPr id="2048" name="image11.png">
          <a:extLst>
            <a:ext uri="{FF2B5EF4-FFF2-40B4-BE49-F238E27FC236}">
              <a16:creationId xmlns:a16="http://schemas.microsoft.com/office/drawing/2014/main" id="{00000000-0008-0000-0100-000000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494</xdr:row>
      <xdr:rowOff>0</xdr:rowOff>
    </xdr:from>
    <xdr:ext cx="200025" cy="200025"/>
    <xdr:pic>
      <xdr:nvPicPr>
        <xdr:cNvPr id="2049" name="image9.png">
          <a:extLst>
            <a:ext uri="{FF2B5EF4-FFF2-40B4-BE49-F238E27FC236}">
              <a16:creationId xmlns:a16="http://schemas.microsoft.com/office/drawing/2014/main" id="{00000000-0008-0000-0100-000001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494</xdr:row>
      <xdr:rowOff>0</xdr:rowOff>
    </xdr:from>
    <xdr:ext cx="200025" cy="200025"/>
    <xdr:pic>
      <xdr:nvPicPr>
        <xdr:cNvPr id="2050" name="image5.png">
          <a:extLst>
            <a:ext uri="{FF2B5EF4-FFF2-40B4-BE49-F238E27FC236}">
              <a16:creationId xmlns:a16="http://schemas.microsoft.com/office/drawing/2014/main" id="{00000000-0008-0000-0100-000002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494</xdr:row>
      <xdr:rowOff>0</xdr:rowOff>
    </xdr:from>
    <xdr:ext cx="200025" cy="200025"/>
    <xdr:pic>
      <xdr:nvPicPr>
        <xdr:cNvPr id="2051" name="image12.png">
          <a:extLst>
            <a:ext uri="{FF2B5EF4-FFF2-40B4-BE49-F238E27FC236}">
              <a16:creationId xmlns:a16="http://schemas.microsoft.com/office/drawing/2014/main" id="{00000000-0008-0000-0100-000003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495</xdr:row>
      <xdr:rowOff>0</xdr:rowOff>
    </xdr:from>
    <xdr:ext cx="200025" cy="200025"/>
    <xdr:pic>
      <xdr:nvPicPr>
        <xdr:cNvPr id="2052" name="image10.png">
          <a:extLst>
            <a:ext uri="{FF2B5EF4-FFF2-40B4-BE49-F238E27FC236}">
              <a16:creationId xmlns:a16="http://schemas.microsoft.com/office/drawing/2014/main" id="{00000000-0008-0000-0100-000004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495</xdr:row>
      <xdr:rowOff>0</xdr:rowOff>
    </xdr:from>
    <xdr:ext cx="200025" cy="200025"/>
    <xdr:pic>
      <xdr:nvPicPr>
        <xdr:cNvPr id="2053" name="image2.png">
          <a:extLst>
            <a:ext uri="{FF2B5EF4-FFF2-40B4-BE49-F238E27FC236}">
              <a16:creationId xmlns:a16="http://schemas.microsoft.com/office/drawing/2014/main" id="{00000000-0008-0000-0100-000005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495</xdr:row>
      <xdr:rowOff>0</xdr:rowOff>
    </xdr:from>
    <xdr:ext cx="200025" cy="200025"/>
    <xdr:pic>
      <xdr:nvPicPr>
        <xdr:cNvPr id="2054" name="image5.png">
          <a:extLst>
            <a:ext uri="{FF2B5EF4-FFF2-40B4-BE49-F238E27FC236}">
              <a16:creationId xmlns:a16="http://schemas.microsoft.com/office/drawing/2014/main" id="{00000000-0008-0000-0100-000006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495</xdr:row>
      <xdr:rowOff>0</xdr:rowOff>
    </xdr:from>
    <xdr:ext cx="200025" cy="200025"/>
    <xdr:pic>
      <xdr:nvPicPr>
        <xdr:cNvPr id="2055" name="image4.png">
          <a:extLst>
            <a:ext uri="{FF2B5EF4-FFF2-40B4-BE49-F238E27FC236}">
              <a16:creationId xmlns:a16="http://schemas.microsoft.com/office/drawing/2014/main" id="{00000000-0008-0000-0100-00000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496</xdr:row>
      <xdr:rowOff>0</xdr:rowOff>
    </xdr:from>
    <xdr:ext cx="200025" cy="200025"/>
    <xdr:pic>
      <xdr:nvPicPr>
        <xdr:cNvPr id="2056" name="image9.png">
          <a:extLst>
            <a:ext uri="{FF2B5EF4-FFF2-40B4-BE49-F238E27FC236}">
              <a16:creationId xmlns:a16="http://schemas.microsoft.com/office/drawing/2014/main" id="{00000000-0008-0000-0100-000008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496</xdr:row>
      <xdr:rowOff>0</xdr:rowOff>
    </xdr:from>
    <xdr:ext cx="200025" cy="200025"/>
    <xdr:pic>
      <xdr:nvPicPr>
        <xdr:cNvPr id="2057" name="image6.png">
          <a:extLst>
            <a:ext uri="{FF2B5EF4-FFF2-40B4-BE49-F238E27FC236}">
              <a16:creationId xmlns:a16="http://schemas.microsoft.com/office/drawing/2014/main" id="{00000000-0008-0000-0100-000009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496</xdr:row>
      <xdr:rowOff>0</xdr:rowOff>
    </xdr:from>
    <xdr:ext cx="200025" cy="200025"/>
    <xdr:pic>
      <xdr:nvPicPr>
        <xdr:cNvPr id="2058" name="image5.png">
          <a:extLst>
            <a:ext uri="{FF2B5EF4-FFF2-40B4-BE49-F238E27FC236}">
              <a16:creationId xmlns:a16="http://schemas.microsoft.com/office/drawing/2014/main" id="{00000000-0008-0000-0100-00000A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496</xdr:row>
      <xdr:rowOff>0</xdr:rowOff>
    </xdr:from>
    <xdr:ext cx="200025" cy="200025"/>
    <xdr:pic>
      <xdr:nvPicPr>
        <xdr:cNvPr id="2059" name="image7.png">
          <a:extLst>
            <a:ext uri="{FF2B5EF4-FFF2-40B4-BE49-F238E27FC236}">
              <a16:creationId xmlns:a16="http://schemas.microsoft.com/office/drawing/2014/main" id="{00000000-0008-0000-0100-00000B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497</xdr:row>
      <xdr:rowOff>0</xdr:rowOff>
    </xdr:from>
    <xdr:ext cx="200025" cy="200025"/>
    <xdr:pic>
      <xdr:nvPicPr>
        <xdr:cNvPr id="2060" name="image8.png">
          <a:extLst>
            <a:ext uri="{FF2B5EF4-FFF2-40B4-BE49-F238E27FC236}">
              <a16:creationId xmlns:a16="http://schemas.microsoft.com/office/drawing/2014/main" id="{00000000-0008-0000-0100-00000C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497</xdr:row>
      <xdr:rowOff>0</xdr:rowOff>
    </xdr:from>
    <xdr:ext cx="200025" cy="200025"/>
    <xdr:pic>
      <xdr:nvPicPr>
        <xdr:cNvPr id="2061" name="image2.png">
          <a:extLst>
            <a:ext uri="{FF2B5EF4-FFF2-40B4-BE49-F238E27FC236}">
              <a16:creationId xmlns:a16="http://schemas.microsoft.com/office/drawing/2014/main" id="{00000000-0008-0000-0100-00000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497</xdr:row>
      <xdr:rowOff>0</xdr:rowOff>
    </xdr:from>
    <xdr:ext cx="200025" cy="200025"/>
    <xdr:pic>
      <xdr:nvPicPr>
        <xdr:cNvPr id="2062" name="image4.png">
          <a:extLst>
            <a:ext uri="{FF2B5EF4-FFF2-40B4-BE49-F238E27FC236}">
              <a16:creationId xmlns:a16="http://schemas.microsoft.com/office/drawing/2014/main" id="{00000000-0008-0000-0100-00000E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497</xdr:row>
      <xdr:rowOff>0</xdr:rowOff>
    </xdr:from>
    <xdr:ext cx="200025" cy="200025"/>
    <xdr:pic>
      <xdr:nvPicPr>
        <xdr:cNvPr id="2063" name="image11.png">
          <a:extLst>
            <a:ext uri="{FF2B5EF4-FFF2-40B4-BE49-F238E27FC236}">
              <a16:creationId xmlns:a16="http://schemas.microsoft.com/office/drawing/2014/main" id="{00000000-0008-0000-0100-00000F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498</xdr:row>
      <xdr:rowOff>0</xdr:rowOff>
    </xdr:from>
    <xdr:ext cx="200025" cy="200025"/>
    <xdr:pic>
      <xdr:nvPicPr>
        <xdr:cNvPr id="2064" name="image10.png">
          <a:extLst>
            <a:ext uri="{FF2B5EF4-FFF2-40B4-BE49-F238E27FC236}">
              <a16:creationId xmlns:a16="http://schemas.microsoft.com/office/drawing/2014/main" id="{00000000-0008-0000-0100-000010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498</xdr:row>
      <xdr:rowOff>0</xdr:rowOff>
    </xdr:from>
    <xdr:ext cx="200025" cy="200025"/>
    <xdr:pic>
      <xdr:nvPicPr>
        <xdr:cNvPr id="2065" name="image9.png">
          <a:extLst>
            <a:ext uri="{FF2B5EF4-FFF2-40B4-BE49-F238E27FC236}">
              <a16:creationId xmlns:a16="http://schemas.microsoft.com/office/drawing/2014/main" id="{00000000-0008-0000-0100-000011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498</xdr:row>
      <xdr:rowOff>0</xdr:rowOff>
    </xdr:from>
    <xdr:ext cx="200025" cy="200025"/>
    <xdr:pic>
      <xdr:nvPicPr>
        <xdr:cNvPr id="2066" name="image6.png">
          <a:extLst>
            <a:ext uri="{FF2B5EF4-FFF2-40B4-BE49-F238E27FC236}">
              <a16:creationId xmlns:a16="http://schemas.microsoft.com/office/drawing/2014/main" id="{00000000-0008-0000-0100-000012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499</xdr:row>
      <xdr:rowOff>0</xdr:rowOff>
    </xdr:from>
    <xdr:ext cx="200025" cy="200025"/>
    <xdr:pic>
      <xdr:nvPicPr>
        <xdr:cNvPr id="2067" name="image8.png">
          <a:extLst>
            <a:ext uri="{FF2B5EF4-FFF2-40B4-BE49-F238E27FC236}">
              <a16:creationId xmlns:a16="http://schemas.microsoft.com/office/drawing/2014/main" id="{00000000-0008-0000-0100-000013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499</xdr:row>
      <xdr:rowOff>0</xdr:rowOff>
    </xdr:from>
    <xdr:ext cx="200025" cy="200025"/>
    <xdr:pic>
      <xdr:nvPicPr>
        <xdr:cNvPr id="2068" name="image1.png">
          <a:extLst>
            <a:ext uri="{FF2B5EF4-FFF2-40B4-BE49-F238E27FC236}">
              <a16:creationId xmlns:a16="http://schemas.microsoft.com/office/drawing/2014/main" id="{00000000-0008-0000-0100-00001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499</xdr:row>
      <xdr:rowOff>0</xdr:rowOff>
    </xdr:from>
    <xdr:ext cx="200025" cy="200025"/>
    <xdr:pic>
      <xdr:nvPicPr>
        <xdr:cNvPr id="2069" name="image5.png">
          <a:extLst>
            <a:ext uri="{FF2B5EF4-FFF2-40B4-BE49-F238E27FC236}">
              <a16:creationId xmlns:a16="http://schemas.microsoft.com/office/drawing/2014/main" id="{00000000-0008-0000-0100-000015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499</xdr:row>
      <xdr:rowOff>0</xdr:rowOff>
    </xdr:from>
    <xdr:ext cx="200025" cy="200025"/>
    <xdr:pic>
      <xdr:nvPicPr>
        <xdr:cNvPr id="2070" name="image4.png">
          <a:extLst>
            <a:ext uri="{FF2B5EF4-FFF2-40B4-BE49-F238E27FC236}">
              <a16:creationId xmlns:a16="http://schemas.microsoft.com/office/drawing/2014/main" id="{00000000-0008-0000-0100-000016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499</xdr:row>
      <xdr:rowOff>0</xdr:rowOff>
    </xdr:from>
    <xdr:ext cx="200025" cy="200025"/>
    <xdr:pic>
      <xdr:nvPicPr>
        <xdr:cNvPr id="2071" name="image3.png">
          <a:extLst>
            <a:ext uri="{FF2B5EF4-FFF2-40B4-BE49-F238E27FC236}">
              <a16:creationId xmlns:a16="http://schemas.microsoft.com/office/drawing/2014/main" id="{00000000-0008-0000-0100-000017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500</xdr:row>
      <xdr:rowOff>0</xdr:rowOff>
    </xdr:from>
    <xdr:ext cx="200025" cy="200025"/>
    <xdr:pic>
      <xdr:nvPicPr>
        <xdr:cNvPr id="2072" name="image9.png">
          <a:extLst>
            <a:ext uri="{FF2B5EF4-FFF2-40B4-BE49-F238E27FC236}">
              <a16:creationId xmlns:a16="http://schemas.microsoft.com/office/drawing/2014/main" id="{00000000-0008-0000-0100-000018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500</xdr:row>
      <xdr:rowOff>0</xdr:rowOff>
    </xdr:from>
    <xdr:ext cx="200025" cy="200025"/>
    <xdr:pic>
      <xdr:nvPicPr>
        <xdr:cNvPr id="2073" name="image6.png">
          <a:extLst>
            <a:ext uri="{FF2B5EF4-FFF2-40B4-BE49-F238E27FC236}">
              <a16:creationId xmlns:a16="http://schemas.microsoft.com/office/drawing/2014/main" id="{00000000-0008-0000-0100-000019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500</xdr:row>
      <xdr:rowOff>0</xdr:rowOff>
    </xdr:from>
    <xdr:ext cx="200025" cy="200025"/>
    <xdr:pic>
      <xdr:nvPicPr>
        <xdr:cNvPr id="2074" name="image5.png">
          <a:extLst>
            <a:ext uri="{FF2B5EF4-FFF2-40B4-BE49-F238E27FC236}">
              <a16:creationId xmlns:a16="http://schemas.microsoft.com/office/drawing/2014/main" id="{00000000-0008-0000-0100-00001A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500</xdr:row>
      <xdr:rowOff>0</xdr:rowOff>
    </xdr:from>
    <xdr:ext cx="200025" cy="200025"/>
    <xdr:pic>
      <xdr:nvPicPr>
        <xdr:cNvPr id="2075" name="image7.png">
          <a:extLst>
            <a:ext uri="{FF2B5EF4-FFF2-40B4-BE49-F238E27FC236}">
              <a16:creationId xmlns:a16="http://schemas.microsoft.com/office/drawing/2014/main" id="{00000000-0008-0000-0100-00001B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501</xdr:row>
      <xdr:rowOff>0</xdr:rowOff>
    </xdr:from>
    <xdr:ext cx="200025" cy="200025"/>
    <xdr:pic>
      <xdr:nvPicPr>
        <xdr:cNvPr id="2076" name="image10.png">
          <a:extLst>
            <a:ext uri="{FF2B5EF4-FFF2-40B4-BE49-F238E27FC236}">
              <a16:creationId xmlns:a16="http://schemas.microsoft.com/office/drawing/2014/main" id="{00000000-0008-0000-0100-00001C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501</xdr:row>
      <xdr:rowOff>0</xdr:rowOff>
    </xdr:from>
    <xdr:ext cx="200025" cy="200025"/>
    <xdr:pic>
      <xdr:nvPicPr>
        <xdr:cNvPr id="2077" name="image2.png">
          <a:extLst>
            <a:ext uri="{FF2B5EF4-FFF2-40B4-BE49-F238E27FC236}">
              <a16:creationId xmlns:a16="http://schemas.microsoft.com/office/drawing/2014/main" id="{00000000-0008-0000-0100-00001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501</xdr:row>
      <xdr:rowOff>0</xdr:rowOff>
    </xdr:from>
    <xdr:ext cx="200025" cy="200025"/>
    <xdr:pic>
      <xdr:nvPicPr>
        <xdr:cNvPr id="2078" name="image4.png">
          <a:extLst>
            <a:ext uri="{FF2B5EF4-FFF2-40B4-BE49-F238E27FC236}">
              <a16:creationId xmlns:a16="http://schemas.microsoft.com/office/drawing/2014/main" id="{00000000-0008-0000-0100-00001E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501</xdr:row>
      <xdr:rowOff>0</xdr:rowOff>
    </xdr:from>
    <xdr:ext cx="200025" cy="200025"/>
    <xdr:pic>
      <xdr:nvPicPr>
        <xdr:cNvPr id="2079" name="image11.png">
          <a:extLst>
            <a:ext uri="{FF2B5EF4-FFF2-40B4-BE49-F238E27FC236}">
              <a16:creationId xmlns:a16="http://schemas.microsoft.com/office/drawing/2014/main" id="{00000000-0008-0000-0100-00001F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502</xdr:row>
      <xdr:rowOff>0</xdr:rowOff>
    </xdr:from>
    <xdr:ext cx="200025" cy="200025"/>
    <xdr:pic>
      <xdr:nvPicPr>
        <xdr:cNvPr id="2080" name="image8.png">
          <a:extLst>
            <a:ext uri="{FF2B5EF4-FFF2-40B4-BE49-F238E27FC236}">
              <a16:creationId xmlns:a16="http://schemas.microsoft.com/office/drawing/2014/main" id="{00000000-0008-0000-0100-000020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502</xdr:row>
      <xdr:rowOff>0</xdr:rowOff>
    </xdr:from>
    <xdr:ext cx="200025" cy="200025"/>
    <xdr:pic>
      <xdr:nvPicPr>
        <xdr:cNvPr id="2081" name="image2.png">
          <a:extLst>
            <a:ext uri="{FF2B5EF4-FFF2-40B4-BE49-F238E27FC236}">
              <a16:creationId xmlns:a16="http://schemas.microsoft.com/office/drawing/2014/main" id="{00000000-0008-0000-0100-000021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502</xdr:row>
      <xdr:rowOff>0</xdr:rowOff>
    </xdr:from>
    <xdr:ext cx="200025" cy="200025"/>
    <xdr:pic>
      <xdr:nvPicPr>
        <xdr:cNvPr id="2082" name="image12.png">
          <a:extLst>
            <a:ext uri="{FF2B5EF4-FFF2-40B4-BE49-F238E27FC236}">
              <a16:creationId xmlns:a16="http://schemas.microsoft.com/office/drawing/2014/main" id="{00000000-0008-0000-0100-000022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0</xdr:colOff>
      <xdr:row>502</xdr:row>
      <xdr:rowOff>0</xdr:rowOff>
    </xdr:from>
    <xdr:ext cx="200025" cy="200025"/>
    <xdr:pic>
      <xdr:nvPicPr>
        <xdr:cNvPr id="2083" name="image7.png">
          <a:extLst>
            <a:ext uri="{FF2B5EF4-FFF2-40B4-BE49-F238E27FC236}">
              <a16:creationId xmlns:a16="http://schemas.microsoft.com/office/drawing/2014/main" id="{00000000-0008-0000-0100-000023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503</xdr:row>
      <xdr:rowOff>0</xdr:rowOff>
    </xdr:from>
    <xdr:ext cx="200025" cy="200025"/>
    <xdr:pic>
      <xdr:nvPicPr>
        <xdr:cNvPr id="2084" name="image10.png">
          <a:extLst>
            <a:ext uri="{FF2B5EF4-FFF2-40B4-BE49-F238E27FC236}">
              <a16:creationId xmlns:a16="http://schemas.microsoft.com/office/drawing/2014/main" id="{00000000-0008-0000-0100-000024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503</xdr:row>
      <xdr:rowOff>0</xdr:rowOff>
    </xdr:from>
    <xdr:ext cx="200025" cy="200025"/>
    <xdr:pic>
      <xdr:nvPicPr>
        <xdr:cNvPr id="2085" name="image1.png">
          <a:extLst>
            <a:ext uri="{FF2B5EF4-FFF2-40B4-BE49-F238E27FC236}">
              <a16:creationId xmlns:a16="http://schemas.microsoft.com/office/drawing/2014/main" id="{00000000-0008-0000-0100-000025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503</xdr:row>
      <xdr:rowOff>0</xdr:rowOff>
    </xdr:from>
    <xdr:ext cx="200025" cy="200025"/>
    <xdr:pic>
      <xdr:nvPicPr>
        <xdr:cNvPr id="2086" name="image6.png">
          <a:extLst>
            <a:ext uri="{FF2B5EF4-FFF2-40B4-BE49-F238E27FC236}">
              <a16:creationId xmlns:a16="http://schemas.microsoft.com/office/drawing/2014/main" id="{00000000-0008-0000-0100-000026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503</xdr:row>
      <xdr:rowOff>0</xdr:rowOff>
    </xdr:from>
    <xdr:ext cx="200025" cy="200025"/>
    <xdr:pic>
      <xdr:nvPicPr>
        <xdr:cNvPr id="2087" name="image4.png">
          <a:extLst>
            <a:ext uri="{FF2B5EF4-FFF2-40B4-BE49-F238E27FC236}">
              <a16:creationId xmlns:a16="http://schemas.microsoft.com/office/drawing/2014/main" id="{00000000-0008-0000-0100-00002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503</xdr:row>
      <xdr:rowOff>0</xdr:rowOff>
    </xdr:from>
    <xdr:ext cx="200025" cy="200025"/>
    <xdr:pic>
      <xdr:nvPicPr>
        <xdr:cNvPr id="2088" name="image3.png">
          <a:extLst>
            <a:ext uri="{FF2B5EF4-FFF2-40B4-BE49-F238E27FC236}">
              <a16:creationId xmlns:a16="http://schemas.microsoft.com/office/drawing/2014/main" id="{00000000-0008-0000-0100-000028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504</xdr:row>
      <xdr:rowOff>0</xdr:rowOff>
    </xdr:from>
    <xdr:ext cx="200025" cy="200025"/>
    <xdr:pic>
      <xdr:nvPicPr>
        <xdr:cNvPr id="2089" name="image10.png">
          <a:extLst>
            <a:ext uri="{FF2B5EF4-FFF2-40B4-BE49-F238E27FC236}">
              <a16:creationId xmlns:a16="http://schemas.microsoft.com/office/drawing/2014/main" id="{00000000-0008-0000-0100-000029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504</xdr:row>
      <xdr:rowOff>0</xdr:rowOff>
    </xdr:from>
    <xdr:ext cx="200025" cy="200025"/>
    <xdr:pic>
      <xdr:nvPicPr>
        <xdr:cNvPr id="2090" name="image9.png">
          <a:extLst>
            <a:ext uri="{FF2B5EF4-FFF2-40B4-BE49-F238E27FC236}">
              <a16:creationId xmlns:a16="http://schemas.microsoft.com/office/drawing/2014/main" id="{00000000-0008-0000-0100-00002A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504</xdr:row>
      <xdr:rowOff>0</xdr:rowOff>
    </xdr:from>
    <xdr:ext cx="200025" cy="200025"/>
    <xdr:pic>
      <xdr:nvPicPr>
        <xdr:cNvPr id="2091" name="image6.png">
          <a:extLst>
            <a:ext uri="{FF2B5EF4-FFF2-40B4-BE49-F238E27FC236}">
              <a16:creationId xmlns:a16="http://schemas.microsoft.com/office/drawing/2014/main" id="{00000000-0008-0000-0100-00002B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504</xdr:row>
      <xdr:rowOff>0</xdr:rowOff>
    </xdr:from>
    <xdr:ext cx="200025" cy="200025"/>
    <xdr:pic>
      <xdr:nvPicPr>
        <xdr:cNvPr id="2092" name="image12.png">
          <a:extLst>
            <a:ext uri="{FF2B5EF4-FFF2-40B4-BE49-F238E27FC236}">
              <a16:creationId xmlns:a16="http://schemas.microsoft.com/office/drawing/2014/main" id="{00000000-0008-0000-0100-00002C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8</xdr:col>
      <xdr:colOff>0</xdr:colOff>
      <xdr:row>504</xdr:row>
      <xdr:rowOff>0</xdr:rowOff>
    </xdr:from>
    <xdr:ext cx="200025" cy="200025"/>
    <xdr:pic>
      <xdr:nvPicPr>
        <xdr:cNvPr id="2093" name="image3.png">
          <a:extLst>
            <a:ext uri="{FF2B5EF4-FFF2-40B4-BE49-F238E27FC236}">
              <a16:creationId xmlns:a16="http://schemas.microsoft.com/office/drawing/2014/main" id="{00000000-0008-0000-0100-00002D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505</xdr:row>
      <xdr:rowOff>0</xdr:rowOff>
    </xdr:from>
    <xdr:ext cx="200025" cy="200025"/>
    <xdr:pic>
      <xdr:nvPicPr>
        <xdr:cNvPr id="2094" name="image9.png">
          <a:extLst>
            <a:ext uri="{FF2B5EF4-FFF2-40B4-BE49-F238E27FC236}">
              <a16:creationId xmlns:a16="http://schemas.microsoft.com/office/drawing/2014/main" id="{00000000-0008-0000-0100-00002E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505</xdr:row>
      <xdr:rowOff>0</xdr:rowOff>
    </xdr:from>
    <xdr:ext cx="200025" cy="200025"/>
    <xdr:pic>
      <xdr:nvPicPr>
        <xdr:cNvPr id="2095" name="image2.png">
          <a:extLst>
            <a:ext uri="{FF2B5EF4-FFF2-40B4-BE49-F238E27FC236}">
              <a16:creationId xmlns:a16="http://schemas.microsoft.com/office/drawing/2014/main" id="{00000000-0008-0000-0100-00002F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505</xdr:row>
      <xdr:rowOff>0</xdr:rowOff>
    </xdr:from>
    <xdr:ext cx="200025" cy="200025"/>
    <xdr:pic>
      <xdr:nvPicPr>
        <xdr:cNvPr id="2096" name="image4.png">
          <a:extLst>
            <a:ext uri="{FF2B5EF4-FFF2-40B4-BE49-F238E27FC236}">
              <a16:creationId xmlns:a16="http://schemas.microsoft.com/office/drawing/2014/main" id="{00000000-0008-0000-0100-000030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505</xdr:row>
      <xdr:rowOff>0</xdr:rowOff>
    </xdr:from>
    <xdr:ext cx="200025" cy="200025"/>
    <xdr:pic>
      <xdr:nvPicPr>
        <xdr:cNvPr id="2097" name="image7.png">
          <a:extLst>
            <a:ext uri="{FF2B5EF4-FFF2-40B4-BE49-F238E27FC236}">
              <a16:creationId xmlns:a16="http://schemas.microsoft.com/office/drawing/2014/main" id="{00000000-0008-0000-0100-000031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506</xdr:row>
      <xdr:rowOff>0</xdr:rowOff>
    </xdr:from>
    <xdr:ext cx="200025" cy="200025"/>
    <xdr:pic>
      <xdr:nvPicPr>
        <xdr:cNvPr id="2098" name="image8.png">
          <a:extLst>
            <a:ext uri="{FF2B5EF4-FFF2-40B4-BE49-F238E27FC236}">
              <a16:creationId xmlns:a16="http://schemas.microsoft.com/office/drawing/2014/main" id="{00000000-0008-0000-0100-000032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506</xdr:row>
      <xdr:rowOff>0</xdr:rowOff>
    </xdr:from>
    <xdr:ext cx="200025" cy="200025"/>
    <xdr:pic>
      <xdr:nvPicPr>
        <xdr:cNvPr id="2099" name="image9.png">
          <a:extLst>
            <a:ext uri="{FF2B5EF4-FFF2-40B4-BE49-F238E27FC236}">
              <a16:creationId xmlns:a16="http://schemas.microsoft.com/office/drawing/2014/main" id="{00000000-0008-0000-0100-000033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506</xdr:row>
      <xdr:rowOff>0</xdr:rowOff>
    </xdr:from>
    <xdr:ext cx="200025" cy="200025"/>
    <xdr:pic>
      <xdr:nvPicPr>
        <xdr:cNvPr id="2100" name="image6.png">
          <a:extLst>
            <a:ext uri="{FF2B5EF4-FFF2-40B4-BE49-F238E27FC236}">
              <a16:creationId xmlns:a16="http://schemas.microsoft.com/office/drawing/2014/main" id="{00000000-0008-0000-0100-000034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506</xdr:row>
      <xdr:rowOff>0</xdr:rowOff>
    </xdr:from>
    <xdr:ext cx="200025" cy="200025"/>
    <xdr:pic>
      <xdr:nvPicPr>
        <xdr:cNvPr id="2101" name="image5.png">
          <a:extLst>
            <a:ext uri="{FF2B5EF4-FFF2-40B4-BE49-F238E27FC236}">
              <a16:creationId xmlns:a16="http://schemas.microsoft.com/office/drawing/2014/main" id="{00000000-0008-0000-0100-000035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507</xdr:row>
      <xdr:rowOff>0</xdr:rowOff>
    </xdr:from>
    <xdr:ext cx="200025" cy="200025"/>
    <xdr:pic>
      <xdr:nvPicPr>
        <xdr:cNvPr id="2102" name="image2.png">
          <a:extLst>
            <a:ext uri="{FF2B5EF4-FFF2-40B4-BE49-F238E27FC236}">
              <a16:creationId xmlns:a16="http://schemas.microsoft.com/office/drawing/2014/main" id="{00000000-0008-0000-0100-000036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507</xdr:row>
      <xdr:rowOff>0</xdr:rowOff>
    </xdr:from>
    <xdr:ext cx="200025" cy="200025"/>
    <xdr:pic>
      <xdr:nvPicPr>
        <xdr:cNvPr id="2103" name="image1.png">
          <a:extLst>
            <a:ext uri="{FF2B5EF4-FFF2-40B4-BE49-F238E27FC236}">
              <a16:creationId xmlns:a16="http://schemas.microsoft.com/office/drawing/2014/main" id="{00000000-0008-0000-0100-000037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507</xdr:row>
      <xdr:rowOff>0</xdr:rowOff>
    </xdr:from>
    <xdr:ext cx="200025" cy="200025"/>
    <xdr:pic>
      <xdr:nvPicPr>
        <xdr:cNvPr id="2104" name="image3.png">
          <a:extLst>
            <a:ext uri="{FF2B5EF4-FFF2-40B4-BE49-F238E27FC236}">
              <a16:creationId xmlns:a16="http://schemas.microsoft.com/office/drawing/2014/main" id="{00000000-0008-0000-0100-000038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508</xdr:row>
      <xdr:rowOff>0</xdr:rowOff>
    </xdr:from>
    <xdr:ext cx="200025" cy="200025"/>
    <xdr:pic>
      <xdr:nvPicPr>
        <xdr:cNvPr id="2105" name="image10.png">
          <a:extLst>
            <a:ext uri="{FF2B5EF4-FFF2-40B4-BE49-F238E27FC236}">
              <a16:creationId xmlns:a16="http://schemas.microsoft.com/office/drawing/2014/main" id="{00000000-0008-0000-0100-000039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508</xdr:row>
      <xdr:rowOff>0</xdr:rowOff>
    </xdr:from>
    <xdr:ext cx="200025" cy="200025"/>
    <xdr:pic>
      <xdr:nvPicPr>
        <xdr:cNvPr id="2106" name="image7.png">
          <a:extLst>
            <a:ext uri="{FF2B5EF4-FFF2-40B4-BE49-F238E27FC236}">
              <a16:creationId xmlns:a16="http://schemas.microsoft.com/office/drawing/2014/main" id="{00000000-0008-0000-0100-00003A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509</xdr:row>
      <xdr:rowOff>0</xdr:rowOff>
    </xdr:from>
    <xdr:ext cx="200025" cy="200025"/>
    <xdr:pic>
      <xdr:nvPicPr>
        <xdr:cNvPr id="2107" name="image10.png">
          <a:extLst>
            <a:ext uri="{FF2B5EF4-FFF2-40B4-BE49-F238E27FC236}">
              <a16:creationId xmlns:a16="http://schemas.microsoft.com/office/drawing/2014/main" id="{00000000-0008-0000-0100-00003B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509</xdr:row>
      <xdr:rowOff>0</xdr:rowOff>
    </xdr:from>
    <xdr:ext cx="200025" cy="200025"/>
    <xdr:pic>
      <xdr:nvPicPr>
        <xdr:cNvPr id="2108" name="image8.png">
          <a:extLst>
            <a:ext uri="{FF2B5EF4-FFF2-40B4-BE49-F238E27FC236}">
              <a16:creationId xmlns:a16="http://schemas.microsoft.com/office/drawing/2014/main" id="{00000000-0008-0000-0100-00003C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509</xdr:row>
      <xdr:rowOff>0</xdr:rowOff>
    </xdr:from>
    <xdr:ext cx="200025" cy="200025"/>
    <xdr:pic>
      <xdr:nvPicPr>
        <xdr:cNvPr id="2109" name="image2.png">
          <a:extLst>
            <a:ext uri="{FF2B5EF4-FFF2-40B4-BE49-F238E27FC236}">
              <a16:creationId xmlns:a16="http://schemas.microsoft.com/office/drawing/2014/main" id="{00000000-0008-0000-0100-00003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509</xdr:row>
      <xdr:rowOff>0</xdr:rowOff>
    </xdr:from>
    <xdr:ext cx="200025" cy="200025"/>
    <xdr:pic>
      <xdr:nvPicPr>
        <xdr:cNvPr id="2110" name="image3.png">
          <a:extLst>
            <a:ext uri="{FF2B5EF4-FFF2-40B4-BE49-F238E27FC236}">
              <a16:creationId xmlns:a16="http://schemas.microsoft.com/office/drawing/2014/main" id="{00000000-0008-0000-0100-00003E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5</xdr:row>
      <xdr:rowOff>0</xdr:rowOff>
    </xdr:from>
    <xdr:ext cx="200025" cy="200025"/>
    <xdr:pic>
      <xdr:nvPicPr>
        <xdr:cNvPr id="2" name="image10.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xdr:row>
      <xdr:rowOff>0</xdr:rowOff>
    </xdr:from>
    <xdr:ext cx="200025" cy="200025"/>
    <xdr:pic>
      <xdr:nvPicPr>
        <xdr:cNvPr id="3" name="image9.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xdr:row>
      <xdr:rowOff>0</xdr:rowOff>
    </xdr:from>
    <xdr:ext cx="200025" cy="200025"/>
    <xdr:pic>
      <xdr:nvPicPr>
        <xdr:cNvPr id="4" name="image5.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xdr:row>
      <xdr:rowOff>0</xdr:rowOff>
    </xdr:from>
    <xdr:ext cx="200025" cy="2000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xdr:row>
      <xdr:rowOff>0</xdr:rowOff>
    </xdr:from>
    <xdr:ext cx="200025" cy="200025"/>
    <xdr:pic>
      <xdr:nvPicPr>
        <xdr:cNvPr id="6" name="image1.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7</xdr:row>
      <xdr:rowOff>0</xdr:rowOff>
    </xdr:from>
    <xdr:ext cx="200025" cy="200025"/>
    <xdr:pic>
      <xdr:nvPicPr>
        <xdr:cNvPr id="7" name="image8.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xdr:row>
      <xdr:rowOff>0</xdr:rowOff>
    </xdr:from>
    <xdr:ext cx="200025" cy="200025"/>
    <xdr:pic>
      <xdr:nvPicPr>
        <xdr:cNvPr id="8" name="image1.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xdr:row>
      <xdr:rowOff>0</xdr:rowOff>
    </xdr:from>
    <xdr:ext cx="200025" cy="200025"/>
    <xdr:pic>
      <xdr:nvPicPr>
        <xdr:cNvPr id="9" name="image7.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9</xdr:row>
      <xdr:rowOff>0</xdr:rowOff>
    </xdr:from>
    <xdr:ext cx="200025" cy="200025"/>
    <xdr:pic>
      <xdr:nvPicPr>
        <xdr:cNvPr id="10" name="image8.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xdr:row>
      <xdr:rowOff>0</xdr:rowOff>
    </xdr:from>
    <xdr:ext cx="200025" cy="200025"/>
    <xdr:pic>
      <xdr:nvPicPr>
        <xdr:cNvPr id="11" name="image1.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xdr:row>
      <xdr:rowOff>0</xdr:rowOff>
    </xdr:from>
    <xdr:ext cx="200025" cy="200025"/>
    <xdr:pic>
      <xdr:nvPicPr>
        <xdr:cNvPr id="12" name="image7.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10</xdr:row>
      <xdr:rowOff>0</xdr:rowOff>
    </xdr:from>
    <xdr:ext cx="200025" cy="200025"/>
    <xdr:pic>
      <xdr:nvPicPr>
        <xdr:cNvPr id="13" name="image10.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xdr:row>
      <xdr:rowOff>0</xdr:rowOff>
    </xdr:from>
    <xdr:ext cx="200025" cy="200025"/>
    <xdr:pic>
      <xdr:nvPicPr>
        <xdr:cNvPr id="14" name="image10.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xdr:row>
      <xdr:rowOff>0</xdr:rowOff>
    </xdr:from>
    <xdr:ext cx="200025" cy="200025"/>
    <xdr:pic>
      <xdr:nvPicPr>
        <xdr:cNvPr id="15" name="image8.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xdr:row>
      <xdr:rowOff>0</xdr:rowOff>
    </xdr:from>
    <xdr:ext cx="200025" cy="200025"/>
    <xdr:pic>
      <xdr:nvPicPr>
        <xdr:cNvPr id="16" name="image1.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xdr:row>
      <xdr:rowOff>0</xdr:rowOff>
    </xdr:from>
    <xdr:ext cx="200025" cy="200025"/>
    <xdr:pic>
      <xdr:nvPicPr>
        <xdr:cNvPr id="17" name="image7.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13</xdr:row>
      <xdr:rowOff>0</xdr:rowOff>
    </xdr:from>
    <xdr:ext cx="200025" cy="200025"/>
    <xdr:pic>
      <xdr:nvPicPr>
        <xdr:cNvPr id="18" name="image10.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xdr:row>
      <xdr:rowOff>0</xdr:rowOff>
    </xdr:from>
    <xdr:ext cx="200025" cy="200025"/>
    <xdr:pic>
      <xdr:nvPicPr>
        <xdr:cNvPr id="19" name="image10.pn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15</xdr:row>
      <xdr:rowOff>0</xdr:rowOff>
    </xdr:from>
    <xdr:ext cx="200025" cy="200025"/>
    <xdr:pic>
      <xdr:nvPicPr>
        <xdr:cNvPr id="20" name="image8.pn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xdr:row>
      <xdr:rowOff>0</xdr:rowOff>
    </xdr:from>
    <xdr:ext cx="200025" cy="200025"/>
    <xdr:pic>
      <xdr:nvPicPr>
        <xdr:cNvPr id="21" name="image6.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xdr:row>
      <xdr:rowOff>0</xdr:rowOff>
    </xdr:from>
    <xdr:ext cx="200025" cy="200025"/>
    <xdr:pic>
      <xdr:nvPicPr>
        <xdr:cNvPr id="22" name="image5.pn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16</xdr:row>
      <xdr:rowOff>0</xdr:rowOff>
    </xdr:from>
    <xdr:ext cx="200025" cy="200025"/>
    <xdr:pic>
      <xdr:nvPicPr>
        <xdr:cNvPr id="23" name="image1.pn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xdr:row>
      <xdr:rowOff>0</xdr:rowOff>
    </xdr:from>
    <xdr:ext cx="200025" cy="200025"/>
    <xdr:pic>
      <xdr:nvPicPr>
        <xdr:cNvPr id="24" name="image1.pn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xdr:row>
      <xdr:rowOff>0</xdr:rowOff>
    </xdr:from>
    <xdr:ext cx="200025" cy="200025"/>
    <xdr:pic>
      <xdr:nvPicPr>
        <xdr:cNvPr id="25" name="image10.pn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xdr:row>
      <xdr:rowOff>0</xdr:rowOff>
    </xdr:from>
    <xdr:ext cx="200025" cy="200025"/>
    <xdr:pic>
      <xdr:nvPicPr>
        <xdr:cNvPr id="26" name="image2.png">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xdr:row>
      <xdr:rowOff>0</xdr:rowOff>
    </xdr:from>
    <xdr:ext cx="200025" cy="200025"/>
    <xdr:pic>
      <xdr:nvPicPr>
        <xdr:cNvPr id="27" name="image11.png">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xdr:row>
      <xdr:rowOff>0</xdr:rowOff>
    </xdr:from>
    <xdr:ext cx="200025" cy="200025"/>
    <xdr:pic>
      <xdr:nvPicPr>
        <xdr:cNvPr id="28" name="image1.png">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xdr:row>
      <xdr:rowOff>0</xdr:rowOff>
    </xdr:from>
    <xdr:ext cx="200025" cy="200025"/>
    <xdr:pic>
      <xdr:nvPicPr>
        <xdr:cNvPr id="29" name="image1.png">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21</xdr:row>
      <xdr:rowOff>0</xdr:rowOff>
    </xdr:from>
    <xdr:ext cx="200025" cy="200025"/>
    <xdr:pic>
      <xdr:nvPicPr>
        <xdr:cNvPr id="30" name="image8.pn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200025" cy="200025"/>
    <xdr:pic>
      <xdr:nvPicPr>
        <xdr:cNvPr id="31" name="image1.png">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21</xdr:row>
      <xdr:rowOff>0</xdr:rowOff>
    </xdr:from>
    <xdr:ext cx="200025" cy="200025"/>
    <xdr:pic>
      <xdr:nvPicPr>
        <xdr:cNvPr id="32" name="image4.pn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21</xdr:row>
      <xdr:rowOff>0</xdr:rowOff>
    </xdr:from>
    <xdr:ext cx="200025" cy="200025"/>
    <xdr:pic>
      <xdr:nvPicPr>
        <xdr:cNvPr id="33" name="image2.pn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22</xdr:row>
      <xdr:rowOff>0</xdr:rowOff>
    </xdr:from>
    <xdr:ext cx="200025" cy="200025"/>
    <xdr:pic>
      <xdr:nvPicPr>
        <xdr:cNvPr id="34" name="image2.png">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23</xdr:row>
      <xdr:rowOff>0</xdr:rowOff>
    </xdr:from>
    <xdr:ext cx="200025" cy="200025"/>
    <xdr:pic>
      <xdr:nvPicPr>
        <xdr:cNvPr id="35" name="image2.png">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24</xdr:row>
      <xdr:rowOff>0</xdr:rowOff>
    </xdr:from>
    <xdr:ext cx="200025" cy="200025"/>
    <xdr:pic>
      <xdr:nvPicPr>
        <xdr:cNvPr id="36" name="image10.png">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24</xdr:row>
      <xdr:rowOff>0</xdr:rowOff>
    </xdr:from>
    <xdr:ext cx="200025" cy="200025"/>
    <xdr:pic>
      <xdr:nvPicPr>
        <xdr:cNvPr id="37" name="image6.png">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24</xdr:row>
      <xdr:rowOff>0</xdr:rowOff>
    </xdr:from>
    <xdr:ext cx="200025" cy="200025"/>
    <xdr:pic>
      <xdr:nvPicPr>
        <xdr:cNvPr id="38" name="image3.png">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24</xdr:row>
      <xdr:rowOff>0</xdr:rowOff>
    </xdr:from>
    <xdr:ext cx="200025" cy="200025"/>
    <xdr:pic>
      <xdr:nvPicPr>
        <xdr:cNvPr id="39" name="image9.png">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25</xdr:row>
      <xdr:rowOff>0</xdr:rowOff>
    </xdr:from>
    <xdr:ext cx="200025" cy="200025"/>
    <xdr:pic>
      <xdr:nvPicPr>
        <xdr:cNvPr id="40" name="image9.png">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26</xdr:row>
      <xdr:rowOff>0</xdr:rowOff>
    </xdr:from>
    <xdr:ext cx="200025" cy="200025"/>
    <xdr:pic>
      <xdr:nvPicPr>
        <xdr:cNvPr id="41" name="image9.png">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27</xdr:row>
      <xdr:rowOff>0</xdr:rowOff>
    </xdr:from>
    <xdr:ext cx="200025" cy="200025"/>
    <xdr:pic>
      <xdr:nvPicPr>
        <xdr:cNvPr id="42" name="image10.png">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27</xdr:row>
      <xdr:rowOff>0</xdr:rowOff>
    </xdr:from>
    <xdr:ext cx="200025" cy="200025"/>
    <xdr:pic>
      <xdr:nvPicPr>
        <xdr:cNvPr id="43" name="image2.png">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27</xdr:row>
      <xdr:rowOff>0</xdr:rowOff>
    </xdr:from>
    <xdr:ext cx="200025" cy="200025"/>
    <xdr:pic>
      <xdr:nvPicPr>
        <xdr:cNvPr id="44" name="image12.png">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27</xdr:row>
      <xdr:rowOff>0</xdr:rowOff>
    </xdr:from>
    <xdr:ext cx="200025" cy="200025"/>
    <xdr:pic>
      <xdr:nvPicPr>
        <xdr:cNvPr id="45" name="image12.png">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28</xdr:row>
      <xdr:rowOff>0</xdr:rowOff>
    </xdr:from>
    <xdr:ext cx="200025" cy="200025"/>
    <xdr:pic>
      <xdr:nvPicPr>
        <xdr:cNvPr id="46" name="image12.png">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29</xdr:row>
      <xdr:rowOff>0</xdr:rowOff>
    </xdr:from>
    <xdr:ext cx="200025" cy="200025"/>
    <xdr:pic>
      <xdr:nvPicPr>
        <xdr:cNvPr id="47" name="image6.png">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30</xdr:row>
      <xdr:rowOff>0</xdr:rowOff>
    </xdr:from>
    <xdr:ext cx="200025" cy="200025"/>
    <xdr:pic>
      <xdr:nvPicPr>
        <xdr:cNvPr id="48" name="image8.png">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30</xdr:row>
      <xdr:rowOff>0</xdr:rowOff>
    </xdr:from>
    <xdr:ext cx="200025" cy="200025"/>
    <xdr:pic>
      <xdr:nvPicPr>
        <xdr:cNvPr id="49" name="image9.png">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30</xdr:row>
      <xdr:rowOff>0</xdr:rowOff>
    </xdr:from>
    <xdr:ext cx="200025" cy="200025"/>
    <xdr:pic>
      <xdr:nvPicPr>
        <xdr:cNvPr id="50" name="image5.png">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32</xdr:row>
      <xdr:rowOff>0</xdr:rowOff>
    </xdr:from>
    <xdr:ext cx="200025" cy="200025"/>
    <xdr:pic>
      <xdr:nvPicPr>
        <xdr:cNvPr id="51" name="image1.png">
          <a:extLst>
            <a:ext uri="{FF2B5EF4-FFF2-40B4-BE49-F238E27FC236}">
              <a16:creationId xmlns:a16="http://schemas.microsoft.com/office/drawing/2014/main" id="{00000000-0008-0000-0200-00003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33</xdr:row>
      <xdr:rowOff>0</xdr:rowOff>
    </xdr:from>
    <xdr:ext cx="200025" cy="200025"/>
    <xdr:pic>
      <xdr:nvPicPr>
        <xdr:cNvPr id="52" name="image10.png">
          <a:extLst>
            <a:ext uri="{FF2B5EF4-FFF2-40B4-BE49-F238E27FC236}">
              <a16:creationId xmlns:a16="http://schemas.microsoft.com/office/drawing/2014/main" id="{00000000-0008-0000-02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33</xdr:row>
      <xdr:rowOff>0</xdr:rowOff>
    </xdr:from>
    <xdr:ext cx="200025" cy="200025"/>
    <xdr:pic>
      <xdr:nvPicPr>
        <xdr:cNvPr id="53" name="image6.png">
          <a:extLst>
            <a:ext uri="{FF2B5EF4-FFF2-40B4-BE49-F238E27FC236}">
              <a16:creationId xmlns:a16="http://schemas.microsoft.com/office/drawing/2014/main" id="{00000000-0008-0000-0200-00003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33</xdr:row>
      <xdr:rowOff>0</xdr:rowOff>
    </xdr:from>
    <xdr:ext cx="200025" cy="200025"/>
    <xdr:pic>
      <xdr:nvPicPr>
        <xdr:cNvPr id="54" name="image3.png">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33</xdr:row>
      <xdr:rowOff>0</xdr:rowOff>
    </xdr:from>
    <xdr:ext cx="200025" cy="200025"/>
    <xdr:pic>
      <xdr:nvPicPr>
        <xdr:cNvPr id="55" name="image3.png">
          <a:extLst>
            <a:ext uri="{FF2B5EF4-FFF2-40B4-BE49-F238E27FC236}">
              <a16:creationId xmlns:a16="http://schemas.microsoft.com/office/drawing/2014/main" id="{00000000-0008-0000-0200-00003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34</xdr:row>
      <xdr:rowOff>0</xdr:rowOff>
    </xdr:from>
    <xdr:ext cx="200025" cy="200025"/>
    <xdr:pic>
      <xdr:nvPicPr>
        <xdr:cNvPr id="56" name="image6.png">
          <a:extLst>
            <a:ext uri="{FF2B5EF4-FFF2-40B4-BE49-F238E27FC236}">
              <a16:creationId xmlns:a16="http://schemas.microsoft.com/office/drawing/2014/main" id="{00000000-0008-0000-0200-00003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35</xdr:row>
      <xdr:rowOff>0</xdr:rowOff>
    </xdr:from>
    <xdr:ext cx="200025" cy="200025"/>
    <xdr:pic>
      <xdr:nvPicPr>
        <xdr:cNvPr id="57" name="image8.png">
          <a:extLst>
            <a:ext uri="{FF2B5EF4-FFF2-40B4-BE49-F238E27FC236}">
              <a16:creationId xmlns:a16="http://schemas.microsoft.com/office/drawing/2014/main" id="{00000000-0008-0000-0200-00003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35</xdr:row>
      <xdr:rowOff>0</xdr:rowOff>
    </xdr:from>
    <xdr:ext cx="200025" cy="200025"/>
    <xdr:pic>
      <xdr:nvPicPr>
        <xdr:cNvPr id="58" name="image2.png">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35</xdr:row>
      <xdr:rowOff>0</xdr:rowOff>
    </xdr:from>
    <xdr:ext cx="200025" cy="200025"/>
    <xdr:pic>
      <xdr:nvPicPr>
        <xdr:cNvPr id="59" name="image12.png">
          <a:extLst>
            <a:ext uri="{FF2B5EF4-FFF2-40B4-BE49-F238E27FC236}">
              <a16:creationId xmlns:a16="http://schemas.microsoft.com/office/drawing/2014/main" id="{00000000-0008-0000-0200-00003B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35</xdr:row>
      <xdr:rowOff>0</xdr:rowOff>
    </xdr:from>
    <xdr:ext cx="200025" cy="200025"/>
    <xdr:pic>
      <xdr:nvPicPr>
        <xdr:cNvPr id="60" name="image10.png">
          <a:extLst>
            <a:ext uri="{FF2B5EF4-FFF2-40B4-BE49-F238E27FC236}">
              <a16:creationId xmlns:a16="http://schemas.microsoft.com/office/drawing/2014/main" id="{00000000-0008-0000-02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36</xdr:row>
      <xdr:rowOff>0</xdr:rowOff>
    </xdr:from>
    <xdr:ext cx="200025" cy="200025"/>
    <xdr:pic>
      <xdr:nvPicPr>
        <xdr:cNvPr id="61" name="image10.png">
          <a:extLst>
            <a:ext uri="{FF2B5EF4-FFF2-40B4-BE49-F238E27FC236}">
              <a16:creationId xmlns:a16="http://schemas.microsoft.com/office/drawing/2014/main" id="{00000000-0008-0000-02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37</xdr:row>
      <xdr:rowOff>0</xdr:rowOff>
    </xdr:from>
    <xdr:ext cx="200025" cy="200025"/>
    <xdr:pic>
      <xdr:nvPicPr>
        <xdr:cNvPr id="62" name="image10.png">
          <a:extLst>
            <a:ext uri="{FF2B5EF4-FFF2-40B4-BE49-F238E27FC236}">
              <a16:creationId xmlns:a16="http://schemas.microsoft.com/office/drawing/2014/main" id="{00000000-0008-0000-02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38</xdr:row>
      <xdr:rowOff>0</xdr:rowOff>
    </xdr:from>
    <xdr:ext cx="200025" cy="200025"/>
    <xdr:pic>
      <xdr:nvPicPr>
        <xdr:cNvPr id="63" name="image10.png">
          <a:extLst>
            <a:ext uri="{FF2B5EF4-FFF2-40B4-BE49-F238E27FC236}">
              <a16:creationId xmlns:a16="http://schemas.microsoft.com/office/drawing/2014/main" id="{00000000-0008-0000-02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38</xdr:row>
      <xdr:rowOff>0</xdr:rowOff>
    </xdr:from>
    <xdr:ext cx="200025" cy="200025"/>
    <xdr:pic>
      <xdr:nvPicPr>
        <xdr:cNvPr id="64" name="image2.png">
          <a:extLst>
            <a:ext uri="{FF2B5EF4-FFF2-40B4-BE49-F238E27FC236}">
              <a16:creationId xmlns:a16="http://schemas.microsoft.com/office/drawing/2014/main" id="{00000000-0008-0000-0200-000040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38</xdr:row>
      <xdr:rowOff>0</xdr:rowOff>
    </xdr:from>
    <xdr:ext cx="200025" cy="200025"/>
    <xdr:pic>
      <xdr:nvPicPr>
        <xdr:cNvPr id="65" name="image6.png">
          <a:extLst>
            <a:ext uri="{FF2B5EF4-FFF2-40B4-BE49-F238E27FC236}">
              <a16:creationId xmlns:a16="http://schemas.microsoft.com/office/drawing/2014/main" id="{00000000-0008-0000-0200-00004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38</xdr:row>
      <xdr:rowOff>0</xdr:rowOff>
    </xdr:from>
    <xdr:ext cx="200025" cy="200025"/>
    <xdr:pic>
      <xdr:nvPicPr>
        <xdr:cNvPr id="66" name="image1.png">
          <a:extLst>
            <a:ext uri="{FF2B5EF4-FFF2-40B4-BE49-F238E27FC236}">
              <a16:creationId xmlns:a16="http://schemas.microsoft.com/office/drawing/2014/main" id="{00000000-0008-0000-0200-00004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39</xdr:row>
      <xdr:rowOff>0</xdr:rowOff>
    </xdr:from>
    <xdr:ext cx="200025" cy="200025"/>
    <xdr:pic>
      <xdr:nvPicPr>
        <xdr:cNvPr id="67" name="image1.png">
          <a:extLst>
            <a:ext uri="{FF2B5EF4-FFF2-40B4-BE49-F238E27FC236}">
              <a16:creationId xmlns:a16="http://schemas.microsoft.com/office/drawing/2014/main" id="{00000000-0008-0000-0200-00004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40</xdr:row>
      <xdr:rowOff>0</xdr:rowOff>
    </xdr:from>
    <xdr:ext cx="200025" cy="200025"/>
    <xdr:pic>
      <xdr:nvPicPr>
        <xdr:cNvPr id="68" name="image10.png">
          <a:extLst>
            <a:ext uri="{FF2B5EF4-FFF2-40B4-BE49-F238E27FC236}">
              <a16:creationId xmlns:a16="http://schemas.microsoft.com/office/drawing/2014/main" id="{00000000-0008-0000-02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40</xdr:row>
      <xdr:rowOff>0</xdr:rowOff>
    </xdr:from>
    <xdr:ext cx="200025" cy="200025"/>
    <xdr:pic>
      <xdr:nvPicPr>
        <xdr:cNvPr id="69" name="image1.png">
          <a:extLst>
            <a:ext uri="{FF2B5EF4-FFF2-40B4-BE49-F238E27FC236}">
              <a16:creationId xmlns:a16="http://schemas.microsoft.com/office/drawing/2014/main" id="{00000000-0008-0000-0200-00004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40</xdr:row>
      <xdr:rowOff>0</xdr:rowOff>
    </xdr:from>
    <xdr:ext cx="200025" cy="200025"/>
    <xdr:pic>
      <xdr:nvPicPr>
        <xdr:cNvPr id="70" name="image4.png">
          <a:extLst>
            <a:ext uri="{FF2B5EF4-FFF2-40B4-BE49-F238E27FC236}">
              <a16:creationId xmlns:a16="http://schemas.microsoft.com/office/drawing/2014/main" id="{00000000-0008-0000-0200-00004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41</xdr:row>
      <xdr:rowOff>0</xdr:rowOff>
    </xdr:from>
    <xdr:ext cx="200025" cy="200025"/>
    <xdr:pic>
      <xdr:nvPicPr>
        <xdr:cNvPr id="71" name="image5.png">
          <a:extLst>
            <a:ext uri="{FF2B5EF4-FFF2-40B4-BE49-F238E27FC236}">
              <a16:creationId xmlns:a16="http://schemas.microsoft.com/office/drawing/2014/main" id="{00000000-0008-0000-0200-00004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42</xdr:row>
      <xdr:rowOff>0</xdr:rowOff>
    </xdr:from>
    <xdr:ext cx="200025" cy="200025"/>
    <xdr:pic>
      <xdr:nvPicPr>
        <xdr:cNvPr id="72" name="image3.png">
          <a:extLst>
            <a:ext uri="{FF2B5EF4-FFF2-40B4-BE49-F238E27FC236}">
              <a16:creationId xmlns:a16="http://schemas.microsoft.com/office/drawing/2014/main" id="{00000000-0008-0000-0200-000048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43</xdr:row>
      <xdr:rowOff>0</xdr:rowOff>
    </xdr:from>
    <xdr:ext cx="200025" cy="200025"/>
    <xdr:pic>
      <xdr:nvPicPr>
        <xdr:cNvPr id="73" name="image10.png">
          <a:extLst>
            <a:ext uri="{FF2B5EF4-FFF2-40B4-BE49-F238E27FC236}">
              <a16:creationId xmlns:a16="http://schemas.microsoft.com/office/drawing/2014/main" id="{00000000-0008-0000-02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43</xdr:row>
      <xdr:rowOff>0</xdr:rowOff>
    </xdr:from>
    <xdr:ext cx="200025" cy="200025"/>
    <xdr:pic>
      <xdr:nvPicPr>
        <xdr:cNvPr id="74" name="image6.png">
          <a:extLst>
            <a:ext uri="{FF2B5EF4-FFF2-40B4-BE49-F238E27FC236}">
              <a16:creationId xmlns:a16="http://schemas.microsoft.com/office/drawing/2014/main" id="{00000000-0008-0000-0200-00004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43</xdr:row>
      <xdr:rowOff>0</xdr:rowOff>
    </xdr:from>
    <xdr:ext cx="200025" cy="200025"/>
    <xdr:pic>
      <xdr:nvPicPr>
        <xdr:cNvPr id="75" name="image7.png">
          <a:extLst>
            <a:ext uri="{FF2B5EF4-FFF2-40B4-BE49-F238E27FC236}">
              <a16:creationId xmlns:a16="http://schemas.microsoft.com/office/drawing/2014/main" id="{00000000-0008-0000-0200-00004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46</xdr:row>
      <xdr:rowOff>0</xdr:rowOff>
    </xdr:from>
    <xdr:ext cx="200025" cy="200025"/>
    <xdr:pic>
      <xdr:nvPicPr>
        <xdr:cNvPr id="76" name="image10.png">
          <a:extLst>
            <a:ext uri="{FF2B5EF4-FFF2-40B4-BE49-F238E27FC236}">
              <a16:creationId xmlns:a16="http://schemas.microsoft.com/office/drawing/2014/main" id="{00000000-0008-0000-02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46</xdr:row>
      <xdr:rowOff>0</xdr:rowOff>
    </xdr:from>
    <xdr:ext cx="200025" cy="200025"/>
    <xdr:pic>
      <xdr:nvPicPr>
        <xdr:cNvPr id="77" name="image11.png">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49</xdr:row>
      <xdr:rowOff>0</xdr:rowOff>
    </xdr:from>
    <xdr:ext cx="200025" cy="200025"/>
    <xdr:pic>
      <xdr:nvPicPr>
        <xdr:cNvPr id="78" name="image8.png">
          <a:extLst>
            <a:ext uri="{FF2B5EF4-FFF2-40B4-BE49-F238E27FC236}">
              <a16:creationId xmlns:a16="http://schemas.microsoft.com/office/drawing/2014/main" id="{00000000-0008-0000-0200-00004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49</xdr:row>
      <xdr:rowOff>0</xdr:rowOff>
    </xdr:from>
    <xdr:ext cx="200025" cy="200025"/>
    <xdr:pic>
      <xdr:nvPicPr>
        <xdr:cNvPr id="79" name="image2.png">
          <a:extLst>
            <a:ext uri="{FF2B5EF4-FFF2-40B4-BE49-F238E27FC236}">
              <a16:creationId xmlns:a16="http://schemas.microsoft.com/office/drawing/2014/main" id="{00000000-0008-0000-0200-00004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49</xdr:row>
      <xdr:rowOff>0</xdr:rowOff>
    </xdr:from>
    <xdr:ext cx="200025" cy="200025"/>
    <xdr:pic>
      <xdr:nvPicPr>
        <xdr:cNvPr id="80" name="image7.png">
          <a:extLst>
            <a:ext uri="{FF2B5EF4-FFF2-40B4-BE49-F238E27FC236}">
              <a16:creationId xmlns:a16="http://schemas.microsoft.com/office/drawing/2014/main" id="{00000000-0008-0000-0200-00005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50</xdr:row>
      <xdr:rowOff>0</xdr:rowOff>
    </xdr:from>
    <xdr:ext cx="200025" cy="200025"/>
    <xdr:pic>
      <xdr:nvPicPr>
        <xdr:cNvPr id="81" name="image12.png">
          <a:extLst>
            <a:ext uri="{FF2B5EF4-FFF2-40B4-BE49-F238E27FC236}">
              <a16:creationId xmlns:a16="http://schemas.microsoft.com/office/drawing/2014/main" id="{00000000-0008-0000-0200-000051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52</xdr:row>
      <xdr:rowOff>0</xdr:rowOff>
    </xdr:from>
    <xdr:ext cx="200025" cy="200025"/>
    <xdr:pic>
      <xdr:nvPicPr>
        <xdr:cNvPr id="82" name="image10.png">
          <a:extLst>
            <a:ext uri="{FF2B5EF4-FFF2-40B4-BE49-F238E27FC236}">
              <a16:creationId xmlns:a16="http://schemas.microsoft.com/office/drawing/2014/main" id="{00000000-0008-0000-02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52</xdr:row>
      <xdr:rowOff>0</xdr:rowOff>
    </xdr:from>
    <xdr:ext cx="200025" cy="200025"/>
    <xdr:pic>
      <xdr:nvPicPr>
        <xdr:cNvPr id="83" name="image9.png">
          <a:extLst>
            <a:ext uri="{FF2B5EF4-FFF2-40B4-BE49-F238E27FC236}">
              <a16:creationId xmlns:a16="http://schemas.microsoft.com/office/drawing/2014/main" id="{00000000-0008-0000-0200-00005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52</xdr:row>
      <xdr:rowOff>0</xdr:rowOff>
    </xdr:from>
    <xdr:ext cx="200025" cy="200025"/>
    <xdr:pic>
      <xdr:nvPicPr>
        <xdr:cNvPr id="84" name="image12.png">
          <a:extLst>
            <a:ext uri="{FF2B5EF4-FFF2-40B4-BE49-F238E27FC236}">
              <a16:creationId xmlns:a16="http://schemas.microsoft.com/office/drawing/2014/main" id="{00000000-0008-0000-0200-000054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54</xdr:row>
      <xdr:rowOff>0</xdr:rowOff>
    </xdr:from>
    <xdr:ext cx="200025" cy="200025"/>
    <xdr:pic>
      <xdr:nvPicPr>
        <xdr:cNvPr id="85" name="image6.png">
          <a:extLst>
            <a:ext uri="{FF2B5EF4-FFF2-40B4-BE49-F238E27FC236}">
              <a16:creationId xmlns:a16="http://schemas.microsoft.com/office/drawing/2014/main" id="{00000000-0008-0000-0200-00005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55</xdr:row>
      <xdr:rowOff>0</xdr:rowOff>
    </xdr:from>
    <xdr:ext cx="200025" cy="200025"/>
    <xdr:pic>
      <xdr:nvPicPr>
        <xdr:cNvPr id="86" name="image8.png">
          <a:extLst>
            <a:ext uri="{FF2B5EF4-FFF2-40B4-BE49-F238E27FC236}">
              <a16:creationId xmlns:a16="http://schemas.microsoft.com/office/drawing/2014/main" id="{00000000-0008-0000-0200-00005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55</xdr:row>
      <xdr:rowOff>0</xdr:rowOff>
    </xdr:from>
    <xdr:ext cx="200025" cy="200025"/>
    <xdr:pic>
      <xdr:nvPicPr>
        <xdr:cNvPr id="87" name="image1.png">
          <a:extLst>
            <a:ext uri="{FF2B5EF4-FFF2-40B4-BE49-F238E27FC236}">
              <a16:creationId xmlns:a16="http://schemas.microsoft.com/office/drawing/2014/main" id="{00000000-0008-0000-0200-00005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55</xdr:row>
      <xdr:rowOff>0</xdr:rowOff>
    </xdr:from>
    <xdr:ext cx="200025" cy="200025"/>
    <xdr:pic>
      <xdr:nvPicPr>
        <xdr:cNvPr id="88" name="image7.png">
          <a:extLst>
            <a:ext uri="{FF2B5EF4-FFF2-40B4-BE49-F238E27FC236}">
              <a16:creationId xmlns:a16="http://schemas.microsoft.com/office/drawing/2014/main" id="{00000000-0008-0000-0200-00005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57</xdr:row>
      <xdr:rowOff>0</xdr:rowOff>
    </xdr:from>
    <xdr:ext cx="200025" cy="200025"/>
    <xdr:pic>
      <xdr:nvPicPr>
        <xdr:cNvPr id="89" name="image8.png">
          <a:extLst>
            <a:ext uri="{FF2B5EF4-FFF2-40B4-BE49-F238E27FC236}">
              <a16:creationId xmlns:a16="http://schemas.microsoft.com/office/drawing/2014/main" id="{00000000-0008-0000-0200-00005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57</xdr:row>
      <xdr:rowOff>0</xdr:rowOff>
    </xdr:from>
    <xdr:ext cx="200025" cy="200025"/>
    <xdr:pic>
      <xdr:nvPicPr>
        <xdr:cNvPr id="90" name="image2.png">
          <a:extLst>
            <a:ext uri="{FF2B5EF4-FFF2-40B4-BE49-F238E27FC236}">
              <a16:creationId xmlns:a16="http://schemas.microsoft.com/office/drawing/2014/main" id="{00000000-0008-0000-0200-00005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57</xdr:row>
      <xdr:rowOff>0</xdr:rowOff>
    </xdr:from>
    <xdr:ext cx="200025" cy="200025"/>
    <xdr:pic>
      <xdr:nvPicPr>
        <xdr:cNvPr id="91" name="image11.png">
          <a:extLst>
            <a:ext uri="{FF2B5EF4-FFF2-40B4-BE49-F238E27FC236}">
              <a16:creationId xmlns:a16="http://schemas.microsoft.com/office/drawing/2014/main" id="{00000000-0008-0000-0200-00005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57</xdr:row>
      <xdr:rowOff>0</xdr:rowOff>
    </xdr:from>
    <xdr:ext cx="200025" cy="200025"/>
    <xdr:pic>
      <xdr:nvPicPr>
        <xdr:cNvPr id="92" name="image10.png">
          <a:extLst>
            <a:ext uri="{FF2B5EF4-FFF2-40B4-BE49-F238E27FC236}">
              <a16:creationId xmlns:a16="http://schemas.microsoft.com/office/drawing/2014/main" id="{00000000-0008-0000-02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59</xdr:row>
      <xdr:rowOff>0</xdr:rowOff>
    </xdr:from>
    <xdr:ext cx="200025" cy="200025"/>
    <xdr:pic>
      <xdr:nvPicPr>
        <xdr:cNvPr id="93" name="image10.png">
          <a:extLst>
            <a:ext uri="{FF2B5EF4-FFF2-40B4-BE49-F238E27FC236}">
              <a16:creationId xmlns:a16="http://schemas.microsoft.com/office/drawing/2014/main" id="{00000000-0008-0000-02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60</xdr:row>
      <xdr:rowOff>0</xdr:rowOff>
    </xdr:from>
    <xdr:ext cx="200025" cy="200025"/>
    <xdr:pic>
      <xdr:nvPicPr>
        <xdr:cNvPr id="94" name="image8.png">
          <a:extLst>
            <a:ext uri="{FF2B5EF4-FFF2-40B4-BE49-F238E27FC236}">
              <a16:creationId xmlns:a16="http://schemas.microsoft.com/office/drawing/2014/main" id="{00000000-0008-0000-0200-00005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60</xdr:row>
      <xdr:rowOff>0</xdr:rowOff>
    </xdr:from>
    <xdr:ext cx="200025" cy="200025"/>
    <xdr:pic>
      <xdr:nvPicPr>
        <xdr:cNvPr id="95" name="image6.png">
          <a:extLst>
            <a:ext uri="{FF2B5EF4-FFF2-40B4-BE49-F238E27FC236}">
              <a16:creationId xmlns:a16="http://schemas.microsoft.com/office/drawing/2014/main" id="{00000000-0008-0000-0200-00005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60</xdr:row>
      <xdr:rowOff>0</xdr:rowOff>
    </xdr:from>
    <xdr:ext cx="200025" cy="200025"/>
    <xdr:pic>
      <xdr:nvPicPr>
        <xdr:cNvPr id="96" name="image5.png">
          <a:extLst>
            <a:ext uri="{FF2B5EF4-FFF2-40B4-BE49-F238E27FC236}">
              <a16:creationId xmlns:a16="http://schemas.microsoft.com/office/drawing/2014/main" id="{00000000-0008-0000-0200-00006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60</xdr:row>
      <xdr:rowOff>0</xdr:rowOff>
    </xdr:from>
    <xdr:ext cx="200025" cy="200025"/>
    <xdr:pic>
      <xdr:nvPicPr>
        <xdr:cNvPr id="97" name="image1.png">
          <a:extLst>
            <a:ext uri="{FF2B5EF4-FFF2-40B4-BE49-F238E27FC236}">
              <a16:creationId xmlns:a16="http://schemas.microsoft.com/office/drawing/2014/main" id="{00000000-0008-0000-0200-00006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61</xdr:row>
      <xdr:rowOff>0</xdr:rowOff>
    </xdr:from>
    <xdr:ext cx="200025" cy="200025"/>
    <xdr:pic>
      <xdr:nvPicPr>
        <xdr:cNvPr id="98" name="image1.png">
          <a:extLst>
            <a:ext uri="{FF2B5EF4-FFF2-40B4-BE49-F238E27FC236}">
              <a16:creationId xmlns:a16="http://schemas.microsoft.com/office/drawing/2014/main" id="{00000000-0008-0000-0200-00006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62</xdr:row>
      <xdr:rowOff>0</xdr:rowOff>
    </xdr:from>
    <xdr:ext cx="200025" cy="200025"/>
    <xdr:pic>
      <xdr:nvPicPr>
        <xdr:cNvPr id="99" name="image1.png">
          <a:extLst>
            <a:ext uri="{FF2B5EF4-FFF2-40B4-BE49-F238E27FC236}">
              <a16:creationId xmlns:a16="http://schemas.microsoft.com/office/drawing/2014/main" id="{00000000-0008-0000-0200-00006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64</xdr:row>
      <xdr:rowOff>0</xdr:rowOff>
    </xdr:from>
    <xdr:ext cx="200025" cy="200025"/>
    <xdr:pic>
      <xdr:nvPicPr>
        <xdr:cNvPr id="100" name="image8.png">
          <a:extLst>
            <a:ext uri="{FF2B5EF4-FFF2-40B4-BE49-F238E27FC236}">
              <a16:creationId xmlns:a16="http://schemas.microsoft.com/office/drawing/2014/main" id="{00000000-0008-0000-0200-00006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64</xdr:row>
      <xdr:rowOff>0</xdr:rowOff>
    </xdr:from>
    <xdr:ext cx="200025" cy="200025"/>
    <xdr:pic>
      <xdr:nvPicPr>
        <xdr:cNvPr id="101" name="image2.png">
          <a:extLst>
            <a:ext uri="{FF2B5EF4-FFF2-40B4-BE49-F238E27FC236}">
              <a16:creationId xmlns:a16="http://schemas.microsoft.com/office/drawing/2014/main" id="{00000000-0008-0000-0200-00006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64</xdr:row>
      <xdr:rowOff>0</xdr:rowOff>
    </xdr:from>
    <xdr:ext cx="200025" cy="200025"/>
    <xdr:pic>
      <xdr:nvPicPr>
        <xdr:cNvPr id="102" name="image4.png">
          <a:extLst>
            <a:ext uri="{FF2B5EF4-FFF2-40B4-BE49-F238E27FC236}">
              <a16:creationId xmlns:a16="http://schemas.microsoft.com/office/drawing/2014/main" id="{00000000-0008-0000-0200-00006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64</xdr:row>
      <xdr:rowOff>0</xdr:rowOff>
    </xdr:from>
    <xdr:ext cx="200025" cy="200025"/>
    <xdr:pic>
      <xdr:nvPicPr>
        <xdr:cNvPr id="103" name="image11.png">
          <a:extLst>
            <a:ext uri="{FF2B5EF4-FFF2-40B4-BE49-F238E27FC236}">
              <a16:creationId xmlns:a16="http://schemas.microsoft.com/office/drawing/2014/main" id="{00000000-0008-0000-0200-00006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66</xdr:row>
      <xdr:rowOff>0</xdr:rowOff>
    </xdr:from>
    <xdr:ext cx="200025" cy="200025"/>
    <xdr:pic>
      <xdr:nvPicPr>
        <xdr:cNvPr id="104" name="image6.png">
          <a:extLst>
            <a:ext uri="{FF2B5EF4-FFF2-40B4-BE49-F238E27FC236}">
              <a16:creationId xmlns:a16="http://schemas.microsoft.com/office/drawing/2014/main" id="{00000000-0008-0000-0200-00006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67</xdr:row>
      <xdr:rowOff>0</xdr:rowOff>
    </xdr:from>
    <xdr:ext cx="200025" cy="200025"/>
    <xdr:pic>
      <xdr:nvPicPr>
        <xdr:cNvPr id="105" name="image10.png">
          <a:extLst>
            <a:ext uri="{FF2B5EF4-FFF2-40B4-BE49-F238E27FC236}">
              <a16:creationId xmlns:a16="http://schemas.microsoft.com/office/drawing/2014/main" id="{00000000-0008-0000-02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67</xdr:row>
      <xdr:rowOff>0</xdr:rowOff>
    </xdr:from>
    <xdr:ext cx="200025" cy="200025"/>
    <xdr:pic>
      <xdr:nvPicPr>
        <xdr:cNvPr id="106" name="image1.png">
          <a:extLst>
            <a:ext uri="{FF2B5EF4-FFF2-40B4-BE49-F238E27FC236}">
              <a16:creationId xmlns:a16="http://schemas.microsoft.com/office/drawing/2014/main" id="{00000000-0008-0000-0200-00006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67</xdr:row>
      <xdr:rowOff>0</xdr:rowOff>
    </xdr:from>
    <xdr:ext cx="200025" cy="200025"/>
    <xdr:pic>
      <xdr:nvPicPr>
        <xdr:cNvPr id="107" name="image3.png">
          <a:extLst>
            <a:ext uri="{FF2B5EF4-FFF2-40B4-BE49-F238E27FC236}">
              <a16:creationId xmlns:a16="http://schemas.microsoft.com/office/drawing/2014/main" id="{00000000-0008-0000-0200-00006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68</xdr:row>
      <xdr:rowOff>0</xdr:rowOff>
    </xdr:from>
    <xdr:ext cx="200025" cy="200025"/>
    <xdr:pic>
      <xdr:nvPicPr>
        <xdr:cNvPr id="108" name="image9.png">
          <a:extLst>
            <a:ext uri="{FF2B5EF4-FFF2-40B4-BE49-F238E27FC236}">
              <a16:creationId xmlns:a16="http://schemas.microsoft.com/office/drawing/2014/main" id="{00000000-0008-0000-0200-00006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69</xdr:row>
      <xdr:rowOff>0</xdr:rowOff>
    </xdr:from>
    <xdr:ext cx="200025" cy="200025"/>
    <xdr:pic>
      <xdr:nvPicPr>
        <xdr:cNvPr id="109" name="image9.png">
          <a:extLst>
            <a:ext uri="{FF2B5EF4-FFF2-40B4-BE49-F238E27FC236}">
              <a16:creationId xmlns:a16="http://schemas.microsoft.com/office/drawing/2014/main" id="{00000000-0008-0000-0200-00006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72</xdr:row>
      <xdr:rowOff>0</xdr:rowOff>
    </xdr:from>
    <xdr:ext cx="200025" cy="200025"/>
    <xdr:pic>
      <xdr:nvPicPr>
        <xdr:cNvPr id="110" name="image8.png">
          <a:extLst>
            <a:ext uri="{FF2B5EF4-FFF2-40B4-BE49-F238E27FC236}">
              <a16:creationId xmlns:a16="http://schemas.microsoft.com/office/drawing/2014/main" id="{00000000-0008-0000-0200-00006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72</xdr:row>
      <xdr:rowOff>0</xdr:rowOff>
    </xdr:from>
    <xdr:ext cx="200025" cy="200025"/>
    <xdr:pic>
      <xdr:nvPicPr>
        <xdr:cNvPr id="111" name="image9.png">
          <a:extLst>
            <a:ext uri="{FF2B5EF4-FFF2-40B4-BE49-F238E27FC236}">
              <a16:creationId xmlns:a16="http://schemas.microsoft.com/office/drawing/2014/main" id="{00000000-0008-0000-0200-00006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72</xdr:row>
      <xdr:rowOff>0</xdr:rowOff>
    </xdr:from>
    <xdr:ext cx="200025" cy="200025"/>
    <xdr:pic>
      <xdr:nvPicPr>
        <xdr:cNvPr id="112" name="image11.png">
          <a:extLst>
            <a:ext uri="{FF2B5EF4-FFF2-40B4-BE49-F238E27FC236}">
              <a16:creationId xmlns:a16="http://schemas.microsoft.com/office/drawing/2014/main" id="{00000000-0008-0000-0200-00007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73</xdr:row>
      <xdr:rowOff>0</xdr:rowOff>
    </xdr:from>
    <xdr:ext cx="200025" cy="200025"/>
    <xdr:pic>
      <xdr:nvPicPr>
        <xdr:cNvPr id="113" name="image6.png">
          <a:extLst>
            <a:ext uri="{FF2B5EF4-FFF2-40B4-BE49-F238E27FC236}">
              <a16:creationId xmlns:a16="http://schemas.microsoft.com/office/drawing/2014/main" id="{00000000-0008-0000-0200-00007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74</xdr:row>
      <xdr:rowOff>0</xdr:rowOff>
    </xdr:from>
    <xdr:ext cx="200025" cy="200025"/>
    <xdr:pic>
      <xdr:nvPicPr>
        <xdr:cNvPr id="114" name="image6.png">
          <a:extLst>
            <a:ext uri="{FF2B5EF4-FFF2-40B4-BE49-F238E27FC236}">
              <a16:creationId xmlns:a16="http://schemas.microsoft.com/office/drawing/2014/main" id="{00000000-0008-0000-0200-00007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75</xdr:row>
      <xdr:rowOff>0</xdr:rowOff>
    </xdr:from>
    <xdr:ext cx="200025" cy="200025"/>
    <xdr:pic>
      <xdr:nvPicPr>
        <xdr:cNvPr id="115" name="image8.png">
          <a:extLst>
            <a:ext uri="{FF2B5EF4-FFF2-40B4-BE49-F238E27FC236}">
              <a16:creationId xmlns:a16="http://schemas.microsoft.com/office/drawing/2014/main" id="{00000000-0008-0000-0200-00007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75</xdr:row>
      <xdr:rowOff>0</xdr:rowOff>
    </xdr:from>
    <xdr:ext cx="200025" cy="200025"/>
    <xdr:pic>
      <xdr:nvPicPr>
        <xdr:cNvPr id="116" name="image2.png">
          <a:extLst>
            <a:ext uri="{FF2B5EF4-FFF2-40B4-BE49-F238E27FC236}">
              <a16:creationId xmlns:a16="http://schemas.microsoft.com/office/drawing/2014/main" id="{00000000-0008-0000-0200-000074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75</xdr:row>
      <xdr:rowOff>0</xdr:rowOff>
    </xdr:from>
    <xdr:ext cx="200025" cy="200025"/>
    <xdr:pic>
      <xdr:nvPicPr>
        <xdr:cNvPr id="117" name="image11.png">
          <a:extLst>
            <a:ext uri="{FF2B5EF4-FFF2-40B4-BE49-F238E27FC236}">
              <a16:creationId xmlns:a16="http://schemas.microsoft.com/office/drawing/2014/main" id="{00000000-0008-0000-0200-000075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76</xdr:row>
      <xdr:rowOff>0</xdr:rowOff>
    </xdr:from>
    <xdr:ext cx="200025" cy="200025"/>
    <xdr:pic>
      <xdr:nvPicPr>
        <xdr:cNvPr id="118" name="image12.png">
          <a:extLst>
            <a:ext uri="{FF2B5EF4-FFF2-40B4-BE49-F238E27FC236}">
              <a16:creationId xmlns:a16="http://schemas.microsoft.com/office/drawing/2014/main" id="{00000000-0008-0000-0200-000076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77</xdr:row>
      <xdr:rowOff>0</xdr:rowOff>
    </xdr:from>
    <xdr:ext cx="200025" cy="200025"/>
    <xdr:pic>
      <xdr:nvPicPr>
        <xdr:cNvPr id="119" name="image6.png">
          <a:extLst>
            <a:ext uri="{FF2B5EF4-FFF2-40B4-BE49-F238E27FC236}">
              <a16:creationId xmlns:a16="http://schemas.microsoft.com/office/drawing/2014/main" id="{00000000-0008-0000-0200-00007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78</xdr:row>
      <xdr:rowOff>0</xdr:rowOff>
    </xdr:from>
    <xdr:ext cx="200025" cy="200025"/>
    <xdr:pic>
      <xdr:nvPicPr>
        <xdr:cNvPr id="120" name="image10.png">
          <a:extLst>
            <a:ext uri="{FF2B5EF4-FFF2-40B4-BE49-F238E27FC236}">
              <a16:creationId xmlns:a16="http://schemas.microsoft.com/office/drawing/2014/main" id="{00000000-0008-0000-02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78</xdr:row>
      <xdr:rowOff>0</xdr:rowOff>
    </xdr:from>
    <xdr:ext cx="200025" cy="200025"/>
    <xdr:pic>
      <xdr:nvPicPr>
        <xdr:cNvPr id="121" name="image6.png">
          <a:extLst>
            <a:ext uri="{FF2B5EF4-FFF2-40B4-BE49-F238E27FC236}">
              <a16:creationId xmlns:a16="http://schemas.microsoft.com/office/drawing/2014/main" id="{00000000-0008-0000-0200-00007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78</xdr:row>
      <xdr:rowOff>0</xdr:rowOff>
    </xdr:from>
    <xdr:ext cx="200025" cy="200025"/>
    <xdr:pic>
      <xdr:nvPicPr>
        <xdr:cNvPr id="122" name="image11.png">
          <a:extLst>
            <a:ext uri="{FF2B5EF4-FFF2-40B4-BE49-F238E27FC236}">
              <a16:creationId xmlns:a16="http://schemas.microsoft.com/office/drawing/2014/main" id="{00000000-0008-0000-0200-00007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81</xdr:row>
      <xdr:rowOff>0</xdr:rowOff>
    </xdr:from>
    <xdr:ext cx="200025" cy="200025"/>
    <xdr:pic>
      <xdr:nvPicPr>
        <xdr:cNvPr id="123" name="image10.png">
          <a:extLst>
            <a:ext uri="{FF2B5EF4-FFF2-40B4-BE49-F238E27FC236}">
              <a16:creationId xmlns:a16="http://schemas.microsoft.com/office/drawing/2014/main" id="{00000000-0008-0000-02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81</xdr:row>
      <xdr:rowOff>0</xdr:rowOff>
    </xdr:from>
    <xdr:ext cx="200025" cy="200025"/>
    <xdr:pic>
      <xdr:nvPicPr>
        <xdr:cNvPr id="124" name="image9.png">
          <a:extLst>
            <a:ext uri="{FF2B5EF4-FFF2-40B4-BE49-F238E27FC236}">
              <a16:creationId xmlns:a16="http://schemas.microsoft.com/office/drawing/2014/main" id="{00000000-0008-0000-0200-00007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81</xdr:row>
      <xdr:rowOff>0</xdr:rowOff>
    </xdr:from>
    <xdr:ext cx="200025" cy="200025"/>
    <xdr:pic>
      <xdr:nvPicPr>
        <xdr:cNvPr id="125" name="image3.png">
          <a:extLst>
            <a:ext uri="{FF2B5EF4-FFF2-40B4-BE49-F238E27FC236}">
              <a16:creationId xmlns:a16="http://schemas.microsoft.com/office/drawing/2014/main" id="{00000000-0008-0000-0200-00007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81</xdr:row>
      <xdr:rowOff>0</xdr:rowOff>
    </xdr:from>
    <xdr:ext cx="200025" cy="200025"/>
    <xdr:pic>
      <xdr:nvPicPr>
        <xdr:cNvPr id="126" name="image11.png">
          <a:extLst>
            <a:ext uri="{FF2B5EF4-FFF2-40B4-BE49-F238E27FC236}">
              <a16:creationId xmlns:a16="http://schemas.microsoft.com/office/drawing/2014/main" id="{00000000-0008-0000-0200-00007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81</xdr:row>
      <xdr:rowOff>0</xdr:rowOff>
    </xdr:from>
    <xdr:ext cx="200025" cy="200025"/>
    <xdr:pic>
      <xdr:nvPicPr>
        <xdr:cNvPr id="127" name="image12.png">
          <a:extLst>
            <a:ext uri="{FF2B5EF4-FFF2-40B4-BE49-F238E27FC236}">
              <a16:creationId xmlns:a16="http://schemas.microsoft.com/office/drawing/2014/main" id="{00000000-0008-0000-0200-00007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82</xdr:row>
      <xdr:rowOff>0</xdr:rowOff>
    </xdr:from>
    <xdr:ext cx="200025" cy="200025"/>
    <xdr:pic>
      <xdr:nvPicPr>
        <xdr:cNvPr id="128" name="image6.png">
          <a:extLst>
            <a:ext uri="{FF2B5EF4-FFF2-40B4-BE49-F238E27FC236}">
              <a16:creationId xmlns:a16="http://schemas.microsoft.com/office/drawing/2014/main" id="{00000000-0008-0000-0200-000080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85</xdr:row>
      <xdr:rowOff>0</xdr:rowOff>
    </xdr:from>
    <xdr:ext cx="200025" cy="200025"/>
    <xdr:pic>
      <xdr:nvPicPr>
        <xdr:cNvPr id="129" name="image10.png">
          <a:extLst>
            <a:ext uri="{FF2B5EF4-FFF2-40B4-BE49-F238E27FC236}">
              <a16:creationId xmlns:a16="http://schemas.microsoft.com/office/drawing/2014/main" id="{00000000-0008-0000-02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86</xdr:row>
      <xdr:rowOff>0</xdr:rowOff>
    </xdr:from>
    <xdr:ext cx="200025" cy="200025"/>
    <xdr:pic>
      <xdr:nvPicPr>
        <xdr:cNvPr id="130" name="image10.png">
          <a:extLst>
            <a:ext uri="{FF2B5EF4-FFF2-40B4-BE49-F238E27FC236}">
              <a16:creationId xmlns:a16="http://schemas.microsoft.com/office/drawing/2014/main" id="{00000000-0008-0000-02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87</xdr:row>
      <xdr:rowOff>0</xdr:rowOff>
    </xdr:from>
    <xdr:ext cx="200025" cy="200025"/>
    <xdr:pic>
      <xdr:nvPicPr>
        <xdr:cNvPr id="131" name="image10.png">
          <a:extLst>
            <a:ext uri="{FF2B5EF4-FFF2-40B4-BE49-F238E27FC236}">
              <a16:creationId xmlns:a16="http://schemas.microsoft.com/office/drawing/2014/main" id="{00000000-0008-0000-02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88</xdr:row>
      <xdr:rowOff>0</xdr:rowOff>
    </xdr:from>
    <xdr:ext cx="200025" cy="200025"/>
    <xdr:pic>
      <xdr:nvPicPr>
        <xdr:cNvPr id="132" name="image10.png">
          <a:extLst>
            <a:ext uri="{FF2B5EF4-FFF2-40B4-BE49-F238E27FC236}">
              <a16:creationId xmlns:a16="http://schemas.microsoft.com/office/drawing/2014/main" id="{00000000-0008-0000-02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89</xdr:row>
      <xdr:rowOff>0</xdr:rowOff>
    </xdr:from>
    <xdr:ext cx="200025" cy="200025"/>
    <xdr:pic>
      <xdr:nvPicPr>
        <xdr:cNvPr id="133" name="image10.png">
          <a:extLst>
            <a:ext uri="{FF2B5EF4-FFF2-40B4-BE49-F238E27FC236}">
              <a16:creationId xmlns:a16="http://schemas.microsoft.com/office/drawing/2014/main" id="{00000000-0008-0000-02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92</xdr:row>
      <xdr:rowOff>0</xdr:rowOff>
    </xdr:from>
    <xdr:ext cx="200025" cy="200025"/>
    <xdr:pic>
      <xdr:nvPicPr>
        <xdr:cNvPr id="134" name="image8.png">
          <a:extLst>
            <a:ext uri="{FF2B5EF4-FFF2-40B4-BE49-F238E27FC236}">
              <a16:creationId xmlns:a16="http://schemas.microsoft.com/office/drawing/2014/main" id="{00000000-0008-0000-0200-00008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92</xdr:row>
      <xdr:rowOff>0</xdr:rowOff>
    </xdr:from>
    <xdr:ext cx="200025" cy="200025"/>
    <xdr:pic>
      <xdr:nvPicPr>
        <xdr:cNvPr id="135" name="image2.png">
          <a:extLst>
            <a:ext uri="{FF2B5EF4-FFF2-40B4-BE49-F238E27FC236}">
              <a16:creationId xmlns:a16="http://schemas.microsoft.com/office/drawing/2014/main" id="{00000000-0008-0000-0200-00008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92</xdr:row>
      <xdr:rowOff>0</xdr:rowOff>
    </xdr:from>
    <xdr:ext cx="200025" cy="200025"/>
    <xdr:pic>
      <xdr:nvPicPr>
        <xdr:cNvPr id="136" name="image3.png">
          <a:extLst>
            <a:ext uri="{FF2B5EF4-FFF2-40B4-BE49-F238E27FC236}">
              <a16:creationId xmlns:a16="http://schemas.microsoft.com/office/drawing/2014/main" id="{00000000-0008-0000-0200-000088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92</xdr:row>
      <xdr:rowOff>0</xdr:rowOff>
    </xdr:from>
    <xdr:ext cx="200025" cy="200025"/>
    <xdr:pic>
      <xdr:nvPicPr>
        <xdr:cNvPr id="137" name="image1.png">
          <a:extLst>
            <a:ext uri="{FF2B5EF4-FFF2-40B4-BE49-F238E27FC236}">
              <a16:creationId xmlns:a16="http://schemas.microsoft.com/office/drawing/2014/main" id="{00000000-0008-0000-0200-00008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93</xdr:row>
      <xdr:rowOff>0</xdr:rowOff>
    </xdr:from>
    <xdr:ext cx="200025" cy="200025"/>
    <xdr:pic>
      <xdr:nvPicPr>
        <xdr:cNvPr id="138" name="image1.png">
          <a:extLst>
            <a:ext uri="{FF2B5EF4-FFF2-40B4-BE49-F238E27FC236}">
              <a16:creationId xmlns:a16="http://schemas.microsoft.com/office/drawing/2014/main" id="{00000000-0008-0000-0200-00008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94</xdr:row>
      <xdr:rowOff>0</xdr:rowOff>
    </xdr:from>
    <xdr:ext cx="200025" cy="200025"/>
    <xdr:pic>
      <xdr:nvPicPr>
        <xdr:cNvPr id="139" name="image1.png">
          <a:extLst>
            <a:ext uri="{FF2B5EF4-FFF2-40B4-BE49-F238E27FC236}">
              <a16:creationId xmlns:a16="http://schemas.microsoft.com/office/drawing/2014/main" id="{00000000-0008-0000-0200-00008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99</xdr:row>
      <xdr:rowOff>0</xdr:rowOff>
    </xdr:from>
    <xdr:ext cx="200025" cy="200025"/>
    <xdr:pic>
      <xdr:nvPicPr>
        <xdr:cNvPr id="140" name="image10.png">
          <a:extLst>
            <a:ext uri="{FF2B5EF4-FFF2-40B4-BE49-F238E27FC236}">
              <a16:creationId xmlns:a16="http://schemas.microsoft.com/office/drawing/2014/main" id="{00000000-0008-0000-0200-00008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99</xdr:row>
      <xdr:rowOff>0</xdr:rowOff>
    </xdr:from>
    <xdr:ext cx="200025" cy="200025"/>
    <xdr:pic>
      <xdr:nvPicPr>
        <xdr:cNvPr id="141" name="image9.png">
          <a:extLst>
            <a:ext uri="{FF2B5EF4-FFF2-40B4-BE49-F238E27FC236}">
              <a16:creationId xmlns:a16="http://schemas.microsoft.com/office/drawing/2014/main" id="{00000000-0008-0000-02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99</xdr:row>
      <xdr:rowOff>0</xdr:rowOff>
    </xdr:from>
    <xdr:ext cx="200025" cy="200025"/>
    <xdr:pic>
      <xdr:nvPicPr>
        <xdr:cNvPr id="142" name="image5.png">
          <a:extLst>
            <a:ext uri="{FF2B5EF4-FFF2-40B4-BE49-F238E27FC236}">
              <a16:creationId xmlns:a16="http://schemas.microsoft.com/office/drawing/2014/main" id="{00000000-0008-0000-0200-00008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99</xdr:row>
      <xdr:rowOff>0</xdr:rowOff>
    </xdr:from>
    <xdr:ext cx="200025" cy="200025"/>
    <xdr:pic>
      <xdr:nvPicPr>
        <xdr:cNvPr id="143" name="image9.png">
          <a:extLst>
            <a:ext uri="{FF2B5EF4-FFF2-40B4-BE49-F238E27FC236}">
              <a16:creationId xmlns:a16="http://schemas.microsoft.com/office/drawing/2014/main" id="{00000000-0008-0000-0200-00008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100</xdr:row>
      <xdr:rowOff>0</xdr:rowOff>
    </xdr:from>
    <xdr:ext cx="200025" cy="200025"/>
    <xdr:pic>
      <xdr:nvPicPr>
        <xdr:cNvPr id="144" name="image9.png">
          <a:extLst>
            <a:ext uri="{FF2B5EF4-FFF2-40B4-BE49-F238E27FC236}">
              <a16:creationId xmlns:a16="http://schemas.microsoft.com/office/drawing/2014/main" id="{00000000-0008-0000-0200-00009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102</xdr:row>
      <xdr:rowOff>0</xdr:rowOff>
    </xdr:from>
    <xdr:ext cx="200025" cy="200025"/>
    <xdr:pic>
      <xdr:nvPicPr>
        <xdr:cNvPr id="145" name="image8.png">
          <a:extLst>
            <a:ext uri="{FF2B5EF4-FFF2-40B4-BE49-F238E27FC236}">
              <a16:creationId xmlns:a16="http://schemas.microsoft.com/office/drawing/2014/main" id="{00000000-0008-0000-0200-00009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102</xdr:row>
      <xdr:rowOff>0</xdr:rowOff>
    </xdr:from>
    <xdr:ext cx="200025" cy="200025"/>
    <xdr:pic>
      <xdr:nvPicPr>
        <xdr:cNvPr id="146" name="image2.png">
          <a:extLst>
            <a:ext uri="{FF2B5EF4-FFF2-40B4-BE49-F238E27FC236}">
              <a16:creationId xmlns:a16="http://schemas.microsoft.com/office/drawing/2014/main" id="{00000000-0008-0000-0200-00009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102</xdr:row>
      <xdr:rowOff>0</xdr:rowOff>
    </xdr:from>
    <xdr:ext cx="200025" cy="200025"/>
    <xdr:pic>
      <xdr:nvPicPr>
        <xdr:cNvPr id="147" name="image12.png">
          <a:extLst>
            <a:ext uri="{FF2B5EF4-FFF2-40B4-BE49-F238E27FC236}">
              <a16:creationId xmlns:a16="http://schemas.microsoft.com/office/drawing/2014/main" id="{00000000-0008-0000-0200-00009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103</xdr:row>
      <xdr:rowOff>0</xdr:rowOff>
    </xdr:from>
    <xdr:ext cx="200025" cy="200025"/>
    <xdr:pic>
      <xdr:nvPicPr>
        <xdr:cNvPr id="148" name="image2.png">
          <a:extLst>
            <a:ext uri="{FF2B5EF4-FFF2-40B4-BE49-F238E27FC236}">
              <a16:creationId xmlns:a16="http://schemas.microsoft.com/office/drawing/2014/main" id="{00000000-0008-0000-0200-000094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104</xdr:row>
      <xdr:rowOff>0</xdr:rowOff>
    </xdr:from>
    <xdr:ext cx="200025" cy="200025"/>
    <xdr:pic>
      <xdr:nvPicPr>
        <xdr:cNvPr id="149" name="image2.png">
          <a:extLst>
            <a:ext uri="{FF2B5EF4-FFF2-40B4-BE49-F238E27FC236}">
              <a16:creationId xmlns:a16="http://schemas.microsoft.com/office/drawing/2014/main" id="{00000000-0008-0000-0200-00009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105</xdr:row>
      <xdr:rowOff>0</xdr:rowOff>
    </xdr:from>
    <xdr:ext cx="200025" cy="200025"/>
    <xdr:pic>
      <xdr:nvPicPr>
        <xdr:cNvPr id="150" name="image8.png">
          <a:extLst>
            <a:ext uri="{FF2B5EF4-FFF2-40B4-BE49-F238E27FC236}">
              <a16:creationId xmlns:a16="http://schemas.microsoft.com/office/drawing/2014/main" id="{00000000-0008-0000-0200-00009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105</xdr:row>
      <xdr:rowOff>0</xdr:rowOff>
    </xdr:from>
    <xdr:ext cx="200025" cy="200025"/>
    <xdr:pic>
      <xdr:nvPicPr>
        <xdr:cNvPr id="151" name="image1.png">
          <a:extLst>
            <a:ext uri="{FF2B5EF4-FFF2-40B4-BE49-F238E27FC236}">
              <a16:creationId xmlns:a16="http://schemas.microsoft.com/office/drawing/2014/main" id="{00000000-0008-0000-0200-00009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105</xdr:row>
      <xdr:rowOff>0</xdr:rowOff>
    </xdr:from>
    <xdr:ext cx="200025" cy="200025"/>
    <xdr:pic>
      <xdr:nvPicPr>
        <xdr:cNvPr id="152" name="image5.png">
          <a:extLst>
            <a:ext uri="{FF2B5EF4-FFF2-40B4-BE49-F238E27FC236}">
              <a16:creationId xmlns:a16="http://schemas.microsoft.com/office/drawing/2014/main" id="{00000000-0008-0000-0200-00009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105</xdr:row>
      <xdr:rowOff>0</xdr:rowOff>
    </xdr:from>
    <xdr:ext cx="200025" cy="200025"/>
    <xdr:pic>
      <xdr:nvPicPr>
        <xdr:cNvPr id="153" name="image9.png">
          <a:extLst>
            <a:ext uri="{FF2B5EF4-FFF2-40B4-BE49-F238E27FC236}">
              <a16:creationId xmlns:a16="http://schemas.microsoft.com/office/drawing/2014/main" id="{00000000-0008-0000-0200-00009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106</xdr:row>
      <xdr:rowOff>0</xdr:rowOff>
    </xdr:from>
    <xdr:ext cx="200025" cy="200025"/>
    <xdr:pic>
      <xdr:nvPicPr>
        <xdr:cNvPr id="154" name="image9.png">
          <a:extLst>
            <a:ext uri="{FF2B5EF4-FFF2-40B4-BE49-F238E27FC236}">
              <a16:creationId xmlns:a16="http://schemas.microsoft.com/office/drawing/2014/main" id="{00000000-0008-0000-02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107</xdr:row>
      <xdr:rowOff>0</xdr:rowOff>
    </xdr:from>
    <xdr:ext cx="200025" cy="200025"/>
    <xdr:pic>
      <xdr:nvPicPr>
        <xdr:cNvPr id="155" name="image10.png">
          <a:extLst>
            <a:ext uri="{FF2B5EF4-FFF2-40B4-BE49-F238E27FC236}">
              <a16:creationId xmlns:a16="http://schemas.microsoft.com/office/drawing/2014/main" id="{00000000-0008-0000-0200-00009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107</xdr:row>
      <xdr:rowOff>0</xdr:rowOff>
    </xdr:from>
    <xdr:ext cx="200025" cy="200025"/>
    <xdr:pic>
      <xdr:nvPicPr>
        <xdr:cNvPr id="156" name="image9.png">
          <a:extLst>
            <a:ext uri="{FF2B5EF4-FFF2-40B4-BE49-F238E27FC236}">
              <a16:creationId xmlns:a16="http://schemas.microsoft.com/office/drawing/2014/main" id="{00000000-0008-0000-0200-00009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107</xdr:row>
      <xdr:rowOff>0</xdr:rowOff>
    </xdr:from>
    <xdr:ext cx="200025" cy="200025"/>
    <xdr:pic>
      <xdr:nvPicPr>
        <xdr:cNvPr id="157" name="image4.png">
          <a:extLst>
            <a:ext uri="{FF2B5EF4-FFF2-40B4-BE49-F238E27FC236}">
              <a16:creationId xmlns:a16="http://schemas.microsoft.com/office/drawing/2014/main" id="{00000000-0008-0000-0200-00009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107</xdr:row>
      <xdr:rowOff>0</xdr:rowOff>
    </xdr:from>
    <xdr:ext cx="200025" cy="200025"/>
    <xdr:pic>
      <xdr:nvPicPr>
        <xdr:cNvPr id="158" name="image5.png">
          <a:extLst>
            <a:ext uri="{FF2B5EF4-FFF2-40B4-BE49-F238E27FC236}">
              <a16:creationId xmlns:a16="http://schemas.microsoft.com/office/drawing/2014/main" id="{00000000-0008-0000-0200-00009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108</xdr:row>
      <xdr:rowOff>0</xdr:rowOff>
    </xdr:from>
    <xdr:ext cx="200025" cy="200025"/>
    <xdr:pic>
      <xdr:nvPicPr>
        <xdr:cNvPr id="159" name="image6.png">
          <a:extLst>
            <a:ext uri="{FF2B5EF4-FFF2-40B4-BE49-F238E27FC236}">
              <a16:creationId xmlns:a16="http://schemas.microsoft.com/office/drawing/2014/main" id="{00000000-0008-0000-0200-00009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109</xdr:row>
      <xdr:rowOff>0</xdr:rowOff>
    </xdr:from>
    <xdr:ext cx="200025" cy="200025"/>
    <xdr:pic>
      <xdr:nvPicPr>
        <xdr:cNvPr id="160" name="image10.png">
          <a:extLst>
            <a:ext uri="{FF2B5EF4-FFF2-40B4-BE49-F238E27FC236}">
              <a16:creationId xmlns:a16="http://schemas.microsoft.com/office/drawing/2014/main" id="{00000000-0008-0000-02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109</xdr:row>
      <xdr:rowOff>0</xdr:rowOff>
    </xdr:from>
    <xdr:ext cx="200025" cy="200025"/>
    <xdr:pic>
      <xdr:nvPicPr>
        <xdr:cNvPr id="161" name="image6.png">
          <a:extLst>
            <a:ext uri="{FF2B5EF4-FFF2-40B4-BE49-F238E27FC236}">
              <a16:creationId xmlns:a16="http://schemas.microsoft.com/office/drawing/2014/main" id="{00000000-0008-0000-0200-0000A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109</xdr:row>
      <xdr:rowOff>0</xdr:rowOff>
    </xdr:from>
    <xdr:ext cx="200025" cy="200025"/>
    <xdr:pic>
      <xdr:nvPicPr>
        <xdr:cNvPr id="162" name="image4.png">
          <a:extLst>
            <a:ext uri="{FF2B5EF4-FFF2-40B4-BE49-F238E27FC236}">
              <a16:creationId xmlns:a16="http://schemas.microsoft.com/office/drawing/2014/main" id="{00000000-0008-0000-0200-0000A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109</xdr:row>
      <xdr:rowOff>0</xdr:rowOff>
    </xdr:from>
    <xdr:ext cx="200025" cy="200025"/>
    <xdr:pic>
      <xdr:nvPicPr>
        <xdr:cNvPr id="163" name="image9.png">
          <a:extLst>
            <a:ext uri="{FF2B5EF4-FFF2-40B4-BE49-F238E27FC236}">
              <a16:creationId xmlns:a16="http://schemas.microsoft.com/office/drawing/2014/main" id="{00000000-0008-0000-0200-0000A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110</xdr:row>
      <xdr:rowOff>0</xdr:rowOff>
    </xdr:from>
    <xdr:ext cx="200025" cy="200025"/>
    <xdr:pic>
      <xdr:nvPicPr>
        <xdr:cNvPr id="164" name="image9.png">
          <a:extLst>
            <a:ext uri="{FF2B5EF4-FFF2-40B4-BE49-F238E27FC236}">
              <a16:creationId xmlns:a16="http://schemas.microsoft.com/office/drawing/2014/main" id="{00000000-0008-0000-0200-0000A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111</xdr:row>
      <xdr:rowOff>0</xdr:rowOff>
    </xdr:from>
    <xdr:ext cx="200025" cy="200025"/>
    <xdr:pic>
      <xdr:nvPicPr>
        <xdr:cNvPr id="165" name="image8.png">
          <a:extLst>
            <a:ext uri="{FF2B5EF4-FFF2-40B4-BE49-F238E27FC236}">
              <a16:creationId xmlns:a16="http://schemas.microsoft.com/office/drawing/2014/main" id="{00000000-0008-0000-0200-0000A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111</xdr:row>
      <xdr:rowOff>0</xdr:rowOff>
    </xdr:from>
    <xdr:ext cx="200025" cy="200025"/>
    <xdr:pic>
      <xdr:nvPicPr>
        <xdr:cNvPr id="166" name="image1.png">
          <a:extLst>
            <a:ext uri="{FF2B5EF4-FFF2-40B4-BE49-F238E27FC236}">
              <a16:creationId xmlns:a16="http://schemas.microsoft.com/office/drawing/2014/main" id="{00000000-0008-0000-0200-0000A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111</xdr:row>
      <xdr:rowOff>0</xdr:rowOff>
    </xdr:from>
    <xdr:ext cx="200025" cy="200025"/>
    <xdr:pic>
      <xdr:nvPicPr>
        <xdr:cNvPr id="167" name="image7.png">
          <a:extLst>
            <a:ext uri="{FF2B5EF4-FFF2-40B4-BE49-F238E27FC236}">
              <a16:creationId xmlns:a16="http://schemas.microsoft.com/office/drawing/2014/main" id="{00000000-0008-0000-0200-0000A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112</xdr:row>
      <xdr:rowOff>0</xdr:rowOff>
    </xdr:from>
    <xdr:ext cx="200025" cy="200025"/>
    <xdr:pic>
      <xdr:nvPicPr>
        <xdr:cNvPr id="168" name="image10.png">
          <a:extLst>
            <a:ext uri="{FF2B5EF4-FFF2-40B4-BE49-F238E27FC236}">
              <a16:creationId xmlns:a16="http://schemas.microsoft.com/office/drawing/2014/main" id="{00000000-0008-0000-0200-0000A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113</xdr:row>
      <xdr:rowOff>0</xdr:rowOff>
    </xdr:from>
    <xdr:ext cx="200025" cy="200025"/>
    <xdr:pic>
      <xdr:nvPicPr>
        <xdr:cNvPr id="169" name="image10.png">
          <a:extLst>
            <a:ext uri="{FF2B5EF4-FFF2-40B4-BE49-F238E27FC236}">
              <a16:creationId xmlns:a16="http://schemas.microsoft.com/office/drawing/2014/main" id="{00000000-0008-0000-0200-0000A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114</xdr:row>
      <xdr:rowOff>0</xdr:rowOff>
    </xdr:from>
    <xdr:ext cx="200025" cy="200025"/>
    <xdr:pic>
      <xdr:nvPicPr>
        <xdr:cNvPr id="170" name="image8.png">
          <a:extLst>
            <a:ext uri="{FF2B5EF4-FFF2-40B4-BE49-F238E27FC236}">
              <a16:creationId xmlns:a16="http://schemas.microsoft.com/office/drawing/2014/main" id="{00000000-0008-0000-0200-0000A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114</xdr:row>
      <xdr:rowOff>0</xdr:rowOff>
    </xdr:from>
    <xdr:ext cx="200025" cy="200025"/>
    <xdr:pic>
      <xdr:nvPicPr>
        <xdr:cNvPr id="171" name="image6.png">
          <a:extLst>
            <a:ext uri="{FF2B5EF4-FFF2-40B4-BE49-F238E27FC236}">
              <a16:creationId xmlns:a16="http://schemas.microsoft.com/office/drawing/2014/main" id="{00000000-0008-0000-0200-0000A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114</xdr:row>
      <xdr:rowOff>0</xdr:rowOff>
    </xdr:from>
    <xdr:ext cx="200025" cy="200025"/>
    <xdr:pic>
      <xdr:nvPicPr>
        <xdr:cNvPr id="172" name="image3.png">
          <a:extLst>
            <a:ext uri="{FF2B5EF4-FFF2-40B4-BE49-F238E27FC236}">
              <a16:creationId xmlns:a16="http://schemas.microsoft.com/office/drawing/2014/main" id="{00000000-0008-0000-0200-0000A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114</xdr:row>
      <xdr:rowOff>0</xdr:rowOff>
    </xdr:from>
    <xdr:ext cx="200025" cy="200025"/>
    <xdr:pic>
      <xdr:nvPicPr>
        <xdr:cNvPr id="173" name="image8.png">
          <a:extLst>
            <a:ext uri="{FF2B5EF4-FFF2-40B4-BE49-F238E27FC236}">
              <a16:creationId xmlns:a16="http://schemas.microsoft.com/office/drawing/2014/main" id="{00000000-0008-0000-0200-0000A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115</xdr:row>
      <xdr:rowOff>0</xdr:rowOff>
    </xdr:from>
    <xdr:ext cx="200025" cy="200025"/>
    <xdr:pic>
      <xdr:nvPicPr>
        <xdr:cNvPr id="174" name="image8.png">
          <a:extLst>
            <a:ext uri="{FF2B5EF4-FFF2-40B4-BE49-F238E27FC236}">
              <a16:creationId xmlns:a16="http://schemas.microsoft.com/office/drawing/2014/main" id="{00000000-0008-0000-0200-0000A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116</xdr:row>
      <xdr:rowOff>0</xdr:rowOff>
    </xdr:from>
    <xdr:ext cx="200025" cy="200025"/>
    <xdr:pic>
      <xdr:nvPicPr>
        <xdr:cNvPr id="175" name="image8.png">
          <a:extLst>
            <a:ext uri="{FF2B5EF4-FFF2-40B4-BE49-F238E27FC236}">
              <a16:creationId xmlns:a16="http://schemas.microsoft.com/office/drawing/2014/main" id="{00000000-0008-0000-0200-0000A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117</xdr:row>
      <xdr:rowOff>0</xdr:rowOff>
    </xdr:from>
    <xdr:ext cx="200025" cy="200025"/>
    <xdr:pic>
      <xdr:nvPicPr>
        <xdr:cNvPr id="176" name="image10.png">
          <a:extLst>
            <a:ext uri="{FF2B5EF4-FFF2-40B4-BE49-F238E27FC236}">
              <a16:creationId xmlns:a16="http://schemas.microsoft.com/office/drawing/2014/main" id="{00000000-0008-0000-02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117</xdr:row>
      <xdr:rowOff>0</xdr:rowOff>
    </xdr:from>
    <xdr:ext cx="200025" cy="200025"/>
    <xdr:pic>
      <xdr:nvPicPr>
        <xdr:cNvPr id="177" name="image9.png">
          <a:extLst>
            <a:ext uri="{FF2B5EF4-FFF2-40B4-BE49-F238E27FC236}">
              <a16:creationId xmlns:a16="http://schemas.microsoft.com/office/drawing/2014/main" id="{00000000-0008-0000-0200-0000B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117</xdr:row>
      <xdr:rowOff>0</xdr:rowOff>
    </xdr:from>
    <xdr:ext cx="200025" cy="200025"/>
    <xdr:pic>
      <xdr:nvPicPr>
        <xdr:cNvPr id="178" name="image12.png">
          <a:extLst>
            <a:ext uri="{FF2B5EF4-FFF2-40B4-BE49-F238E27FC236}">
              <a16:creationId xmlns:a16="http://schemas.microsoft.com/office/drawing/2014/main" id="{00000000-0008-0000-0200-0000B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118</xdr:row>
      <xdr:rowOff>0</xdr:rowOff>
    </xdr:from>
    <xdr:ext cx="200025" cy="200025"/>
    <xdr:pic>
      <xdr:nvPicPr>
        <xdr:cNvPr id="179" name="image5.png">
          <a:extLst>
            <a:ext uri="{FF2B5EF4-FFF2-40B4-BE49-F238E27FC236}">
              <a16:creationId xmlns:a16="http://schemas.microsoft.com/office/drawing/2014/main" id="{00000000-0008-0000-0200-0000B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119</xdr:row>
      <xdr:rowOff>0</xdr:rowOff>
    </xdr:from>
    <xdr:ext cx="200025" cy="200025"/>
    <xdr:pic>
      <xdr:nvPicPr>
        <xdr:cNvPr id="180" name="image6.png">
          <a:extLst>
            <a:ext uri="{FF2B5EF4-FFF2-40B4-BE49-F238E27FC236}">
              <a16:creationId xmlns:a16="http://schemas.microsoft.com/office/drawing/2014/main" id="{00000000-0008-0000-0200-0000B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120</xdr:row>
      <xdr:rowOff>0</xdr:rowOff>
    </xdr:from>
    <xdr:ext cx="200025" cy="200025"/>
    <xdr:pic>
      <xdr:nvPicPr>
        <xdr:cNvPr id="181" name="image10.png">
          <a:extLst>
            <a:ext uri="{FF2B5EF4-FFF2-40B4-BE49-F238E27FC236}">
              <a16:creationId xmlns:a16="http://schemas.microsoft.com/office/drawing/2014/main" id="{00000000-0008-0000-02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120</xdr:row>
      <xdr:rowOff>0</xdr:rowOff>
    </xdr:from>
    <xdr:ext cx="200025" cy="200025"/>
    <xdr:pic>
      <xdr:nvPicPr>
        <xdr:cNvPr id="182" name="image6.png">
          <a:extLst>
            <a:ext uri="{FF2B5EF4-FFF2-40B4-BE49-F238E27FC236}">
              <a16:creationId xmlns:a16="http://schemas.microsoft.com/office/drawing/2014/main" id="{00000000-0008-0000-0200-0000B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120</xdr:row>
      <xdr:rowOff>0</xdr:rowOff>
    </xdr:from>
    <xdr:ext cx="200025" cy="200025"/>
    <xdr:pic>
      <xdr:nvPicPr>
        <xdr:cNvPr id="183" name="image11.png">
          <a:extLst>
            <a:ext uri="{FF2B5EF4-FFF2-40B4-BE49-F238E27FC236}">
              <a16:creationId xmlns:a16="http://schemas.microsoft.com/office/drawing/2014/main" id="{00000000-0008-0000-0200-0000B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121</xdr:row>
      <xdr:rowOff>0</xdr:rowOff>
    </xdr:from>
    <xdr:ext cx="200025" cy="200025"/>
    <xdr:pic>
      <xdr:nvPicPr>
        <xdr:cNvPr id="184" name="image8.png">
          <a:extLst>
            <a:ext uri="{FF2B5EF4-FFF2-40B4-BE49-F238E27FC236}">
              <a16:creationId xmlns:a16="http://schemas.microsoft.com/office/drawing/2014/main" id="{00000000-0008-0000-0200-0000B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122</xdr:row>
      <xdr:rowOff>0</xdr:rowOff>
    </xdr:from>
    <xdr:ext cx="200025" cy="200025"/>
    <xdr:pic>
      <xdr:nvPicPr>
        <xdr:cNvPr id="185" name="image8.png">
          <a:extLst>
            <a:ext uri="{FF2B5EF4-FFF2-40B4-BE49-F238E27FC236}">
              <a16:creationId xmlns:a16="http://schemas.microsoft.com/office/drawing/2014/main" id="{00000000-0008-0000-0200-0000B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123</xdr:row>
      <xdr:rowOff>0</xdr:rowOff>
    </xdr:from>
    <xdr:ext cx="200025" cy="200025"/>
    <xdr:pic>
      <xdr:nvPicPr>
        <xdr:cNvPr id="186" name="image10.png">
          <a:extLst>
            <a:ext uri="{FF2B5EF4-FFF2-40B4-BE49-F238E27FC236}">
              <a16:creationId xmlns:a16="http://schemas.microsoft.com/office/drawing/2014/main" id="{00000000-0008-0000-02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123</xdr:row>
      <xdr:rowOff>0</xdr:rowOff>
    </xdr:from>
    <xdr:ext cx="200025" cy="200025"/>
    <xdr:pic>
      <xdr:nvPicPr>
        <xdr:cNvPr id="187" name="image9.png">
          <a:extLst>
            <a:ext uri="{FF2B5EF4-FFF2-40B4-BE49-F238E27FC236}">
              <a16:creationId xmlns:a16="http://schemas.microsoft.com/office/drawing/2014/main" id="{00000000-0008-0000-0200-0000B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123</xdr:row>
      <xdr:rowOff>0</xdr:rowOff>
    </xdr:from>
    <xdr:ext cx="200025" cy="200025"/>
    <xdr:pic>
      <xdr:nvPicPr>
        <xdr:cNvPr id="188" name="image4.png">
          <a:extLst>
            <a:ext uri="{FF2B5EF4-FFF2-40B4-BE49-F238E27FC236}">
              <a16:creationId xmlns:a16="http://schemas.microsoft.com/office/drawing/2014/main" id="{00000000-0008-0000-0200-0000B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124</xdr:row>
      <xdr:rowOff>0</xdr:rowOff>
    </xdr:from>
    <xdr:ext cx="200025" cy="200025"/>
    <xdr:pic>
      <xdr:nvPicPr>
        <xdr:cNvPr id="189" name="image10.png">
          <a:extLst>
            <a:ext uri="{FF2B5EF4-FFF2-40B4-BE49-F238E27FC236}">
              <a16:creationId xmlns:a16="http://schemas.microsoft.com/office/drawing/2014/main" id="{00000000-0008-0000-02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125</xdr:row>
      <xdr:rowOff>0</xdr:rowOff>
    </xdr:from>
    <xdr:ext cx="200025" cy="200025"/>
    <xdr:pic>
      <xdr:nvPicPr>
        <xdr:cNvPr id="190" name="image10.png">
          <a:extLst>
            <a:ext uri="{FF2B5EF4-FFF2-40B4-BE49-F238E27FC236}">
              <a16:creationId xmlns:a16="http://schemas.microsoft.com/office/drawing/2014/main" id="{00000000-0008-0000-02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126</xdr:row>
      <xdr:rowOff>0</xdr:rowOff>
    </xdr:from>
    <xdr:ext cx="200025" cy="200025"/>
    <xdr:pic>
      <xdr:nvPicPr>
        <xdr:cNvPr id="191" name="image8.png">
          <a:extLst>
            <a:ext uri="{FF2B5EF4-FFF2-40B4-BE49-F238E27FC236}">
              <a16:creationId xmlns:a16="http://schemas.microsoft.com/office/drawing/2014/main" id="{00000000-0008-0000-0200-0000B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126</xdr:row>
      <xdr:rowOff>0</xdr:rowOff>
    </xdr:from>
    <xdr:ext cx="200025" cy="200025"/>
    <xdr:pic>
      <xdr:nvPicPr>
        <xdr:cNvPr id="192" name="image1.png">
          <a:extLst>
            <a:ext uri="{FF2B5EF4-FFF2-40B4-BE49-F238E27FC236}">
              <a16:creationId xmlns:a16="http://schemas.microsoft.com/office/drawing/2014/main" id="{00000000-0008-0000-0200-0000C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126</xdr:row>
      <xdr:rowOff>0</xdr:rowOff>
    </xdr:from>
    <xdr:ext cx="200025" cy="200025"/>
    <xdr:pic>
      <xdr:nvPicPr>
        <xdr:cNvPr id="193" name="image12.png">
          <a:extLst>
            <a:ext uri="{FF2B5EF4-FFF2-40B4-BE49-F238E27FC236}">
              <a16:creationId xmlns:a16="http://schemas.microsoft.com/office/drawing/2014/main" id="{00000000-0008-0000-0200-0000C1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126</xdr:row>
      <xdr:rowOff>0</xdr:rowOff>
    </xdr:from>
    <xdr:ext cx="200025" cy="200025"/>
    <xdr:pic>
      <xdr:nvPicPr>
        <xdr:cNvPr id="194" name="image9.png">
          <a:extLst>
            <a:ext uri="{FF2B5EF4-FFF2-40B4-BE49-F238E27FC236}">
              <a16:creationId xmlns:a16="http://schemas.microsoft.com/office/drawing/2014/main" id="{00000000-0008-0000-0200-0000C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127</xdr:row>
      <xdr:rowOff>0</xdr:rowOff>
    </xdr:from>
    <xdr:ext cx="200025" cy="200025"/>
    <xdr:pic>
      <xdr:nvPicPr>
        <xdr:cNvPr id="195" name="image9.png">
          <a:extLst>
            <a:ext uri="{FF2B5EF4-FFF2-40B4-BE49-F238E27FC236}">
              <a16:creationId xmlns:a16="http://schemas.microsoft.com/office/drawing/2014/main" id="{00000000-0008-0000-0200-0000C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128</xdr:row>
      <xdr:rowOff>0</xdr:rowOff>
    </xdr:from>
    <xdr:ext cx="200025" cy="200025"/>
    <xdr:pic>
      <xdr:nvPicPr>
        <xdr:cNvPr id="196" name="image9.png">
          <a:extLst>
            <a:ext uri="{FF2B5EF4-FFF2-40B4-BE49-F238E27FC236}">
              <a16:creationId xmlns:a16="http://schemas.microsoft.com/office/drawing/2014/main" id="{00000000-0008-0000-02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129</xdr:row>
      <xdr:rowOff>0</xdr:rowOff>
    </xdr:from>
    <xdr:ext cx="200025" cy="200025"/>
    <xdr:pic>
      <xdr:nvPicPr>
        <xdr:cNvPr id="197" name="image8.png">
          <a:extLst>
            <a:ext uri="{FF2B5EF4-FFF2-40B4-BE49-F238E27FC236}">
              <a16:creationId xmlns:a16="http://schemas.microsoft.com/office/drawing/2014/main" id="{00000000-0008-0000-0200-0000C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129</xdr:row>
      <xdr:rowOff>0</xdr:rowOff>
    </xdr:from>
    <xdr:ext cx="200025" cy="200025"/>
    <xdr:pic>
      <xdr:nvPicPr>
        <xdr:cNvPr id="198" name="image2.png">
          <a:extLst>
            <a:ext uri="{FF2B5EF4-FFF2-40B4-BE49-F238E27FC236}">
              <a16:creationId xmlns:a16="http://schemas.microsoft.com/office/drawing/2014/main" id="{00000000-0008-0000-0200-0000C6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129</xdr:row>
      <xdr:rowOff>0</xdr:rowOff>
    </xdr:from>
    <xdr:ext cx="200025" cy="200025"/>
    <xdr:pic>
      <xdr:nvPicPr>
        <xdr:cNvPr id="199" name="image11.png">
          <a:extLst>
            <a:ext uri="{FF2B5EF4-FFF2-40B4-BE49-F238E27FC236}">
              <a16:creationId xmlns:a16="http://schemas.microsoft.com/office/drawing/2014/main" id="{00000000-0008-0000-0200-0000C7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129</xdr:row>
      <xdr:rowOff>0</xdr:rowOff>
    </xdr:from>
    <xdr:ext cx="200025" cy="200025"/>
    <xdr:pic>
      <xdr:nvPicPr>
        <xdr:cNvPr id="200" name="image5.png">
          <a:extLst>
            <a:ext uri="{FF2B5EF4-FFF2-40B4-BE49-F238E27FC236}">
              <a16:creationId xmlns:a16="http://schemas.microsoft.com/office/drawing/2014/main" id="{00000000-0008-0000-0200-0000C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130</xdr:row>
      <xdr:rowOff>0</xdr:rowOff>
    </xdr:from>
    <xdr:ext cx="200025" cy="200025"/>
    <xdr:pic>
      <xdr:nvPicPr>
        <xdr:cNvPr id="201" name="image5.png">
          <a:extLst>
            <a:ext uri="{FF2B5EF4-FFF2-40B4-BE49-F238E27FC236}">
              <a16:creationId xmlns:a16="http://schemas.microsoft.com/office/drawing/2014/main" id="{00000000-0008-0000-0200-0000C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131</xdr:row>
      <xdr:rowOff>0</xdr:rowOff>
    </xdr:from>
    <xdr:ext cx="200025" cy="200025"/>
    <xdr:pic>
      <xdr:nvPicPr>
        <xdr:cNvPr id="202" name="image6.png">
          <a:extLst>
            <a:ext uri="{FF2B5EF4-FFF2-40B4-BE49-F238E27FC236}">
              <a16:creationId xmlns:a16="http://schemas.microsoft.com/office/drawing/2014/main" id="{00000000-0008-0000-0200-0000C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135</xdr:row>
      <xdr:rowOff>0</xdr:rowOff>
    </xdr:from>
    <xdr:ext cx="200025" cy="200025"/>
    <xdr:pic>
      <xdr:nvPicPr>
        <xdr:cNvPr id="203" name="image10.png">
          <a:extLst>
            <a:ext uri="{FF2B5EF4-FFF2-40B4-BE49-F238E27FC236}">
              <a16:creationId xmlns:a16="http://schemas.microsoft.com/office/drawing/2014/main" id="{00000000-0008-0000-02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135</xdr:row>
      <xdr:rowOff>0</xdr:rowOff>
    </xdr:from>
    <xdr:ext cx="200025" cy="200025"/>
    <xdr:pic>
      <xdr:nvPicPr>
        <xdr:cNvPr id="204" name="image8.png">
          <a:extLst>
            <a:ext uri="{FF2B5EF4-FFF2-40B4-BE49-F238E27FC236}">
              <a16:creationId xmlns:a16="http://schemas.microsoft.com/office/drawing/2014/main" id="{00000000-0008-0000-0200-0000C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135</xdr:row>
      <xdr:rowOff>0</xdr:rowOff>
    </xdr:from>
    <xdr:ext cx="200025" cy="200025"/>
    <xdr:pic>
      <xdr:nvPicPr>
        <xdr:cNvPr id="205" name="image9.png">
          <a:extLst>
            <a:ext uri="{FF2B5EF4-FFF2-40B4-BE49-F238E27FC236}">
              <a16:creationId xmlns:a16="http://schemas.microsoft.com/office/drawing/2014/main" id="{00000000-0008-0000-0200-0000C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135</xdr:row>
      <xdr:rowOff>0</xdr:rowOff>
    </xdr:from>
    <xdr:ext cx="200025" cy="200025"/>
    <xdr:pic>
      <xdr:nvPicPr>
        <xdr:cNvPr id="206" name="image6.png">
          <a:extLst>
            <a:ext uri="{FF2B5EF4-FFF2-40B4-BE49-F238E27FC236}">
              <a16:creationId xmlns:a16="http://schemas.microsoft.com/office/drawing/2014/main" id="{00000000-0008-0000-0200-0000C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13</xdr:col>
      <xdr:colOff>0</xdr:colOff>
      <xdr:row>135</xdr:row>
      <xdr:rowOff>0</xdr:rowOff>
    </xdr:from>
    <xdr:ext cx="200025" cy="200025"/>
    <xdr:pic>
      <xdr:nvPicPr>
        <xdr:cNvPr id="207" name="image11.png">
          <a:extLst>
            <a:ext uri="{FF2B5EF4-FFF2-40B4-BE49-F238E27FC236}">
              <a16:creationId xmlns:a16="http://schemas.microsoft.com/office/drawing/2014/main" id="{00000000-0008-0000-0200-0000C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136</xdr:row>
      <xdr:rowOff>0</xdr:rowOff>
    </xdr:from>
    <xdr:ext cx="200025" cy="200025"/>
    <xdr:pic>
      <xdr:nvPicPr>
        <xdr:cNvPr id="208" name="image10.png">
          <a:extLst>
            <a:ext uri="{FF2B5EF4-FFF2-40B4-BE49-F238E27FC236}">
              <a16:creationId xmlns:a16="http://schemas.microsoft.com/office/drawing/2014/main" id="{00000000-0008-0000-02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136</xdr:row>
      <xdr:rowOff>0</xdr:rowOff>
    </xdr:from>
    <xdr:ext cx="200025" cy="200025"/>
    <xdr:pic>
      <xdr:nvPicPr>
        <xdr:cNvPr id="209" name="image8.png">
          <a:extLst>
            <a:ext uri="{FF2B5EF4-FFF2-40B4-BE49-F238E27FC236}">
              <a16:creationId xmlns:a16="http://schemas.microsoft.com/office/drawing/2014/main" id="{00000000-0008-0000-0200-0000D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136</xdr:row>
      <xdr:rowOff>0</xdr:rowOff>
    </xdr:from>
    <xdr:ext cx="200025" cy="200025"/>
    <xdr:pic>
      <xdr:nvPicPr>
        <xdr:cNvPr id="210" name="image9.png">
          <a:extLst>
            <a:ext uri="{FF2B5EF4-FFF2-40B4-BE49-F238E27FC236}">
              <a16:creationId xmlns:a16="http://schemas.microsoft.com/office/drawing/2014/main" id="{00000000-0008-0000-02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136</xdr:row>
      <xdr:rowOff>0</xdr:rowOff>
    </xdr:from>
    <xdr:ext cx="200025" cy="200025"/>
    <xdr:pic>
      <xdr:nvPicPr>
        <xdr:cNvPr id="211" name="image6.png">
          <a:extLst>
            <a:ext uri="{FF2B5EF4-FFF2-40B4-BE49-F238E27FC236}">
              <a16:creationId xmlns:a16="http://schemas.microsoft.com/office/drawing/2014/main" id="{00000000-0008-0000-0200-0000D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13</xdr:col>
      <xdr:colOff>0</xdr:colOff>
      <xdr:row>136</xdr:row>
      <xdr:rowOff>0</xdr:rowOff>
    </xdr:from>
    <xdr:ext cx="200025" cy="200025"/>
    <xdr:pic>
      <xdr:nvPicPr>
        <xdr:cNvPr id="212" name="image11.png">
          <a:extLst>
            <a:ext uri="{FF2B5EF4-FFF2-40B4-BE49-F238E27FC236}">
              <a16:creationId xmlns:a16="http://schemas.microsoft.com/office/drawing/2014/main" id="{00000000-0008-0000-0200-0000D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136</xdr:row>
      <xdr:rowOff>0</xdr:rowOff>
    </xdr:from>
    <xdr:ext cx="200025" cy="200025"/>
    <xdr:pic>
      <xdr:nvPicPr>
        <xdr:cNvPr id="213" name="image9.png">
          <a:extLst>
            <a:ext uri="{FF2B5EF4-FFF2-40B4-BE49-F238E27FC236}">
              <a16:creationId xmlns:a16="http://schemas.microsoft.com/office/drawing/2014/main" id="{00000000-0008-0000-0200-0000D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137</xdr:row>
      <xdr:rowOff>0</xdr:rowOff>
    </xdr:from>
    <xdr:ext cx="200025" cy="200025"/>
    <xdr:pic>
      <xdr:nvPicPr>
        <xdr:cNvPr id="214" name="image9.png">
          <a:extLst>
            <a:ext uri="{FF2B5EF4-FFF2-40B4-BE49-F238E27FC236}">
              <a16:creationId xmlns:a16="http://schemas.microsoft.com/office/drawing/2014/main" id="{00000000-0008-0000-0200-0000D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138</xdr:row>
      <xdr:rowOff>0</xdr:rowOff>
    </xdr:from>
    <xdr:ext cx="200025" cy="200025"/>
    <xdr:pic>
      <xdr:nvPicPr>
        <xdr:cNvPr id="215" name="image9.png">
          <a:extLst>
            <a:ext uri="{FF2B5EF4-FFF2-40B4-BE49-F238E27FC236}">
              <a16:creationId xmlns:a16="http://schemas.microsoft.com/office/drawing/2014/main" id="{00000000-0008-0000-0200-0000D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139</xdr:row>
      <xdr:rowOff>0</xdr:rowOff>
    </xdr:from>
    <xdr:ext cx="200025" cy="200025"/>
    <xdr:pic>
      <xdr:nvPicPr>
        <xdr:cNvPr id="216" name="image10.png">
          <a:extLst>
            <a:ext uri="{FF2B5EF4-FFF2-40B4-BE49-F238E27FC236}">
              <a16:creationId xmlns:a16="http://schemas.microsoft.com/office/drawing/2014/main" id="{00000000-0008-0000-02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139</xdr:row>
      <xdr:rowOff>0</xdr:rowOff>
    </xdr:from>
    <xdr:ext cx="200025" cy="200025"/>
    <xdr:pic>
      <xdr:nvPicPr>
        <xdr:cNvPr id="217" name="image2.png">
          <a:extLst>
            <a:ext uri="{FF2B5EF4-FFF2-40B4-BE49-F238E27FC236}">
              <a16:creationId xmlns:a16="http://schemas.microsoft.com/office/drawing/2014/main" id="{00000000-0008-0000-0200-0000D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139</xdr:row>
      <xdr:rowOff>0</xdr:rowOff>
    </xdr:from>
    <xdr:ext cx="200025" cy="200025"/>
    <xdr:pic>
      <xdr:nvPicPr>
        <xdr:cNvPr id="218" name="image7.png">
          <a:extLst>
            <a:ext uri="{FF2B5EF4-FFF2-40B4-BE49-F238E27FC236}">
              <a16:creationId xmlns:a16="http://schemas.microsoft.com/office/drawing/2014/main" id="{00000000-0008-0000-0200-0000D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141</xdr:row>
      <xdr:rowOff>0</xdr:rowOff>
    </xdr:from>
    <xdr:ext cx="200025" cy="200025"/>
    <xdr:pic>
      <xdr:nvPicPr>
        <xdr:cNvPr id="219" name="image8.png">
          <a:extLst>
            <a:ext uri="{FF2B5EF4-FFF2-40B4-BE49-F238E27FC236}">
              <a16:creationId xmlns:a16="http://schemas.microsoft.com/office/drawing/2014/main" id="{00000000-0008-0000-0200-0000D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141</xdr:row>
      <xdr:rowOff>0</xdr:rowOff>
    </xdr:from>
    <xdr:ext cx="200025" cy="200025"/>
    <xdr:pic>
      <xdr:nvPicPr>
        <xdr:cNvPr id="220" name="image2.png">
          <a:extLst>
            <a:ext uri="{FF2B5EF4-FFF2-40B4-BE49-F238E27FC236}">
              <a16:creationId xmlns:a16="http://schemas.microsoft.com/office/drawing/2014/main" id="{00000000-0008-0000-0200-0000D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141</xdr:row>
      <xdr:rowOff>0</xdr:rowOff>
    </xdr:from>
    <xdr:ext cx="200025" cy="200025"/>
    <xdr:pic>
      <xdr:nvPicPr>
        <xdr:cNvPr id="221" name="image3.png">
          <a:extLst>
            <a:ext uri="{FF2B5EF4-FFF2-40B4-BE49-F238E27FC236}">
              <a16:creationId xmlns:a16="http://schemas.microsoft.com/office/drawing/2014/main" id="{00000000-0008-0000-0200-0000D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142</xdr:row>
      <xdr:rowOff>0</xdr:rowOff>
    </xdr:from>
    <xdr:ext cx="200025" cy="200025"/>
    <xdr:pic>
      <xdr:nvPicPr>
        <xdr:cNvPr id="222" name="image7.png">
          <a:extLst>
            <a:ext uri="{FF2B5EF4-FFF2-40B4-BE49-F238E27FC236}">
              <a16:creationId xmlns:a16="http://schemas.microsoft.com/office/drawing/2014/main" id="{00000000-0008-0000-0200-0000D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143</xdr:row>
      <xdr:rowOff>0</xdr:rowOff>
    </xdr:from>
    <xdr:ext cx="200025" cy="200025"/>
    <xdr:pic>
      <xdr:nvPicPr>
        <xdr:cNvPr id="223" name="image6.png">
          <a:extLst>
            <a:ext uri="{FF2B5EF4-FFF2-40B4-BE49-F238E27FC236}">
              <a16:creationId xmlns:a16="http://schemas.microsoft.com/office/drawing/2014/main" id="{00000000-0008-0000-0200-0000D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144</xdr:row>
      <xdr:rowOff>0</xdr:rowOff>
    </xdr:from>
    <xdr:ext cx="200025" cy="200025"/>
    <xdr:pic>
      <xdr:nvPicPr>
        <xdr:cNvPr id="224" name="image8.png">
          <a:extLst>
            <a:ext uri="{FF2B5EF4-FFF2-40B4-BE49-F238E27FC236}">
              <a16:creationId xmlns:a16="http://schemas.microsoft.com/office/drawing/2014/main" id="{00000000-0008-0000-0200-0000E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144</xdr:row>
      <xdr:rowOff>0</xdr:rowOff>
    </xdr:from>
    <xdr:ext cx="200025" cy="200025"/>
    <xdr:pic>
      <xdr:nvPicPr>
        <xdr:cNvPr id="225" name="image1.png">
          <a:extLst>
            <a:ext uri="{FF2B5EF4-FFF2-40B4-BE49-F238E27FC236}">
              <a16:creationId xmlns:a16="http://schemas.microsoft.com/office/drawing/2014/main" id="{00000000-0008-0000-0200-0000E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144</xdr:row>
      <xdr:rowOff>0</xdr:rowOff>
    </xdr:from>
    <xdr:ext cx="200025" cy="200025"/>
    <xdr:pic>
      <xdr:nvPicPr>
        <xdr:cNvPr id="226" name="image11.png">
          <a:extLst>
            <a:ext uri="{FF2B5EF4-FFF2-40B4-BE49-F238E27FC236}">
              <a16:creationId xmlns:a16="http://schemas.microsoft.com/office/drawing/2014/main" id="{00000000-0008-0000-0200-0000E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144</xdr:row>
      <xdr:rowOff>0</xdr:rowOff>
    </xdr:from>
    <xdr:ext cx="200025" cy="200025"/>
    <xdr:pic>
      <xdr:nvPicPr>
        <xdr:cNvPr id="227" name="image8.png">
          <a:extLst>
            <a:ext uri="{FF2B5EF4-FFF2-40B4-BE49-F238E27FC236}">
              <a16:creationId xmlns:a16="http://schemas.microsoft.com/office/drawing/2014/main" id="{00000000-0008-0000-0200-0000E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145</xdr:row>
      <xdr:rowOff>0</xdr:rowOff>
    </xdr:from>
    <xdr:ext cx="200025" cy="200025"/>
    <xdr:pic>
      <xdr:nvPicPr>
        <xdr:cNvPr id="228" name="image8.png">
          <a:extLst>
            <a:ext uri="{FF2B5EF4-FFF2-40B4-BE49-F238E27FC236}">
              <a16:creationId xmlns:a16="http://schemas.microsoft.com/office/drawing/2014/main" id="{00000000-0008-0000-0200-0000E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146</xdr:row>
      <xdr:rowOff>0</xdr:rowOff>
    </xdr:from>
    <xdr:ext cx="200025" cy="200025"/>
    <xdr:pic>
      <xdr:nvPicPr>
        <xdr:cNvPr id="229" name="image10.png">
          <a:extLst>
            <a:ext uri="{FF2B5EF4-FFF2-40B4-BE49-F238E27FC236}">
              <a16:creationId xmlns:a16="http://schemas.microsoft.com/office/drawing/2014/main" id="{00000000-0008-0000-02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146</xdr:row>
      <xdr:rowOff>0</xdr:rowOff>
    </xdr:from>
    <xdr:ext cx="200025" cy="200025"/>
    <xdr:pic>
      <xdr:nvPicPr>
        <xdr:cNvPr id="230" name="image1.png">
          <a:extLst>
            <a:ext uri="{FF2B5EF4-FFF2-40B4-BE49-F238E27FC236}">
              <a16:creationId xmlns:a16="http://schemas.microsoft.com/office/drawing/2014/main" id="{00000000-0008-0000-0200-0000E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146</xdr:row>
      <xdr:rowOff>0</xdr:rowOff>
    </xdr:from>
    <xdr:ext cx="200025" cy="200025"/>
    <xdr:pic>
      <xdr:nvPicPr>
        <xdr:cNvPr id="231" name="image7.png">
          <a:extLst>
            <a:ext uri="{FF2B5EF4-FFF2-40B4-BE49-F238E27FC236}">
              <a16:creationId xmlns:a16="http://schemas.microsoft.com/office/drawing/2014/main" id="{00000000-0008-0000-0200-0000E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149</xdr:row>
      <xdr:rowOff>0</xdr:rowOff>
    </xdr:from>
    <xdr:ext cx="200025" cy="200025"/>
    <xdr:pic>
      <xdr:nvPicPr>
        <xdr:cNvPr id="232" name="image10.png">
          <a:extLst>
            <a:ext uri="{FF2B5EF4-FFF2-40B4-BE49-F238E27FC236}">
              <a16:creationId xmlns:a16="http://schemas.microsoft.com/office/drawing/2014/main" id="{00000000-0008-0000-02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149</xdr:row>
      <xdr:rowOff>0</xdr:rowOff>
    </xdr:from>
    <xdr:ext cx="200025" cy="200025"/>
    <xdr:pic>
      <xdr:nvPicPr>
        <xdr:cNvPr id="233" name="image1.png">
          <a:extLst>
            <a:ext uri="{FF2B5EF4-FFF2-40B4-BE49-F238E27FC236}">
              <a16:creationId xmlns:a16="http://schemas.microsoft.com/office/drawing/2014/main" id="{00000000-0008-0000-0200-0000E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149</xdr:row>
      <xdr:rowOff>0</xdr:rowOff>
    </xdr:from>
    <xdr:ext cx="200025" cy="200025"/>
    <xdr:pic>
      <xdr:nvPicPr>
        <xdr:cNvPr id="234" name="image7.png">
          <a:extLst>
            <a:ext uri="{FF2B5EF4-FFF2-40B4-BE49-F238E27FC236}">
              <a16:creationId xmlns:a16="http://schemas.microsoft.com/office/drawing/2014/main" id="{00000000-0008-0000-0200-0000E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149</xdr:row>
      <xdr:rowOff>0</xdr:rowOff>
    </xdr:from>
    <xdr:ext cx="200025" cy="200025"/>
    <xdr:pic>
      <xdr:nvPicPr>
        <xdr:cNvPr id="235" name="image8.png">
          <a:extLst>
            <a:ext uri="{FF2B5EF4-FFF2-40B4-BE49-F238E27FC236}">
              <a16:creationId xmlns:a16="http://schemas.microsoft.com/office/drawing/2014/main" id="{00000000-0008-0000-0200-0000E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150</xdr:row>
      <xdr:rowOff>0</xdr:rowOff>
    </xdr:from>
    <xdr:ext cx="200025" cy="200025"/>
    <xdr:pic>
      <xdr:nvPicPr>
        <xdr:cNvPr id="236" name="image8.png">
          <a:extLst>
            <a:ext uri="{FF2B5EF4-FFF2-40B4-BE49-F238E27FC236}">
              <a16:creationId xmlns:a16="http://schemas.microsoft.com/office/drawing/2014/main" id="{00000000-0008-0000-0200-0000E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152</xdr:row>
      <xdr:rowOff>0</xdr:rowOff>
    </xdr:from>
    <xdr:ext cx="200025" cy="200025"/>
    <xdr:pic>
      <xdr:nvPicPr>
        <xdr:cNvPr id="237" name="image2.png">
          <a:extLst>
            <a:ext uri="{FF2B5EF4-FFF2-40B4-BE49-F238E27FC236}">
              <a16:creationId xmlns:a16="http://schemas.microsoft.com/office/drawing/2014/main" id="{00000000-0008-0000-0200-0000E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152</xdr:row>
      <xdr:rowOff>0</xdr:rowOff>
    </xdr:from>
    <xdr:ext cx="200025" cy="200025"/>
    <xdr:pic>
      <xdr:nvPicPr>
        <xdr:cNvPr id="238" name="image1.png">
          <a:extLst>
            <a:ext uri="{FF2B5EF4-FFF2-40B4-BE49-F238E27FC236}">
              <a16:creationId xmlns:a16="http://schemas.microsoft.com/office/drawing/2014/main" id="{00000000-0008-0000-0200-0000E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152</xdr:row>
      <xdr:rowOff>0</xdr:rowOff>
    </xdr:from>
    <xdr:ext cx="200025" cy="200025"/>
    <xdr:pic>
      <xdr:nvPicPr>
        <xdr:cNvPr id="239" name="image7.png">
          <a:extLst>
            <a:ext uri="{FF2B5EF4-FFF2-40B4-BE49-F238E27FC236}">
              <a16:creationId xmlns:a16="http://schemas.microsoft.com/office/drawing/2014/main" id="{00000000-0008-0000-0200-0000E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153</xdr:row>
      <xdr:rowOff>0</xdr:rowOff>
    </xdr:from>
    <xdr:ext cx="200025" cy="200025"/>
    <xdr:pic>
      <xdr:nvPicPr>
        <xdr:cNvPr id="240" name="image8.png">
          <a:extLst>
            <a:ext uri="{FF2B5EF4-FFF2-40B4-BE49-F238E27FC236}">
              <a16:creationId xmlns:a16="http://schemas.microsoft.com/office/drawing/2014/main" id="{00000000-0008-0000-0200-0000F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154</xdr:row>
      <xdr:rowOff>0</xdr:rowOff>
    </xdr:from>
    <xdr:ext cx="200025" cy="200025"/>
    <xdr:pic>
      <xdr:nvPicPr>
        <xdr:cNvPr id="241" name="image8.png">
          <a:extLst>
            <a:ext uri="{FF2B5EF4-FFF2-40B4-BE49-F238E27FC236}">
              <a16:creationId xmlns:a16="http://schemas.microsoft.com/office/drawing/2014/main" id="{00000000-0008-0000-0200-0000F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157</xdr:row>
      <xdr:rowOff>0</xdr:rowOff>
    </xdr:from>
    <xdr:ext cx="200025" cy="200025"/>
    <xdr:pic>
      <xdr:nvPicPr>
        <xdr:cNvPr id="242" name="image10.png">
          <a:extLst>
            <a:ext uri="{FF2B5EF4-FFF2-40B4-BE49-F238E27FC236}">
              <a16:creationId xmlns:a16="http://schemas.microsoft.com/office/drawing/2014/main" id="{00000000-0008-0000-02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157</xdr:row>
      <xdr:rowOff>0</xdr:rowOff>
    </xdr:from>
    <xdr:ext cx="200025" cy="200025"/>
    <xdr:pic>
      <xdr:nvPicPr>
        <xdr:cNvPr id="243" name="image9.png">
          <a:extLst>
            <a:ext uri="{FF2B5EF4-FFF2-40B4-BE49-F238E27FC236}">
              <a16:creationId xmlns:a16="http://schemas.microsoft.com/office/drawing/2014/main" id="{00000000-0008-0000-0200-0000F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157</xdr:row>
      <xdr:rowOff>0</xdr:rowOff>
    </xdr:from>
    <xdr:ext cx="200025" cy="200025"/>
    <xdr:pic>
      <xdr:nvPicPr>
        <xdr:cNvPr id="244" name="image3.png">
          <a:extLst>
            <a:ext uri="{FF2B5EF4-FFF2-40B4-BE49-F238E27FC236}">
              <a16:creationId xmlns:a16="http://schemas.microsoft.com/office/drawing/2014/main" id="{00000000-0008-0000-0200-0000F4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158</xdr:row>
      <xdr:rowOff>0</xdr:rowOff>
    </xdr:from>
    <xdr:ext cx="200025" cy="200025"/>
    <xdr:pic>
      <xdr:nvPicPr>
        <xdr:cNvPr id="245" name="image2.png">
          <a:extLst>
            <a:ext uri="{FF2B5EF4-FFF2-40B4-BE49-F238E27FC236}">
              <a16:creationId xmlns:a16="http://schemas.microsoft.com/office/drawing/2014/main" id="{00000000-0008-0000-0200-0000F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159</xdr:row>
      <xdr:rowOff>0</xdr:rowOff>
    </xdr:from>
    <xdr:ext cx="200025" cy="200025"/>
    <xdr:pic>
      <xdr:nvPicPr>
        <xdr:cNvPr id="246" name="image2.png">
          <a:extLst>
            <a:ext uri="{FF2B5EF4-FFF2-40B4-BE49-F238E27FC236}">
              <a16:creationId xmlns:a16="http://schemas.microsoft.com/office/drawing/2014/main" id="{00000000-0008-0000-0200-0000F6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160</xdr:row>
      <xdr:rowOff>0</xdr:rowOff>
    </xdr:from>
    <xdr:ext cx="200025" cy="200025"/>
    <xdr:pic>
      <xdr:nvPicPr>
        <xdr:cNvPr id="247" name="image2.png">
          <a:extLst>
            <a:ext uri="{FF2B5EF4-FFF2-40B4-BE49-F238E27FC236}">
              <a16:creationId xmlns:a16="http://schemas.microsoft.com/office/drawing/2014/main" id="{00000000-0008-0000-0200-0000F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161</xdr:row>
      <xdr:rowOff>0</xdr:rowOff>
    </xdr:from>
    <xdr:ext cx="200025" cy="200025"/>
    <xdr:pic>
      <xdr:nvPicPr>
        <xdr:cNvPr id="248" name="image10.png">
          <a:extLst>
            <a:ext uri="{FF2B5EF4-FFF2-40B4-BE49-F238E27FC236}">
              <a16:creationId xmlns:a16="http://schemas.microsoft.com/office/drawing/2014/main" id="{00000000-0008-0000-02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161</xdr:row>
      <xdr:rowOff>0</xdr:rowOff>
    </xdr:from>
    <xdr:ext cx="200025" cy="200025"/>
    <xdr:pic>
      <xdr:nvPicPr>
        <xdr:cNvPr id="249" name="image2.png">
          <a:extLst>
            <a:ext uri="{FF2B5EF4-FFF2-40B4-BE49-F238E27FC236}">
              <a16:creationId xmlns:a16="http://schemas.microsoft.com/office/drawing/2014/main" id="{00000000-0008-0000-0200-0000F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161</xdr:row>
      <xdr:rowOff>0</xdr:rowOff>
    </xdr:from>
    <xdr:ext cx="200025" cy="200025"/>
    <xdr:pic>
      <xdr:nvPicPr>
        <xdr:cNvPr id="250" name="image5.png">
          <a:extLst>
            <a:ext uri="{FF2B5EF4-FFF2-40B4-BE49-F238E27FC236}">
              <a16:creationId xmlns:a16="http://schemas.microsoft.com/office/drawing/2014/main" id="{00000000-0008-0000-0200-0000F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164</xdr:row>
      <xdr:rowOff>0</xdr:rowOff>
    </xdr:from>
    <xdr:ext cx="200025" cy="200025"/>
    <xdr:pic>
      <xdr:nvPicPr>
        <xdr:cNvPr id="251" name="image8.png">
          <a:extLst>
            <a:ext uri="{FF2B5EF4-FFF2-40B4-BE49-F238E27FC236}">
              <a16:creationId xmlns:a16="http://schemas.microsoft.com/office/drawing/2014/main" id="{00000000-0008-0000-0200-0000F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164</xdr:row>
      <xdr:rowOff>0</xdr:rowOff>
    </xdr:from>
    <xdr:ext cx="200025" cy="200025"/>
    <xdr:pic>
      <xdr:nvPicPr>
        <xdr:cNvPr id="252" name="image1.png">
          <a:extLst>
            <a:ext uri="{FF2B5EF4-FFF2-40B4-BE49-F238E27FC236}">
              <a16:creationId xmlns:a16="http://schemas.microsoft.com/office/drawing/2014/main" id="{00000000-0008-0000-0200-0000F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164</xdr:row>
      <xdr:rowOff>0</xdr:rowOff>
    </xdr:from>
    <xdr:ext cx="200025" cy="200025"/>
    <xdr:pic>
      <xdr:nvPicPr>
        <xdr:cNvPr id="253" name="image3.png">
          <a:extLst>
            <a:ext uri="{FF2B5EF4-FFF2-40B4-BE49-F238E27FC236}">
              <a16:creationId xmlns:a16="http://schemas.microsoft.com/office/drawing/2014/main" id="{00000000-0008-0000-0200-0000F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164</xdr:row>
      <xdr:rowOff>0</xdr:rowOff>
    </xdr:from>
    <xdr:ext cx="200025" cy="200025"/>
    <xdr:pic>
      <xdr:nvPicPr>
        <xdr:cNvPr id="254" name="image2.png">
          <a:extLst>
            <a:ext uri="{FF2B5EF4-FFF2-40B4-BE49-F238E27FC236}">
              <a16:creationId xmlns:a16="http://schemas.microsoft.com/office/drawing/2014/main" id="{00000000-0008-0000-0200-0000F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165</xdr:row>
      <xdr:rowOff>0</xdr:rowOff>
    </xdr:from>
    <xdr:ext cx="200025" cy="200025"/>
    <xdr:pic>
      <xdr:nvPicPr>
        <xdr:cNvPr id="255" name="image2.png">
          <a:extLst>
            <a:ext uri="{FF2B5EF4-FFF2-40B4-BE49-F238E27FC236}">
              <a16:creationId xmlns:a16="http://schemas.microsoft.com/office/drawing/2014/main" id="{00000000-0008-0000-0200-0000F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167</xdr:row>
      <xdr:rowOff>0</xdr:rowOff>
    </xdr:from>
    <xdr:ext cx="200025" cy="200025"/>
    <xdr:pic>
      <xdr:nvPicPr>
        <xdr:cNvPr id="256" name="image10.png">
          <a:extLst>
            <a:ext uri="{FF2B5EF4-FFF2-40B4-BE49-F238E27FC236}">
              <a16:creationId xmlns:a16="http://schemas.microsoft.com/office/drawing/2014/main" id="{00000000-0008-0000-02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167</xdr:row>
      <xdr:rowOff>0</xdr:rowOff>
    </xdr:from>
    <xdr:ext cx="200025" cy="200025"/>
    <xdr:pic>
      <xdr:nvPicPr>
        <xdr:cNvPr id="257" name="image2.png">
          <a:extLst>
            <a:ext uri="{FF2B5EF4-FFF2-40B4-BE49-F238E27FC236}">
              <a16:creationId xmlns:a16="http://schemas.microsoft.com/office/drawing/2014/main" id="{00000000-0008-0000-0200-000001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167</xdr:row>
      <xdr:rowOff>0</xdr:rowOff>
    </xdr:from>
    <xdr:ext cx="200025" cy="200025"/>
    <xdr:pic>
      <xdr:nvPicPr>
        <xdr:cNvPr id="258" name="image4.png">
          <a:extLst>
            <a:ext uri="{FF2B5EF4-FFF2-40B4-BE49-F238E27FC236}">
              <a16:creationId xmlns:a16="http://schemas.microsoft.com/office/drawing/2014/main" id="{00000000-0008-0000-0200-000002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168</xdr:row>
      <xdr:rowOff>0</xdr:rowOff>
    </xdr:from>
    <xdr:ext cx="200025" cy="200025"/>
    <xdr:pic>
      <xdr:nvPicPr>
        <xdr:cNvPr id="259" name="image9.png">
          <a:extLst>
            <a:ext uri="{FF2B5EF4-FFF2-40B4-BE49-F238E27FC236}">
              <a16:creationId xmlns:a16="http://schemas.microsoft.com/office/drawing/2014/main" id="{00000000-0008-0000-0200-00000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169</xdr:row>
      <xdr:rowOff>0</xdr:rowOff>
    </xdr:from>
    <xdr:ext cx="200025" cy="200025"/>
    <xdr:pic>
      <xdr:nvPicPr>
        <xdr:cNvPr id="260" name="image9.png">
          <a:extLst>
            <a:ext uri="{FF2B5EF4-FFF2-40B4-BE49-F238E27FC236}">
              <a16:creationId xmlns:a16="http://schemas.microsoft.com/office/drawing/2014/main" id="{00000000-0008-0000-0200-00000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170</xdr:row>
      <xdr:rowOff>0</xdr:rowOff>
    </xdr:from>
    <xdr:ext cx="200025" cy="200025"/>
    <xdr:pic>
      <xdr:nvPicPr>
        <xdr:cNvPr id="261" name="image9.png">
          <a:extLst>
            <a:ext uri="{FF2B5EF4-FFF2-40B4-BE49-F238E27FC236}">
              <a16:creationId xmlns:a16="http://schemas.microsoft.com/office/drawing/2014/main" id="{00000000-0008-0000-0200-00000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171</xdr:row>
      <xdr:rowOff>0</xdr:rowOff>
    </xdr:from>
    <xdr:ext cx="200025" cy="200025"/>
    <xdr:pic>
      <xdr:nvPicPr>
        <xdr:cNvPr id="262" name="image8.png">
          <a:extLst>
            <a:ext uri="{FF2B5EF4-FFF2-40B4-BE49-F238E27FC236}">
              <a16:creationId xmlns:a16="http://schemas.microsoft.com/office/drawing/2014/main" id="{00000000-0008-0000-0200-00000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171</xdr:row>
      <xdr:rowOff>0</xdr:rowOff>
    </xdr:from>
    <xdr:ext cx="200025" cy="200025"/>
    <xdr:pic>
      <xdr:nvPicPr>
        <xdr:cNvPr id="263" name="image1.png">
          <a:extLst>
            <a:ext uri="{FF2B5EF4-FFF2-40B4-BE49-F238E27FC236}">
              <a16:creationId xmlns:a16="http://schemas.microsoft.com/office/drawing/2014/main" id="{00000000-0008-0000-0200-00000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171</xdr:row>
      <xdr:rowOff>0</xdr:rowOff>
    </xdr:from>
    <xdr:ext cx="200025" cy="200025"/>
    <xdr:pic>
      <xdr:nvPicPr>
        <xdr:cNvPr id="264" name="image7.png">
          <a:extLst>
            <a:ext uri="{FF2B5EF4-FFF2-40B4-BE49-F238E27FC236}">
              <a16:creationId xmlns:a16="http://schemas.microsoft.com/office/drawing/2014/main" id="{00000000-0008-0000-0200-000008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172</xdr:row>
      <xdr:rowOff>0</xdr:rowOff>
    </xdr:from>
    <xdr:ext cx="200025" cy="200025"/>
    <xdr:pic>
      <xdr:nvPicPr>
        <xdr:cNvPr id="265" name="image10.png">
          <a:extLst>
            <a:ext uri="{FF2B5EF4-FFF2-40B4-BE49-F238E27FC236}">
              <a16:creationId xmlns:a16="http://schemas.microsoft.com/office/drawing/2014/main" id="{00000000-0008-0000-02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173</xdr:row>
      <xdr:rowOff>0</xdr:rowOff>
    </xdr:from>
    <xdr:ext cx="200025" cy="200025"/>
    <xdr:pic>
      <xdr:nvPicPr>
        <xdr:cNvPr id="266" name="image10.png">
          <a:extLst>
            <a:ext uri="{FF2B5EF4-FFF2-40B4-BE49-F238E27FC236}">
              <a16:creationId xmlns:a16="http://schemas.microsoft.com/office/drawing/2014/main" id="{00000000-0008-0000-0200-00000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174</xdr:row>
      <xdr:rowOff>0</xdr:rowOff>
    </xdr:from>
    <xdr:ext cx="200025" cy="200025"/>
    <xdr:pic>
      <xdr:nvPicPr>
        <xdr:cNvPr id="267" name="image8.png">
          <a:extLst>
            <a:ext uri="{FF2B5EF4-FFF2-40B4-BE49-F238E27FC236}">
              <a16:creationId xmlns:a16="http://schemas.microsoft.com/office/drawing/2014/main" id="{00000000-0008-0000-0200-00000B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174</xdr:row>
      <xdr:rowOff>0</xdr:rowOff>
    </xdr:from>
    <xdr:ext cx="200025" cy="200025"/>
    <xdr:pic>
      <xdr:nvPicPr>
        <xdr:cNvPr id="268" name="image9.png">
          <a:extLst>
            <a:ext uri="{FF2B5EF4-FFF2-40B4-BE49-F238E27FC236}">
              <a16:creationId xmlns:a16="http://schemas.microsoft.com/office/drawing/2014/main" id="{00000000-0008-0000-0200-00000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174</xdr:row>
      <xdr:rowOff>0</xdr:rowOff>
    </xdr:from>
    <xdr:ext cx="200025" cy="200025"/>
    <xdr:pic>
      <xdr:nvPicPr>
        <xdr:cNvPr id="269" name="image3.png">
          <a:extLst>
            <a:ext uri="{FF2B5EF4-FFF2-40B4-BE49-F238E27FC236}">
              <a16:creationId xmlns:a16="http://schemas.microsoft.com/office/drawing/2014/main" id="{00000000-0008-0000-0200-00000D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175</xdr:row>
      <xdr:rowOff>0</xdr:rowOff>
    </xdr:from>
    <xdr:ext cx="200025" cy="200025"/>
    <xdr:pic>
      <xdr:nvPicPr>
        <xdr:cNvPr id="270" name="image10.png">
          <a:extLst>
            <a:ext uri="{FF2B5EF4-FFF2-40B4-BE49-F238E27FC236}">
              <a16:creationId xmlns:a16="http://schemas.microsoft.com/office/drawing/2014/main" id="{00000000-0008-0000-02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176</xdr:row>
      <xdr:rowOff>0</xdr:rowOff>
    </xdr:from>
    <xdr:ext cx="200025" cy="200025"/>
    <xdr:pic>
      <xdr:nvPicPr>
        <xdr:cNvPr id="271" name="image10.png">
          <a:extLst>
            <a:ext uri="{FF2B5EF4-FFF2-40B4-BE49-F238E27FC236}">
              <a16:creationId xmlns:a16="http://schemas.microsoft.com/office/drawing/2014/main" id="{00000000-0008-0000-02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177</xdr:row>
      <xdr:rowOff>0</xdr:rowOff>
    </xdr:from>
    <xdr:ext cx="200025" cy="200025"/>
    <xdr:pic>
      <xdr:nvPicPr>
        <xdr:cNvPr id="272" name="image10.png">
          <a:extLst>
            <a:ext uri="{FF2B5EF4-FFF2-40B4-BE49-F238E27FC236}">
              <a16:creationId xmlns:a16="http://schemas.microsoft.com/office/drawing/2014/main" id="{00000000-0008-0000-02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178</xdr:row>
      <xdr:rowOff>0</xdr:rowOff>
    </xdr:from>
    <xdr:ext cx="200025" cy="200025"/>
    <xdr:pic>
      <xdr:nvPicPr>
        <xdr:cNvPr id="273" name="image2.png">
          <a:extLst>
            <a:ext uri="{FF2B5EF4-FFF2-40B4-BE49-F238E27FC236}">
              <a16:creationId xmlns:a16="http://schemas.microsoft.com/office/drawing/2014/main" id="{00000000-0008-0000-0200-000011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178</xdr:row>
      <xdr:rowOff>0</xdr:rowOff>
    </xdr:from>
    <xdr:ext cx="200025" cy="200025"/>
    <xdr:pic>
      <xdr:nvPicPr>
        <xdr:cNvPr id="274" name="image6.png">
          <a:extLst>
            <a:ext uri="{FF2B5EF4-FFF2-40B4-BE49-F238E27FC236}">
              <a16:creationId xmlns:a16="http://schemas.microsoft.com/office/drawing/2014/main" id="{00000000-0008-0000-0200-000012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178</xdr:row>
      <xdr:rowOff>0</xdr:rowOff>
    </xdr:from>
    <xdr:ext cx="200025" cy="200025"/>
    <xdr:pic>
      <xdr:nvPicPr>
        <xdr:cNvPr id="275" name="image5.png">
          <a:extLst>
            <a:ext uri="{FF2B5EF4-FFF2-40B4-BE49-F238E27FC236}">
              <a16:creationId xmlns:a16="http://schemas.microsoft.com/office/drawing/2014/main" id="{00000000-0008-0000-0200-000013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178</xdr:row>
      <xdr:rowOff>0</xdr:rowOff>
    </xdr:from>
    <xdr:ext cx="200025" cy="200025"/>
    <xdr:pic>
      <xdr:nvPicPr>
        <xdr:cNvPr id="276" name="image7.png">
          <a:extLst>
            <a:ext uri="{FF2B5EF4-FFF2-40B4-BE49-F238E27FC236}">
              <a16:creationId xmlns:a16="http://schemas.microsoft.com/office/drawing/2014/main" id="{00000000-0008-0000-0200-000014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178</xdr:row>
      <xdr:rowOff>0</xdr:rowOff>
    </xdr:from>
    <xdr:ext cx="200025" cy="200025"/>
    <xdr:pic>
      <xdr:nvPicPr>
        <xdr:cNvPr id="277" name="image10.png">
          <a:extLst>
            <a:ext uri="{FF2B5EF4-FFF2-40B4-BE49-F238E27FC236}">
              <a16:creationId xmlns:a16="http://schemas.microsoft.com/office/drawing/2014/main" id="{00000000-0008-0000-02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179</xdr:row>
      <xdr:rowOff>0</xdr:rowOff>
    </xdr:from>
    <xdr:ext cx="200025" cy="200025"/>
    <xdr:pic>
      <xdr:nvPicPr>
        <xdr:cNvPr id="278" name="image10.png">
          <a:extLst>
            <a:ext uri="{FF2B5EF4-FFF2-40B4-BE49-F238E27FC236}">
              <a16:creationId xmlns:a16="http://schemas.microsoft.com/office/drawing/2014/main" id="{00000000-0008-0000-02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180</xdr:row>
      <xdr:rowOff>0</xdr:rowOff>
    </xdr:from>
    <xdr:ext cx="200025" cy="200025"/>
    <xdr:pic>
      <xdr:nvPicPr>
        <xdr:cNvPr id="279" name="image10.png">
          <a:extLst>
            <a:ext uri="{FF2B5EF4-FFF2-40B4-BE49-F238E27FC236}">
              <a16:creationId xmlns:a16="http://schemas.microsoft.com/office/drawing/2014/main" id="{00000000-0008-0000-02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181</xdr:row>
      <xdr:rowOff>0</xdr:rowOff>
    </xdr:from>
    <xdr:ext cx="200025" cy="200025"/>
    <xdr:pic>
      <xdr:nvPicPr>
        <xdr:cNvPr id="280" name="image8.png">
          <a:extLst>
            <a:ext uri="{FF2B5EF4-FFF2-40B4-BE49-F238E27FC236}">
              <a16:creationId xmlns:a16="http://schemas.microsoft.com/office/drawing/2014/main" id="{00000000-0008-0000-0200-000018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181</xdr:row>
      <xdr:rowOff>0</xdr:rowOff>
    </xdr:from>
    <xdr:ext cx="200025" cy="200025"/>
    <xdr:pic>
      <xdr:nvPicPr>
        <xdr:cNvPr id="281" name="image1.png">
          <a:extLst>
            <a:ext uri="{FF2B5EF4-FFF2-40B4-BE49-F238E27FC236}">
              <a16:creationId xmlns:a16="http://schemas.microsoft.com/office/drawing/2014/main" id="{00000000-0008-0000-0200-00001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181</xdr:row>
      <xdr:rowOff>0</xdr:rowOff>
    </xdr:from>
    <xdr:ext cx="200025" cy="200025"/>
    <xdr:pic>
      <xdr:nvPicPr>
        <xdr:cNvPr id="282" name="image7.png">
          <a:extLst>
            <a:ext uri="{FF2B5EF4-FFF2-40B4-BE49-F238E27FC236}">
              <a16:creationId xmlns:a16="http://schemas.microsoft.com/office/drawing/2014/main" id="{00000000-0008-0000-0200-00001A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181</xdr:row>
      <xdr:rowOff>0</xdr:rowOff>
    </xdr:from>
    <xdr:ext cx="200025" cy="200025"/>
    <xdr:pic>
      <xdr:nvPicPr>
        <xdr:cNvPr id="283" name="image10.png">
          <a:extLst>
            <a:ext uri="{FF2B5EF4-FFF2-40B4-BE49-F238E27FC236}">
              <a16:creationId xmlns:a16="http://schemas.microsoft.com/office/drawing/2014/main" id="{00000000-0008-0000-02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183</xdr:row>
      <xdr:rowOff>0</xdr:rowOff>
    </xdr:from>
    <xdr:ext cx="200025" cy="200025"/>
    <xdr:pic>
      <xdr:nvPicPr>
        <xdr:cNvPr id="284" name="image10.png">
          <a:extLst>
            <a:ext uri="{FF2B5EF4-FFF2-40B4-BE49-F238E27FC236}">
              <a16:creationId xmlns:a16="http://schemas.microsoft.com/office/drawing/2014/main" id="{00000000-0008-0000-02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188</xdr:row>
      <xdr:rowOff>0</xdr:rowOff>
    </xdr:from>
    <xdr:ext cx="200025" cy="200025"/>
    <xdr:pic>
      <xdr:nvPicPr>
        <xdr:cNvPr id="285" name="image10.png">
          <a:extLst>
            <a:ext uri="{FF2B5EF4-FFF2-40B4-BE49-F238E27FC236}">
              <a16:creationId xmlns:a16="http://schemas.microsoft.com/office/drawing/2014/main" id="{00000000-0008-0000-02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188</xdr:row>
      <xdr:rowOff>0</xdr:rowOff>
    </xdr:from>
    <xdr:ext cx="200025" cy="200025"/>
    <xdr:pic>
      <xdr:nvPicPr>
        <xdr:cNvPr id="286" name="image2.png">
          <a:extLst>
            <a:ext uri="{FF2B5EF4-FFF2-40B4-BE49-F238E27FC236}">
              <a16:creationId xmlns:a16="http://schemas.microsoft.com/office/drawing/2014/main" id="{00000000-0008-0000-0200-00001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188</xdr:row>
      <xdr:rowOff>0</xdr:rowOff>
    </xdr:from>
    <xdr:ext cx="200025" cy="200025"/>
    <xdr:pic>
      <xdr:nvPicPr>
        <xdr:cNvPr id="287" name="image4.png">
          <a:extLst>
            <a:ext uri="{FF2B5EF4-FFF2-40B4-BE49-F238E27FC236}">
              <a16:creationId xmlns:a16="http://schemas.microsoft.com/office/drawing/2014/main" id="{00000000-0008-0000-0200-00001F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189</xdr:row>
      <xdr:rowOff>0</xdr:rowOff>
    </xdr:from>
    <xdr:ext cx="200025" cy="200025"/>
    <xdr:pic>
      <xdr:nvPicPr>
        <xdr:cNvPr id="288" name="image5.png">
          <a:extLst>
            <a:ext uri="{FF2B5EF4-FFF2-40B4-BE49-F238E27FC236}">
              <a16:creationId xmlns:a16="http://schemas.microsoft.com/office/drawing/2014/main" id="{00000000-0008-0000-0200-000020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190</xdr:row>
      <xdr:rowOff>0</xdr:rowOff>
    </xdr:from>
    <xdr:ext cx="200025" cy="200025"/>
    <xdr:pic>
      <xdr:nvPicPr>
        <xdr:cNvPr id="289" name="image3.png">
          <a:extLst>
            <a:ext uri="{FF2B5EF4-FFF2-40B4-BE49-F238E27FC236}">
              <a16:creationId xmlns:a16="http://schemas.microsoft.com/office/drawing/2014/main" id="{00000000-0008-0000-0200-000021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191</xdr:row>
      <xdr:rowOff>0</xdr:rowOff>
    </xdr:from>
    <xdr:ext cx="200025" cy="200025"/>
    <xdr:pic>
      <xdr:nvPicPr>
        <xdr:cNvPr id="290" name="image6.png">
          <a:extLst>
            <a:ext uri="{FF2B5EF4-FFF2-40B4-BE49-F238E27FC236}">
              <a16:creationId xmlns:a16="http://schemas.microsoft.com/office/drawing/2014/main" id="{00000000-0008-0000-0200-000022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192</xdr:row>
      <xdr:rowOff>0</xdr:rowOff>
    </xdr:from>
    <xdr:ext cx="200025" cy="200025"/>
    <xdr:pic>
      <xdr:nvPicPr>
        <xdr:cNvPr id="291" name="image10.png">
          <a:extLst>
            <a:ext uri="{FF2B5EF4-FFF2-40B4-BE49-F238E27FC236}">
              <a16:creationId xmlns:a16="http://schemas.microsoft.com/office/drawing/2014/main" id="{00000000-0008-0000-02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192</xdr:row>
      <xdr:rowOff>0</xdr:rowOff>
    </xdr:from>
    <xdr:ext cx="200025" cy="200025"/>
    <xdr:pic>
      <xdr:nvPicPr>
        <xdr:cNvPr id="292" name="image1.png">
          <a:extLst>
            <a:ext uri="{FF2B5EF4-FFF2-40B4-BE49-F238E27FC236}">
              <a16:creationId xmlns:a16="http://schemas.microsoft.com/office/drawing/2014/main" id="{00000000-0008-0000-0200-00002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192</xdr:row>
      <xdr:rowOff>0</xdr:rowOff>
    </xdr:from>
    <xdr:ext cx="200025" cy="200025"/>
    <xdr:pic>
      <xdr:nvPicPr>
        <xdr:cNvPr id="293" name="image7.png">
          <a:extLst>
            <a:ext uri="{FF2B5EF4-FFF2-40B4-BE49-F238E27FC236}">
              <a16:creationId xmlns:a16="http://schemas.microsoft.com/office/drawing/2014/main" id="{00000000-0008-0000-0200-000025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192</xdr:row>
      <xdr:rowOff>0</xdr:rowOff>
    </xdr:from>
    <xdr:ext cx="200025" cy="200025"/>
    <xdr:pic>
      <xdr:nvPicPr>
        <xdr:cNvPr id="294" name="image9.png">
          <a:extLst>
            <a:ext uri="{FF2B5EF4-FFF2-40B4-BE49-F238E27FC236}">
              <a16:creationId xmlns:a16="http://schemas.microsoft.com/office/drawing/2014/main" id="{00000000-0008-0000-02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193</xdr:row>
      <xdr:rowOff>0</xdr:rowOff>
    </xdr:from>
    <xdr:ext cx="200025" cy="200025"/>
    <xdr:pic>
      <xdr:nvPicPr>
        <xdr:cNvPr id="295" name="image9.png">
          <a:extLst>
            <a:ext uri="{FF2B5EF4-FFF2-40B4-BE49-F238E27FC236}">
              <a16:creationId xmlns:a16="http://schemas.microsoft.com/office/drawing/2014/main" id="{00000000-0008-0000-02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194</xdr:row>
      <xdr:rowOff>0</xdr:rowOff>
    </xdr:from>
    <xdr:ext cx="200025" cy="200025"/>
    <xdr:pic>
      <xdr:nvPicPr>
        <xdr:cNvPr id="296" name="image9.png">
          <a:extLst>
            <a:ext uri="{FF2B5EF4-FFF2-40B4-BE49-F238E27FC236}">
              <a16:creationId xmlns:a16="http://schemas.microsoft.com/office/drawing/2014/main" id="{00000000-0008-0000-0200-00002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195</xdr:row>
      <xdr:rowOff>0</xdr:rowOff>
    </xdr:from>
    <xdr:ext cx="200025" cy="200025"/>
    <xdr:pic>
      <xdr:nvPicPr>
        <xdr:cNvPr id="297" name="image8.png">
          <a:extLst>
            <a:ext uri="{FF2B5EF4-FFF2-40B4-BE49-F238E27FC236}">
              <a16:creationId xmlns:a16="http://schemas.microsoft.com/office/drawing/2014/main" id="{00000000-0008-0000-0200-000029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195</xdr:row>
      <xdr:rowOff>0</xdr:rowOff>
    </xdr:from>
    <xdr:ext cx="200025" cy="200025"/>
    <xdr:pic>
      <xdr:nvPicPr>
        <xdr:cNvPr id="298" name="image6.png">
          <a:extLst>
            <a:ext uri="{FF2B5EF4-FFF2-40B4-BE49-F238E27FC236}">
              <a16:creationId xmlns:a16="http://schemas.microsoft.com/office/drawing/2014/main" id="{00000000-0008-0000-0200-00002A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195</xdr:row>
      <xdr:rowOff>0</xdr:rowOff>
    </xdr:from>
    <xdr:ext cx="200025" cy="200025"/>
    <xdr:pic>
      <xdr:nvPicPr>
        <xdr:cNvPr id="299" name="image11.png">
          <a:extLst>
            <a:ext uri="{FF2B5EF4-FFF2-40B4-BE49-F238E27FC236}">
              <a16:creationId xmlns:a16="http://schemas.microsoft.com/office/drawing/2014/main" id="{00000000-0008-0000-0200-00002B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196</xdr:row>
      <xdr:rowOff>0</xdr:rowOff>
    </xdr:from>
    <xdr:ext cx="200025" cy="200025"/>
    <xdr:pic>
      <xdr:nvPicPr>
        <xdr:cNvPr id="300" name="image2.png">
          <a:extLst>
            <a:ext uri="{FF2B5EF4-FFF2-40B4-BE49-F238E27FC236}">
              <a16:creationId xmlns:a16="http://schemas.microsoft.com/office/drawing/2014/main" id="{00000000-0008-0000-0200-00002C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197</xdr:row>
      <xdr:rowOff>0</xdr:rowOff>
    </xdr:from>
    <xdr:ext cx="200025" cy="200025"/>
    <xdr:pic>
      <xdr:nvPicPr>
        <xdr:cNvPr id="301" name="image2.png">
          <a:extLst>
            <a:ext uri="{FF2B5EF4-FFF2-40B4-BE49-F238E27FC236}">
              <a16:creationId xmlns:a16="http://schemas.microsoft.com/office/drawing/2014/main" id="{00000000-0008-0000-0200-00002D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198</xdr:row>
      <xdr:rowOff>0</xdr:rowOff>
    </xdr:from>
    <xdr:ext cx="200025" cy="200025"/>
    <xdr:pic>
      <xdr:nvPicPr>
        <xdr:cNvPr id="302" name="image8.png">
          <a:extLst>
            <a:ext uri="{FF2B5EF4-FFF2-40B4-BE49-F238E27FC236}">
              <a16:creationId xmlns:a16="http://schemas.microsoft.com/office/drawing/2014/main" id="{00000000-0008-0000-0200-00002E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198</xdr:row>
      <xdr:rowOff>0</xdr:rowOff>
    </xdr:from>
    <xdr:ext cx="200025" cy="200025"/>
    <xdr:pic>
      <xdr:nvPicPr>
        <xdr:cNvPr id="303" name="image2.png">
          <a:extLst>
            <a:ext uri="{FF2B5EF4-FFF2-40B4-BE49-F238E27FC236}">
              <a16:creationId xmlns:a16="http://schemas.microsoft.com/office/drawing/2014/main" id="{00000000-0008-0000-0200-00002F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198</xdr:row>
      <xdr:rowOff>0</xdr:rowOff>
    </xdr:from>
    <xdr:ext cx="200025" cy="200025"/>
    <xdr:pic>
      <xdr:nvPicPr>
        <xdr:cNvPr id="304" name="image11.png">
          <a:extLst>
            <a:ext uri="{FF2B5EF4-FFF2-40B4-BE49-F238E27FC236}">
              <a16:creationId xmlns:a16="http://schemas.microsoft.com/office/drawing/2014/main" id="{00000000-0008-0000-0200-000030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199</xdr:row>
      <xdr:rowOff>0</xdr:rowOff>
    </xdr:from>
    <xdr:ext cx="200025" cy="200025"/>
    <xdr:pic>
      <xdr:nvPicPr>
        <xdr:cNvPr id="305" name="image12.png">
          <a:extLst>
            <a:ext uri="{FF2B5EF4-FFF2-40B4-BE49-F238E27FC236}">
              <a16:creationId xmlns:a16="http://schemas.microsoft.com/office/drawing/2014/main" id="{00000000-0008-0000-0200-000031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200</xdr:row>
      <xdr:rowOff>0</xdr:rowOff>
    </xdr:from>
    <xdr:ext cx="200025" cy="200025"/>
    <xdr:pic>
      <xdr:nvPicPr>
        <xdr:cNvPr id="306" name="image6.png">
          <a:extLst>
            <a:ext uri="{FF2B5EF4-FFF2-40B4-BE49-F238E27FC236}">
              <a16:creationId xmlns:a16="http://schemas.microsoft.com/office/drawing/2014/main" id="{00000000-0008-0000-0200-000032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202</xdr:row>
      <xdr:rowOff>0</xdr:rowOff>
    </xdr:from>
    <xdr:ext cx="200025" cy="200025"/>
    <xdr:pic>
      <xdr:nvPicPr>
        <xdr:cNvPr id="307" name="image10.png">
          <a:extLst>
            <a:ext uri="{FF2B5EF4-FFF2-40B4-BE49-F238E27FC236}">
              <a16:creationId xmlns:a16="http://schemas.microsoft.com/office/drawing/2014/main" id="{00000000-0008-0000-02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202</xdr:row>
      <xdr:rowOff>0</xdr:rowOff>
    </xdr:from>
    <xdr:ext cx="200025" cy="200025"/>
    <xdr:pic>
      <xdr:nvPicPr>
        <xdr:cNvPr id="308" name="image6.png">
          <a:extLst>
            <a:ext uri="{FF2B5EF4-FFF2-40B4-BE49-F238E27FC236}">
              <a16:creationId xmlns:a16="http://schemas.microsoft.com/office/drawing/2014/main" id="{00000000-0008-0000-0200-000034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202</xdr:row>
      <xdr:rowOff>0</xdr:rowOff>
    </xdr:from>
    <xdr:ext cx="200025" cy="200025"/>
    <xdr:pic>
      <xdr:nvPicPr>
        <xdr:cNvPr id="309" name="image11.png">
          <a:extLst>
            <a:ext uri="{FF2B5EF4-FFF2-40B4-BE49-F238E27FC236}">
              <a16:creationId xmlns:a16="http://schemas.microsoft.com/office/drawing/2014/main" id="{00000000-0008-0000-0200-000035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202</xdr:row>
      <xdr:rowOff>0</xdr:rowOff>
    </xdr:from>
    <xdr:ext cx="200025" cy="200025"/>
    <xdr:pic>
      <xdr:nvPicPr>
        <xdr:cNvPr id="310" name="image9.png">
          <a:extLst>
            <a:ext uri="{FF2B5EF4-FFF2-40B4-BE49-F238E27FC236}">
              <a16:creationId xmlns:a16="http://schemas.microsoft.com/office/drawing/2014/main" id="{00000000-0008-0000-0200-00003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203</xdr:row>
      <xdr:rowOff>0</xdr:rowOff>
    </xdr:from>
    <xdr:ext cx="200025" cy="200025"/>
    <xdr:pic>
      <xdr:nvPicPr>
        <xdr:cNvPr id="311" name="image9.png">
          <a:extLst>
            <a:ext uri="{FF2B5EF4-FFF2-40B4-BE49-F238E27FC236}">
              <a16:creationId xmlns:a16="http://schemas.microsoft.com/office/drawing/2014/main" id="{00000000-0008-0000-0200-00003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204</xdr:row>
      <xdr:rowOff>0</xdr:rowOff>
    </xdr:from>
    <xdr:ext cx="200025" cy="200025"/>
    <xdr:pic>
      <xdr:nvPicPr>
        <xdr:cNvPr id="312" name="image8.png">
          <a:extLst>
            <a:ext uri="{FF2B5EF4-FFF2-40B4-BE49-F238E27FC236}">
              <a16:creationId xmlns:a16="http://schemas.microsoft.com/office/drawing/2014/main" id="{00000000-0008-0000-0200-000038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204</xdr:row>
      <xdr:rowOff>0</xdr:rowOff>
    </xdr:from>
    <xdr:ext cx="200025" cy="200025"/>
    <xdr:pic>
      <xdr:nvPicPr>
        <xdr:cNvPr id="313" name="image9.png">
          <a:extLst>
            <a:ext uri="{FF2B5EF4-FFF2-40B4-BE49-F238E27FC236}">
              <a16:creationId xmlns:a16="http://schemas.microsoft.com/office/drawing/2014/main" id="{00000000-0008-0000-0200-00003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204</xdr:row>
      <xdr:rowOff>0</xdr:rowOff>
    </xdr:from>
    <xdr:ext cx="200025" cy="200025"/>
    <xdr:pic>
      <xdr:nvPicPr>
        <xdr:cNvPr id="314" name="image11.png">
          <a:extLst>
            <a:ext uri="{FF2B5EF4-FFF2-40B4-BE49-F238E27FC236}">
              <a16:creationId xmlns:a16="http://schemas.microsoft.com/office/drawing/2014/main" id="{00000000-0008-0000-0200-00003A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207</xdr:row>
      <xdr:rowOff>0</xdr:rowOff>
    </xdr:from>
    <xdr:ext cx="200025" cy="200025"/>
    <xdr:pic>
      <xdr:nvPicPr>
        <xdr:cNvPr id="315" name="image8.png">
          <a:extLst>
            <a:ext uri="{FF2B5EF4-FFF2-40B4-BE49-F238E27FC236}">
              <a16:creationId xmlns:a16="http://schemas.microsoft.com/office/drawing/2014/main" id="{00000000-0008-0000-0200-00003B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207</xdr:row>
      <xdr:rowOff>0</xdr:rowOff>
    </xdr:from>
    <xdr:ext cx="200025" cy="200025"/>
    <xdr:pic>
      <xdr:nvPicPr>
        <xdr:cNvPr id="316" name="image1.png">
          <a:extLst>
            <a:ext uri="{FF2B5EF4-FFF2-40B4-BE49-F238E27FC236}">
              <a16:creationId xmlns:a16="http://schemas.microsoft.com/office/drawing/2014/main" id="{00000000-0008-0000-0200-00003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207</xdr:row>
      <xdr:rowOff>0</xdr:rowOff>
    </xdr:from>
    <xdr:ext cx="200025" cy="200025"/>
    <xdr:pic>
      <xdr:nvPicPr>
        <xdr:cNvPr id="317" name="image12.png">
          <a:extLst>
            <a:ext uri="{FF2B5EF4-FFF2-40B4-BE49-F238E27FC236}">
              <a16:creationId xmlns:a16="http://schemas.microsoft.com/office/drawing/2014/main" id="{00000000-0008-0000-0200-00003D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207</xdr:row>
      <xdr:rowOff>0</xdr:rowOff>
    </xdr:from>
    <xdr:ext cx="200025" cy="200025"/>
    <xdr:pic>
      <xdr:nvPicPr>
        <xdr:cNvPr id="318" name="image5.png">
          <a:extLst>
            <a:ext uri="{FF2B5EF4-FFF2-40B4-BE49-F238E27FC236}">
              <a16:creationId xmlns:a16="http://schemas.microsoft.com/office/drawing/2014/main" id="{00000000-0008-0000-0200-00003E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208</xdr:row>
      <xdr:rowOff>0</xdr:rowOff>
    </xdr:from>
    <xdr:ext cx="200025" cy="200025"/>
    <xdr:pic>
      <xdr:nvPicPr>
        <xdr:cNvPr id="319" name="image5.png">
          <a:extLst>
            <a:ext uri="{FF2B5EF4-FFF2-40B4-BE49-F238E27FC236}">
              <a16:creationId xmlns:a16="http://schemas.microsoft.com/office/drawing/2014/main" id="{00000000-0008-0000-0200-00003F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209</xdr:row>
      <xdr:rowOff>0</xdr:rowOff>
    </xdr:from>
    <xdr:ext cx="200025" cy="200025"/>
    <xdr:pic>
      <xdr:nvPicPr>
        <xdr:cNvPr id="320" name="image6.png">
          <a:extLst>
            <a:ext uri="{FF2B5EF4-FFF2-40B4-BE49-F238E27FC236}">
              <a16:creationId xmlns:a16="http://schemas.microsoft.com/office/drawing/2014/main" id="{00000000-0008-0000-0200-000040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212</xdr:row>
      <xdr:rowOff>0</xdr:rowOff>
    </xdr:from>
    <xdr:ext cx="200025" cy="200025"/>
    <xdr:pic>
      <xdr:nvPicPr>
        <xdr:cNvPr id="321" name="image10.png">
          <a:extLst>
            <a:ext uri="{FF2B5EF4-FFF2-40B4-BE49-F238E27FC236}">
              <a16:creationId xmlns:a16="http://schemas.microsoft.com/office/drawing/2014/main" id="{00000000-0008-0000-02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212</xdr:row>
      <xdr:rowOff>0</xdr:rowOff>
    </xdr:from>
    <xdr:ext cx="200025" cy="200025"/>
    <xdr:pic>
      <xdr:nvPicPr>
        <xdr:cNvPr id="322" name="image2.png">
          <a:extLst>
            <a:ext uri="{FF2B5EF4-FFF2-40B4-BE49-F238E27FC236}">
              <a16:creationId xmlns:a16="http://schemas.microsoft.com/office/drawing/2014/main" id="{00000000-0008-0000-0200-000042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212</xdr:row>
      <xdr:rowOff>0</xdr:rowOff>
    </xdr:from>
    <xdr:ext cx="200025" cy="200025"/>
    <xdr:pic>
      <xdr:nvPicPr>
        <xdr:cNvPr id="323" name="image12.png">
          <a:extLst>
            <a:ext uri="{FF2B5EF4-FFF2-40B4-BE49-F238E27FC236}">
              <a16:creationId xmlns:a16="http://schemas.microsoft.com/office/drawing/2014/main" id="{00000000-0008-0000-0200-000043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212</xdr:row>
      <xdr:rowOff>0</xdr:rowOff>
    </xdr:from>
    <xdr:ext cx="200025" cy="200025"/>
    <xdr:pic>
      <xdr:nvPicPr>
        <xdr:cNvPr id="324" name="image8.png">
          <a:extLst>
            <a:ext uri="{FF2B5EF4-FFF2-40B4-BE49-F238E27FC236}">
              <a16:creationId xmlns:a16="http://schemas.microsoft.com/office/drawing/2014/main" id="{00000000-0008-0000-0200-00004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213</xdr:row>
      <xdr:rowOff>0</xdr:rowOff>
    </xdr:from>
    <xdr:ext cx="200025" cy="200025"/>
    <xdr:pic>
      <xdr:nvPicPr>
        <xdr:cNvPr id="325" name="image8.png">
          <a:extLst>
            <a:ext uri="{FF2B5EF4-FFF2-40B4-BE49-F238E27FC236}">
              <a16:creationId xmlns:a16="http://schemas.microsoft.com/office/drawing/2014/main" id="{00000000-0008-0000-0200-00004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214</xdr:row>
      <xdr:rowOff>0</xdr:rowOff>
    </xdr:from>
    <xdr:ext cx="200025" cy="200025"/>
    <xdr:pic>
      <xdr:nvPicPr>
        <xdr:cNvPr id="326" name="image8.png">
          <a:extLst>
            <a:ext uri="{FF2B5EF4-FFF2-40B4-BE49-F238E27FC236}">
              <a16:creationId xmlns:a16="http://schemas.microsoft.com/office/drawing/2014/main" id="{00000000-0008-0000-0200-00004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216</xdr:row>
      <xdr:rowOff>0</xdr:rowOff>
    </xdr:from>
    <xdr:ext cx="200025" cy="200025"/>
    <xdr:pic>
      <xdr:nvPicPr>
        <xdr:cNvPr id="327" name="image10.png">
          <a:extLst>
            <a:ext uri="{FF2B5EF4-FFF2-40B4-BE49-F238E27FC236}">
              <a16:creationId xmlns:a16="http://schemas.microsoft.com/office/drawing/2014/main" id="{00000000-0008-0000-02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216</xdr:row>
      <xdr:rowOff>0</xdr:rowOff>
    </xdr:from>
    <xdr:ext cx="200025" cy="200025"/>
    <xdr:pic>
      <xdr:nvPicPr>
        <xdr:cNvPr id="328" name="image9.png">
          <a:extLst>
            <a:ext uri="{FF2B5EF4-FFF2-40B4-BE49-F238E27FC236}">
              <a16:creationId xmlns:a16="http://schemas.microsoft.com/office/drawing/2014/main" id="{00000000-0008-0000-0200-00004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216</xdr:row>
      <xdr:rowOff>0</xdr:rowOff>
    </xdr:from>
    <xdr:ext cx="200025" cy="200025"/>
    <xdr:pic>
      <xdr:nvPicPr>
        <xdr:cNvPr id="329" name="image3.png">
          <a:extLst>
            <a:ext uri="{FF2B5EF4-FFF2-40B4-BE49-F238E27FC236}">
              <a16:creationId xmlns:a16="http://schemas.microsoft.com/office/drawing/2014/main" id="{00000000-0008-0000-0200-000049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217</xdr:row>
      <xdr:rowOff>0</xdr:rowOff>
    </xdr:from>
    <xdr:ext cx="200025" cy="200025"/>
    <xdr:pic>
      <xdr:nvPicPr>
        <xdr:cNvPr id="330" name="image4.png">
          <a:extLst>
            <a:ext uri="{FF2B5EF4-FFF2-40B4-BE49-F238E27FC236}">
              <a16:creationId xmlns:a16="http://schemas.microsoft.com/office/drawing/2014/main" id="{00000000-0008-0000-0200-00004A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218</xdr:row>
      <xdr:rowOff>0</xdr:rowOff>
    </xdr:from>
    <xdr:ext cx="200025" cy="200025"/>
    <xdr:pic>
      <xdr:nvPicPr>
        <xdr:cNvPr id="331" name="image4.png">
          <a:extLst>
            <a:ext uri="{FF2B5EF4-FFF2-40B4-BE49-F238E27FC236}">
              <a16:creationId xmlns:a16="http://schemas.microsoft.com/office/drawing/2014/main" id="{00000000-0008-0000-0200-00004B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219</xdr:row>
      <xdr:rowOff>0</xdr:rowOff>
    </xdr:from>
    <xdr:ext cx="200025" cy="200025"/>
    <xdr:pic>
      <xdr:nvPicPr>
        <xdr:cNvPr id="332" name="image6.png">
          <a:extLst>
            <a:ext uri="{FF2B5EF4-FFF2-40B4-BE49-F238E27FC236}">
              <a16:creationId xmlns:a16="http://schemas.microsoft.com/office/drawing/2014/main" id="{00000000-0008-0000-0200-00004C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224</xdr:row>
      <xdr:rowOff>0</xdr:rowOff>
    </xdr:from>
    <xdr:ext cx="200025" cy="200025"/>
    <xdr:pic>
      <xdr:nvPicPr>
        <xdr:cNvPr id="333" name="image10.png">
          <a:extLst>
            <a:ext uri="{FF2B5EF4-FFF2-40B4-BE49-F238E27FC236}">
              <a16:creationId xmlns:a16="http://schemas.microsoft.com/office/drawing/2014/main" id="{00000000-0008-0000-02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224</xdr:row>
      <xdr:rowOff>0</xdr:rowOff>
    </xdr:from>
    <xdr:ext cx="200025" cy="200025"/>
    <xdr:pic>
      <xdr:nvPicPr>
        <xdr:cNvPr id="334" name="image2.png">
          <a:extLst>
            <a:ext uri="{FF2B5EF4-FFF2-40B4-BE49-F238E27FC236}">
              <a16:creationId xmlns:a16="http://schemas.microsoft.com/office/drawing/2014/main" id="{00000000-0008-0000-0200-00004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224</xdr:row>
      <xdr:rowOff>0</xdr:rowOff>
    </xdr:from>
    <xdr:ext cx="200025" cy="200025"/>
    <xdr:pic>
      <xdr:nvPicPr>
        <xdr:cNvPr id="335" name="image7.png">
          <a:extLst>
            <a:ext uri="{FF2B5EF4-FFF2-40B4-BE49-F238E27FC236}">
              <a16:creationId xmlns:a16="http://schemas.microsoft.com/office/drawing/2014/main" id="{00000000-0008-0000-0200-00004F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225</xdr:row>
      <xdr:rowOff>0</xdr:rowOff>
    </xdr:from>
    <xdr:ext cx="200025" cy="200025"/>
    <xdr:pic>
      <xdr:nvPicPr>
        <xdr:cNvPr id="336" name="image8.png">
          <a:extLst>
            <a:ext uri="{FF2B5EF4-FFF2-40B4-BE49-F238E27FC236}">
              <a16:creationId xmlns:a16="http://schemas.microsoft.com/office/drawing/2014/main" id="{00000000-0008-0000-0200-000050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226</xdr:row>
      <xdr:rowOff>0</xdr:rowOff>
    </xdr:from>
    <xdr:ext cx="200025" cy="200025"/>
    <xdr:pic>
      <xdr:nvPicPr>
        <xdr:cNvPr id="337" name="image8.png">
          <a:extLst>
            <a:ext uri="{FF2B5EF4-FFF2-40B4-BE49-F238E27FC236}">
              <a16:creationId xmlns:a16="http://schemas.microsoft.com/office/drawing/2014/main" id="{00000000-0008-0000-0200-000051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227</xdr:row>
      <xdr:rowOff>0</xdr:rowOff>
    </xdr:from>
    <xdr:ext cx="200025" cy="200025"/>
    <xdr:pic>
      <xdr:nvPicPr>
        <xdr:cNvPr id="338" name="image8.png">
          <a:extLst>
            <a:ext uri="{FF2B5EF4-FFF2-40B4-BE49-F238E27FC236}">
              <a16:creationId xmlns:a16="http://schemas.microsoft.com/office/drawing/2014/main" id="{00000000-0008-0000-0200-000052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227</xdr:row>
      <xdr:rowOff>0</xdr:rowOff>
    </xdr:from>
    <xdr:ext cx="200025" cy="200025"/>
    <xdr:pic>
      <xdr:nvPicPr>
        <xdr:cNvPr id="339" name="image1.png">
          <a:extLst>
            <a:ext uri="{FF2B5EF4-FFF2-40B4-BE49-F238E27FC236}">
              <a16:creationId xmlns:a16="http://schemas.microsoft.com/office/drawing/2014/main" id="{00000000-0008-0000-0200-00005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227</xdr:row>
      <xdr:rowOff>0</xdr:rowOff>
    </xdr:from>
    <xdr:ext cx="200025" cy="200025"/>
    <xdr:pic>
      <xdr:nvPicPr>
        <xdr:cNvPr id="340" name="image11.png">
          <a:extLst>
            <a:ext uri="{FF2B5EF4-FFF2-40B4-BE49-F238E27FC236}">
              <a16:creationId xmlns:a16="http://schemas.microsoft.com/office/drawing/2014/main" id="{00000000-0008-0000-0200-000054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228</xdr:row>
      <xdr:rowOff>0</xdr:rowOff>
    </xdr:from>
    <xdr:ext cx="200025" cy="200025"/>
    <xdr:pic>
      <xdr:nvPicPr>
        <xdr:cNvPr id="341" name="image2.png">
          <a:extLst>
            <a:ext uri="{FF2B5EF4-FFF2-40B4-BE49-F238E27FC236}">
              <a16:creationId xmlns:a16="http://schemas.microsoft.com/office/drawing/2014/main" id="{00000000-0008-0000-0200-000055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229</xdr:row>
      <xdr:rowOff>0</xdr:rowOff>
    </xdr:from>
    <xdr:ext cx="200025" cy="200025"/>
    <xdr:pic>
      <xdr:nvPicPr>
        <xdr:cNvPr id="342" name="image8.png">
          <a:extLst>
            <a:ext uri="{FF2B5EF4-FFF2-40B4-BE49-F238E27FC236}">
              <a16:creationId xmlns:a16="http://schemas.microsoft.com/office/drawing/2014/main" id="{00000000-0008-0000-0200-00005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229</xdr:row>
      <xdr:rowOff>0</xdr:rowOff>
    </xdr:from>
    <xdr:ext cx="200025" cy="200025"/>
    <xdr:pic>
      <xdr:nvPicPr>
        <xdr:cNvPr id="343" name="image1.png">
          <a:extLst>
            <a:ext uri="{FF2B5EF4-FFF2-40B4-BE49-F238E27FC236}">
              <a16:creationId xmlns:a16="http://schemas.microsoft.com/office/drawing/2014/main" id="{00000000-0008-0000-0200-00005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229</xdr:row>
      <xdr:rowOff>0</xdr:rowOff>
    </xdr:from>
    <xdr:ext cx="200025" cy="200025"/>
    <xdr:pic>
      <xdr:nvPicPr>
        <xdr:cNvPr id="344" name="image11.png">
          <a:extLst>
            <a:ext uri="{FF2B5EF4-FFF2-40B4-BE49-F238E27FC236}">
              <a16:creationId xmlns:a16="http://schemas.microsoft.com/office/drawing/2014/main" id="{00000000-0008-0000-0200-000058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231</xdr:row>
      <xdr:rowOff>0</xdr:rowOff>
    </xdr:from>
    <xdr:ext cx="200025" cy="200025"/>
    <xdr:pic>
      <xdr:nvPicPr>
        <xdr:cNvPr id="345" name="image6.png">
          <a:extLst>
            <a:ext uri="{FF2B5EF4-FFF2-40B4-BE49-F238E27FC236}">
              <a16:creationId xmlns:a16="http://schemas.microsoft.com/office/drawing/2014/main" id="{00000000-0008-0000-0200-000059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232</xdr:row>
      <xdr:rowOff>0</xdr:rowOff>
    </xdr:from>
    <xdr:ext cx="200025" cy="200025"/>
    <xdr:pic>
      <xdr:nvPicPr>
        <xdr:cNvPr id="346" name="image10.png">
          <a:extLst>
            <a:ext uri="{FF2B5EF4-FFF2-40B4-BE49-F238E27FC236}">
              <a16:creationId xmlns:a16="http://schemas.microsoft.com/office/drawing/2014/main" id="{00000000-0008-0000-0200-00005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232</xdr:row>
      <xdr:rowOff>0</xdr:rowOff>
    </xdr:from>
    <xdr:ext cx="200025" cy="200025"/>
    <xdr:pic>
      <xdr:nvPicPr>
        <xdr:cNvPr id="347" name="image6.png">
          <a:extLst>
            <a:ext uri="{FF2B5EF4-FFF2-40B4-BE49-F238E27FC236}">
              <a16:creationId xmlns:a16="http://schemas.microsoft.com/office/drawing/2014/main" id="{00000000-0008-0000-0200-00005B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232</xdr:row>
      <xdr:rowOff>0</xdr:rowOff>
    </xdr:from>
    <xdr:ext cx="200025" cy="200025"/>
    <xdr:pic>
      <xdr:nvPicPr>
        <xdr:cNvPr id="348" name="image4.png">
          <a:extLst>
            <a:ext uri="{FF2B5EF4-FFF2-40B4-BE49-F238E27FC236}">
              <a16:creationId xmlns:a16="http://schemas.microsoft.com/office/drawing/2014/main" id="{00000000-0008-0000-0200-00005C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233</xdr:row>
      <xdr:rowOff>0</xdr:rowOff>
    </xdr:from>
    <xdr:ext cx="200025" cy="200025"/>
    <xdr:pic>
      <xdr:nvPicPr>
        <xdr:cNvPr id="349" name="image2.png">
          <a:extLst>
            <a:ext uri="{FF2B5EF4-FFF2-40B4-BE49-F238E27FC236}">
              <a16:creationId xmlns:a16="http://schemas.microsoft.com/office/drawing/2014/main" id="{00000000-0008-0000-0200-00005D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234</xdr:row>
      <xdr:rowOff>0</xdr:rowOff>
    </xdr:from>
    <xdr:ext cx="200025" cy="200025"/>
    <xdr:pic>
      <xdr:nvPicPr>
        <xdr:cNvPr id="350" name="image2.png">
          <a:extLst>
            <a:ext uri="{FF2B5EF4-FFF2-40B4-BE49-F238E27FC236}">
              <a16:creationId xmlns:a16="http://schemas.microsoft.com/office/drawing/2014/main" id="{00000000-0008-0000-0200-00005E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235</xdr:row>
      <xdr:rowOff>0</xdr:rowOff>
    </xdr:from>
    <xdr:ext cx="200025" cy="200025"/>
    <xdr:pic>
      <xdr:nvPicPr>
        <xdr:cNvPr id="351" name="image10.png">
          <a:extLst>
            <a:ext uri="{FF2B5EF4-FFF2-40B4-BE49-F238E27FC236}">
              <a16:creationId xmlns:a16="http://schemas.microsoft.com/office/drawing/2014/main" id="{00000000-0008-0000-0200-00005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235</xdr:row>
      <xdr:rowOff>0</xdr:rowOff>
    </xdr:from>
    <xdr:ext cx="200025" cy="200025"/>
    <xdr:pic>
      <xdr:nvPicPr>
        <xdr:cNvPr id="352" name="image2.png">
          <a:extLst>
            <a:ext uri="{FF2B5EF4-FFF2-40B4-BE49-F238E27FC236}">
              <a16:creationId xmlns:a16="http://schemas.microsoft.com/office/drawing/2014/main" id="{00000000-0008-0000-0200-000060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235</xdr:row>
      <xdr:rowOff>0</xdr:rowOff>
    </xdr:from>
    <xdr:ext cx="200025" cy="200025"/>
    <xdr:pic>
      <xdr:nvPicPr>
        <xdr:cNvPr id="353" name="image5.png">
          <a:extLst>
            <a:ext uri="{FF2B5EF4-FFF2-40B4-BE49-F238E27FC236}">
              <a16:creationId xmlns:a16="http://schemas.microsoft.com/office/drawing/2014/main" id="{00000000-0008-0000-0200-000061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235</xdr:row>
      <xdr:rowOff>0</xdr:rowOff>
    </xdr:from>
    <xdr:ext cx="200025" cy="200025"/>
    <xdr:pic>
      <xdr:nvPicPr>
        <xdr:cNvPr id="354" name="image4.png">
          <a:extLst>
            <a:ext uri="{FF2B5EF4-FFF2-40B4-BE49-F238E27FC236}">
              <a16:creationId xmlns:a16="http://schemas.microsoft.com/office/drawing/2014/main" id="{00000000-0008-0000-0200-000062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235</xdr:row>
      <xdr:rowOff>0</xdr:rowOff>
    </xdr:from>
    <xdr:ext cx="200025" cy="200025"/>
    <xdr:pic>
      <xdr:nvPicPr>
        <xdr:cNvPr id="355" name="image1.png">
          <a:extLst>
            <a:ext uri="{FF2B5EF4-FFF2-40B4-BE49-F238E27FC236}">
              <a16:creationId xmlns:a16="http://schemas.microsoft.com/office/drawing/2014/main" id="{00000000-0008-0000-0200-00006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236</xdr:row>
      <xdr:rowOff>0</xdr:rowOff>
    </xdr:from>
    <xdr:ext cx="200025" cy="200025"/>
    <xdr:pic>
      <xdr:nvPicPr>
        <xdr:cNvPr id="356" name="image1.png">
          <a:extLst>
            <a:ext uri="{FF2B5EF4-FFF2-40B4-BE49-F238E27FC236}">
              <a16:creationId xmlns:a16="http://schemas.microsoft.com/office/drawing/2014/main" id="{00000000-0008-0000-0200-00006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237</xdr:row>
      <xdr:rowOff>0</xdr:rowOff>
    </xdr:from>
    <xdr:ext cx="200025" cy="200025"/>
    <xdr:pic>
      <xdr:nvPicPr>
        <xdr:cNvPr id="357" name="image1.png">
          <a:extLst>
            <a:ext uri="{FF2B5EF4-FFF2-40B4-BE49-F238E27FC236}">
              <a16:creationId xmlns:a16="http://schemas.microsoft.com/office/drawing/2014/main" id="{00000000-0008-0000-0200-00006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238</xdr:row>
      <xdr:rowOff>0</xdr:rowOff>
    </xdr:from>
    <xdr:ext cx="200025" cy="200025"/>
    <xdr:pic>
      <xdr:nvPicPr>
        <xdr:cNvPr id="358" name="image8.png">
          <a:extLst>
            <a:ext uri="{FF2B5EF4-FFF2-40B4-BE49-F238E27FC236}">
              <a16:creationId xmlns:a16="http://schemas.microsoft.com/office/drawing/2014/main" id="{00000000-0008-0000-0200-000066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238</xdr:row>
      <xdr:rowOff>0</xdr:rowOff>
    </xdr:from>
    <xdr:ext cx="200025" cy="200025"/>
    <xdr:pic>
      <xdr:nvPicPr>
        <xdr:cNvPr id="359" name="image6.png">
          <a:extLst>
            <a:ext uri="{FF2B5EF4-FFF2-40B4-BE49-F238E27FC236}">
              <a16:creationId xmlns:a16="http://schemas.microsoft.com/office/drawing/2014/main" id="{00000000-0008-0000-0200-000067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239</xdr:row>
      <xdr:rowOff>0</xdr:rowOff>
    </xdr:from>
    <xdr:ext cx="200025" cy="200025"/>
    <xdr:pic>
      <xdr:nvPicPr>
        <xdr:cNvPr id="360" name="image9.png">
          <a:extLst>
            <a:ext uri="{FF2B5EF4-FFF2-40B4-BE49-F238E27FC236}">
              <a16:creationId xmlns:a16="http://schemas.microsoft.com/office/drawing/2014/main" id="{00000000-0008-0000-0200-00006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240</xdr:row>
      <xdr:rowOff>0</xdr:rowOff>
    </xdr:from>
    <xdr:ext cx="200025" cy="200025"/>
    <xdr:pic>
      <xdr:nvPicPr>
        <xdr:cNvPr id="361" name="image9.png">
          <a:extLst>
            <a:ext uri="{FF2B5EF4-FFF2-40B4-BE49-F238E27FC236}">
              <a16:creationId xmlns:a16="http://schemas.microsoft.com/office/drawing/2014/main" id="{00000000-0008-0000-0200-00006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242</xdr:row>
      <xdr:rowOff>0</xdr:rowOff>
    </xdr:from>
    <xdr:ext cx="200025" cy="200025"/>
    <xdr:pic>
      <xdr:nvPicPr>
        <xdr:cNvPr id="362" name="image8.png">
          <a:extLst>
            <a:ext uri="{FF2B5EF4-FFF2-40B4-BE49-F238E27FC236}">
              <a16:creationId xmlns:a16="http://schemas.microsoft.com/office/drawing/2014/main" id="{00000000-0008-0000-0200-00006A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242</xdr:row>
      <xdr:rowOff>0</xdr:rowOff>
    </xdr:from>
    <xdr:ext cx="200025" cy="200025"/>
    <xdr:pic>
      <xdr:nvPicPr>
        <xdr:cNvPr id="363" name="image1.png">
          <a:extLst>
            <a:ext uri="{FF2B5EF4-FFF2-40B4-BE49-F238E27FC236}">
              <a16:creationId xmlns:a16="http://schemas.microsoft.com/office/drawing/2014/main" id="{00000000-0008-0000-0200-00006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242</xdr:row>
      <xdr:rowOff>0</xdr:rowOff>
    </xdr:from>
    <xdr:ext cx="200025" cy="200025"/>
    <xdr:pic>
      <xdr:nvPicPr>
        <xdr:cNvPr id="364" name="image12.png">
          <a:extLst>
            <a:ext uri="{FF2B5EF4-FFF2-40B4-BE49-F238E27FC236}">
              <a16:creationId xmlns:a16="http://schemas.microsoft.com/office/drawing/2014/main" id="{00000000-0008-0000-0200-00006C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242</xdr:row>
      <xdr:rowOff>0</xdr:rowOff>
    </xdr:from>
    <xdr:ext cx="200025" cy="200025"/>
    <xdr:pic>
      <xdr:nvPicPr>
        <xdr:cNvPr id="365" name="image5.png">
          <a:extLst>
            <a:ext uri="{FF2B5EF4-FFF2-40B4-BE49-F238E27FC236}">
              <a16:creationId xmlns:a16="http://schemas.microsoft.com/office/drawing/2014/main" id="{00000000-0008-0000-0200-00006D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243</xdr:row>
      <xdr:rowOff>0</xdr:rowOff>
    </xdr:from>
    <xdr:ext cx="200025" cy="200025"/>
    <xdr:pic>
      <xdr:nvPicPr>
        <xdr:cNvPr id="366" name="image9.png">
          <a:extLst>
            <a:ext uri="{FF2B5EF4-FFF2-40B4-BE49-F238E27FC236}">
              <a16:creationId xmlns:a16="http://schemas.microsoft.com/office/drawing/2014/main" id="{00000000-0008-0000-0200-00006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244</xdr:row>
      <xdr:rowOff>0</xdr:rowOff>
    </xdr:from>
    <xdr:ext cx="200025" cy="200025"/>
    <xdr:pic>
      <xdr:nvPicPr>
        <xdr:cNvPr id="367" name="image9.png">
          <a:extLst>
            <a:ext uri="{FF2B5EF4-FFF2-40B4-BE49-F238E27FC236}">
              <a16:creationId xmlns:a16="http://schemas.microsoft.com/office/drawing/2014/main" id="{00000000-0008-0000-0200-00006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245</xdr:row>
      <xdr:rowOff>0</xdr:rowOff>
    </xdr:from>
    <xdr:ext cx="200025" cy="200025"/>
    <xdr:pic>
      <xdr:nvPicPr>
        <xdr:cNvPr id="368" name="image10.png">
          <a:extLst>
            <a:ext uri="{FF2B5EF4-FFF2-40B4-BE49-F238E27FC236}">
              <a16:creationId xmlns:a16="http://schemas.microsoft.com/office/drawing/2014/main" id="{00000000-0008-0000-0200-00007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245</xdr:row>
      <xdr:rowOff>0</xdr:rowOff>
    </xdr:from>
    <xdr:ext cx="200025" cy="200025"/>
    <xdr:pic>
      <xdr:nvPicPr>
        <xdr:cNvPr id="369" name="image6.png">
          <a:extLst>
            <a:ext uri="{FF2B5EF4-FFF2-40B4-BE49-F238E27FC236}">
              <a16:creationId xmlns:a16="http://schemas.microsoft.com/office/drawing/2014/main" id="{00000000-0008-0000-0200-000071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245</xdr:row>
      <xdr:rowOff>0</xdr:rowOff>
    </xdr:from>
    <xdr:ext cx="200025" cy="200025"/>
    <xdr:pic>
      <xdr:nvPicPr>
        <xdr:cNvPr id="370" name="image7.png">
          <a:extLst>
            <a:ext uri="{FF2B5EF4-FFF2-40B4-BE49-F238E27FC236}">
              <a16:creationId xmlns:a16="http://schemas.microsoft.com/office/drawing/2014/main" id="{00000000-0008-0000-0200-000072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245</xdr:row>
      <xdr:rowOff>0</xdr:rowOff>
    </xdr:from>
    <xdr:ext cx="200025" cy="200025"/>
    <xdr:pic>
      <xdr:nvPicPr>
        <xdr:cNvPr id="371" name="image2.png">
          <a:extLst>
            <a:ext uri="{FF2B5EF4-FFF2-40B4-BE49-F238E27FC236}">
              <a16:creationId xmlns:a16="http://schemas.microsoft.com/office/drawing/2014/main" id="{00000000-0008-0000-0200-000073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246</xdr:row>
      <xdr:rowOff>0</xdr:rowOff>
    </xdr:from>
    <xdr:ext cx="200025" cy="200025"/>
    <xdr:pic>
      <xdr:nvPicPr>
        <xdr:cNvPr id="372" name="image2.png">
          <a:extLst>
            <a:ext uri="{FF2B5EF4-FFF2-40B4-BE49-F238E27FC236}">
              <a16:creationId xmlns:a16="http://schemas.microsoft.com/office/drawing/2014/main" id="{00000000-0008-0000-0200-000074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252</xdr:row>
      <xdr:rowOff>0</xdr:rowOff>
    </xdr:from>
    <xdr:ext cx="200025" cy="200025"/>
    <xdr:pic>
      <xdr:nvPicPr>
        <xdr:cNvPr id="373" name="image8.png">
          <a:extLst>
            <a:ext uri="{FF2B5EF4-FFF2-40B4-BE49-F238E27FC236}">
              <a16:creationId xmlns:a16="http://schemas.microsoft.com/office/drawing/2014/main" id="{00000000-0008-0000-0200-00007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252</xdr:row>
      <xdr:rowOff>0</xdr:rowOff>
    </xdr:from>
    <xdr:ext cx="200025" cy="200025"/>
    <xdr:pic>
      <xdr:nvPicPr>
        <xdr:cNvPr id="374" name="image6.png">
          <a:extLst>
            <a:ext uri="{FF2B5EF4-FFF2-40B4-BE49-F238E27FC236}">
              <a16:creationId xmlns:a16="http://schemas.microsoft.com/office/drawing/2014/main" id="{00000000-0008-0000-0200-000076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252</xdr:row>
      <xdr:rowOff>0</xdr:rowOff>
    </xdr:from>
    <xdr:ext cx="200025" cy="200025"/>
    <xdr:pic>
      <xdr:nvPicPr>
        <xdr:cNvPr id="375" name="image8.png">
          <a:extLst>
            <a:ext uri="{FF2B5EF4-FFF2-40B4-BE49-F238E27FC236}">
              <a16:creationId xmlns:a16="http://schemas.microsoft.com/office/drawing/2014/main" id="{00000000-0008-0000-0200-000077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253</xdr:row>
      <xdr:rowOff>0</xdr:rowOff>
    </xdr:from>
    <xdr:ext cx="200025" cy="200025"/>
    <xdr:pic>
      <xdr:nvPicPr>
        <xdr:cNvPr id="376" name="image8.png">
          <a:extLst>
            <a:ext uri="{FF2B5EF4-FFF2-40B4-BE49-F238E27FC236}">
              <a16:creationId xmlns:a16="http://schemas.microsoft.com/office/drawing/2014/main" id="{00000000-0008-0000-0200-000078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254</xdr:row>
      <xdr:rowOff>0</xdr:rowOff>
    </xdr:from>
    <xdr:ext cx="200025" cy="200025"/>
    <xdr:pic>
      <xdr:nvPicPr>
        <xdr:cNvPr id="377" name="image8.png">
          <a:extLst>
            <a:ext uri="{FF2B5EF4-FFF2-40B4-BE49-F238E27FC236}">
              <a16:creationId xmlns:a16="http://schemas.microsoft.com/office/drawing/2014/main" id="{00000000-0008-0000-0200-000079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255</xdr:row>
      <xdr:rowOff>0</xdr:rowOff>
    </xdr:from>
    <xdr:ext cx="200025" cy="200025"/>
    <xdr:pic>
      <xdr:nvPicPr>
        <xdr:cNvPr id="378" name="image10.png">
          <a:extLst>
            <a:ext uri="{FF2B5EF4-FFF2-40B4-BE49-F238E27FC236}">
              <a16:creationId xmlns:a16="http://schemas.microsoft.com/office/drawing/2014/main" id="{00000000-0008-0000-0200-00007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255</xdr:row>
      <xdr:rowOff>0</xdr:rowOff>
    </xdr:from>
    <xdr:ext cx="200025" cy="200025"/>
    <xdr:pic>
      <xdr:nvPicPr>
        <xdr:cNvPr id="379" name="image2.png">
          <a:extLst>
            <a:ext uri="{FF2B5EF4-FFF2-40B4-BE49-F238E27FC236}">
              <a16:creationId xmlns:a16="http://schemas.microsoft.com/office/drawing/2014/main" id="{00000000-0008-0000-0200-00007B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255</xdr:row>
      <xdr:rowOff>0</xdr:rowOff>
    </xdr:from>
    <xdr:ext cx="200025" cy="200025"/>
    <xdr:pic>
      <xdr:nvPicPr>
        <xdr:cNvPr id="380" name="image5.png">
          <a:extLst>
            <a:ext uri="{FF2B5EF4-FFF2-40B4-BE49-F238E27FC236}">
              <a16:creationId xmlns:a16="http://schemas.microsoft.com/office/drawing/2014/main" id="{00000000-0008-0000-0200-00007C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255</xdr:row>
      <xdr:rowOff>0</xdr:rowOff>
    </xdr:from>
    <xdr:ext cx="200025" cy="200025"/>
    <xdr:pic>
      <xdr:nvPicPr>
        <xdr:cNvPr id="381" name="image9.png">
          <a:extLst>
            <a:ext uri="{FF2B5EF4-FFF2-40B4-BE49-F238E27FC236}">
              <a16:creationId xmlns:a16="http://schemas.microsoft.com/office/drawing/2014/main" id="{00000000-0008-0000-0200-00007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256</xdr:row>
      <xdr:rowOff>0</xdr:rowOff>
    </xdr:from>
    <xdr:ext cx="200025" cy="200025"/>
    <xdr:pic>
      <xdr:nvPicPr>
        <xdr:cNvPr id="382" name="image9.png">
          <a:extLst>
            <a:ext uri="{FF2B5EF4-FFF2-40B4-BE49-F238E27FC236}">
              <a16:creationId xmlns:a16="http://schemas.microsoft.com/office/drawing/2014/main" id="{00000000-0008-0000-0200-00007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257</xdr:row>
      <xdr:rowOff>0</xdr:rowOff>
    </xdr:from>
    <xdr:ext cx="200025" cy="200025"/>
    <xdr:pic>
      <xdr:nvPicPr>
        <xdr:cNvPr id="383" name="image8.png">
          <a:extLst>
            <a:ext uri="{FF2B5EF4-FFF2-40B4-BE49-F238E27FC236}">
              <a16:creationId xmlns:a16="http://schemas.microsoft.com/office/drawing/2014/main" id="{00000000-0008-0000-0200-00007F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257</xdr:row>
      <xdr:rowOff>0</xdr:rowOff>
    </xdr:from>
    <xdr:ext cx="200025" cy="200025"/>
    <xdr:pic>
      <xdr:nvPicPr>
        <xdr:cNvPr id="384" name="image2.png">
          <a:extLst>
            <a:ext uri="{FF2B5EF4-FFF2-40B4-BE49-F238E27FC236}">
              <a16:creationId xmlns:a16="http://schemas.microsoft.com/office/drawing/2014/main" id="{00000000-0008-0000-0200-000080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257</xdr:row>
      <xdr:rowOff>0</xdr:rowOff>
    </xdr:from>
    <xdr:ext cx="200025" cy="200025"/>
    <xdr:pic>
      <xdr:nvPicPr>
        <xdr:cNvPr id="385" name="image5.png">
          <a:extLst>
            <a:ext uri="{FF2B5EF4-FFF2-40B4-BE49-F238E27FC236}">
              <a16:creationId xmlns:a16="http://schemas.microsoft.com/office/drawing/2014/main" id="{00000000-0008-0000-0200-000081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258</xdr:row>
      <xdr:rowOff>0</xdr:rowOff>
    </xdr:from>
    <xdr:ext cx="200025" cy="200025"/>
    <xdr:pic>
      <xdr:nvPicPr>
        <xdr:cNvPr id="386" name="image10.png">
          <a:extLst>
            <a:ext uri="{FF2B5EF4-FFF2-40B4-BE49-F238E27FC236}">
              <a16:creationId xmlns:a16="http://schemas.microsoft.com/office/drawing/2014/main" id="{00000000-0008-0000-02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259</xdr:row>
      <xdr:rowOff>0</xdr:rowOff>
    </xdr:from>
    <xdr:ext cx="200025" cy="200025"/>
    <xdr:pic>
      <xdr:nvPicPr>
        <xdr:cNvPr id="387" name="image10.png">
          <a:extLst>
            <a:ext uri="{FF2B5EF4-FFF2-40B4-BE49-F238E27FC236}">
              <a16:creationId xmlns:a16="http://schemas.microsoft.com/office/drawing/2014/main" id="{00000000-0008-0000-0200-00008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260</xdr:row>
      <xdr:rowOff>0</xdr:rowOff>
    </xdr:from>
    <xdr:ext cx="200025" cy="200025"/>
    <xdr:pic>
      <xdr:nvPicPr>
        <xdr:cNvPr id="388" name="image10.png">
          <a:extLst>
            <a:ext uri="{FF2B5EF4-FFF2-40B4-BE49-F238E27FC236}">
              <a16:creationId xmlns:a16="http://schemas.microsoft.com/office/drawing/2014/main" id="{00000000-0008-0000-0200-00008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260</xdr:row>
      <xdr:rowOff>0</xdr:rowOff>
    </xdr:from>
    <xdr:ext cx="200025" cy="200025"/>
    <xdr:pic>
      <xdr:nvPicPr>
        <xdr:cNvPr id="389" name="image9.png">
          <a:extLst>
            <a:ext uri="{FF2B5EF4-FFF2-40B4-BE49-F238E27FC236}">
              <a16:creationId xmlns:a16="http://schemas.microsoft.com/office/drawing/2014/main" id="{00000000-0008-0000-0200-00008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260</xdr:row>
      <xdr:rowOff>0</xdr:rowOff>
    </xdr:from>
    <xdr:ext cx="200025" cy="200025"/>
    <xdr:pic>
      <xdr:nvPicPr>
        <xdr:cNvPr id="390" name="image12.png">
          <a:extLst>
            <a:ext uri="{FF2B5EF4-FFF2-40B4-BE49-F238E27FC236}">
              <a16:creationId xmlns:a16="http://schemas.microsoft.com/office/drawing/2014/main" id="{00000000-0008-0000-0200-000086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260</xdr:row>
      <xdr:rowOff>0</xdr:rowOff>
    </xdr:from>
    <xdr:ext cx="200025" cy="200025"/>
    <xdr:pic>
      <xdr:nvPicPr>
        <xdr:cNvPr id="391" name="image8.png">
          <a:extLst>
            <a:ext uri="{FF2B5EF4-FFF2-40B4-BE49-F238E27FC236}">
              <a16:creationId xmlns:a16="http://schemas.microsoft.com/office/drawing/2014/main" id="{00000000-0008-0000-0200-000087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261</xdr:row>
      <xdr:rowOff>0</xdr:rowOff>
    </xdr:from>
    <xdr:ext cx="200025" cy="200025"/>
    <xdr:pic>
      <xdr:nvPicPr>
        <xdr:cNvPr id="392" name="image8.png">
          <a:extLst>
            <a:ext uri="{FF2B5EF4-FFF2-40B4-BE49-F238E27FC236}">
              <a16:creationId xmlns:a16="http://schemas.microsoft.com/office/drawing/2014/main" id="{00000000-0008-0000-0200-000088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262</xdr:row>
      <xdr:rowOff>0</xdr:rowOff>
    </xdr:from>
    <xdr:ext cx="200025" cy="200025"/>
    <xdr:pic>
      <xdr:nvPicPr>
        <xdr:cNvPr id="393" name="image8.png">
          <a:extLst>
            <a:ext uri="{FF2B5EF4-FFF2-40B4-BE49-F238E27FC236}">
              <a16:creationId xmlns:a16="http://schemas.microsoft.com/office/drawing/2014/main" id="{00000000-0008-0000-0200-000089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263</xdr:row>
      <xdr:rowOff>0</xdr:rowOff>
    </xdr:from>
    <xdr:ext cx="200025" cy="200025"/>
    <xdr:pic>
      <xdr:nvPicPr>
        <xdr:cNvPr id="394" name="image10.png">
          <a:extLst>
            <a:ext uri="{FF2B5EF4-FFF2-40B4-BE49-F238E27FC236}">
              <a16:creationId xmlns:a16="http://schemas.microsoft.com/office/drawing/2014/main" id="{00000000-0008-0000-0200-00008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263</xdr:row>
      <xdr:rowOff>0</xdr:rowOff>
    </xdr:from>
    <xdr:ext cx="200025" cy="200025"/>
    <xdr:pic>
      <xdr:nvPicPr>
        <xdr:cNvPr id="395" name="image2.png">
          <a:extLst>
            <a:ext uri="{FF2B5EF4-FFF2-40B4-BE49-F238E27FC236}">
              <a16:creationId xmlns:a16="http://schemas.microsoft.com/office/drawing/2014/main" id="{00000000-0008-0000-0200-00008B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263</xdr:row>
      <xdr:rowOff>0</xdr:rowOff>
    </xdr:from>
    <xdr:ext cx="200025" cy="200025"/>
    <xdr:pic>
      <xdr:nvPicPr>
        <xdr:cNvPr id="396" name="image1.png">
          <a:extLst>
            <a:ext uri="{FF2B5EF4-FFF2-40B4-BE49-F238E27FC236}">
              <a16:creationId xmlns:a16="http://schemas.microsoft.com/office/drawing/2014/main" id="{00000000-0008-0000-0200-00008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264</xdr:row>
      <xdr:rowOff>0</xdr:rowOff>
    </xdr:from>
    <xdr:ext cx="200025" cy="200025"/>
    <xdr:pic>
      <xdr:nvPicPr>
        <xdr:cNvPr id="397" name="image8.png">
          <a:extLst>
            <a:ext uri="{FF2B5EF4-FFF2-40B4-BE49-F238E27FC236}">
              <a16:creationId xmlns:a16="http://schemas.microsoft.com/office/drawing/2014/main" id="{00000000-0008-0000-0200-00008D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265</xdr:row>
      <xdr:rowOff>0</xdr:rowOff>
    </xdr:from>
    <xdr:ext cx="200025" cy="200025"/>
    <xdr:pic>
      <xdr:nvPicPr>
        <xdr:cNvPr id="398" name="image8.png">
          <a:extLst>
            <a:ext uri="{FF2B5EF4-FFF2-40B4-BE49-F238E27FC236}">
              <a16:creationId xmlns:a16="http://schemas.microsoft.com/office/drawing/2014/main" id="{00000000-0008-0000-0200-00008E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266</xdr:row>
      <xdr:rowOff>0</xdr:rowOff>
    </xdr:from>
    <xdr:ext cx="200025" cy="200025"/>
    <xdr:pic>
      <xdr:nvPicPr>
        <xdr:cNvPr id="399" name="image10.png">
          <a:extLst>
            <a:ext uri="{FF2B5EF4-FFF2-40B4-BE49-F238E27FC236}">
              <a16:creationId xmlns:a16="http://schemas.microsoft.com/office/drawing/2014/main" id="{00000000-0008-0000-0200-00008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266</xdr:row>
      <xdr:rowOff>0</xdr:rowOff>
    </xdr:from>
    <xdr:ext cx="200025" cy="200025"/>
    <xdr:pic>
      <xdr:nvPicPr>
        <xdr:cNvPr id="400" name="image2.png">
          <a:extLst>
            <a:ext uri="{FF2B5EF4-FFF2-40B4-BE49-F238E27FC236}">
              <a16:creationId xmlns:a16="http://schemas.microsoft.com/office/drawing/2014/main" id="{00000000-0008-0000-0200-000090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266</xdr:row>
      <xdr:rowOff>0</xdr:rowOff>
    </xdr:from>
    <xdr:ext cx="200025" cy="200025"/>
    <xdr:pic>
      <xdr:nvPicPr>
        <xdr:cNvPr id="401" name="image1.png">
          <a:extLst>
            <a:ext uri="{FF2B5EF4-FFF2-40B4-BE49-F238E27FC236}">
              <a16:creationId xmlns:a16="http://schemas.microsoft.com/office/drawing/2014/main" id="{00000000-0008-0000-0200-00009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267</xdr:row>
      <xdr:rowOff>0</xdr:rowOff>
    </xdr:from>
    <xdr:ext cx="200025" cy="200025"/>
    <xdr:pic>
      <xdr:nvPicPr>
        <xdr:cNvPr id="402" name="image8.png">
          <a:extLst>
            <a:ext uri="{FF2B5EF4-FFF2-40B4-BE49-F238E27FC236}">
              <a16:creationId xmlns:a16="http://schemas.microsoft.com/office/drawing/2014/main" id="{00000000-0008-0000-0200-000092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268</xdr:row>
      <xdr:rowOff>0</xdr:rowOff>
    </xdr:from>
    <xdr:ext cx="200025" cy="200025"/>
    <xdr:pic>
      <xdr:nvPicPr>
        <xdr:cNvPr id="403" name="image8.png">
          <a:extLst>
            <a:ext uri="{FF2B5EF4-FFF2-40B4-BE49-F238E27FC236}">
              <a16:creationId xmlns:a16="http://schemas.microsoft.com/office/drawing/2014/main" id="{00000000-0008-0000-0200-000093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269</xdr:row>
      <xdr:rowOff>0</xdr:rowOff>
    </xdr:from>
    <xdr:ext cx="200025" cy="200025"/>
    <xdr:pic>
      <xdr:nvPicPr>
        <xdr:cNvPr id="404" name="image10.png">
          <a:extLst>
            <a:ext uri="{FF2B5EF4-FFF2-40B4-BE49-F238E27FC236}">
              <a16:creationId xmlns:a16="http://schemas.microsoft.com/office/drawing/2014/main" id="{00000000-0008-0000-0200-00009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269</xdr:row>
      <xdr:rowOff>0</xdr:rowOff>
    </xdr:from>
    <xdr:ext cx="200025" cy="200025"/>
    <xdr:pic>
      <xdr:nvPicPr>
        <xdr:cNvPr id="405" name="image1.png">
          <a:extLst>
            <a:ext uri="{FF2B5EF4-FFF2-40B4-BE49-F238E27FC236}">
              <a16:creationId xmlns:a16="http://schemas.microsoft.com/office/drawing/2014/main" id="{00000000-0008-0000-0200-00009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269</xdr:row>
      <xdr:rowOff>0</xdr:rowOff>
    </xdr:from>
    <xdr:ext cx="200025" cy="200025"/>
    <xdr:pic>
      <xdr:nvPicPr>
        <xdr:cNvPr id="406" name="image12.png">
          <a:extLst>
            <a:ext uri="{FF2B5EF4-FFF2-40B4-BE49-F238E27FC236}">
              <a16:creationId xmlns:a16="http://schemas.microsoft.com/office/drawing/2014/main" id="{00000000-0008-0000-0200-000096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269</xdr:row>
      <xdr:rowOff>0</xdr:rowOff>
    </xdr:from>
    <xdr:ext cx="200025" cy="200025"/>
    <xdr:pic>
      <xdr:nvPicPr>
        <xdr:cNvPr id="407" name="image3.png">
          <a:extLst>
            <a:ext uri="{FF2B5EF4-FFF2-40B4-BE49-F238E27FC236}">
              <a16:creationId xmlns:a16="http://schemas.microsoft.com/office/drawing/2014/main" id="{00000000-0008-0000-0200-000097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271</xdr:row>
      <xdr:rowOff>0</xdr:rowOff>
    </xdr:from>
    <xdr:ext cx="200025" cy="200025"/>
    <xdr:pic>
      <xdr:nvPicPr>
        <xdr:cNvPr id="408" name="image5.png">
          <a:extLst>
            <a:ext uri="{FF2B5EF4-FFF2-40B4-BE49-F238E27FC236}">
              <a16:creationId xmlns:a16="http://schemas.microsoft.com/office/drawing/2014/main" id="{00000000-0008-0000-0200-000098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274</xdr:row>
      <xdr:rowOff>0</xdr:rowOff>
    </xdr:from>
    <xdr:ext cx="200025" cy="200025"/>
    <xdr:pic>
      <xdr:nvPicPr>
        <xdr:cNvPr id="409" name="image10.png">
          <a:extLst>
            <a:ext uri="{FF2B5EF4-FFF2-40B4-BE49-F238E27FC236}">
              <a16:creationId xmlns:a16="http://schemas.microsoft.com/office/drawing/2014/main" id="{00000000-0008-0000-0200-00009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274</xdr:row>
      <xdr:rowOff>0</xdr:rowOff>
    </xdr:from>
    <xdr:ext cx="200025" cy="200025"/>
    <xdr:pic>
      <xdr:nvPicPr>
        <xdr:cNvPr id="410" name="image1.png">
          <a:extLst>
            <a:ext uri="{FF2B5EF4-FFF2-40B4-BE49-F238E27FC236}">
              <a16:creationId xmlns:a16="http://schemas.microsoft.com/office/drawing/2014/main" id="{00000000-0008-0000-0200-00009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274</xdr:row>
      <xdr:rowOff>0</xdr:rowOff>
    </xdr:from>
    <xdr:ext cx="200025" cy="200025"/>
    <xdr:pic>
      <xdr:nvPicPr>
        <xdr:cNvPr id="411" name="image3.png">
          <a:extLst>
            <a:ext uri="{FF2B5EF4-FFF2-40B4-BE49-F238E27FC236}">
              <a16:creationId xmlns:a16="http://schemas.microsoft.com/office/drawing/2014/main" id="{00000000-0008-0000-0200-00009B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274</xdr:row>
      <xdr:rowOff>0</xdr:rowOff>
    </xdr:from>
    <xdr:ext cx="200025" cy="200025"/>
    <xdr:pic>
      <xdr:nvPicPr>
        <xdr:cNvPr id="412" name="image1.png">
          <a:extLst>
            <a:ext uri="{FF2B5EF4-FFF2-40B4-BE49-F238E27FC236}">
              <a16:creationId xmlns:a16="http://schemas.microsoft.com/office/drawing/2014/main" id="{00000000-0008-0000-0200-00009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275</xdr:row>
      <xdr:rowOff>0</xdr:rowOff>
    </xdr:from>
    <xdr:ext cx="200025" cy="200025"/>
    <xdr:pic>
      <xdr:nvPicPr>
        <xdr:cNvPr id="413" name="image1.png">
          <a:extLst>
            <a:ext uri="{FF2B5EF4-FFF2-40B4-BE49-F238E27FC236}">
              <a16:creationId xmlns:a16="http://schemas.microsoft.com/office/drawing/2014/main" id="{00000000-0008-0000-0200-00009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276</xdr:row>
      <xdr:rowOff>0</xdr:rowOff>
    </xdr:from>
    <xdr:ext cx="200025" cy="200025"/>
    <xdr:pic>
      <xdr:nvPicPr>
        <xdr:cNvPr id="414" name="image1.png">
          <a:extLst>
            <a:ext uri="{FF2B5EF4-FFF2-40B4-BE49-F238E27FC236}">
              <a16:creationId xmlns:a16="http://schemas.microsoft.com/office/drawing/2014/main" id="{00000000-0008-0000-0200-00009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277</xdr:row>
      <xdr:rowOff>0</xdr:rowOff>
    </xdr:from>
    <xdr:ext cx="200025" cy="200025"/>
    <xdr:pic>
      <xdr:nvPicPr>
        <xdr:cNvPr id="415" name="image10.png">
          <a:extLst>
            <a:ext uri="{FF2B5EF4-FFF2-40B4-BE49-F238E27FC236}">
              <a16:creationId xmlns:a16="http://schemas.microsoft.com/office/drawing/2014/main" id="{00000000-0008-0000-0200-00009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277</xdr:row>
      <xdr:rowOff>0</xdr:rowOff>
    </xdr:from>
    <xdr:ext cx="200025" cy="200025"/>
    <xdr:pic>
      <xdr:nvPicPr>
        <xdr:cNvPr id="416" name="image6.png">
          <a:extLst>
            <a:ext uri="{FF2B5EF4-FFF2-40B4-BE49-F238E27FC236}">
              <a16:creationId xmlns:a16="http://schemas.microsoft.com/office/drawing/2014/main" id="{00000000-0008-0000-0200-0000A0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277</xdr:row>
      <xdr:rowOff>0</xdr:rowOff>
    </xdr:from>
    <xdr:ext cx="200025" cy="200025"/>
    <xdr:pic>
      <xdr:nvPicPr>
        <xdr:cNvPr id="417" name="image11.png">
          <a:extLst>
            <a:ext uri="{FF2B5EF4-FFF2-40B4-BE49-F238E27FC236}">
              <a16:creationId xmlns:a16="http://schemas.microsoft.com/office/drawing/2014/main" id="{00000000-0008-0000-0200-0000A1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277</xdr:row>
      <xdr:rowOff>0</xdr:rowOff>
    </xdr:from>
    <xdr:ext cx="200025" cy="200025"/>
    <xdr:pic>
      <xdr:nvPicPr>
        <xdr:cNvPr id="418" name="image10.png">
          <a:extLst>
            <a:ext uri="{FF2B5EF4-FFF2-40B4-BE49-F238E27FC236}">
              <a16:creationId xmlns:a16="http://schemas.microsoft.com/office/drawing/2014/main" id="{00000000-0008-0000-0200-0000A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278</xdr:row>
      <xdr:rowOff>0</xdr:rowOff>
    </xdr:from>
    <xdr:ext cx="200025" cy="200025"/>
    <xdr:pic>
      <xdr:nvPicPr>
        <xdr:cNvPr id="419" name="image10.png">
          <a:extLst>
            <a:ext uri="{FF2B5EF4-FFF2-40B4-BE49-F238E27FC236}">
              <a16:creationId xmlns:a16="http://schemas.microsoft.com/office/drawing/2014/main" id="{00000000-0008-0000-0200-0000A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279</xdr:row>
      <xdr:rowOff>0</xdr:rowOff>
    </xdr:from>
    <xdr:ext cx="200025" cy="200025"/>
    <xdr:pic>
      <xdr:nvPicPr>
        <xdr:cNvPr id="420" name="image10.png">
          <a:extLst>
            <a:ext uri="{FF2B5EF4-FFF2-40B4-BE49-F238E27FC236}">
              <a16:creationId xmlns:a16="http://schemas.microsoft.com/office/drawing/2014/main" id="{00000000-0008-0000-0200-0000A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280</xdr:row>
      <xdr:rowOff>0</xdr:rowOff>
    </xdr:from>
    <xdr:ext cx="200025" cy="200025"/>
    <xdr:pic>
      <xdr:nvPicPr>
        <xdr:cNvPr id="421" name="image10.png">
          <a:extLst>
            <a:ext uri="{FF2B5EF4-FFF2-40B4-BE49-F238E27FC236}">
              <a16:creationId xmlns:a16="http://schemas.microsoft.com/office/drawing/2014/main" id="{00000000-0008-0000-0200-0000A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280</xdr:row>
      <xdr:rowOff>0</xdr:rowOff>
    </xdr:from>
    <xdr:ext cx="200025" cy="200025"/>
    <xdr:pic>
      <xdr:nvPicPr>
        <xdr:cNvPr id="422" name="image6.png">
          <a:extLst>
            <a:ext uri="{FF2B5EF4-FFF2-40B4-BE49-F238E27FC236}">
              <a16:creationId xmlns:a16="http://schemas.microsoft.com/office/drawing/2014/main" id="{00000000-0008-0000-0200-0000A6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280</xdr:row>
      <xdr:rowOff>0</xdr:rowOff>
    </xdr:from>
    <xdr:ext cx="200025" cy="200025"/>
    <xdr:pic>
      <xdr:nvPicPr>
        <xdr:cNvPr id="423" name="image5.png">
          <a:extLst>
            <a:ext uri="{FF2B5EF4-FFF2-40B4-BE49-F238E27FC236}">
              <a16:creationId xmlns:a16="http://schemas.microsoft.com/office/drawing/2014/main" id="{00000000-0008-0000-0200-0000A7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280</xdr:row>
      <xdr:rowOff>0</xdr:rowOff>
    </xdr:from>
    <xdr:ext cx="200025" cy="200025"/>
    <xdr:pic>
      <xdr:nvPicPr>
        <xdr:cNvPr id="424" name="image1.png">
          <a:extLst>
            <a:ext uri="{FF2B5EF4-FFF2-40B4-BE49-F238E27FC236}">
              <a16:creationId xmlns:a16="http://schemas.microsoft.com/office/drawing/2014/main" id="{00000000-0008-0000-0200-0000A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281</xdr:row>
      <xdr:rowOff>0</xdr:rowOff>
    </xdr:from>
    <xdr:ext cx="200025" cy="200025"/>
    <xdr:pic>
      <xdr:nvPicPr>
        <xdr:cNvPr id="425" name="image1.png">
          <a:extLst>
            <a:ext uri="{FF2B5EF4-FFF2-40B4-BE49-F238E27FC236}">
              <a16:creationId xmlns:a16="http://schemas.microsoft.com/office/drawing/2014/main" id="{00000000-0008-0000-0200-0000A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282</xdr:row>
      <xdr:rowOff>0</xdr:rowOff>
    </xdr:from>
    <xdr:ext cx="200025" cy="200025"/>
    <xdr:pic>
      <xdr:nvPicPr>
        <xdr:cNvPr id="426" name="image1.png">
          <a:extLst>
            <a:ext uri="{FF2B5EF4-FFF2-40B4-BE49-F238E27FC236}">
              <a16:creationId xmlns:a16="http://schemas.microsoft.com/office/drawing/2014/main" id="{00000000-0008-0000-0200-0000A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283</xdr:row>
      <xdr:rowOff>0</xdr:rowOff>
    </xdr:from>
    <xdr:ext cx="200025" cy="200025"/>
    <xdr:pic>
      <xdr:nvPicPr>
        <xdr:cNvPr id="427" name="image10.png">
          <a:extLst>
            <a:ext uri="{FF2B5EF4-FFF2-40B4-BE49-F238E27FC236}">
              <a16:creationId xmlns:a16="http://schemas.microsoft.com/office/drawing/2014/main" id="{00000000-0008-0000-0200-0000A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283</xdr:row>
      <xdr:rowOff>0</xdr:rowOff>
    </xdr:from>
    <xdr:ext cx="200025" cy="200025"/>
    <xdr:pic>
      <xdr:nvPicPr>
        <xdr:cNvPr id="428" name="image2.png">
          <a:extLst>
            <a:ext uri="{FF2B5EF4-FFF2-40B4-BE49-F238E27FC236}">
              <a16:creationId xmlns:a16="http://schemas.microsoft.com/office/drawing/2014/main" id="{00000000-0008-0000-0200-0000AC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283</xdr:row>
      <xdr:rowOff>0</xdr:rowOff>
    </xdr:from>
    <xdr:ext cx="200025" cy="200025"/>
    <xdr:pic>
      <xdr:nvPicPr>
        <xdr:cNvPr id="429" name="image3.png">
          <a:extLst>
            <a:ext uri="{FF2B5EF4-FFF2-40B4-BE49-F238E27FC236}">
              <a16:creationId xmlns:a16="http://schemas.microsoft.com/office/drawing/2014/main" id="{00000000-0008-0000-0200-0000AD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283</xdr:row>
      <xdr:rowOff>0</xdr:rowOff>
    </xdr:from>
    <xdr:ext cx="200025" cy="200025"/>
    <xdr:pic>
      <xdr:nvPicPr>
        <xdr:cNvPr id="430" name="image9.png">
          <a:extLst>
            <a:ext uri="{FF2B5EF4-FFF2-40B4-BE49-F238E27FC236}">
              <a16:creationId xmlns:a16="http://schemas.microsoft.com/office/drawing/2014/main" id="{00000000-0008-0000-0200-0000A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284</xdr:row>
      <xdr:rowOff>0</xdr:rowOff>
    </xdr:from>
    <xdr:ext cx="200025" cy="200025"/>
    <xdr:pic>
      <xdr:nvPicPr>
        <xdr:cNvPr id="431" name="image9.png">
          <a:extLst>
            <a:ext uri="{FF2B5EF4-FFF2-40B4-BE49-F238E27FC236}">
              <a16:creationId xmlns:a16="http://schemas.microsoft.com/office/drawing/2014/main" id="{00000000-0008-0000-0200-0000A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286</xdr:row>
      <xdr:rowOff>0</xdr:rowOff>
    </xdr:from>
    <xdr:ext cx="200025" cy="200025"/>
    <xdr:pic>
      <xdr:nvPicPr>
        <xdr:cNvPr id="432" name="image10.png">
          <a:extLst>
            <a:ext uri="{FF2B5EF4-FFF2-40B4-BE49-F238E27FC236}">
              <a16:creationId xmlns:a16="http://schemas.microsoft.com/office/drawing/2014/main" id="{00000000-0008-0000-0200-0000B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286</xdr:row>
      <xdr:rowOff>0</xdr:rowOff>
    </xdr:from>
    <xdr:ext cx="200025" cy="200025"/>
    <xdr:pic>
      <xdr:nvPicPr>
        <xdr:cNvPr id="433" name="image2.png">
          <a:extLst>
            <a:ext uri="{FF2B5EF4-FFF2-40B4-BE49-F238E27FC236}">
              <a16:creationId xmlns:a16="http://schemas.microsoft.com/office/drawing/2014/main" id="{00000000-0008-0000-0200-0000B1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286</xdr:row>
      <xdr:rowOff>0</xdr:rowOff>
    </xdr:from>
    <xdr:ext cx="200025" cy="200025"/>
    <xdr:pic>
      <xdr:nvPicPr>
        <xdr:cNvPr id="434" name="image5.png">
          <a:extLst>
            <a:ext uri="{FF2B5EF4-FFF2-40B4-BE49-F238E27FC236}">
              <a16:creationId xmlns:a16="http://schemas.microsoft.com/office/drawing/2014/main" id="{00000000-0008-0000-0200-0000B2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287</xdr:row>
      <xdr:rowOff>0</xdr:rowOff>
    </xdr:from>
    <xdr:ext cx="200025" cy="200025"/>
    <xdr:pic>
      <xdr:nvPicPr>
        <xdr:cNvPr id="435" name="image6.png">
          <a:extLst>
            <a:ext uri="{FF2B5EF4-FFF2-40B4-BE49-F238E27FC236}">
              <a16:creationId xmlns:a16="http://schemas.microsoft.com/office/drawing/2014/main" id="{00000000-0008-0000-0200-0000B3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288</xdr:row>
      <xdr:rowOff>0</xdr:rowOff>
    </xdr:from>
    <xdr:ext cx="200025" cy="200025"/>
    <xdr:pic>
      <xdr:nvPicPr>
        <xdr:cNvPr id="436" name="image8.png">
          <a:extLst>
            <a:ext uri="{FF2B5EF4-FFF2-40B4-BE49-F238E27FC236}">
              <a16:creationId xmlns:a16="http://schemas.microsoft.com/office/drawing/2014/main" id="{00000000-0008-0000-0200-0000B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288</xdr:row>
      <xdr:rowOff>0</xdr:rowOff>
    </xdr:from>
    <xdr:ext cx="200025" cy="200025"/>
    <xdr:pic>
      <xdr:nvPicPr>
        <xdr:cNvPr id="437" name="image6.png">
          <a:extLst>
            <a:ext uri="{FF2B5EF4-FFF2-40B4-BE49-F238E27FC236}">
              <a16:creationId xmlns:a16="http://schemas.microsoft.com/office/drawing/2014/main" id="{00000000-0008-0000-0200-0000B5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288</xdr:row>
      <xdr:rowOff>0</xdr:rowOff>
    </xdr:from>
    <xdr:ext cx="200025" cy="200025"/>
    <xdr:pic>
      <xdr:nvPicPr>
        <xdr:cNvPr id="438" name="image9.png">
          <a:extLst>
            <a:ext uri="{FF2B5EF4-FFF2-40B4-BE49-F238E27FC236}">
              <a16:creationId xmlns:a16="http://schemas.microsoft.com/office/drawing/2014/main" id="{00000000-0008-0000-0200-0000B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289</xdr:row>
      <xdr:rowOff>0</xdr:rowOff>
    </xdr:from>
    <xdr:ext cx="200025" cy="200025"/>
    <xdr:pic>
      <xdr:nvPicPr>
        <xdr:cNvPr id="439" name="image9.png">
          <a:extLst>
            <a:ext uri="{FF2B5EF4-FFF2-40B4-BE49-F238E27FC236}">
              <a16:creationId xmlns:a16="http://schemas.microsoft.com/office/drawing/2014/main" id="{00000000-0008-0000-0200-0000B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290</xdr:row>
      <xdr:rowOff>0</xdr:rowOff>
    </xdr:from>
    <xdr:ext cx="200025" cy="200025"/>
    <xdr:pic>
      <xdr:nvPicPr>
        <xdr:cNvPr id="440" name="image9.png">
          <a:extLst>
            <a:ext uri="{FF2B5EF4-FFF2-40B4-BE49-F238E27FC236}">
              <a16:creationId xmlns:a16="http://schemas.microsoft.com/office/drawing/2014/main" id="{00000000-0008-0000-0200-0000B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291</xdr:row>
      <xdr:rowOff>0</xdr:rowOff>
    </xdr:from>
    <xdr:ext cx="200025" cy="200025"/>
    <xdr:pic>
      <xdr:nvPicPr>
        <xdr:cNvPr id="441" name="image10.png">
          <a:extLst>
            <a:ext uri="{FF2B5EF4-FFF2-40B4-BE49-F238E27FC236}">
              <a16:creationId xmlns:a16="http://schemas.microsoft.com/office/drawing/2014/main" id="{00000000-0008-0000-0200-0000B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291</xdr:row>
      <xdr:rowOff>0</xdr:rowOff>
    </xdr:from>
    <xdr:ext cx="200025" cy="200025"/>
    <xdr:pic>
      <xdr:nvPicPr>
        <xdr:cNvPr id="442" name="image9.png">
          <a:extLst>
            <a:ext uri="{FF2B5EF4-FFF2-40B4-BE49-F238E27FC236}">
              <a16:creationId xmlns:a16="http://schemas.microsoft.com/office/drawing/2014/main" id="{00000000-0008-0000-0200-0000B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291</xdr:row>
      <xdr:rowOff>0</xdr:rowOff>
    </xdr:from>
    <xdr:ext cx="200025" cy="200025"/>
    <xdr:pic>
      <xdr:nvPicPr>
        <xdr:cNvPr id="443" name="image2.png">
          <a:extLst>
            <a:ext uri="{FF2B5EF4-FFF2-40B4-BE49-F238E27FC236}">
              <a16:creationId xmlns:a16="http://schemas.microsoft.com/office/drawing/2014/main" id="{00000000-0008-0000-0200-0000BB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291</xdr:row>
      <xdr:rowOff>0</xdr:rowOff>
    </xdr:from>
    <xdr:ext cx="200025" cy="200025"/>
    <xdr:pic>
      <xdr:nvPicPr>
        <xdr:cNvPr id="444" name="image11.png">
          <a:extLst>
            <a:ext uri="{FF2B5EF4-FFF2-40B4-BE49-F238E27FC236}">
              <a16:creationId xmlns:a16="http://schemas.microsoft.com/office/drawing/2014/main" id="{00000000-0008-0000-0200-0000BC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292</xdr:row>
      <xdr:rowOff>0</xdr:rowOff>
    </xdr:from>
    <xdr:ext cx="200025" cy="200025"/>
    <xdr:pic>
      <xdr:nvPicPr>
        <xdr:cNvPr id="445" name="image7.png">
          <a:extLst>
            <a:ext uri="{FF2B5EF4-FFF2-40B4-BE49-F238E27FC236}">
              <a16:creationId xmlns:a16="http://schemas.microsoft.com/office/drawing/2014/main" id="{00000000-0008-0000-0200-0000BD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293</xdr:row>
      <xdr:rowOff>0</xdr:rowOff>
    </xdr:from>
    <xdr:ext cx="200025" cy="200025"/>
    <xdr:pic>
      <xdr:nvPicPr>
        <xdr:cNvPr id="446" name="image6.png">
          <a:extLst>
            <a:ext uri="{FF2B5EF4-FFF2-40B4-BE49-F238E27FC236}">
              <a16:creationId xmlns:a16="http://schemas.microsoft.com/office/drawing/2014/main" id="{00000000-0008-0000-0200-0000BE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296</xdr:row>
      <xdr:rowOff>0</xdr:rowOff>
    </xdr:from>
    <xdr:ext cx="200025" cy="200025"/>
    <xdr:pic>
      <xdr:nvPicPr>
        <xdr:cNvPr id="447" name="image10.png">
          <a:extLst>
            <a:ext uri="{FF2B5EF4-FFF2-40B4-BE49-F238E27FC236}">
              <a16:creationId xmlns:a16="http://schemas.microsoft.com/office/drawing/2014/main" id="{00000000-0008-0000-0200-0000B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296</xdr:row>
      <xdr:rowOff>0</xdr:rowOff>
    </xdr:from>
    <xdr:ext cx="200025" cy="200025"/>
    <xdr:pic>
      <xdr:nvPicPr>
        <xdr:cNvPr id="448" name="image6.png">
          <a:extLst>
            <a:ext uri="{FF2B5EF4-FFF2-40B4-BE49-F238E27FC236}">
              <a16:creationId xmlns:a16="http://schemas.microsoft.com/office/drawing/2014/main" id="{00000000-0008-0000-0200-0000C0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296</xdr:row>
      <xdr:rowOff>0</xdr:rowOff>
    </xdr:from>
    <xdr:ext cx="200025" cy="200025"/>
    <xdr:pic>
      <xdr:nvPicPr>
        <xdr:cNvPr id="449" name="image4.png">
          <a:extLst>
            <a:ext uri="{FF2B5EF4-FFF2-40B4-BE49-F238E27FC236}">
              <a16:creationId xmlns:a16="http://schemas.microsoft.com/office/drawing/2014/main" id="{00000000-0008-0000-0200-0000C1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297</xdr:row>
      <xdr:rowOff>0</xdr:rowOff>
    </xdr:from>
    <xdr:ext cx="200025" cy="200025"/>
    <xdr:pic>
      <xdr:nvPicPr>
        <xdr:cNvPr id="450" name="image2.png">
          <a:extLst>
            <a:ext uri="{FF2B5EF4-FFF2-40B4-BE49-F238E27FC236}">
              <a16:creationId xmlns:a16="http://schemas.microsoft.com/office/drawing/2014/main" id="{00000000-0008-0000-0200-0000C2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298</xdr:row>
      <xdr:rowOff>0</xdr:rowOff>
    </xdr:from>
    <xdr:ext cx="200025" cy="200025"/>
    <xdr:pic>
      <xdr:nvPicPr>
        <xdr:cNvPr id="451" name="image2.png">
          <a:extLst>
            <a:ext uri="{FF2B5EF4-FFF2-40B4-BE49-F238E27FC236}">
              <a16:creationId xmlns:a16="http://schemas.microsoft.com/office/drawing/2014/main" id="{00000000-0008-0000-0200-0000C3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299</xdr:row>
      <xdr:rowOff>0</xdr:rowOff>
    </xdr:from>
    <xdr:ext cx="200025" cy="200025"/>
    <xdr:pic>
      <xdr:nvPicPr>
        <xdr:cNvPr id="452" name="image8.png">
          <a:extLst>
            <a:ext uri="{FF2B5EF4-FFF2-40B4-BE49-F238E27FC236}">
              <a16:creationId xmlns:a16="http://schemas.microsoft.com/office/drawing/2014/main" id="{00000000-0008-0000-0200-0000C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299</xdr:row>
      <xdr:rowOff>0</xdr:rowOff>
    </xdr:from>
    <xdr:ext cx="200025" cy="200025"/>
    <xdr:pic>
      <xdr:nvPicPr>
        <xdr:cNvPr id="453" name="image9.png">
          <a:extLst>
            <a:ext uri="{FF2B5EF4-FFF2-40B4-BE49-F238E27FC236}">
              <a16:creationId xmlns:a16="http://schemas.microsoft.com/office/drawing/2014/main" id="{00000000-0008-0000-0200-0000C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299</xdr:row>
      <xdr:rowOff>0</xdr:rowOff>
    </xdr:from>
    <xdr:ext cx="200025" cy="200025"/>
    <xdr:pic>
      <xdr:nvPicPr>
        <xdr:cNvPr id="454" name="image4.png">
          <a:extLst>
            <a:ext uri="{FF2B5EF4-FFF2-40B4-BE49-F238E27FC236}">
              <a16:creationId xmlns:a16="http://schemas.microsoft.com/office/drawing/2014/main" id="{00000000-0008-0000-0200-0000C6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299</xdr:row>
      <xdr:rowOff>0</xdr:rowOff>
    </xdr:from>
    <xdr:ext cx="200025" cy="200025"/>
    <xdr:pic>
      <xdr:nvPicPr>
        <xdr:cNvPr id="455" name="image5.png">
          <a:extLst>
            <a:ext uri="{FF2B5EF4-FFF2-40B4-BE49-F238E27FC236}">
              <a16:creationId xmlns:a16="http://schemas.microsoft.com/office/drawing/2014/main" id="{00000000-0008-0000-0200-0000C7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300</xdr:row>
      <xdr:rowOff>0</xdr:rowOff>
    </xdr:from>
    <xdr:ext cx="200025" cy="200025"/>
    <xdr:pic>
      <xdr:nvPicPr>
        <xdr:cNvPr id="456" name="image3.png">
          <a:extLst>
            <a:ext uri="{FF2B5EF4-FFF2-40B4-BE49-F238E27FC236}">
              <a16:creationId xmlns:a16="http://schemas.microsoft.com/office/drawing/2014/main" id="{00000000-0008-0000-0200-0000C8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301</xdr:row>
      <xdr:rowOff>0</xdr:rowOff>
    </xdr:from>
    <xdr:ext cx="200025" cy="200025"/>
    <xdr:pic>
      <xdr:nvPicPr>
        <xdr:cNvPr id="457" name="image6.png">
          <a:extLst>
            <a:ext uri="{FF2B5EF4-FFF2-40B4-BE49-F238E27FC236}">
              <a16:creationId xmlns:a16="http://schemas.microsoft.com/office/drawing/2014/main" id="{00000000-0008-0000-0200-0000C9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302</xdr:row>
      <xdr:rowOff>0</xdr:rowOff>
    </xdr:from>
    <xdr:ext cx="200025" cy="200025"/>
    <xdr:pic>
      <xdr:nvPicPr>
        <xdr:cNvPr id="458" name="image10.png">
          <a:extLst>
            <a:ext uri="{FF2B5EF4-FFF2-40B4-BE49-F238E27FC236}">
              <a16:creationId xmlns:a16="http://schemas.microsoft.com/office/drawing/2014/main" id="{00000000-0008-0000-0200-0000C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302</xdr:row>
      <xdr:rowOff>0</xdr:rowOff>
    </xdr:from>
    <xdr:ext cx="200025" cy="200025"/>
    <xdr:pic>
      <xdr:nvPicPr>
        <xdr:cNvPr id="459" name="image2.png">
          <a:extLst>
            <a:ext uri="{FF2B5EF4-FFF2-40B4-BE49-F238E27FC236}">
              <a16:creationId xmlns:a16="http://schemas.microsoft.com/office/drawing/2014/main" id="{00000000-0008-0000-0200-0000CB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302</xdr:row>
      <xdr:rowOff>0</xdr:rowOff>
    </xdr:from>
    <xdr:ext cx="200025" cy="200025"/>
    <xdr:pic>
      <xdr:nvPicPr>
        <xdr:cNvPr id="460" name="image1.png">
          <a:extLst>
            <a:ext uri="{FF2B5EF4-FFF2-40B4-BE49-F238E27FC236}">
              <a16:creationId xmlns:a16="http://schemas.microsoft.com/office/drawing/2014/main" id="{00000000-0008-0000-0200-0000C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303</xdr:row>
      <xdr:rowOff>0</xdr:rowOff>
    </xdr:from>
    <xdr:ext cx="200025" cy="200025"/>
    <xdr:pic>
      <xdr:nvPicPr>
        <xdr:cNvPr id="461" name="image8.png">
          <a:extLst>
            <a:ext uri="{FF2B5EF4-FFF2-40B4-BE49-F238E27FC236}">
              <a16:creationId xmlns:a16="http://schemas.microsoft.com/office/drawing/2014/main" id="{00000000-0008-0000-0200-0000CD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304</xdr:row>
      <xdr:rowOff>0</xdr:rowOff>
    </xdr:from>
    <xdr:ext cx="200025" cy="200025"/>
    <xdr:pic>
      <xdr:nvPicPr>
        <xdr:cNvPr id="462" name="image8.png">
          <a:extLst>
            <a:ext uri="{FF2B5EF4-FFF2-40B4-BE49-F238E27FC236}">
              <a16:creationId xmlns:a16="http://schemas.microsoft.com/office/drawing/2014/main" id="{00000000-0008-0000-0200-0000CE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305</xdr:row>
      <xdr:rowOff>0</xdr:rowOff>
    </xdr:from>
    <xdr:ext cx="200025" cy="200025"/>
    <xdr:pic>
      <xdr:nvPicPr>
        <xdr:cNvPr id="463" name="image8.png">
          <a:extLst>
            <a:ext uri="{FF2B5EF4-FFF2-40B4-BE49-F238E27FC236}">
              <a16:creationId xmlns:a16="http://schemas.microsoft.com/office/drawing/2014/main" id="{00000000-0008-0000-0200-0000CF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305</xdr:row>
      <xdr:rowOff>0</xdr:rowOff>
    </xdr:from>
    <xdr:ext cx="200025" cy="200025"/>
    <xdr:pic>
      <xdr:nvPicPr>
        <xdr:cNvPr id="464" name="image9.png">
          <a:extLst>
            <a:ext uri="{FF2B5EF4-FFF2-40B4-BE49-F238E27FC236}">
              <a16:creationId xmlns:a16="http://schemas.microsoft.com/office/drawing/2014/main" id="{00000000-0008-0000-0200-0000D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305</xdr:row>
      <xdr:rowOff>0</xdr:rowOff>
    </xdr:from>
    <xdr:ext cx="200025" cy="200025"/>
    <xdr:pic>
      <xdr:nvPicPr>
        <xdr:cNvPr id="465" name="image12.png">
          <a:extLst>
            <a:ext uri="{FF2B5EF4-FFF2-40B4-BE49-F238E27FC236}">
              <a16:creationId xmlns:a16="http://schemas.microsoft.com/office/drawing/2014/main" id="{00000000-0008-0000-0200-0000D1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305</xdr:row>
      <xdr:rowOff>0</xdr:rowOff>
    </xdr:from>
    <xdr:ext cx="200025" cy="200025"/>
    <xdr:pic>
      <xdr:nvPicPr>
        <xdr:cNvPr id="466" name="image9.png">
          <a:extLst>
            <a:ext uri="{FF2B5EF4-FFF2-40B4-BE49-F238E27FC236}">
              <a16:creationId xmlns:a16="http://schemas.microsoft.com/office/drawing/2014/main" id="{00000000-0008-0000-0200-0000D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306</xdr:row>
      <xdr:rowOff>0</xdr:rowOff>
    </xdr:from>
    <xdr:ext cx="200025" cy="200025"/>
    <xdr:pic>
      <xdr:nvPicPr>
        <xdr:cNvPr id="467" name="image9.png">
          <a:extLst>
            <a:ext uri="{FF2B5EF4-FFF2-40B4-BE49-F238E27FC236}">
              <a16:creationId xmlns:a16="http://schemas.microsoft.com/office/drawing/2014/main" id="{00000000-0008-0000-0200-0000D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307</xdr:row>
      <xdr:rowOff>0</xdr:rowOff>
    </xdr:from>
    <xdr:ext cx="200025" cy="200025"/>
    <xdr:pic>
      <xdr:nvPicPr>
        <xdr:cNvPr id="468" name="image8.png">
          <a:extLst>
            <a:ext uri="{FF2B5EF4-FFF2-40B4-BE49-F238E27FC236}">
              <a16:creationId xmlns:a16="http://schemas.microsoft.com/office/drawing/2014/main" id="{00000000-0008-0000-0200-0000D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307</xdr:row>
      <xdr:rowOff>0</xdr:rowOff>
    </xdr:from>
    <xdr:ext cx="200025" cy="200025"/>
    <xdr:pic>
      <xdr:nvPicPr>
        <xdr:cNvPr id="469" name="image6.png">
          <a:extLst>
            <a:ext uri="{FF2B5EF4-FFF2-40B4-BE49-F238E27FC236}">
              <a16:creationId xmlns:a16="http://schemas.microsoft.com/office/drawing/2014/main" id="{00000000-0008-0000-0200-0000D5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307</xdr:row>
      <xdr:rowOff>0</xdr:rowOff>
    </xdr:from>
    <xdr:ext cx="200025" cy="200025"/>
    <xdr:pic>
      <xdr:nvPicPr>
        <xdr:cNvPr id="470" name="image7.png">
          <a:extLst>
            <a:ext uri="{FF2B5EF4-FFF2-40B4-BE49-F238E27FC236}">
              <a16:creationId xmlns:a16="http://schemas.microsoft.com/office/drawing/2014/main" id="{00000000-0008-0000-0200-0000D6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307</xdr:row>
      <xdr:rowOff>0</xdr:rowOff>
    </xdr:from>
    <xdr:ext cx="200025" cy="200025"/>
    <xdr:pic>
      <xdr:nvPicPr>
        <xdr:cNvPr id="471" name="image10.png">
          <a:extLst>
            <a:ext uri="{FF2B5EF4-FFF2-40B4-BE49-F238E27FC236}">
              <a16:creationId xmlns:a16="http://schemas.microsoft.com/office/drawing/2014/main" id="{00000000-0008-0000-0200-0000D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308</xdr:row>
      <xdr:rowOff>0</xdr:rowOff>
    </xdr:from>
    <xdr:ext cx="200025" cy="200025"/>
    <xdr:pic>
      <xdr:nvPicPr>
        <xdr:cNvPr id="472" name="image10.png">
          <a:extLst>
            <a:ext uri="{FF2B5EF4-FFF2-40B4-BE49-F238E27FC236}">
              <a16:creationId xmlns:a16="http://schemas.microsoft.com/office/drawing/2014/main" id="{00000000-0008-0000-0200-0000D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309</xdr:row>
      <xdr:rowOff>0</xdr:rowOff>
    </xdr:from>
    <xdr:ext cx="200025" cy="200025"/>
    <xdr:pic>
      <xdr:nvPicPr>
        <xdr:cNvPr id="473" name="image10.png">
          <a:extLst>
            <a:ext uri="{FF2B5EF4-FFF2-40B4-BE49-F238E27FC236}">
              <a16:creationId xmlns:a16="http://schemas.microsoft.com/office/drawing/2014/main" id="{00000000-0008-0000-0200-0000D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316</xdr:row>
      <xdr:rowOff>0</xdr:rowOff>
    </xdr:from>
    <xdr:ext cx="200025" cy="200025"/>
    <xdr:pic>
      <xdr:nvPicPr>
        <xdr:cNvPr id="474" name="image10.png">
          <a:extLst>
            <a:ext uri="{FF2B5EF4-FFF2-40B4-BE49-F238E27FC236}">
              <a16:creationId xmlns:a16="http://schemas.microsoft.com/office/drawing/2014/main" id="{00000000-0008-0000-0200-0000D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316</xdr:row>
      <xdr:rowOff>0</xdr:rowOff>
    </xdr:from>
    <xdr:ext cx="200025" cy="200025"/>
    <xdr:pic>
      <xdr:nvPicPr>
        <xdr:cNvPr id="475" name="image1.png">
          <a:extLst>
            <a:ext uri="{FF2B5EF4-FFF2-40B4-BE49-F238E27FC236}">
              <a16:creationId xmlns:a16="http://schemas.microsoft.com/office/drawing/2014/main" id="{00000000-0008-0000-0200-0000D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316</xdr:row>
      <xdr:rowOff>0</xdr:rowOff>
    </xdr:from>
    <xdr:ext cx="200025" cy="200025"/>
    <xdr:pic>
      <xdr:nvPicPr>
        <xdr:cNvPr id="476" name="image3.png">
          <a:extLst>
            <a:ext uri="{FF2B5EF4-FFF2-40B4-BE49-F238E27FC236}">
              <a16:creationId xmlns:a16="http://schemas.microsoft.com/office/drawing/2014/main" id="{00000000-0008-0000-0200-0000DC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316</xdr:row>
      <xdr:rowOff>0</xdr:rowOff>
    </xdr:from>
    <xdr:ext cx="200025" cy="200025"/>
    <xdr:pic>
      <xdr:nvPicPr>
        <xdr:cNvPr id="477" name="image4.png">
          <a:extLst>
            <a:ext uri="{FF2B5EF4-FFF2-40B4-BE49-F238E27FC236}">
              <a16:creationId xmlns:a16="http://schemas.microsoft.com/office/drawing/2014/main" id="{00000000-0008-0000-0200-0000DD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317</xdr:row>
      <xdr:rowOff>0</xdr:rowOff>
    </xdr:from>
    <xdr:ext cx="200025" cy="200025"/>
    <xdr:pic>
      <xdr:nvPicPr>
        <xdr:cNvPr id="478" name="image4.png">
          <a:extLst>
            <a:ext uri="{FF2B5EF4-FFF2-40B4-BE49-F238E27FC236}">
              <a16:creationId xmlns:a16="http://schemas.microsoft.com/office/drawing/2014/main" id="{00000000-0008-0000-0200-0000DE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318</xdr:row>
      <xdr:rowOff>0</xdr:rowOff>
    </xdr:from>
    <xdr:ext cx="200025" cy="200025"/>
    <xdr:pic>
      <xdr:nvPicPr>
        <xdr:cNvPr id="479" name="image6.png">
          <a:extLst>
            <a:ext uri="{FF2B5EF4-FFF2-40B4-BE49-F238E27FC236}">
              <a16:creationId xmlns:a16="http://schemas.microsoft.com/office/drawing/2014/main" id="{00000000-0008-0000-0200-0000DF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320</xdr:row>
      <xdr:rowOff>0</xdr:rowOff>
    </xdr:from>
    <xdr:ext cx="200025" cy="200025"/>
    <xdr:pic>
      <xdr:nvPicPr>
        <xdr:cNvPr id="480" name="image10.png">
          <a:extLst>
            <a:ext uri="{FF2B5EF4-FFF2-40B4-BE49-F238E27FC236}">
              <a16:creationId xmlns:a16="http://schemas.microsoft.com/office/drawing/2014/main" id="{00000000-0008-0000-0200-0000E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320</xdr:row>
      <xdr:rowOff>0</xdr:rowOff>
    </xdr:from>
    <xdr:ext cx="200025" cy="200025"/>
    <xdr:pic>
      <xdr:nvPicPr>
        <xdr:cNvPr id="481" name="image6.png">
          <a:extLst>
            <a:ext uri="{FF2B5EF4-FFF2-40B4-BE49-F238E27FC236}">
              <a16:creationId xmlns:a16="http://schemas.microsoft.com/office/drawing/2014/main" id="{00000000-0008-0000-0200-0000E1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320</xdr:row>
      <xdr:rowOff>0</xdr:rowOff>
    </xdr:from>
    <xdr:ext cx="200025" cy="200025"/>
    <xdr:pic>
      <xdr:nvPicPr>
        <xdr:cNvPr id="482" name="image3.png">
          <a:extLst>
            <a:ext uri="{FF2B5EF4-FFF2-40B4-BE49-F238E27FC236}">
              <a16:creationId xmlns:a16="http://schemas.microsoft.com/office/drawing/2014/main" id="{00000000-0008-0000-0200-0000E201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321</xdr:row>
      <xdr:rowOff>0</xdr:rowOff>
    </xdr:from>
    <xdr:ext cx="200025" cy="200025"/>
    <xdr:pic>
      <xdr:nvPicPr>
        <xdr:cNvPr id="483" name="image8.png">
          <a:extLst>
            <a:ext uri="{FF2B5EF4-FFF2-40B4-BE49-F238E27FC236}">
              <a16:creationId xmlns:a16="http://schemas.microsoft.com/office/drawing/2014/main" id="{00000000-0008-0000-0200-0000E3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322</xdr:row>
      <xdr:rowOff>0</xdr:rowOff>
    </xdr:from>
    <xdr:ext cx="200025" cy="200025"/>
    <xdr:pic>
      <xdr:nvPicPr>
        <xdr:cNvPr id="484" name="image8.png">
          <a:extLst>
            <a:ext uri="{FF2B5EF4-FFF2-40B4-BE49-F238E27FC236}">
              <a16:creationId xmlns:a16="http://schemas.microsoft.com/office/drawing/2014/main" id="{00000000-0008-0000-0200-0000E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327</xdr:row>
      <xdr:rowOff>0</xdr:rowOff>
    </xdr:from>
    <xdr:ext cx="200025" cy="200025"/>
    <xdr:pic>
      <xdr:nvPicPr>
        <xdr:cNvPr id="485" name="image8.png">
          <a:extLst>
            <a:ext uri="{FF2B5EF4-FFF2-40B4-BE49-F238E27FC236}">
              <a16:creationId xmlns:a16="http://schemas.microsoft.com/office/drawing/2014/main" id="{00000000-0008-0000-0200-0000E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327</xdr:row>
      <xdr:rowOff>0</xdr:rowOff>
    </xdr:from>
    <xdr:ext cx="200025" cy="200025"/>
    <xdr:pic>
      <xdr:nvPicPr>
        <xdr:cNvPr id="486" name="image9.png">
          <a:extLst>
            <a:ext uri="{FF2B5EF4-FFF2-40B4-BE49-F238E27FC236}">
              <a16:creationId xmlns:a16="http://schemas.microsoft.com/office/drawing/2014/main" id="{00000000-0008-0000-0200-0000E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327</xdr:row>
      <xdr:rowOff>0</xdr:rowOff>
    </xdr:from>
    <xdr:ext cx="200025" cy="200025"/>
    <xdr:pic>
      <xdr:nvPicPr>
        <xdr:cNvPr id="487" name="image12.png">
          <a:extLst>
            <a:ext uri="{FF2B5EF4-FFF2-40B4-BE49-F238E27FC236}">
              <a16:creationId xmlns:a16="http://schemas.microsoft.com/office/drawing/2014/main" id="{00000000-0008-0000-0200-0000E701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327</xdr:row>
      <xdr:rowOff>0</xdr:rowOff>
    </xdr:from>
    <xdr:ext cx="200025" cy="200025"/>
    <xdr:pic>
      <xdr:nvPicPr>
        <xdr:cNvPr id="488" name="image5.png">
          <a:extLst>
            <a:ext uri="{FF2B5EF4-FFF2-40B4-BE49-F238E27FC236}">
              <a16:creationId xmlns:a16="http://schemas.microsoft.com/office/drawing/2014/main" id="{00000000-0008-0000-0200-0000E8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328</xdr:row>
      <xdr:rowOff>0</xdr:rowOff>
    </xdr:from>
    <xdr:ext cx="200025" cy="200025"/>
    <xdr:pic>
      <xdr:nvPicPr>
        <xdr:cNvPr id="489" name="image5.png">
          <a:extLst>
            <a:ext uri="{FF2B5EF4-FFF2-40B4-BE49-F238E27FC236}">
              <a16:creationId xmlns:a16="http://schemas.microsoft.com/office/drawing/2014/main" id="{00000000-0008-0000-0200-0000E9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329</xdr:row>
      <xdr:rowOff>0</xdr:rowOff>
    </xdr:from>
    <xdr:ext cx="200025" cy="200025"/>
    <xdr:pic>
      <xdr:nvPicPr>
        <xdr:cNvPr id="490" name="image6.png">
          <a:extLst>
            <a:ext uri="{FF2B5EF4-FFF2-40B4-BE49-F238E27FC236}">
              <a16:creationId xmlns:a16="http://schemas.microsoft.com/office/drawing/2014/main" id="{00000000-0008-0000-0200-0000EA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330</xdr:row>
      <xdr:rowOff>0</xdr:rowOff>
    </xdr:from>
    <xdr:ext cx="200025" cy="200025"/>
    <xdr:pic>
      <xdr:nvPicPr>
        <xdr:cNvPr id="491" name="image10.png">
          <a:extLst>
            <a:ext uri="{FF2B5EF4-FFF2-40B4-BE49-F238E27FC236}">
              <a16:creationId xmlns:a16="http://schemas.microsoft.com/office/drawing/2014/main" id="{00000000-0008-0000-0200-0000E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330</xdr:row>
      <xdr:rowOff>0</xdr:rowOff>
    </xdr:from>
    <xdr:ext cx="200025" cy="200025"/>
    <xdr:pic>
      <xdr:nvPicPr>
        <xdr:cNvPr id="492" name="image2.png">
          <a:extLst>
            <a:ext uri="{FF2B5EF4-FFF2-40B4-BE49-F238E27FC236}">
              <a16:creationId xmlns:a16="http://schemas.microsoft.com/office/drawing/2014/main" id="{00000000-0008-0000-0200-0000EC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330</xdr:row>
      <xdr:rowOff>0</xdr:rowOff>
    </xdr:from>
    <xdr:ext cx="200025" cy="200025"/>
    <xdr:pic>
      <xdr:nvPicPr>
        <xdr:cNvPr id="493" name="image5.png">
          <a:extLst>
            <a:ext uri="{FF2B5EF4-FFF2-40B4-BE49-F238E27FC236}">
              <a16:creationId xmlns:a16="http://schemas.microsoft.com/office/drawing/2014/main" id="{00000000-0008-0000-0200-0000ED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330</xdr:row>
      <xdr:rowOff>0</xdr:rowOff>
    </xdr:from>
    <xdr:ext cx="200025" cy="200025"/>
    <xdr:pic>
      <xdr:nvPicPr>
        <xdr:cNvPr id="494" name="image4.png">
          <a:extLst>
            <a:ext uri="{FF2B5EF4-FFF2-40B4-BE49-F238E27FC236}">
              <a16:creationId xmlns:a16="http://schemas.microsoft.com/office/drawing/2014/main" id="{00000000-0008-0000-0200-0000EE01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330</xdr:row>
      <xdr:rowOff>0</xdr:rowOff>
    </xdr:from>
    <xdr:ext cx="200025" cy="200025"/>
    <xdr:pic>
      <xdr:nvPicPr>
        <xdr:cNvPr id="495" name="image9.png">
          <a:extLst>
            <a:ext uri="{FF2B5EF4-FFF2-40B4-BE49-F238E27FC236}">
              <a16:creationId xmlns:a16="http://schemas.microsoft.com/office/drawing/2014/main" id="{00000000-0008-0000-0200-0000E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332</xdr:row>
      <xdr:rowOff>0</xdr:rowOff>
    </xdr:from>
    <xdr:ext cx="200025" cy="200025"/>
    <xdr:pic>
      <xdr:nvPicPr>
        <xdr:cNvPr id="496" name="image9.png">
          <a:extLst>
            <a:ext uri="{FF2B5EF4-FFF2-40B4-BE49-F238E27FC236}">
              <a16:creationId xmlns:a16="http://schemas.microsoft.com/office/drawing/2014/main" id="{00000000-0008-0000-0200-0000F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335</xdr:row>
      <xdr:rowOff>0</xdr:rowOff>
    </xdr:from>
    <xdr:ext cx="200025" cy="200025"/>
    <xdr:pic>
      <xdr:nvPicPr>
        <xdr:cNvPr id="497" name="image10.png">
          <a:extLst>
            <a:ext uri="{FF2B5EF4-FFF2-40B4-BE49-F238E27FC236}">
              <a16:creationId xmlns:a16="http://schemas.microsoft.com/office/drawing/2014/main" id="{00000000-0008-0000-0200-0000F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335</xdr:row>
      <xdr:rowOff>0</xdr:rowOff>
    </xdr:from>
    <xdr:ext cx="200025" cy="200025"/>
    <xdr:pic>
      <xdr:nvPicPr>
        <xdr:cNvPr id="498" name="image6.png">
          <a:extLst>
            <a:ext uri="{FF2B5EF4-FFF2-40B4-BE49-F238E27FC236}">
              <a16:creationId xmlns:a16="http://schemas.microsoft.com/office/drawing/2014/main" id="{00000000-0008-0000-0200-0000F201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335</xdr:row>
      <xdr:rowOff>0</xdr:rowOff>
    </xdr:from>
    <xdr:ext cx="200025" cy="200025"/>
    <xdr:pic>
      <xdr:nvPicPr>
        <xdr:cNvPr id="499" name="image7.png">
          <a:extLst>
            <a:ext uri="{FF2B5EF4-FFF2-40B4-BE49-F238E27FC236}">
              <a16:creationId xmlns:a16="http://schemas.microsoft.com/office/drawing/2014/main" id="{00000000-0008-0000-0200-0000F301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335</xdr:row>
      <xdr:rowOff>0</xdr:rowOff>
    </xdr:from>
    <xdr:ext cx="200025" cy="200025"/>
    <xdr:pic>
      <xdr:nvPicPr>
        <xdr:cNvPr id="500" name="image8.png">
          <a:extLst>
            <a:ext uri="{FF2B5EF4-FFF2-40B4-BE49-F238E27FC236}">
              <a16:creationId xmlns:a16="http://schemas.microsoft.com/office/drawing/2014/main" id="{00000000-0008-0000-0200-0000F4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337</xdr:row>
      <xdr:rowOff>0</xdr:rowOff>
    </xdr:from>
    <xdr:ext cx="200025" cy="200025"/>
    <xdr:pic>
      <xdr:nvPicPr>
        <xdr:cNvPr id="501" name="image8.png">
          <a:extLst>
            <a:ext uri="{FF2B5EF4-FFF2-40B4-BE49-F238E27FC236}">
              <a16:creationId xmlns:a16="http://schemas.microsoft.com/office/drawing/2014/main" id="{00000000-0008-0000-0200-0000F5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338</xdr:row>
      <xdr:rowOff>0</xdr:rowOff>
    </xdr:from>
    <xdr:ext cx="200025" cy="200025"/>
    <xdr:pic>
      <xdr:nvPicPr>
        <xdr:cNvPr id="502" name="image10.png">
          <a:extLst>
            <a:ext uri="{FF2B5EF4-FFF2-40B4-BE49-F238E27FC236}">
              <a16:creationId xmlns:a16="http://schemas.microsoft.com/office/drawing/2014/main" id="{00000000-0008-0000-0200-0000F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338</xdr:row>
      <xdr:rowOff>0</xdr:rowOff>
    </xdr:from>
    <xdr:ext cx="200025" cy="200025"/>
    <xdr:pic>
      <xdr:nvPicPr>
        <xdr:cNvPr id="503" name="image2.png">
          <a:extLst>
            <a:ext uri="{FF2B5EF4-FFF2-40B4-BE49-F238E27FC236}">
              <a16:creationId xmlns:a16="http://schemas.microsoft.com/office/drawing/2014/main" id="{00000000-0008-0000-0200-0000F7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338</xdr:row>
      <xdr:rowOff>0</xdr:rowOff>
    </xdr:from>
    <xdr:ext cx="200025" cy="200025"/>
    <xdr:pic>
      <xdr:nvPicPr>
        <xdr:cNvPr id="504" name="image11.png">
          <a:extLst>
            <a:ext uri="{FF2B5EF4-FFF2-40B4-BE49-F238E27FC236}">
              <a16:creationId xmlns:a16="http://schemas.microsoft.com/office/drawing/2014/main" id="{00000000-0008-0000-0200-0000F8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339</xdr:row>
      <xdr:rowOff>0</xdr:rowOff>
    </xdr:from>
    <xdr:ext cx="200025" cy="200025"/>
    <xdr:pic>
      <xdr:nvPicPr>
        <xdr:cNvPr id="505" name="image10.png">
          <a:extLst>
            <a:ext uri="{FF2B5EF4-FFF2-40B4-BE49-F238E27FC236}">
              <a16:creationId xmlns:a16="http://schemas.microsoft.com/office/drawing/2014/main" id="{00000000-0008-0000-0200-0000F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340</xdr:row>
      <xdr:rowOff>0</xdr:rowOff>
    </xdr:from>
    <xdr:ext cx="200025" cy="200025"/>
    <xdr:pic>
      <xdr:nvPicPr>
        <xdr:cNvPr id="506" name="image10.png">
          <a:extLst>
            <a:ext uri="{FF2B5EF4-FFF2-40B4-BE49-F238E27FC236}">
              <a16:creationId xmlns:a16="http://schemas.microsoft.com/office/drawing/2014/main" id="{00000000-0008-0000-0200-0000F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342</xdr:row>
      <xdr:rowOff>0</xdr:rowOff>
    </xdr:from>
    <xdr:ext cx="200025" cy="200025"/>
    <xdr:pic>
      <xdr:nvPicPr>
        <xdr:cNvPr id="507" name="image8.png">
          <a:extLst>
            <a:ext uri="{FF2B5EF4-FFF2-40B4-BE49-F238E27FC236}">
              <a16:creationId xmlns:a16="http://schemas.microsoft.com/office/drawing/2014/main" id="{00000000-0008-0000-0200-0000FB01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342</xdr:row>
      <xdr:rowOff>0</xdr:rowOff>
    </xdr:from>
    <xdr:ext cx="200025" cy="200025"/>
    <xdr:pic>
      <xdr:nvPicPr>
        <xdr:cNvPr id="508" name="image2.png">
          <a:extLst>
            <a:ext uri="{FF2B5EF4-FFF2-40B4-BE49-F238E27FC236}">
              <a16:creationId xmlns:a16="http://schemas.microsoft.com/office/drawing/2014/main" id="{00000000-0008-0000-0200-0000FC01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342</xdr:row>
      <xdr:rowOff>0</xdr:rowOff>
    </xdr:from>
    <xdr:ext cx="200025" cy="200025"/>
    <xdr:pic>
      <xdr:nvPicPr>
        <xdr:cNvPr id="509" name="image1.png">
          <a:extLst>
            <a:ext uri="{FF2B5EF4-FFF2-40B4-BE49-F238E27FC236}">
              <a16:creationId xmlns:a16="http://schemas.microsoft.com/office/drawing/2014/main" id="{00000000-0008-0000-0200-0000F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342</xdr:row>
      <xdr:rowOff>0</xdr:rowOff>
    </xdr:from>
    <xdr:ext cx="200025" cy="200025"/>
    <xdr:pic>
      <xdr:nvPicPr>
        <xdr:cNvPr id="510" name="image5.png">
          <a:extLst>
            <a:ext uri="{FF2B5EF4-FFF2-40B4-BE49-F238E27FC236}">
              <a16:creationId xmlns:a16="http://schemas.microsoft.com/office/drawing/2014/main" id="{00000000-0008-0000-0200-0000FE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342</xdr:row>
      <xdr:rowOff>0</xdr:rowOff>
    </xdr:from>
    <xdr:ext cx="200025" cy="200025"/>
    <xdr:pic>
      <xdr:nvPicPr>
        <xdr:cNvPr id="511" name="image11.png">
          <a:extLst>
            <a:ext uri="{FF2B5EF4-FFF2-40B4-BE49-F238E27FC236}">
              <a16:creationId xmlns:a16="http://schemas.microsoft.com/office/drawing/2014/main" id="{00000000-0008-0000-0200-0000FF01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342</xdr:row>
      <xdr:rowOff>0</xdr:rowOff>
    </xdr:from>
    <xdr:ext cx="200025" cy="200025"/>
    <xdr:pic>
      <xdr:nvPicPr>
        <xdr:cNvPr id="512" name="image10.png">
          <a:extLst>
            <a:ext uri="{FF2B5EF4-FFF2-40B4-BE49-F238E27FC236}">
              <a16:creationId xmlns:a16="http://schemas.microsoft.com/office/drawing/2014/main" id="{00000000-0008-0000-0200-00000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343</xdr:row>
      <xdr:rowOff>0</xdr:rowOff>
    </xdr:from>
    <xdr:ext cx="200025" cy="200025"/>
    <xdr:pic>
      <xdr:nvPicPr>
        <xdr:cNvPr id="513" name="image10.png">
          <a:extLst>
            <a:ext uri="{FF2B5EF4-FFF2-40B4-BE49-F238E27FC236}">
              <a16:creationId xmlns:a16="http://schemas.microsoft.com/office/drawing/2014/main" id="{00000000-0008-0000-0200-00000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344</xdr:row>
      <xdr:rowOff>0</xdr:rowOff>
    </xdr:from>
    <xdr:ext cx="200025" cy="200025"/>
    <xdr:pic>
      <xdr:nvPicPr>
        <xdr:cNvPr id="514" name="image10.png">
          <a:extLst>
            <a:ext uri="{FF2B5EF4-FFF2-40B4-BE49-F238E27FC236}">
              <a16:creationId xmlns:a16="http://schemas.microsoft.com/office/drawing/2014/main" id="{00000000-0008-0000-0200-00000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347</xdr:row>
      <xdr:rowOff>0</xdr:rowOff>
    </xdr:from>
    <xdr:ext cx="200025" cy="200025"/>
    <xdr:pic>
      <xdr:nvPicPr>
        <xdr:cNvPr id="515" name="image8.png">
          <a:extLst>
            <a:ext uri="{FF2B5EF4-FFF2-40B4-BE49-F238E27FC236}">
              <a16:creationId xmlns:a16="http://schemas.microsoft.com/office/drawing/2014/main" id="{00000000-0008-0000-0200-000003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347</xdr:row>
      <xdr:rowOff>0</xdr:rowOff>
    </xdr:from>
    <xdr:ext cx="200025" cy="200025"/>
    <xdr:pic>
      <xdr:nvPicPr>
        <xdr:cNvPr id="516" name="image2.png">
          <a:extLst>
            <a:ext uri="{FF2B5EF4-FFF2-40B4-BE49-F238E27FC236}">
              <a16:creationId xmlns:a16="http://schemas.microsoft.com/office/drawing/2014/main" id="{00000000-0008-0000-0200-00000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347</xdr:row>
      <xdr:rowOff>0</xdr:rowOff>
    </xdr:from>
    <xdr:ext cx="200025" cy="200025"/>
    <xdr:pic>
      <xdr:nvPicPr>
        <xdr:cNvPr id="517" name="image3.png">
          <a:extLst>
            <a:ext uri="{FF2B5EF4-FFF2-40B4-BE49-F238E27FC236}">
              <a16:creationId xmlns:a16="http://schemas.microsoft.com/office/drawing/2014/main" id="{00000000-0008-0000-0200-000005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347</xdr:row>
      <xdr:rowOff>0</xdr:rowOff>
    </xdr:from>
    <xdr:ext cx="200025" cy="200025"/>
    <xdr:pic>
      <xdr:nvPicPr>
        <xdr:cNvPr id="518" name="image1.png">
          <a:extLst>
            <a:ext uri="{FF2B5EF4-FFF2-40B4-BE49-F238E27FC236}">
              <a16:creationId xmlns:a16="http://schemas.microsoft.com/office/drawing/2014/main" id="{00000000-0008-0000-0200-000006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349</xdr:row>
      <xdr:rowOff>0</xdr:rowOff>
    </xdr:from>
    <xdr:ext cx="200025" cy="200025"/>
    <xdr:pic>
      <xdr:nvPicPr>
        <xdr:cNvPr id="519" name="image1.png">
          <a:extLst>
            <a:ext uri="{FF2B5EF4-FFF2-40B4-BE49-F238E27FC236}">
              <a16:creationId xmlns:a16="http://schemas.microsoft.com/office/drawing/2014/main" id="{00000000-0008-0000-0200-000007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350</xdr:row>
      <xdr:rowOff>0</xdr:rowOff>
    </xdr:from>
    <xdr:ext cx="200025" cy="200025"/>
    <xdr:pic>
      <xdr:nvPicPr>
        <xdr:cNvPr id="520" name="image8.png">
          <a:extLst>
            <a:ext uri="{FF2B5EF4-FFF2-40B4-BE49-F238E27FC236}">
              <a16:creationId xmlns:a16="http://schemas.microsoft.com/office/drawing/2014/main" id="{00000000-0008-0000-0200-000008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350</xdr:row>
      <xdr:rowOff>0</xdr:rowOff>
    </xdr:from>
    <xdr:ext cx="200025" cy="200025"/>
    <xdr:pic>
      <xdr:nvPicPr>
        <xdr:cNvPr id="521" name="image6.png">
          <a:extLst>
            <a:ext uri="{FF2B5EF4-FFF2-40B4-BE49-F238E27FC236}">
              <a16:creationId xmlns:a16="http://schemas.microsoft.com/office/drawing/2014/main" id="{00000000-0008-0000-0200-00000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350</xdr:row>
      <xdr:rowOff>0</xdr:rowOff>
    </xdr:from>
    <xdr:ext cx="200025" cy="200025"/>
    <xdr:pic>
      <xdr:nvPicPr>
        <xdr:cNvPr id="522" name="image11.png">
          <a:extLst>
            <a:ext uri="{FF2B5EF4-FFF2-40B4-BE49-F238E27FC236}">
              <a16:creationId xmlns:a16="http://schemas.microsoft.com/office/drawing/2014/main" id="{00000000-0008-0000-0200-00000A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350</xdr:row>
      <xdr:rowOff>0</xdr:rowOff>
    </xdr:from>
    <xdr:ext cx="200025" cy="200025"/>
    <xdr:pic>
      <xdr:nvPicPr>
        <xdr:cNvPr id="523" name="image9.png">
          <a:extLst>
            <a:ext uri="{FF2B5EF4-FFF2-40B4-BE49-F238E27FC236}">
              <a16:creationId xmlns:a16="http://schemas.microsoft.com/office/drawing/2014/main" id="{00000000-0008-0000-0200-00000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351</xdr:row>
      <xdr:rowOff>0</xdr:rowOff>
    </xdr:from>
    <xdr:ext cx="200025" cy="200025"/>
    <xdr:pic>
      <xdr:nvPicPr>
        <xdr:cNvPr id="524" name="image9.png">
          <a:extLst>
            <a:ext uri="{FF2B5EF4-FFF2-40B4-BE49-F238E27FC236}">
              <a16:creationId xmlns:a16="http://schemas.microsoft.com/office/drawing/2014/main" id="{00000000-0008-0000-0200-00000C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352</xdr:row>
      <xdr:rowOff>0</xdr:rowOff>
    </xdr:from>
    <xdr:ext cx="200025" cy="200025"/>
    <xdr:pic>
      <xdr:nvPicPr>
        <xdr:cNvPr id="525" name="image9.png">
          <a:extLst>
            <a:ext uri="{FF2B5EF4-FFF2-40B4-BE49-F238E27FC236}">
              <a16:creationId xmlns:a16="http://schemas.microsoft.com/office/drawing/2014/main" id="{00000000-0008-0000-0200-00000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354</xdr:row>
      <xdr:rowOff>0</xdr:rowOff>
    </xdr:from>
    <xdr:ext cx="200025" cy="200025"/>
    <xdr:pic>
      <xdr:nvPicPr>
        <xdr:cNvPr id="526" name="image2.png">
          <a:extLst>
            <a:ext uri="{FF2B5EF4-FFF2-40B4-BE49-F238E27FC236}">
              <a16:creationId xmlns:a16="http://schemas.microsoft.com/office/drawing/2014/main" id="{00000000-0008-0000-0200-00000E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354</xdr:row>
      <xdr:rowOff>0</xdr:rowOff>
    </xdr:from>
    <xdr:ext cx="200025" cy="200025"/>
    <xdr:pic>
      <xdr:nvPicPr>
        <xdr:cNvPr id="527" name="image1.png">
          <a:extLst>
            <a:ext uri="{FF2B5EF4-FFF2-40B4-BE49-F238E27FC236}">
              <a16:creationId xmlns:a16="http://schemas.microsoft.com/office/drawing/2014/main" id="{00000000-0008-0000-0200-00000F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354</xdr:row>
      <xdr:rowOff>0</xdr:rowOff>
    </xdr:from>
    <xdr:ext cx="200025" cy="200025"/>
    <xdr:pic>
      <xdr:nvPicPr>
        <xdr:cNvPr id="528" name="image4.png">
          <a:extLst>
            <a:ext uri="{FF2B5EF4-FFF2-40B4-BE49-F238E27FC236}">
              <a16:creationId xmlns:a16="http://schemas.microsoft.com/office/drawing/2014/main" id="{00000000-0008-0000-0200-00001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355</xdr:row>
      <xdr:rowOff>0</xdr:rowOff>
    </xdr:from>
    <xdr:ext cx="200025" cy="200025"/>
    <xdr:pic>
      <xdr:nvPicPr>
        <xdr:cNvPr id="529" name="image8.png">
          <a:extLst>
            <a:ext uri="{FF2B5EF4-FFF2-40B4-BE49-F238E27FC236}">
              <a16:creationId xmlns:a16="http://schemas.microsoft.com/office/drawing/2014/main" id="{00000000-0008-0000-0200-000011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356</xdr:row>
      <xdr:rowOff>0</xdr:rowOff>
    </xdr:from>
    <xdr:ext cx="200025" cy="200025"/>
    <xdr:pic>
      <xdr:nvPicPr>
        <xdr:cNvPr id="530" name="image8.png">
          <a:extLst>
            <a:ext uri="{FF2B5EF4-FFF2-40B4-BE49-F238E27FC236}">
              <a16:creationId xmlns:a16="http://schemas.microsoft.com/office/drawing/2014/main" id="{00000000-0008-0000-0200-00001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357</xdr:row>
      <xdr:rowOff>0</xdr:rowOff>
    </xdr:from>
    <xdr:ext cx="200025" cy="200025"/>
    <xdr:pic>
      <xdr:nvPicPr>
        <xdr:cNvPr id="531" name="image8.png">
          <a:extLst>
            <a:ext uri="{FF2B5EF4-FFF2-40B4-BE49-F238E27FC236}">
              <a16:creationId xmlns:a16="http://schemas.microsoft.com/office/drawing/2014/main" id="{00000000-0008-0000-0200-000013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357</xdr:row>
      <xdr:rowOff>0</xdr:rowOff>
    </xdr:from>
    <xdr:ext cx="200025" cy="200025"/>
    <xdr:pic>
      <xdr:nvPicPr>
        <xdr:cNvPr id="532" name="image1.png">
          <a:extLst>
            <a:ext uri="{FF2B5EF4-FFF2-40B4-BE49-F238E27FC236}">
              <a16:creationId xmlns:a16="http://schemas.microsoft.com/office/drawing/2014/main" id="{00000000-0008-0000-0200-000014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357</xdr:row>
      <xdr:rowOff>0</xdr:rowOff>
    </xdr:from>
    <xdr:ext cx="200025" cy="200025"/>
    <xdr:pic>
      <xdr:nvPicPr>
        <xdr:cNvPr id="533" name="image12.png">
          <a:extLst>
            <a:ext uri="{FF2B5EF4-FFF2-40B4-BE49-F238E27FC236}">
              <a16:creationId xmlns:a16="http://schemas.microsoft.com/office/drawing/2014/main" id="{00000000-0008-0000-0200-000015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358</xdr:row>
      <xdr:rowOff>0</xdr:rowOff>
    </xdr:from>
    <xdr:ext cx="200025" cy="200025"/>
    <xdr:pic>
      <xdr:nvPicPr>
        <xdr:cNvPr id="534" name="image9.png">
          <a:extLst>
            <a:ext uri="{FF2B5EF4-FFF2-40B4-BE49-F238E27FC236}">
              <a16:creationId xmlns:a16="http://schemas.microsoft.com/office/drawing/2014/main" id="{00000000-0008-0000-0200-00001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359</xdr:row>
      <xdr:rowOff>0</xdr:rowOff>
    </xdr:from>
    <xdr:ext cx="200025" cy="200025"/>
    <xdr:pic>
      <xdr:nvPicPr>
        <xdr:cNvPr id="535" name="image9.png">
          <a:extLst>
            <a:ext uri="{FF2B5EF4-FFF2-40B4-BE49-F238E27FC236}">
              <a16:creationId xmlns:a16="http://schemas.microsoft.com/office/drawing/2014/main" id="{00000000-0008-0000-0200-00001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362</xdr:row>
      <xdr:rowOff>0</xdr:rowOff>
    </xdr:from>
    <xdr:ext cx="200025" cy="200025"/>
    <xdr:pic>
      <xdr:nvPicPr>
        <xdr:cNvPr id="536" name="image10.png">
          <a:extLst>
            <a:ext uri="{FF2B5EF4-FFF2-40B4-BE49-F238E27FC236}">
              <a16:creationId xmlns:a16="http://schemas.microsoft.com/office/drawing/2014/main" id="{00000000-0008-0000-0200-00001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362</xdr:row>
      <xdr:rowOff>0</xdr:rowOff>
    </xdr:from>
    <xdr:ext cx="200025" cy="200025"/>
    <xdr:pic>
      <xdr:nvPicPr>
        <xdr:cNvPr id="537" name="image6.png">
          <a:extLst>
            <a:ext uri="{FF2B5EF4-FFF2-40B4-BE49-F238E27FC236}">
              <a16:creationId xmlns:a16="http://schemas.microsoft.com/office/drawing/2014/main" id="{00000000-0008-0000-0200-00001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362</xdr:row>
      <xdr:rowOff>0</xdr:rowOff>
    </xdr:from>
    <xdr:ext cx="200025" cy="200025"/>
    <xdr:pic>
      <xdr:nvPicPr>
        <xdr:cNvPr id="538" name="image3.png">
          <a:extLst>
            <a:ext uri="{FF2B5EF4-FFF2-40B4-BE49-F238E27FC236}">
              <a16:creationId xmlns:a16="http://schemas.microsoft.com/office/drawing/2014/main" id="{00000000-0008-0000-0200-00001A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363</xdr:row>
      <xdr:rowOff>0</xdr:rowOff>
    </xdr:from>
    <xdr:ext cx="200025" cy="200025"/>
    <xdr:pic>
      <xdr:nvPicPr>
        <xdr:cNvPr id="539" name="image6.png">
          <a:extLst>
            <a:ext uri="{FF2B5EF4-FFF2-40B4-BE49-F238E27FC236}">
              <a16:creationId xmlns:a16="http://schemas.microsoft.com/office/drawing/2014/main" id="{00000000-0008-0000-0200-00001B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364</xdr:row>
      <xdr:rowOff>0</xdr:rowOff>
    </xdr:from>
    <xdr:ext cx="200025" cy="200025"/>
    <xdr:pic>
      <xdr:nvPicPr>
        <xdr:cNvPr id="540" name="image6.png">
          <a:extLst>
            <a:ext uri="{FF2B5EF4-FFF2-40B4-BE49-F238E27FC236}">
              <a16:creationId xmlns:a16="http://schemas.microsoft.com/office/drawing/2014/main" id="{00000000-0008-0000-0200-00001C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365</xdr:row>
      <xdr:rowOff>0</xdr:rowOff>
    </xdr:from>
    <xdr:ext cx="200025" cy="200025"/>
    <xdr:pic>
      <xdr:nvPicPr>
        <xdr:cNvPr id="541" name="image8.png">
          <a:extLst>
            <a:ext uri="{FF2B5EF4-FFF2-40B4-BE49-F238E27FC236}">
              <a16:creationId xmlns:a16="http://schemas.microsoft.com/office/drawing/2014/main" id="{00000000-0008-0000-0200-00001D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365</xdr:row>
      <xdr:rowOff>0</xdr:rowOff>
    </xdr:from>
    <xdr:ext cx="200025" cy="200025"/>
    <xdr:pic>
      <xdr:nvPicPr>
        <xdr:cNvPr id="542" name="image9.png">
          <a:extLst>
            <a:ext uri="{FF2B5EF4-FFF2-40B4-BE49-F238E27FC236}">
              <a16:creationId xmlns:a16="http://schemas.microsoft.com/office/drawing/2014/main" id="{00000000-0008-0000-0200-00001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365</xdr:row>
      <xdr:rowOff>0</xdr:rowOff>
    </xdr:from>
    <xdr:ext cx="200025" cy="200025"/>
    <xdr:pic>
      <xdr:nvPicPr>
        <xdr:cNvPr id="543" name="image5.png">
          <a:extLst>
            <a:ext uri="{FF2B5EF4-FFF2-40B4-BE49-F238E27FC236}">
              <a16:creationId xmlns:a16="http://schemas.microsoft.com/office/drawing/2014/main" id="{00000000-0008-0000-0200-00001F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367</xdr:row>
      <xdr:rowOff>0</xdr:rowOff>
    </xdr:from>
    <xdr:ext cx="200025" cy="200025"/>
    <xdr:pic>
      <xdr:nvPicPr>
        <xdr:cNvPr id="544" name="image8.png">
          <a:extLst>
            <a:ext uri="{FF2B5EF4-FFF2-40B4-BE49-F238E27FC236}">
              <a16:creationId xmlns:a16="http://schemas.microsoft.com/office/drawing/2014/main" id="{00000000-0008-0000-0200-00002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367</xdr:row>
      <xdr:rowOff>0</xdr:rowOff>
    </xdr:from>
    <xdr:ext cx="200025" cy="200025"/>
    <xdr:pic>
      <xdr:nvPicPr>
        <xdr:cNvPr id="545" name="image6.png">
          <a:extLst>
            <a:ext uri="{FF2B5EF4-FFF2-40B4-BE49-F238E27FC236}">
              <a16:creationId xmlns:a16="http://schemas.microsoft.com/office/drawing/2014/main" id="{00000000-0008-0000-0200-000021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367</xdr:row>
      <xdr:rowOff>0</xdr:rowOff>
    </xdr:from>
    <xdr:ext cx="200025" cy="200025"/>
    <xdr:pic>
      <xdr:nvPicPr>
        <xdr:cNvPr id="546" name="image7.png">
          <a:extLst>
            <a:ext uri="{FF2B5EF4-FFF2-40B4-BE49-F238E27FC236}">
              <a16:creationId xmlns:a16="http://schemas.microsoft.com/office/drawing/2014/main" id="{00000000-0008-0000-0200-000022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369</xdr:row>
      <xdr:rowOff>0</xdr:rowOff>
    </xdr:from>
    <xdr:ext cx="200025" cy="200025"/>
    <xdr:pic>
      <xdr:nvPicPr>
        <xdr:cNvPr id="547" name="image10.png">
          <a:extLst>
            <a:ext uri="{FF2B5EF4-FFF2-40B4-BE49-F238E27FC236}">
              <a16:creationId xmlns:a16="http://schemas.microsoft.com/office/drawing/2014/main" id="{00000000-0008-0000-0200-00002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369</xdr:row>
      <xdr:rowOff>0</xdr:rowOff>
    </xdr:from>
    <xdr:ext cx="200025" cy="200025"/>
    <xdr:pic>
      <xdr:nvPicPr>
        <xdr:cNvPr id="548" name="image2.png">
          <a:extLst>
            <a:ext uri="{FF2B5EF4-FFF2-40B4-BE49-F238E27FC236}">
              <a16:creationId xmlns:a16="http://schemas.microsoft.com/office/drawing/2014/main" id="{00000000-0008-0000-0200-000024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369</xdr:row>
      <xdr:rowOff>0</xdr:rowOff>
    </xdr:from>
    <xdr:ext cx="200025" cy="200025"/>
    <xdr:pic>
      <xdr:nvPicPr>
        <xdr:cNvPr id="549" name="image12.png">
          <a:extLst>
            <a:ext uri="{FF2B5EF4-FFF2-40B4-BE49-F238E27FC236}">
              <a16:creationId xmlns:a16="http://schemas.microsoft.com/office/drawing/2014/main" id="{00000000-0008-0000-0200-000025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369</xdr:row>
      <xdr:rowOff>0</xdr:rowOff>
    </xdr:from>
    <xdr:ext cx="200025" cy="200025"/>
    <xdr:pic>
      <xdr:nvPicPr>
        <xdr:cNvPr id="550" name="image8.png">
          <a:extLst>
            <a:ext uri="{FF2B5EF4-FFF2-40B4-BE49-F238E27FC236}">
              <a16:creationId xmlns:a16="http://schemas.microsoft.com/office/drawing/2014/main" id="{00000000-0008-0000-0200-000026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370</xdr:row>
      <xdr:rowOff>0</xdr:rowOff>
    </xdr:from>
    <xdr:ext cx="200025" cy="200025"/>
    <xdr:pic>
      <xdr:nvPicPr>
        <xdr:cNvPr id="551" name="image8.png">
          <a:extLst>
            <a:ext uri="{FF2B5EF4-FFF2-40B4-BE49-F238E27FC236}">
              <a16:creationId xmlns:a16="http://schemas.microsoft.com/office/drawing/2014/main" id="{00000000-0008-0000-0200-00002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371</xdr:row>
      <xdr:rowOff>0</xdr:rowOff>
    </xdr:from>
    <xdr:ext cx="200025" cy="200025"/>
    <xdr:pic>
      <xdr:nvPicPr>
        <xdr:cNvPr id="552" name="image8.png">
          <a:extLst>
            <a:ext uri="{FF2B5EF4-FFF2-40B4-BE49-F238E27FC236}">
              <a16:creationId xmlns:a16="http://schemas.microsoft.com/office/drawing/2014/main" id="{00000000-0008-0000-0200-000028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372</xdr:row>
      <xdr:rowOff>0</xdr:rowOff>
    </xdr:from>
    <xdr:ext cx="200025" cy="200025"/>
    <xdr:pic>
      <xdr:nvPicPr>
        <xdr:cNvPr id="553" name="image10.png">
          <a:extLst>
            <a:ext uri="{FF2B5EF4-FFF2-40B4-BE49-F238E27FC236}">
              <a16:creationId xmlns:a16="http://schemas.microsoft.com/office/drawing/2014/main" id="{00000000-0008-0000-0200-00002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372</xdr:row>
      <xdr:rowOff>0</xdr:rowOff>
    </xdr:from>
    <xdr:ext cx="200025" cy="200025"/>
    <xdr:pic>
      <xdr:nvPicPr>
        <xdr:cNvPr id="554" name="image1.png">
          <a:extLst>
            <a:ext uri="{FF2B5EF4-FFF2-40B4-BE49-F238E27FC236}">
              <a16:creationId xmlns:a16="http://schemas.microsoft.com/office/drawing/2014/main" id="{00000000-0008-0000-0200-00002A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372</xdr:row>
      <xdr:rowOff>0</xdr:rowOff>
    </xdr:from>
    <xdr:ext cx="200025" cy="200025"/>
    <xdr:pic>
      <xdr:nvPicPr>
        <xdr:cNvPr id="555" name="image12.png">
          <a:extLst>
            <a:ext uri="{FF2B5EF4-FFF2-40B4-BE49-F238E27FC236}">
              <a16:creationId xmlns:a16="http://schemas.microsoft.com/office/drawing/2014/main" id="{00000000-0008-0000-0200-00002B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373</xdr:row>
      <xdr:rowOff>0</xdr:rowOff>
    </xdr:from>
    <xdr:ext cx="200025" cy="200025"/>
    <xdr:pic>
      <xdr:nvPicPr>
        <xdr:cNvPr id="556" name="image2.png">
          <a:extLst>
            <a:ext uri="{FF2B5EF4-FFF2-40B4-BE49-F238E27FC236}">
              <a16:creationId xmlns:a16="http://schemas.microsoft.com/office/drawing/2014/main" id="{00000000-0008-0000-0200-00002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374</xdr:row>
      <xdr:rowOff>0</xdr:rowOff>
    </xdr:from>
    <xdr:ext cx="200025" cy="200025"/>
    <xdr:pic>
      <xdr:nvPicPr>
        <xdr:cNvPr id="557" name="image2.png">
          <a:extLst>
            <a:ext uri="{FF2B5EF4-FFF2-40B4-BE49-F238E27FC236}">
              <a16:creationId xmlns:a16="http://schemas.microsoft.com/office/drawing/2014/main" id="{00000000-0008-0000-0200-00002D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375</xdr:row>
      <xdr:rowOff>0</xdr:rowOff>
    </xdr:from>
    <xdr:ext cx="200025" cy="200025"/>
    <xdr:pic>
      <xdr:nvPicPr>
        <xdr:cNvPr id="558" name="image8.png">
          <a:extLst>
            <a:ext uri="{FF2B5EF4-FFF2-40B4-BE49-F238E27FC236}">
              <a16:creationId xmlns:a16="http://schemas.microsoft.com/office/drawing/2014/main" id="{00000000-0008-0000-0200-00002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375</xdr:row>
      <xdr:rowOff>0</xdr:rowOff>
    </xdr:from>
    <xdr:ext cx="200025" cy="200025"/>
    <xdr:pic>
      <xdr:nvPicPr>
        <xdr:cNvPr id="559" name="image2.png">
          <a:extLst>
            <a:ext uri="{FF2B5EF4-FFF2-40B4-BE49-F238E27FC236}">
              <a16:creationId xmlns:a16="http://schemas.microsoft.com/office/drawing/2014/main" id="{00000000-0008-0000-0200-00002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375</xdr:row>
      <xdr:rowOff>0</xdr:rowOff>
    </xdr:from>
    <xdr:ext cx="200025" cy="200025"/>
    <xdr:pic>
      <xdr:nvPicPr>
        <xdr:cNvPr id="560" name="image4.png">
          <a:extLst>
            <a:ext uri="{FF2B5EF4-FFF2-40B4-BE49-F238E27FC236}">
              <a16:creationId xmlns:a16="http://schemas.microsoft.com/office/drawing/2014/main" id="{00000000-0008-0000-0200-00003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375</xdr:row>
      <xdr:rowOff>0</xdr:rowOff>
    </xdr:from>
    <xdr:ext cx="200025" cy="200025"/>
    <xdr:pic>
      <xdr:nvPicPr>
        <xdr:cNvPr id="561" name="image3.png">
          <a:extLst>
            <a:ext uri="{FF2B5EF4-FFF2-40B4-BE49-F238E27FC236}">
              <a16:creationId xmlns:a16="http://schemas.microsoft.com/office/drawing/2014/main" id="{00000000-0008-0000-0200-000031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376</xdr:row>
      <xdr:rowOff>0</xdr:rowOff>
    </xdr:from>
    <xdr:ext cx="200025" cy="200025"/>
    <xdr:pic>
      <xdr:nvPicPr>
        <xdr:cNvPr id="562" name="image10.png">
          <a:extLst>
            <a:ext uri="{FF2B5EF4-FFF2-40B4-BE49-F238E27FC236}">
              <a16:creationId xmlns:a16="http://schemas.microsoft.com/office/drawing/2014/main" id="{00000000-0008-0000-0200-00003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377</xdr:row>
      <xdr:rowOff>0</xdr:rowOff>
    </xdr:from>
    <xdr:ext cx="200025" cy="200025"/>
    <xdr:pic>
      <xdr:nvPicPr>
        <xdr:cNvPr id="563" name="image10.png">
          <a:extLst>
            <a:ext uri="{FF2B5EF4-FFF2-40B4-BE49-F238E27FC236}">
              <a16:creationId xmlns:a16="http://schemas.microsoft.com/office/drawing/2014/main" id="{00000000-0008-0000-0200-00003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378</xdr:row>
      <xdr:rowOff>0</xdr:rowOff>
    </xdr:from>
    <xdr:ext cx="200025" cy="200025"/>
    <xdr:pic>
      <xdr:nvPicPr>
        <xdr:cNvPr id="564" name="image1.png">
          <a:extLst>
            <a:ext uri="{FF2B5EF4-FFF2-40B4-BE49-F238E27FC236}">
              <a16:creationId xmlns:a16="http://schemas.microsoft.com/office/drawing/2014/main" id="{00000000-0008-0000-0200-000034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0</xdr:colOff>
      <xdr:row>378</xdr:row>
      <xdr:rowOff>0</xdr:rowOff>
    </xdr:from>
    <xdr:ext cx="200025" cy="200025"/>
    <xdr:pic>
      <xdr:nvPicPr>
        <xdr:cNvPr id="565" name="image6.png">
          <a:extLst>
            <a:ext uri="{FF2B5EF4-FFF2-40B4-BE49-F238E27FC236}">
              <a16:creationId xmlns:a16="http://schemas.microsoft.com/office/drawing/2014/main" id="{00000000-0008-0000-0200-000035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378</xdr:row>
      <xdr:rowOff>0</xdr:rowOff>
    </xdr:from>
    <xdr:ext cx="200025" cy="200025"/>
    <xdr:pic>
      <xdr:nvPicPr>
        <xdr:cNvPr id="566" name="image5.png">
          <a:extLst>
            <a:ext uri="{FF2B5EF4-FFF2-40B4-BE49-F238E27FC236}">
              <a16:creationId xmlns:a16="http://schemas.microsoft.com/office/drawing/2014/main" id="{00000000-0008-0000-0200-000036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378</xdr:row>
      <xdr:rowOff>0</xdr:rowOff>
    </xdr:from>
    <xdr:ext cx="200025" cy="200025"/>
    <xdr:pic>
      <xdr:nvPicPr>
        <xdr:cNvPr id="567" name="image3.png">
          <a:extLst>
            <a:ext uri="{FF2B5EF4-FFF2-40B4-BE49-F238E27FC236}">
              <a16:creationId xmlns:a16="http://schemas.microsoft.com/office/drawing/2014/main" id="{00000000-0008-0000-0200-000037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379</xdr:row>
      <xdr:rowOff>0</xdr:rowOff>
    </xdr:from>
    <xdr:ext cx="200025" cy="200025"/>
    <xdr:pic>
      <xdr:nvPicPr>
        <xdr:cNvPr id="568" name="image10.png">
          <a:extLst>
            <a:ext uri="{FF2B5EF4-FFF2-40B4-BE49-F238E27FC236}">
              <a16:creationId xmlns:a16="http://schemas.microsoft.com/office/drawing/2014/main" id="{00000000-0008-0000-0200-00003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380</xdr:row>
      <xdr:rowOff>0</xdr:rowOff>
    </xdr:from>
    <xdr:ext cx="200025" cy="200025"/>
    <xdr:pic>
      <xdr:nvPicPr>
        <xdr:cNvPr id="569" name="image10.png">
          <a:extLst>
            <a:ext uri="{FF2B5EF4-FFF2-40B4-BE49-F238E27FC236}">
              <a16:creationId xmlns:a16="http://schemas.microsoft.com/office/drawing/2014/main" id="{00000000-0008-0000-0200-00003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381</xdr:row>
      <xdr:rowOff>0</xdr:rowOff>
    </xdr:from>
    <xdr:ext cx="200025" cy="200025"/>
    <xdr:pic>
      <xdr:nvPicPr>
        <xdr:cNvPr id="570" name="image10.png">
          <a:extLst>
            <a:ext uri="{FF2B5EF4-FFF2-40B4-BE49-F238E27FC236}">
              <a16:creationId xmlns:a16="http://schemas.microsoft.com/office/drawing/2014/main" id="{00000000-0008-0000-0200-00003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381</xdr:row>
      <xdr:rowOff>0</xdr:rowOff>
    </xdr:from>
    <xdr:ext cx="200025" cy="200025"/>
    <xdr:pic>
      <xdr:nvPicPr>
        <xdr:cNvPr id="571" name="image9.png">
          <a:extLst>
            <a:ext uri="{FF2B5EF4-FFF2-40B4-BE49-F238E27FC236}">
              <a16:creationId xmlns:a16="http://schemas.microsoft.com/office/drawing/2014/main" id="{00000000-0008-0000-0200-00003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381</xdr:row>
      <xdr:rowOff>0</xdr:rowOff>
    </xdr:from>
    <xdr:ext cx="200025" cy="200025"/>
    <xdr:pic>
      <xdr:nvPicPr>
        <xdr:cNvPr id="572" name="image5.png">
          <a:extLst>
            <a:ext uri="{FF2B5EF4-FFF2-40B4-BE49-F238E27FC236}">
              <a16:creationId xmlns:a16="http://schemas.microsoft.com/office/drawing/2014/main" id="{00000000-0008-0000-0200-00003C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381</xdr:row>
      <xdr:rowOff>0</xdr:rowOff>
    </xdr:from>
    <xdr:ext cx="200025" cy="200025"/>
    <xdr:pic>
      <xdr:nvPicPr>
        <xdr:cNvPr id="573" name="image5.png">
          <a:extLst>
            <a:ext uri="{FF2B5EF4-FFF2-40B4-BE49-F238E27FC236}">
              <a16:creationId xmlns:a16="http://schemas.microsoft.com/office/drawing/2014/main" id="{00000000-0008-0000-0200-00003D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382</xdr:row>
      <xdr:rowOff>0</xdr:rowOff>
    </xdr:from>
    <xdr:ext cx="200025" cy="200025"/>
    <xdr:pic>
      <xdr:nvPicPr>
        <xdr:cNvPr id="574" name="image5.png">
          <a:extLst>
            <a:ext uri="{FF2B5EF4-FFF2-40B4-BE49-F238E27FC236}">
              <a16:creationId xmlns:a16="http://schemas.microsoft.com/office/drawing/2014/main" id="{00000000-0008-0000-0200-00003E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383</xdr:row>
      <xdr:rowOff>0</xdr:rowOff>
    </xdr:from>
    <xdr:ext cx="200025" cy="200025"/>
    <xdr:pic>
      <xdr:nvPicPr>
        <xdr:cNvPr id="575" name="image6.png">
          <a:extLst>
            <a:ext uri="{FF2B5EF4-FFF2-40B4-BE49-F238E27FC236}">
              <a16:creationId xmlns:a16="http://schemas.microsoft.com/office/drawing/2014/main" id="{00000000-0008-0000-0200-00003F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384</xdr:row>
      <xdr:rowOff>0</xdr:rowOff>
    </xdr:from>
    <xdr:ext cx="200025" cy="200025"/>
    <xdr:pic>
      <xdr:nvPicPr>
        <xdr:cNvPr id="576" name="image8.png">
          <a:extLst>
            <a:ext uri="{FF2B5EF4-FFF2-40B4-BE49-F238E27FC236}">
              <a16:creationId xmlns:a16="http://schemas.microsoft.com/office/drawing/2014/main" id="{00000000-0008-0000-0200-00004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384</xdr:row>
      <xdr:rowOff>0</xdr:rowOff>
    </xdr:from>
    <xdr:ext cx="200025" cy="200025"/>
    <xdr:pic>
      <xdr:nvPicPr>
        <xdr:cNvPr id="577" name="image6.png">
          <a:extLst>
            <a:ext uri="{FF2B5EF4-FFF2-40B4-BE49-F238E27FC236}">
              <a16:creationId xmlns:a16="http://schemas.microsoft.com/office/drawing/2014/main" id="{00000000-0008-0000-0200-000041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384</xdr:row>
      <xdr:rowOff>0</xdr:rowOff>
    </xdr:from>
    <xdr:ext cx="200025" cy="200025"/>
    <xdr:pic>
      <xdr:nvPicPr>
        <xdr:cNvPr id="578" name="image12.png">
          <a:extLst>
            <a:ext uri="{FF2B5EF4-FFF2-40B4-BE49-F238E27FC236}">
              <a16:creationId xmlns:a16="http://schemas.microsoft.com/office/drawing/2014/main" id="{00000000-0008-0000-0200-000042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384</xdr:row>
      <xdr:rowOff>0</xdr:rowOff>
    </xdr:from>
    <xdr:ext cx="200025" cy="200025"/>
    <xdr:pic>
      <xdr:nvPicPr>
        <xdr:cNvPr id="579" name="image4.png">
          <a:extLst>
            <a:ext uri="{FF2B5EF4-FFF2-40B4-BE49-F238E27FC236}">
              <a16:creationId xmlns:a16="http://schemas.microsoft.com/office/drawing/2014/main" id="{00000000-0008-0000-0200-000043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385</xdr:row>
      <xdr:rowOff>0</xdr:rowOff>
    </xdr:from>
    <xdr:ext cx="200025" cy="200025"/>
    <xdr:pic>
      <xdr:nvPicPr>
        <xdr:cNvPr id="580" name="image4.png">
          <a:extLst>
            <a:ext uri="{FF2B5EF4-FFF2-40B4-BE49-F238E27FC236}">
              <a16:creationId xmlns:a16="http://schemas.microsoft.com/office/drawing/2014/main" id="{00000000-0008-0000-0200-000044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386</xdr:row>
      <xdr:rowOff>0</xdr:rowOff>
    </xdr:from>
    <xdr:ext cx="200025" cy="200025"/>
    <xdr:pic>
      <xdr:nvPicPr>
        <xdr:cNvPr id="581" name="image6.png">
          <a:extLst>
            <a:ext uri="{FF2B5EF4-FFF2-40B4-BE49-F238E27FC236}">
              <a16:creationId xmlns:a16="http://schemas.microsoft.com/office/drawing/2014/main" id="{00000000-0008-0000-0200-000045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387</xdr:row>
      <xdr:rowOff>0</xdr:rowOff>
    </xdr:from>
    <xdr:ext cx="200025" cy="200025"/>
    <xdr:pic>
      <xdr:nvPicPr>
        <xdr:cNvPr id="582" name="image10.png">
          <a:extLst>
            <a:ext uri="{FF2B5EF4-FFF2-40B4-BE49-F238E27FC236}">
              <a16:creationId xmlns:a16="http://schemas.microsoft.com/office/drawing/2014/main" id="{00000000-0008-0000-0200-00004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387</xdr:row>
      <xdr:rowOff>0</xdr:rowOff>
    </xdr:from>
    <xdr:ext cx="200025" cy="200025"/>
    <xdr:pic>
      <xdr:nvPicPr>
        <xdr:cNvPr id="583" name="image6.png">
          <a:extLst>
            <a:ext uri="{FF2B5EF4-FFF2-40B4-BE49-F238E27FC236}">
              <a16:creationId xmlns:a16="http://schemas.microsoft.com/office/drawing/2014/main" id="{00000000-0008-0000-0200-000047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387</xdr:row>
      <xdr:rowOff>0</xdr:rowOff>
    </xdr:from>
    <xdr:ext cx="200025" cy="200025"/>
    <xdr:pic>
      <xdr:nvPicPr>
        <xdr:cNvPr id="584" name="image5.png">
          <a:extLst>
            <a:ext uri="{FF2B5EF4-FFF2-40B4-BE49-F238E27FC236}">
              <a16:creationId xmlns:a16="http://schemas.microsoft.com/office/drawing/2014/main" id="{00000000-0008-0000-0200-000048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387</xdr:row>
      <xdr:rowOff>0</xdr:rowOff>
    </xdr:from>
    <xdr:ext cx="200025" cy="200025"/>
    <xdr:pic>
      <xdr:nvPicPr>
        <xdr:cNvPr id="585" name="image6.png">
          <a:extLst>
            <a:ext uri="{FF2B5EF4-FFF2-40B4-BE49-F238E27FC236}">
              <a16:creationId xmlns:a16="http://schemas.microsoft.com/office/drawing/2014/main" id="{00000000-0008-0000-0200-00004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388</xdr:row>
      <xdr:rowOff>0</xdr:rowOff>
    </xdr:from>
    <xdr:ext cx="200025" cy="200025"/>
    <xdr:pic>
      <xdr:nvPicPr>
        <xdr:cNvPr id="586" name="image6.png">
          <a:extLst>
            <a:ext uri="{FF2B5EF4-FFF2-40B4-BE49-F238E27FC236}">
              <a16:creationId xmlns:a16="http://schemas.microsoft.com/office/drawing/2014/main" id="{00000000-0008-0000-0200-00004A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392</xdr:row>
      <xdr:rowOff>0</xdr:rowOff>
    </xdr:from>
    <xdr:ext cx="200025" cy="200025"/>
    <xdr:pic>
      <xdr:nvPicPr>
        <xdr:cNvPr id="587" name="image10.png">
          <a:extLst>
            <a:ext uri="{FF2B5EF4-FFF2-40B4-BE49-F238E27FC236}">
              <a16:creationId xmlns:a16="http://schemas.microsoft.com/office/drawing/2014/main" id="{00000000-0008-0000-0200-00004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392</xdr:row>
      <xdr:rowOff>0</xdr:rowOff>
    </xdr:from>
    <xdr:ext cx="200025" cy="200025"/>
    <xdr:pic>
      <xdr:nvPicPr>
        <xdr:cNvPr id="588" name="image8.png">
          <a:extLst>
            <a:ext uri="{FF2B5EF4-FFF2-40B4-BE49-F238E27FC236}">
              <a16:creationId xmlns:a16="http://schemas.microsoft.com/office/drawing/2014/main" id="{00000000-0008-0000-0200-00004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392</xdr:row>
      <xdr:rowOff>0</xdr:rowOff>
    </xdr:from>
    <xdr:ext cx="200025" cy="200025"/>
    <xdr:pic>
      <xdr:nvPicPr>
        <xdr:cNvPr id="589" name="image7.png">
          <a:extLst>
            <a:ext uri="{FF2B5EF4-FFF2-40B4-BE49-F238E27FC236}">
              <a16:creationId xmlns:a16="http://schemas.microsoft.com/office/drawing/2014/main" id="{00000000-0008-0000-0200-00004D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394</xdr:row>
      <xdr:rowOff>0</xdr:rowOff>
    </xdr:from>
    <xdr:ext cx="200025" cy="200025"/>
    <xdr:pic>
      <xdr:nvPicPr>
        <xdr:cNvPr id="590" name="image8.png">
          <a:extLst>
            <a:ext uri="{FF2B5EF4-FFF2-40B4-BE49-F238E27FC236}">
              <a16:creationId xmlns:a16="http://schemas.microsoft.com/office/drawing/2014/main" id="{00000000-0008-0000-0200-00004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394</xdr:row>
      <xdr:rowOff>0</xdr:rowOff>
    </xdr:from>
    <xdr:ext cx="200025" cy="200025"/>
    <xdr:pic>
      <xdr:nvPicPr>
        <xdr:cNvPr id="591" name="image2.png">
          <a:extLst>
            <a:ext uri="{FF2B5EF4-FFF2-40B4-BE49-F238E27FC236}">
              <a16:creationId xmlns:a16="http://schemas.microsoft.com/office/drawing/2014/main" id="{00000000-0008-0000-0200-00004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394</xdr:row>
      <xdr:rowOff>0</xdr:rowOff>
    </xdr:from>
    <xdr:ext cx="200025" cy="200025"/>
    <xdr:pic>
      <xdr:nvPicPr>
        <xdr:cNvPr id="592" name="image3.png">
          <a:extLst>
            <a:ext uri="{FF2B5EF4-FFF2-40B4-BE49-F238E27FC236}">
              <a16:creationId xmlns:a16="http://schemas.microsoft.com/office/drawing/2014/main" id="{00000000-0008-0000-0200-000050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395</xdr:row>
      <xdr:rowOff>0</xdr:rowOff>
    </xdr:from>
    <xdr:ext cx="200025" cy="200025"/>
    <xdr:pic>
      <xdr:nvPicPr>
        <xdr:cNvPr id="593" name="image8.png">
          <a:extLst>
            <a:ext uri="{FF2B5EF4-FFF2-40B4-BE49-F238E27FC236}">
              <a16:creationId xmlns:a16="http://schemas.microsoft.com/office/drawing/2014/main" id="{00000000-0008-0000-0200-000051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396</xdr:row>
      <xdr:rowOff>0</xdr:rowOff>
    </xdr:from>
    <xdr:ext cx="200025" cy="200025"/>
    <xdr:pic>
      <xdr:nvPicPr>
        <xdr:cNvPr id="594" name="image8.png">
          <a:extLst>
            <a:ext uri="{FF2B5EF4-FFF2-40B4-BE49-F238E27FC236}">
              <a16:creationId xmlns:a16="http://schemas.microsoft.com/office/drawing/2014/main" id="{00000000-0008-0000-0200-00005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397</xdr:row>
      <xdr:rowOff>0</xdr:rowOff>
    </xdr:from>
    <xdr:ext cx="200025" cy="200025"/>
    <xdr:pic>
      <xdr:nvPicPr>
        <xdr:cNvPr id="595" name="image10.png">
          <a:extLst>
            <a:ext uri="{FF2B5EF4-FFF2-40B4-BE49-F238E27FC236}">
              <a16:creationId xmlns:a16="http://schemas.microsoft.com/office/drawing/2014/main" id="{00000000-0008-0000-0200-00005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397</xdr:row>
      <xdr:rowOff>0</xdr:rowOff>
    </xdr:from>
    <xdr:ext cx="200025" cy="200025"/>
    <xdr:pic>
      <xdr:nvPicPr>
        <xdr:cNvPr id="596" name="image9.png">
          <a:extLst>
            <a:ext uri="{FF2B5EF4-FFF2-40B4-BE49-F238E27FC236}">
              <a16:creationId xmlns:a16="http://schemas.microsoft.com/office/drawing/2014/main" id="{00000000-0008-0000-0200-00005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397</xdr:row>
      <xdr:rowOff>0</xdr:rowOff>
    </xdr:from>
    <xdr:ext cx="200025" cy="200025"/>
    <xdr:pic>
      <xdr:nvPicPr>
        <xdr:cNvPr id="597" name="image4.png">
          <a:extLst>
            <a:ext uri="{FF2B5EF4-FFF2-40B4-BE49-F238E27FC236}">
              <a16:creationId xmlns:a16="http://schemas.microsoft.com/office/drawing/2014/main" id="{00000000-0008-0000-0200-000055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398</xdr:row>
      <xdr:rowOff>0</xdr:rowOff>
    </xdr:from>
    <xdr:ext cx="200025" cy="200025"/>
    <xdr:pic>
      <xdr:nvPicPr>
        <xdr:cNvPr id="598" name="image10.png">
          <a:extLst>
            <a:ext uri="{FF2B5EF4-FFF2-40B4-BE49-F238E27FC236}">
              <a16:creationId xmlns:a16="http://schemas.microsoft.com/office/drawing/2014/main" id="{00000000-0008-0000-0200-00005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399</xdr:row>
      <xdr:rowOff>0</xdr:rowOff>
    </xdr:from>
    <xdr:ext cx="200025" cy="200025"/>
    <xdr:pic>
      <xdr:nvPicPr>
        <xdr:cNvPr id="599" name="image10.png">
          <a:extLst>
            <a:ext uri="{FF2B5EF4-FFF2-40B4-BE49-F238E27FC236}">
              <a16:creationId xmlns:a16="http://schemas.microsoft.com/office/drawing/2014/main" id="{00000000-0008-0000-0200-00005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403</xdr:row>
      <xdr:rowOff>0</xdr:rowOff>
    </xdr:from>
    <xdr:ext cx="200025" cy="200025"/>
    <xdr:pic>
      <xdr:nvPicPr>
        <xdr:cNvPr id="600" name="image8.png">
          <a:extLst>
            <a:ext uri="{FF2B5EF4-FFF2-40B4-BE49-F238E27FC236}">
              <a16:creationId xmlns:a16="http://schemas.microsoft.com/office/drawing/2014/main" id="{00000000-0008-0000-0200-000058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403</xdr:row>
      <xdr:rowOff>0</xdr:rowOff>
    </xdr:from>
    <xdr:ext cx="200025" cy="200025"/>
    <xdr:pic>
      <xdr:nvPicPr>
        <xdr:cNvPr id="601" name="image6.png">
          <a:extLst>
            <a:ext uri="{FF2B5EF4-FFF2-40B4-BE49-F238E27FC236}">
              <a16:creationId xmlns:a16="http://schemas.microsoft.com/office/drawing/2014/main" id="{00000000-0008-0000-0200-00005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403</xdr:row>
      <xdr:rowOff>0</xdr:rowOff>
    </xdr:from>
    <xdr:ext cx="200025" cy="200025"/>
    <xdr:pic>
      <xdr:nvPicPr>
        <xdr:cNvPr id="602" name="image3.png">
          <a:extLst>
            <a:ext uri="{FF2B5EF4-FFF2-40B4-BE49-F238E27FC236}">
              <a16:creationId xmlns:a16="http://schemas.microsoft.com/office/drawing/2014/main" id="{00000000-0008-0000-0200-00005A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404</xdr:row>
      <xdr:rowOff>0</xdr:rowOff>
    </xdr:from>
    <xdr:ext cx="200025" cy="200025"/>
    <xdr:pic>
      <xdr:nvPicPr>
        <xdr:cNvPr id="603" name="image9.png">
          <a:extLst>
            <a:ext uri="{FF2B5EF4-FFF2-40B4-BE49-F238E27FC236}">
              <a16:creationId xmlns:a16="http://schemas.microsoft.com/office/drawing/2014/main" id="{00000000-0008-0000-0200-00005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405</xdr:row>
      <xdr:rowOff>0</xdr:rowOff>
    </xdr:from>
    <xdr:ext cx="200025" cy="200025"/>
    <xdr:pic>
      <xdr:nvPicPr>
        <xdr:cNvPr id="604" name="image10.png">
          <a:extLst>
            <a:ext uri="{FF2B5EF4-FFF2-40B4-BE49-F238E27FC236}">
              <a16:creationId xmlns:a16="http://schemas.microsoft.com/office/drawing/2014/main" id="{00000000-0008-0000-0200-00005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405</xdr:row>
      <xdr:rowOff>0</xdr:rowOff>
    </xdr:from>
    <xdr:ext cx="200025" cy="200025"/>
    <xdr:pic>
      <xdr:nvPicPr>
        <xdr:cNvPr id="605" name="image1.png">
          <a:extLst>
            <a:ext uri="{FF2B5EF4-FFF2-40B4-BE49-F238E27FC236}">
              <a16:creationId xmlns:a16="http://schemas.microsoft.com/office/drawing/2014/main" id="{00000000-0008-0000-0200-00005D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405</xdr:row>
      <xdr:rowOff>0</xdr:rowOff>
    </xdr:from>
    <xdr:ext cx="200025" cy="200025"/>
    <xdr:pic>
      <xdr:nvPicPr>
        <xdr:cNvPr id="606" name="image7.png">
          <a:extLst>
            <a:ext uri="{FF2B5EF4-FFF2-40B4-BE49-F238E27FC236}">
              <a16:creationId xmlns:a16="http://schemas.microsoft.com/office/drawing/2014/main" id="{00000000-0008-0000-0200-00005E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405</xdr:row>
      <xdr:rowOff>0</xdr:rowOff>
    </xdr:from>
    <xdr:ext cx="200025" cy="200025"/>
    <xdr:pic>
      <xdr:nvPicPr>
        <xdr:cNvPr id="607" name="image4.png">
          <a:extLst>
            <a:ext uri="{FF2B5EF4-FFF2-40B4-BE49-F238E27FC236}">
              <a16:creationId xmlns:a16="http://schemas.microsoft.com/office/drawing/2014/main" id="{00000000-0008-0000-0200-00005F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406</xdr:row>
      <xdr:rowOff>0</xdr:rowOff>
    </xdr:from>
    <xdr:ext cx="200025" cy="200025"/>
    <xdr:pic>
      <xdr:nvPicPr>
        <xdr:cNvPr id="608" name="image4.png">
          <a:extLst>
            <a:ext uri="{FF2B5EF4-FFF2-40B4-BE49-F238E27FC236}">
              <a16:creationId xmlns:a16="http://schemas.microsoft.com/office/drawing/2014/main" id="{00000000-0008-0000-0200-000060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407</xdr:row>
      <xdr:rowOff>0</xdr:rowOff>
    </xdr:from>
    <xdr:ext cx="200025" cy="200025"/>
    <xdr:pic>
      <xdr:nvPicPr>
        <xdr:cNvPr id="609" name="image6.png">
          <a:extLst>
            <a:ext uri="{FF2B5EF4-FFF2-40B4-BE49-F238E27FC236}">
              <a16:creationId xmlns:a16="http://schemas.microsoft.com/office/drawing/2014/main" id="{00000000-0008-0000-0200-000061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408</xdr:row>
      <xdr:rowOff>0</xdr:rowOff>
    </xdr:from>
    <xdr:ext cx="200025" cy="200025"/>
    <xdr:pic>
      <xdr:nvPicPr>
        <xdr:cNvPr id="610" name="image8.png">
          <a:extLst>
            <a:ext uri="{FF2B5EF4-FFF2-40B4-BE49-F238E27FC236}">
              <a16:creationId xmlns:a16="http://schemas.microsoft.com/office/drawing/2014/main" id="{00000000-0008-0000-0200-00006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408</xdr:row>
      <xdr:rowOff>0</xdr:rowOff>
    </xdr:from>
    <xdr:ext cx="200025" cy="200025"/>
    <xdr:pic>
      <xdr:nvPicPr>
        <xdr:cNvPr id="611" name="image6.png">
          <a:extLst>
            <a:ext uri="{FF2B5EF4-FFF2-40B4-BE49-F238E27FC236}">
              <a16:creationId xmlns:a16="http://schemas.microsoft.com/office/drawing/2014/main" id="{00000000-0008-0000-0200-000063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408</xdr:row>
      <xdr:rowOff>0</xdr:rowOff>
    </xdr:from>
    <xdr:ext cx="200025" cy="200025"/>
    <xdr:pic>
      <xdr:nvPicPr>
        <xdr:cNvPr id="612" name="image11.png">
          <a:extLst>
            <a:ext uri="{FF2B5EF4-FFF2-40B4-BE49-F238E27FC236}">
              <a16:creationId xmlns:a16="http://schemas.microsoft.com/office/drawing/2014/main" id="{00000000-0008-0000-0200-000064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408</xdr:row>
      <xdr:rowOff>0</xdr:rowOff>
    </xdr:from>
    <xdr:ext cx="200025" cy="200025"/>
    <xdr:pic>
      <xdr:nvPicPr>
        <xdr:cNvPr id="613" name="image1.png">
          <a:extLst>
            <a:ext uri="{FF2B5EF4-FFF2-40B4-BE49-F238E27FC236}">
              <a16:creationId xmlns:a16="http://schemas.microsoft.com/office/drawing/2014/main" id="{00000000-0008-0000-0200-000065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410</xdr:row>
      <xdr:rowOff>0</xdr:rowOff>
    </xdr:from>
    <xdr:ext cx="200025" cy="200025"/>
    <xdr:pic>
      <xdr:nvPicPr>
        <xdr:cNvPr id="614" name="image1.png">
          <a:extLst>
            <a:ext uri="{FF2B5EF4-FFF2-40B4-BE49-F238E27FC236}">
              <a16:creationId xmlns:a16="http://schemas.microsoft.com/office/drawing/2014/main" id="{00000000-0008-0000-0200-000066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411</xdr:row>
      <xdr:rowOff>0</xdr:rowOff>
    </xdr:from>
    <xdr:ext cx="200025" cy="200025"/>
    <xdr:pic>
      <xdr:nvPicPr>
        <xdr:cNvPr id="615" name="image10.png">
          <a:extLst>
            <a:ext uri="{FF2B5EF4-FFF2-40B4-BE49-F238E27FC236}">
              <a16:creationId xmlns:a16="http://schemas.microsoft.com/office/drawing/2014/main" id="{00000000-0008-0000-0200-00006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411</xdr:row>
      <xdr:rowOff>0</xdr:rowOff>
    </xdr:from>
    <xdr:ext cx="200025" cy="200025"/>
    <xdr:pic>
      <xdr:nvPicPr>
        <xdr:cNvPr id="616" name="image2.png">
          <a:extLst>
            <a:ext uri="{FF2B5EF4-FFF2-40B4-BE49-F238E27FC236}">
              <a16:creationId xmlns:a16="http://schemas.microsoft.com/office/drawing/2014/main" id="{00000000-0008-0000-0200-00006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411</xdr:row>
      <xdr:rowOff>0</xdr:rowOff>
    </xdr:from>
    <xdr:ext cx="200025" cy="200025"/>
    <xdr:pic>
      <xdr:nvPicPr>
        <xdr:cNvPr id="617" name="image12.png">
          <a:extLst>
            <a:ext uri="{FF2B5EF4-FFF2-40B4-BE49-F238E27FC236}">
              <a16:creationId xmlns:a16="http://schemas.microsoft.com/office/drawing/2014/main" id="{00000000-0008-0000-0200-000069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411</xdr:row>
      <xdr:rowOff>0</xdr:rowOff>
    </xdr:from>
    <xdr:ext cx="200025" cy="200025"/>
    <xdr:pic>
      <xdr:nvPicPr>
        <xdr:cNvPr id="618" name="image8.png">
          <a:extLst>
            <a:ext uri="{FF2B5EF4-FFF2-40B4-BE49-F238E27FC236}">
              <a16:creationId xmlns:a16="http://schemas.microsoft.com/office/drawing/2014/main" id="{00000000-0008-0000-0200-00006A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412</xdr:row>
      <xdr:rowOff>0</xdr:rowOff>
    </xdr:from>
    <xdr:ext cx="200025" cy="200025"/>
    <xdr:pic>
      <xdr:nvPicPr>
        <xdr:cNvPr id="619" name="image8.png">
          <a:extLst>
            <a:ext uri="{FF2B5EF4-FFF2-40B4-BE49-F238E27FC236}">
              <a16:creationId xmlns:a16="http://schemas.microsoft.com/office/drawing/2014/main" id="{00000000-0008-0000-0200-00006B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414</xdr:row>
      <xdr:rowOff>0</xdr:rowOff>
    </xdr:from>
    <xdr:ext cx="200025" cy="200025"/>
    <xdr:pic>
      <xdr:nvPicPr>
        <xdr:cNvPr id="620" name="image8.png">
          <a:extLst>
            <a:ext uri="{FF2B5EF4-FFF2-40B4-BE49-F238E27FC236}">
              <a16:creationId xmlns:a16="http://schemas.microsoft.com/office/drawing/2014/main" id="{00000000-0008-0000-0200-00006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414</xdr:row>
      <xdr:rowOff>0</xdr:rowOff>
    </xdr:from>
    <xdr:ext cx="200025" cy="200025"/>
    <xdr:pic>
      <xdr:nvPicPr>
        <xdr:cNvPr id="621" name="image9.png">
          <a:extLst>
            <a:ext uri="{FF2B5EF4-FFF2-40B4-BE49-F238E27FC236}">
              <a16:creationId xmlns:a16="http://schemas.microsoft.com/office/drawing/2014/main" id="{00000000-0008-0000-0200-00006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414</xdr:row>
      <xdr:rowOff>0</xdr:rowOff>
    </xdr:from>
    <xdr:ext cx="200025" cy="200025"/>
    <xdr:pic>
      <xdr:nvPicPr>
        <xdr:cNvPr id="622" name="image5.png">
          <a:extLst>
            <a:ext uri="{FF2B5EF4-FFF2-40B4-BE49-F238E27FC236}">
              <a16:creationId xmlns:a16="http://schemas.microsoft.com/office/drawing/2014/main" id="{00000000-0008-0000-0200-00006E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415</xdr:row>
      <xdr:rowOff>0</xdr:rowOff>
    </xdr:from>
    <xdr:ext cx="200025" cy="200025"/>
    <xdr:pic>
      <xdr:nvPicPr>
        <xdr:cNvPr id="623" name="image2.png">
          <a:extLst>
            <a:ext uri="{FF2B5EF4-FFF2-40B4-BE49-F238E27FC236}">
              <a16:creationId xmlns:a16="http://schemas.microsoft.com/office/drawing/2014/main" id="{00000000-0008-0000-0200-00006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416</xdr:row>
      <xdr:rowOff>0</xdr:rowOff>
    </xdr:from>
    <xdr:ext cx="200025" cy="200025"/>
    <xdr:pic>
      <xdr:nvPicPr>
        <xdr:cNvPr id="624" name="image2.png">
          <a:extLst>
            <a:ext uri="{FF2B5EF4-FFF2-40B4-BE49-F238E27FC236}">
              <a16:creationId xmlns:a16="http://schemas.microsoft.com/office/drawing/2014/main" id="{00000000-0008-0000-0200-000070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417</xdr:row>
      <xdr:rowOff>0</xdr:rowOff>
    </xdr:from>
    <xdr:ext cx="200025" cy="200025"/>
    <xdr:pic>
      <xdr:nvPicPr>
        <xdr:cNvPr id="625" name="image10.png">
          <a:extLst>
            <a:ext uri="{FF2B5EF4-FFF2-40B4-BE49-F238E27FC236}">
              <a16:creationId xmlns:a16="http://schemas.microsoft.com/office/drawing/2014/main" id="{00000000-0008-0000-0200-00007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417</xdr:row>
      <xdr:rowOff>0</xdr:rowOff>
    </xdr:from>
    <xdr:ext cx="200025" cy="200025"/>
    <xdr:pic>
      <xdr:nvPicPr>
        <xdr:cNvPr id="626" name="image8.png">
          <a:extLst>
            <a:ext uri="{FF2B5EF4-FFF2-40B4-BE49-F238E27FC236}">
              <a16:creationId xmlns:a16="http://schemas.microsoft.com/office/drawing/2014/main" id="{00000000-0008-0000-0200-00007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417</xdr:row>
      <xdr:rowOff>0</xdr:rowOff>
    </xdr:from>
    <xdr:ext cx="200025" cy="200025"/>
    <xdr:pic>
      <xdr:nvPicPr>
        <xdr:cNvPr id="627" name="image7.png">
          <a:extLst>
            <a:ext uri="{FF2B5EF4-FFF2-40B4-BE49-F238E27FC236}">
              <a16:creationId xmlns:a16="http://schemas.microsoft.com/office/drawing/2014/main" id="{00000000-0008-0000-0200-000073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418</xdr:row>
      <xdr:rowOff>0</xdr:rowOff>
    </xdr:from>
    <xdr:ext cx="200025" cy="200025"/>
    <xdr:pic>
      <xdr:nvPicPr>
        <xdr:cNvPr id="628" name="image8.png">
          <a:extLst>
            <a:ext uri="{FF2B5EF4-FFF2-40B4-BE49-F238E27FC236}">
              <a16:creationId xmlns:a16="http://schemas.microsoft.com/office/drawing/2014/main" id="{00000000-0008-0000-0200-00007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419</xdr:row>
      <xdr:rowOff>0</xdr:rowOff>
    </xdr:from>
    <xdr:ext cx="200025" cy="200025"/>
    <xdr:pic>
      <xdr:nvPicPr>
        <xdr:cNvPr id="629" name="image8.png">
          <a:extLst>
            <a:ext uri="{FF2B5EF4-FFF2-40B4-BE49-F238E27FC236}">
              <a16:creationId xmlns:a16="http://schemas.microsoft.com/office/drawing/2014/main" id="{00000000-0008-0000-0200-000075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420</xdr:row>
      <xdr:rowOff>0</xdr:rowOff>
    </xdr:from>
    <xdr:ext cx="200025" cy="200025"/>
    <xdr:pic>
      <xdr:nvPicPr>
        <xdr:cNvPr id="630" name="image8.png">
          <a:extLst>
            <a:ext uri="{FF2B5EF4-FFF2-40B4-BE49-F238E27FC236}">
              <a16:creationId xmlns:a16="http://schemas.microsoft.com/office/drawing/2014/main" id="{00000000-0008-0000-0200-000076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421</xdr:row>
      <xdr:rowOff>0</xdr:rowOff>
    </xdr:from>
    <xdr:ext cx="200025" cy="200025"/>
    <xdr:pic>
      <xdr:nvPicPr>
        <xdr:cNvPr id="631" name="image9.png">
          <a:extLst>
            <a:ext uri="{FF2B5EF4-FFF2-40B4-BE49-F238E27FC236}">
              <a16:creationId xmlns:a16="http://schemas.microsoft.com/office/drawing/2014/main" id="{00000000-0008-0000-0200-00007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421</xdr:row>
      <xdr:rowOff>0</xdr:rowOff>
    </xdr:from>
    <xdr:ext cx="200025" cy="200025"/>
    <xdr:pic>
      <xdr:nvPicPr>
        <xdr:cNvPr id="632" name="image2.png">
          <a:extLst>
            <a:ext uri="{FF2B5EF4-FFF2-40B4-BE49-F238E27FC236}">
              <a16:creationId xmlns:a16="http://schemas.microsoft.com/office/drawing/2014/main" id="{00000000-0008-0000-0200-000078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421</xdr:row>
      <xdr:rowOff>0</xdr:rowOff>
    </xdr:from>
    <xdr:ext cx="200025" cy="200025"/>
    <xdr:pic>
      <xdr:nvPicPr>
        <xdr:cNvPr id="633" name="image6.png">
          <a:extLst>
            <a:ext uri="{FF2B5EF4-FFF2-40B4-BE49-F238E27FC236}">
              <a16:creationId xmlns:a16="http://schemas.microsoft.com/office/drawing/2014/main" id="{00000000-0008-0000-0200-00007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421</xdr:row>
      <xdr:rowOff>0</xdr:rowOff>
    </xdr:from>
    <xdr:ext cx="200025" cy="200025"/>
    <xdr:pic>
      <xdr:nvPicPr>
        <xdr:cNvPr id="634" name="image12.png">
          <a:extLst>
            <a:ext uri="{FF2B5EF4-FFF2-40B4-BE49-F238E27FC236}">
              <a16:creationId xmlns:a16="http://schemas.microsoft.com/office/drawing/2014/main" id="{00000000-0008-0000-0200-00007A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421</xdr:row>
      <xdr:rowOff>0</xdr:rowOff>
    </xdr:from>
    <xdr:ext cx="200025" cy="200025"/>
    <xdr:pic>
      <xdr:nvPicPr>
        <xdr:cNvPr id="635" name="image3.png">
          <a:extLst>
            <a:ext uri="{FF2B5EF4-FFF2-40B4-BE49-F238E27FC236}">
              <a16:creationId xmlns:a16="http://schemas.microsoft.com/office/drawing/2014/main" id="{00000000-0008-0000-0200-00007B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421</xdr:row>
      <xdr:rowOff>0</xdr:rowOff>
    </xdr:from>
    <xdr:ext cx="200025" cy="200025"/>
    <xdr:pic>
      <xdr:nvPicPr>
        <xdr:cNvPr id="636" name="image8.png">
          <a:extLst>
            <a:ext uri="{FF2B5EF4-FFF2-40B4-BE49-F238E27FC236}">
              <a16:creationId xmlns:a16="http://schemas.microsoft.com/office/drawing/2014/main" id="{00000000-0008-0000-0200-00007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422</xdr:row>
      <xdr:rowOff>0</xdr:rowOff>
    </xdr:from>
    <xdr:ext cx="200025" cy="200025"/>
    <xdr:pic>
      <xdr:nvPicPr>
        <xdr:cNvPr id="637" name="image8.png">
          <a:extLst>
            <a:ext uri="{FF2B5EF4-FFF2-40B4-BE49-F238E27FC236}">
              <a16:creationId xmlns:a16="http://schemas.microsoft.com/office/drawing/2014/main" id="{00000000-0008-0000-0200-00007D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423</xdr:row>
      <xdr:rowOff>0</xdr:rowOff>
    </xdr:from>
    <xdr:ext cx="200025" cy="200025"/>
    <xdr:pic>
      <xdr:nvPicPr>
        <xdr:cNvPr id="638" name="image8.png">
          <a:extLst>
            <a:ext uri="{FF2B5EF4-FFF2-40B4-BE49-F238E27FC236}">
              <a16:creationId xmlns:a16="http://schemas.microsoft.com/office/drawing/2014/main" id="{00000000-0008-0000-0200-00007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424</xdr:row>
      <xdr:rowOff>0</xdr:rowOff>
    </xdr:from>
    <xdr:ext cx="200025" cy="200025"/>
    <xdr:pic>
      <xdr:nvPicPr>
        <xdr:cNvPr id="639" name="image10.png">
          <a:extLst>
            <a:ext uri="{FF2B5EF4-FFF2-40B4-BE49-F238E27FC236}">
              <a16:creationId xmlns:a16="http://schemas.microsoft.com/office/drawing/2014/main" id="{00000000-0008-0000-0200-00007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424</xdr:row>
      <xdr:rowOff>0</xdr:rowOff>
    </xdr:from>
    <xdr:ext cx="200025" cy="200025"/>
    <xdr:pic>
      <xdr:nvPicPr>
        <xdr:cNvPr id="640" name="image9.png">
          <a:extLst>
            <a:ext uri="{FF2B5EF4-FFF2-40B4-BE49-F238E27FC236}">
              <a16:creationId xmlns:a16="http://schemas.microsoft.com/office/drawing/2014/main" id="{00000000-0008-0000-0200-00008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424</xdr:row>
      <xdr:rowOff>0</xdr:rowOff>
    </xdr:from>
    <xdr:ext cx="200025" cy="200025"/>
    <xdr:pic>
      <xdr:nvPicPr>
        <xdr:cNvPr id="641" name="image12.png">
          <a:extLst>
            <a:ext uri="{FF2B5EF4-FFF2-40B4-BE49-F238E27FC236}">
              <a16:creationId xmlns:a16="http://schemas.microsoft.com/office/drawing/2014/main" id="{00000000-0008-0000-0200-000081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424</xdr:row>
      <xdr:rowOff>0</xdr:rowOff>
    </xdr:from>
    <xdr:ext cx="200025" cy="200025"/>
    <xdr:pic>
      <xdr:nvPicPr>
        <xdr:cNvPr id="642" name="image8.png">
          <a:extLst>
            <a:ext uri="{FF2B5EF4-FFF2-40B4-BE49-F238E27FC236}">
              <a16:creationId xmlns:a16="http://schemas.microsoft.com/office/drawing/2014/main" id="{00000000-0008-0000-0200-00008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425</xdr:row>
      <xdr:rowOff>0</xdr:rowOff>
    </xdr:from>
    <xdr:ext cx="200025" cy="200025"/>
    <xdr:pic>
      <xdr:nvPicPr>
        <xdr:cNvPr id="643" name="image8.png">
          <a:extLst>
            <a:ext uri="{FF2B5EF4-FFF2-40B4-BE49-F238E27FC236}">
              <a16:creationId xmlns:a16="http://schemas.microsoft.com/office/drawing/2014/main" id="{00000000-0008-0000-0200-000083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429</xdr:row>
      <xdr:rowOff>0</xdr:rowOff>
    </xdr:from>
    <xdr:ext cx="200025" cy="200025"/>
    <xdr:pic>
      <xdr:nvPicPr>
        <xdr:cNvPr id="644" name="image10.png">
          <a:extLst>
            <a:ext uri="{FF2B5EF4-FFF2-40B4-BE49-F238E27FC236}">
              <a16:creationId xmlns:a16="http://schemas.microsoft.com/office/drawing/2014/main" id="{00000000-0008-0000-0200-00008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429</xdr:row>
      <xdr:rowOff>0</xdr:rowOff>
    </xdr:from>
    <xdr:ext cx="200025" cy="200025"/>
    <xdr:pic>
      <xdr:nvPicPr>
        <xdr:cNvPr id="645" name="image2.png">
          <a:extLst>
            <a:ext uri="{FF2B5EF4-FFF2-40B4-BE49-F238E27FC236}">
              <a16:creationId xmlns:a16="http://schemas.microsoft.com/office/drawing/2014/main" id="{00000000-0008-0000-0200-000085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429</xdr:row>
      <xdr:rowOff>0</xdr:rowOff>
    </xdr:from>
    <xdr:ext cx="200025" cy="200025"/>
    <xdr:pic>
      <xdr:nvPicPr>
        <xdr:cNvPr id="646" name="image4.png">
          <a:extLst>
            <a:ext uri="{FF2B5EF4-FFF2-40B4-BE49-F238E27FC236}">
              <a16:creationId xmlns:a16="http://schemas.microsoft.com/office/drawing/2014/main" id="{00000000-0008-0000-0200-000086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429</xdr:row>
      <xdr:rowOff>0</xdr:rowOff>
    </xdr:from>
    <xdr:ext cx="200025" cy="200025"/>
    <xdr:pic>
      <xdr:nvPicPr>
        <xdr:cNvPr id="647" name="image9.png">
          <a:extLst>
            <a:ext uri="{FF2B5EF4-FFF2-40B4-BE49-F238E27FC236}">
              <a16:creationId xmlns:a16="http://schemas.microsoft.com/office/drawing/2014/main" id="{00000000-0008-0000-0200-00008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431</xdr:row>
      <xdr:rowOff>0</xdr:rowOff>
    </xdr:from>
    <xdr:ext cx="200025" cy="200025"/>
    <xdr:pic>
      <xdr:nvPicPr>
        <xdr:cNvPr id="648" name="image9.png">
          <a:extLst>
            <a:ext uri="{FF2B5EF4-FFF2-40B4-BE49-F238E27FC236}">
              <a16:creationId xmlns:a16="http://schemas.microsoft.com/office/drawing/2014/main" id="{00000000-0008-0000-0200-000088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434</xdr:row>
      <xdr:rowOff>0</xdr:rowOff>
    </xdr:from>
    <xdr:ext cx="200025" cy="200025"/>
    <xdr:pic>
      <xdr:nvPicPr>
        <xdr:cNvPr id="649" name="image8.png">
          <a:extLst>
            <a:ext uri="{FF2B5EF4-FFF2-40B4-BE49-F238E27FC236}">
              <a16:creationId xmlns:a16="http://schemas.microsoft.com/office/drawing/2014/main" id="{00000000-0008-0000-0200-00008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434</xdr:row>
      <xdr:rowOff>0</xdr:rowOff>
    </xdr:from>
    <xdr:ext cx="200025" cy="200025"/>
    <xdr:pic>
      <xdr:nvPicPr>
        <xdr:cNvPr id="650" name="image6.png">
          <a:extLst>
            <a:ext uri="{FF2B5EF4-FFF2-40B4-BE49-F238E27FC236}">
              <a16:creationId xmlns:a16="http://schemas.microsoft.com/office/drawing/2014/main" id="{00000000-0008-0000-0200-00008A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434</xdr:row>
      <xdr:rowOff>0</xdr:rowOff>
    </xdr:from>
    <xdr:ext cx="200025" cy="200025"/>
    <xdr:pic>
      <xdr:nvPicPr>
        <xdr:cNvPr id="651" name="image3.png">
          <a:extLst>
            <a:ext uri="{FF2B5EF4-FFF2-40B4-BE49-F238E27FC236}">
              <a16:creationId xmlns:a16="http://schemas.microsoft.com/office/drawing/2014/main" id="{00000000-0008-0000-0200-00008B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434</xdr:row>
      <xdr:rowOff>0</xdr:rowOff>
    </xdr:from>
    <xdr:ext cx="200025" cy="200025"/>
    <xdr:pic>
      <xdr:nvPicPr>
        <xdr:cNvPr id="652" name="image9.png">
          <a:extLst>
            <a:ext uri="{FF2B5EF4-FFF2-40B4-BE49-F238E27FC236}">
              <a16:creationId xmlns:a16="http://schemas.microsoft.com/office/drawing/2014/main" id="{00000000-0008-0000-0200-00008C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435</xdr:row>
      <xdr:rowOff>0</xdr:rowOff>
    </xdr:from>
    <xdr:ext cx="200025" cy="200025"/>
    <xdr:pic>
      <xdr:nvPicPr>
        <xdr:cNvPr id="653" name="image9.png">
          <a:extLst>
            <a:ext uri="{FF2B5EF4-FFF2-40B4-BE49-F238E27FC236}">
              <a16:creationId xmlns:a16="http://schemas.microsoft.com/office/drawing/2014/main" id="{00000000-0008-0000-0200-00008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436</xdr:row>
      <xdr:rowOff>0</xdr:rowOff>
    </xdr:from>
    <xdr:ext cx="200025" cy="200025"/>
    <xdr:pic>
      <xdr:nvPicPr>
        <xdr:cNvPr id="654" name="image8.png">
          <a:extLst>
            <a:ext uri="{FF2B5EF4-FFF2-40B4-BE49-F238E27FC236}">
              <a16:creationId xmlns:a16="http://schemas.microsoft.com/office/drawing/2014/main" id="{00000000-0008-0000-0200-00008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436</xdr:row>
      <xdr:rowOff>0</xdr:rowOff>
    </xdr:from>
    <xdr:ext cx="200025" cy="200025"/>
    <xdr:pic>
      <xdr:nvPicPr>
        <xdr:cNvPr id="655" name="image2.png">
          <a:extLst>
            <a:ext uri="{FF2B5EF4-FFF2-40B4-BE49-F238E27FC236}">
              <a16:creationId xmlns:a16="http://schemas.microsoft.com/office/drawing/2014/main" id="{00000000-0008-0000-0200-00008F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436</xdr:row>
      <xdr:rowOff>0</xdr:rowOff>
    </xdr:from>
    <xdr:ext cx="200025" cy="200025"/>
    <xdr:pic>
      <xdr:nvPicPr>
        <xdr:cNvPr id="656" name="image5.png">
          <a:extLst>
            <a:ext uri="{FF2B5EF4-FFF2-40B4-BE49-F238E27FC236}">
              <a16:creationId xmlns:a16="http://schemas.microsoft.com/office/drawing/2014/main" id="{00000000-0008-0000-0200-000090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437</xdr:row>
      <xdr:rowOff>0</xdr:rowOff>
    </xdr:from>
    <xdr:ext cx="200025" cy="200025"/>
    <xdr:pic>
      <xdr:nvPicPr>
        <xdr:cNvPr id="657" name="image10.png">
          <a:extLst>
            <a:ext uri="{FF2B5EF4-FFF2-40B4-BE49-F238E27FC236}">
              <a16:creationId xmlns:a16="http://schemas.microsoft.com/office/drawing/2014/main" id="{00000000-0008-0000-0200-00009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438</xdr:row>
      <xdr:rowOff>0</xdr:rowOff>
    </xdr:from>
    <xdr:ext cx="200025" cy="200025"/>
    <xdr:pic>
      <xdr:nvPicPr>
        <xdr:cNvPr id="658" name="image8.png">
          <a:extLst>
            <a:ext uri="{FF2B5EF4-FFF2-40B4-BE49-F238E27FC236}">
              <a16:creationId xmlns:a16="http://schemas.microsoft.com/office/drawing/2014/main" id="{00000000-0008-0000-0200-00009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438</xdr:row>
      <xdr:rowOff>0</xdr:rowOff>
    </xdr:from>
    <xdr:ext cx="200025" cy="200025"/>
    <xdr:pic>
      <xdr:nvPicPr>
        <xdr:cNvPr id="659" name="image1.png">
          <a:extLst>
            <a:ext uri="{FF2B5EF4-FFF2-40B4-BE49-F238E27FC236}">
              <a16:creationId xmlns:a16="http://schemas.microsoft.com/office/drawing/2014/main" id="{00000000-0008-0000-0200-000093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438</xdr:row>
      <xdr:rowOff>0</xdr:rowOff>
    </xdr:from>
    <xdr:ext cx="200025" cy="200025"/>
    <xdr:pic>
      <xdr:nvPicPr>
        <xdr:cNvPr id="660" name="image11.png">
          <a:extLst>
            <a:ext uri="{FF2B5EF4-FFF2-40B4-BE49-F238E27FC236}">
              <a16:creationId xmlns:a16="http://schemas.microsoft.com/office/drawing/2014/main" id="{00000000-0008-0000-0200-000094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440</xdr:row>
      <xdr:rowOff>0</xdr:rowOff>
    </xdr:from>
    <xdr:ext cx="200025" cy="200025"/>
    <xdr:pic>
      <xdr:nvPicPr>
        <xdr:cNvPr id="661" name="image6.png">
          <a:extLst>
            <a:ext uri="{FF2B5EF4-FFF2-40B4-BE49-F238E27FC236}">
              <a16:creationId xmlns:a16="http://schemas.microsoft.com/office/drawing/2014/main" id="{00000000-0008-0000-0200-000095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445</xdr:row>
      <xdr:rowOff>0</xdr:rowOff>
    </xdr:from>
    <xdr:ext cx="200025" cy="200025"/>
    <xdr:pic>
      <xdr:nvPicPr>
        <xdr:cNvPr id="662" name="image6.png">
          <a:extLst>
            <a:ext uri="{FF2B5EF4-FFF2-40B4-BE49-F238E27FC236}">
              <a16:creationId xmlns:a16="http://schemas.microsoft.com/office/drawing/2014/main" id="{00000000-0008-0000-0200-000096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10</xdr:col>
      <xdr:colOff>0</xdr:colOff>
      <xdr:row>445</xdr:row>
      <xdr:rowOff>0</xdr:rowOff>
    </xdr:from>
    <xdr:ext cx="200025" cy="200025"/>
    <xdr:pic>
      <xdr:nvPicPr>
        <xdr:cNvPr id="663" name="image5.png">
          <a:extLst>
            <a:ext uri="{FF2B5EF4-FFF2-40B4-BE49-F238E27FC236}">
              <a16:creationId xmlns:a16="http://schemas.microsoft.com/office/drawing/2014/main" id="{00000000-0008-0000-0200-000097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445</xdr:row>
      <xdr:rowOff>0</xdr:rowOff>
    </xdr:from>
    <xdr:ext cx="200025" cy="200025"/>
    <xdr:pic>
      <xdr:nvPicPr>
        <xdr:cNvPr id="664" name="image4.png">
          <a:extLst>
            <a:ext uri="{FF2B5EF4-FFF2-40B4-BE49-F238E27FC236}">
              <a16:creationId xmlns:a16="http://schemas.microsoft.com/office/drawing/2014/main" id="{00000000-0008-0000-0200-000098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445</xdr:row>
      <xdr:rowOff>0</xdr:rowOff>
    </xdr:from>
    <xdr:ext cx="200025" cy="200025"/>
    <xdr:pic>
      <xdr:nvPicPr>
        <xdr:cNvPr id="665" name="image11.png">
          <a:extLst>
            <a:ext uri="{FF2B5EF4-FFF2-40B4-BE49-F238E27FC236}">
              <a16:creationId xmlns:a16="http://schemas.microsoft.com/office/drawing/2014/main" id="{00000000-0008-0000-0200-000099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445</xdr:row>
      <xdr:rowOff>0</xdr:rowOff>
    </xdr:from>
    <xdr:ext cx="200025" cy="200025"/>
    <xdr:pic>
      <xdr:nvPicPr>
        <xdr:cNvPr id="666" name="image10.png">
          <a:extLst>
            <a:ext uri="{FF2B5EF4-FFF2-40B4-BE49-F238E27FC236}">
              <a16:creationId xmlns:a16="http://schemas.microsoft.com/office/drawing/2014/main" id="{00000000-0008-0000-0200-00009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447</xdr:row>
      <xdr:rowOff>0</xdr:rowOff>
    </xdr:from>
    <xdr:ext cx="200025" cy="200025"/>
    <xdr:pic>
      <xdr:nvPicPr>
        <xdr:cNvPr id="667" name="image10.png">
          <a:extLst>
            <a:ext uri="{FF2B5EF4-FFF2-40B4-BE49-F238E27FC236}">
              <a16:creationId xmlns:a16="http://schemas.microsoft.com/office/drawing/2014/main" id="{00000000-0008-0000-0200-00009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448</xdr:row>
      <xdr:rowOff>0</xdr:rowOff>
    </xdr:from>
    <xdr:ext cx="200025" cy="200025"/>
    <xdr:pic>
      <xdr:nvPicPr>
        <xdr:cNvPr id="668" name="image5.png">
          <a:extLst>
            <a:ext uri="{FF2B5EF4-FFF2-40B4-BE49-F238E27FC236}">
              <a16:creationId xmlns:a16="http://schemas.microsoft.com/office/drawing/2014/main" id="{00000000-0008-0000-0200-00009C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448</xdr:row>
      <xdr:rowOff>0</xdr:rowOff>
    </xdr:from>
    <xdr:ext cx="200025" cy="200025"/>
    <xdr:pic>
      <xdr:nvPicPr>
        <xdr:cNvPr id="669" name="image4.png">
          <a:extLst>
            <a:ext uri="{FF2B5EF4-FFF2-40B4-BE49-F238E27FC236}">
              <a16:creationId xmlns:a16="http://schemas.microsoft.com/office/drawing/2014/main" id="{00000000-0008-0000-0200-00009D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448</xdr:row>
      <xdr:rowOff>0</xdr:rowOff>
    </xdr:from>
    <xdr:ext cx="200025" cy="200025"/>
    <xdr:pic>
      <xdr:nvPicPr>
        <xdr:cNvPr id="670" name="image7.png">
          <a:extLst>
            <a:ext uri="{FF2B5EF4-FFF2-40B4-BE49-F238E27FC236}">
              <a16:creationId xmlns:a16="http://schemas.microsoft.com/office/drawing/2014/main" id="{00000000-0008-0000-0200-00009E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448</xdr:row>
      <xdr:rowOff>0</xdr:rowOff>
    </xdr:from>
    <xdr:ext cx="200025" cy="200025"/>
    <xdr:pic>
      <xdr:nvPicPr>
        <xdr:cNvPr id="671" name="image5.png">
          <a:extLst>
            <a:ext uri="{FF2B5EF4-FFF2-40B4-BE49-F238E27FC236}">
              <a16:creationId xmlns:a16="http://schemas.microsoft.com/office/drawing/2014/main" id="{00000000-0008-0000-0200-00009F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449</xdr:row>
      <xdr:rowOff>0</xdr:rowOff>
    </xdr:from>
    <xdr:ext cx="200025" cy="200025"/>
    <xdr:pic>
      <xdr:nvPicPr>
        <xdr:cNvPr id="672" name="image3.png">
          <a:extLst>
            <a:ext uri="{FF2B5EF4-FFF2-40B4-BE49-F238E27FC236}">
              <a16:creationId xmlns:a16="http://schemas.microsoft.com/office/drawing/2014/main" id="{00000000-0008-0000-0200-0000A0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450</xdr:row>
      <xdr:rowOff>0</xdr:rowOff>
    </xdr:from>
    <xdr:ext cx="200025" cy="200025"/>
    <xdr:pic>
      <xdr:nvPicPr>
        <xdr:cNvPr id="673" name="image6.png">
          <a:extLst>
            <a:ext uri="{FF2B5EF4-FFF2-40B4-BE49-F238E27FC236}">
              <a16:creationId xmlns:a16="http://schemas.microsoft.com/office/drawing/2014/main" id="{00000000-0008-0000-0200-0000A1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451</xdr:row>
      <xdr:rowOff>0</xdr:rowOff>
    </xdr:from>
    <xdr:ext cx="200025" cy="200025"/>
    <xdr:pic>
      <xdr:nvPicPr>
        <xdr:cNvPr id="674" name="image8.png">
          <a:extLst>
            <a:ext uri="{FF2B5EF4-FFF2-40B4-BE49-F238E27FC236}">
              <a16:creationId xmlns:a16="http://schemas.microsoft.com/office/drawing/2014/main" id="{00000000-0008-0000-0200-0000A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451</xdr:row>
      <xdr:rowOff>0</xdr:rowOff>
    </xdr:from>
    <xdr:ext cx="200025" cy="200025"/>
    <xdr:pic>
      <xdr:nvPicPr>
        <xdr:cNvPr id="675" name="image1.png">
          <a:extLst>
            <a:ext uri="{FF2B5EF4-FFF2-40B4-BE49-F238E27FC236}">
              <a16:creationId xmlns:a16="http://schemas.microsoft.com/office/drawing/2014/main" id="{00000000-0008-0000-0200-0000A3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451</xdr:row>
      <xdr:rowOff>0</xdr:rowOff>
    </xdr:from>
    <xdr:ext cx="200025" cy="200025"/>
    <xdr:pic>
      <xdr:nvPicPr>
        <xdr:cNvPr id="676" name="image4.png">
          <a:extLst>
            <a:ext uri="{FF2B5EF4-FFF2-40B4-BE49-F238E27FC236}">
              <a16:creationId xmlns:a16="http://schemas.microsoft.com/office/drawing/2014/main" id="{00000000-0008-0000-0200-0000A4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452</xdr:row>
      <xdr:rowOff>0</xdr:rowOff>
    </xdr:from>
    <xdr:ext cx="200025" cy="200025"/>
    <xdr:pic>
      <xdr:nvPicPr>
        <xdr:cNvPr id="677" name="image9.png">
          <a:extLst>
            <a:ext uri="{FF2B5EF4-FFF2-40B4-BE49-F238E27FC236}">
              <a16:creationId xmlns:a16="http://schemas.microsoft.com/office/drawing/2014/main" id="{00000000-0008-0000-0200-0000A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453</xdr:row>
      <xdr:rowOff>0</xdr:rowOff>
    </xdr:from>
    <xdr:ext cx="200025" cy="200025"/>
    <xdr:pic>
      <xdr:nvPicPr>
        <xdr:cNvPr id="678" name="image9.png">
          <a:extLst>
            <a:ext uri="{FF2B5EF4-FFF2-40B4-BE49-F238E27FC236}">
              <a16:creationId xmlns:a16="http://schemas.microsoft.com/office/drawing/2014/main" id="{00000000-0008-0000-0200-0000A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454</xdr:row>
      <xdr:rowOff>0</xdr:rowOff>
    </xdr:from>
    <xdr:ext cx="200025" cy="200025"/>
    <xdr:pic>
      <xdr:nvPicPr>
        <xdr:cNvPr id="679" name="image8.png">
          <a:extLst>
            <a:ext uri="{FF2B5EF4-FFF2-40B4-BE49-F238E27FC236}">
              <a16:creationId xmlns:a16="http://schemas.microsoft.com/office/drawing/2014/main" id="{00000000-0008-0000-0200-0000A7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455</xdr:row>
      <xdr:rowOff>0</xdr:rowOff>
    </xdr:from>
    <xdr:ext cx="200025" cy="200025"/>
    <xdr:pic>
      <xdr:nvPicPr>
        <xdr:cNvPr id="680" name="image8.png">
          <a:extLst>
            <a:ext uri="{FF2B5EF4-FFF2-40B4-BE49-F238E27FC236}">
              <a16:creationId xmlns:a16="http://schemas.microsoft.com/office/drawing/2014/main" id="{00000000-0008-0000-0200-0000A8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456</xdr:row>
      <xdr:rowOff>0</xdr:rowOff>
    </xdr:from>
    <xdr:ext cx="200025" cy="200025"/>
    <xdr:pic>
      <xdr:nvPicPr>
        <xdr:cNvPr id="681" name="image8.png">
          <a:extLst>
            <a:ext uri="{FF2B5EF4-FFF2-40B4-BE49-F238E27FC236}">
              <a16:creationId xmlns:a16="http://schemas.microsoft.com/office/drawing/2014/main" id="{00000000-0008-0000-0200-0000A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457</xdr:row>
      <xdr:rowOff>0</xdr:rowOff>
    </xdr:from>
    <xdr:ext cx="200025" cy="200025"/>
    <xdr:pic>
      <xdr:nvPicPr>
        <xdr:cNvPr id="682" name="image8.png">
          <a:extLst>
            <a:ext uri="{FF2B5EF4-FFF2-40B4-BE49-F238E27FC236}">
              <a16:creationId xmlns:a16="http://schemas.microsoft.com/office/drawing/2014/main" id="{00000000-0008-0000-0200-0000AA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457</xdr:row>
      <xdr:rowOff>0</xdr:rowOff>
    </xdr:from>
    <xdr:ext cx="200025" cy="200025"/>
    <xdr:pic>
      <xdr:nvPicPr>
        <xdr:cNvPr id="683" name="image2.png">
          <a:extLst>
            <a:ext uri="{FF2B5EF4-FFF2-40B4-BE49-F238E27FC236}">
              <a16:creationId xmlns:a16="http://schemas.microsoft.com/office/drawing/2014/main" id="{00000000-0008-0000-0200-0000AB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457</xdr:row>
      <xdr:rowOff>0</xdr:rowOff>
    </xdr:from>
    <xdr:ext cx="200025" cy="200025"/>
    <xdr:pic>
      <xdr:nvPicPr>
        <xdr:cNvPr id="684" name="image11.png">
          <a:extLst>
            <a:ext uri="{FF2B5EF4-FFF2-40B4-BE49-F238E27FC236}">
              <a16:creationId xmlns:a16="http://schemas.microsoft.com/office/drawing/2014/main" id="{00000000-0008-0000-0200-0000AC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458</xdr:row>
      <xdr:rowOff>0</xdr:rowOff>
    </xdr:from>
    <xdr:ext cx="200025" cy="200025"/>
    <xdr:pic>
      <xdr:nvPicPr>
        <xdr:cNvPr id="685" name="image2.png">
          <a:extLst>
            <a:ext uri="{FF2B5EF4-FFF2-40B4-BE49-F238E27FC236}">
              <a16:creationId xmlns:a16="http://schemas.microsoft.com/office/drawing/2014/main" id="{00000000-0008-0000-0200-0000AD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459</xdr:row>
      <xdr:rowOff>0</xdr:rowOff>
    </xdr:from>
    <xdr:ext cx="200025" cy="200025"/>
    <xdr:pic>
      <xdr:nvPicPr>
        <xdr:cNvPr id="686" name="image2.png">
          <a:extLst>
            <a:ext uri="{FF2B5EF4-FFF2-40B4-BE49-F238E27FC236}">
              <a16:creationId xmlns:a16="http://schemas.microsoft.com/office/drawing/2014/main" id="{00000000-0008-0000-0200-0000AE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460</xdr:row>
      <xdr:rowOff>0</xdr:rowOff>
    </xdr:from>
    <xdr:ext cx="200025" cy="200025"/>
    <xdr:pic>
      <xdr:nvPicPr>
        <xdr:cNvPr id="687" name="image8.png">
          <a:extLst>
            <a:ext uri="{FF2B5EF4-FFF2-40B4-BE49-F238E27FC236}">
              <a16:creationId xmlns:a16="http://schemas.microsoft.com/office/drawing/2014/main" id="{00000000-0008-0000-0200-0000A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460</xdr:row>
      <xdr:rowOff>0</xdr:rowOff>
    </xdr:from>
    <xdr:ext cx="200025" cy="200025"/>
    <xdr:pic>
      <xdr:nvPicPr>
        <xdr:cNvPr id="688" name="image9.png">
          <a:extLst>
            <a:ext uri="{FF2B5EF4-FFF2-40B4-BE49-F238E27FC236}">
              <a16:creationId xmlns:a16="http://schemas.microsoft.com/office/drawing/2014/main" id="{00000000-0008-0000-0200-0000B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460</xdr:row>
      <xdr:rowOff>0</xdr:rowOff>
    </xdr:from>
    <xdr:ext cx="200025" cy="200025"/>
    <xdr:pic>
      <xdr:nvPicPr>
        <xdr:cNvPr id="689" name="image5.png">
          <a:extLst>
            <a:ext uri="{FF2B5EF4-FFF2-40B4-BE49-F238E27FC236}">
              <a16:creationId xmlns:a16="http://schemas.microsoft.com/office/drawing/2014/main" id="{00000000-0008-0000-0200-0000B1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460</xdr:row>
      <xdr:rowOff>0</xdr:rowOff>
    </xdr:from>
    <xdr:ext cx="200025" cy="200025"/>
    <xdr:pic>
      <xdr:nvPicPr>
        <xdr:cNvPr id="690" name="image9.png">
          <a:extLst>
            <a:ext uri="{FF2B5EF4-FFF2-40B4-BE49-F238E27FC236}">
              <a16:creationId xmlns:a16="http://schemas.microsoft.com/office/drawing/2014/main" id="{00000000-0008-0000-0200-0000B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461</xdr:row>
      <xdr:rowOff>0</xdr:rowOff>
    </xdr:from>
    <xdr:ext cx="200025" cy="200025"/>
    <xdr:pic>
      <xdr:nvPicPr>
        <xdr:cNvPr id="691" name="image9.png">
          <a:extLst>
            <a:ext uri="{FF2B5EF4-FFF2-40B4-BE49-F238E27FC236}">
              <a16:creationId xmlns:a16="http://schemas.microsoft.com/office/drawing/2014/main" id="{00000000-0008-0000-0200-0000B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462</xdr:row>
      <xdr:rowOff>0</xdr:rowOff>
    </xdr:from>
    <xdr:ext cx="200025" cy="200025"/>
    <xdr:pic>
      <xdr:nvPicPr>
        <xdr:cNvPr id="692" name="image9.png">
          <a:extLst>
            <a:ext uri="{FF2B5EF4-FFF2-40B4-BE49-F238E27FC236}">
              <a16:creationId xmlns:a16="http://schemas.microsoft.com/office/drawing/2014/main" id="{00000000-0008-0000-0200-0000B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463</xdr:row>
      <xdr:rowOff>0</xdr:rowOff>
    </xdr:from>
    <xdr:ext cx="200025" cy="200025"/>
    <xdr:pic>
      <xdr:nvPicPr>
        <xdr:cNvPr id="693" name="image10.png">
          <a:extLst>
            <a:ext uri="{FF2B5EF4-FFF2-40B4-BE49-F238E27FC236}">
              <a16:creationId xmlns:a16="http://schemas.microsoft.com/office/drawing/2014/main" id="{00000000-0008-0000-0200-0000B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463</xdr:row>
      <xdr:rowOff>0</xdr:rowOff>
    </xdr:from>
    <xdr:ext cx="200025" cy="200025"/>
    <xdr:pic>
      <xdr:nvPicPr>
        <xdr:cNvPr id="694" name="image2.png">
          <a:extLst>
            <a:ext uri="{FF2B5EF4-FFF2-40B4-BE49-F238E27FC236}">
              <a16:creationId xmlns:a16="http://schemas.microsoft.com/office/drawing/2014/main" id="{00000000-0008-0000-0200-0000B6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463</xdr:row>
      <xdr:rowOff>0</xdr:rowOff>
    </xdr:from>
    <xdr:ext cx="200025" cy="200025"/>
    <xdr:pic>
      <xdr:nvPicPr>
        <xdr:cNvPr id="695" name="image11.png">
          <a:extLst>
            <a:ext uri="{FF2B5EF4-FFF2-40B4-BE49-F238E27FC236}">
              <a16:creationId xmlns:a16="http://schemas.microsoft.com/office/drawing/2014/main" id="{00000000-0008-0000-0200-0000B7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463</xdr:row>
      <xdr:rowOff>0</xdr:rowOff>
    </xdr:from>
    <xdr:ext cx="200025" cy="200025"/>
    <xdr:pic>
      <xdr:nvPicPr>
        <xdr:cNvPr id="696" name="image8.png">
          <a:extLst>
            <a:ext uri="{FF2B5EF4-FFF2-40B4-BE49-F238E27FC236}">
              <a16:creationId xmlns:a16="http://schemas.microsoft.com/office/drawing/2014/main" id="{00000000-0008-0000-0200-0000B8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465</xdr:row>
      <xdr:rowOff>0</xdr:rowOff>
    </xdr:from>
    <xdr:ext cx="200025" cy="200025"/>
    <xdr:pic>
      <xdr:nvPicPr>
        <xdr:cNvPr id="697" name="image8.png">
          <a:extLst>
            <a:ext uri="{FF2B5EF4-FFF2-40B4-BE49-F238E27FC236}">
              <a16:creationId xmlns:a16="http://schemas.microsoft.com/office/drawing/2014/main" id="{00000000-0008-0000-0200-0000B9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468</xdr:row>
      <xdr:rowOff>0</xdr:rowOff>
    </xdr:from>
    <xdr:ext cx="200025" cy="200025"/>
    <xdr:pic>
      <xdr:nvPicPr>
        <xdr:cNvPr id="698" name="image8.png">
          <a:extLst>
            <a:ext uri="{FF2B5EF4-FFF2-40B4-BE49-F238E27FC236}">
              <a16:creationId xmlns:a16="http://schemas.microsoft.com/office/drawing/2014/main" id="{00000000-0008-0000-0200-0000BA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468</xdr:row>
      <xdr:rowOff>0</xdr:rowOff>
    </xdr:from>
    <xdr:ext cx="200025" cy="200025"/>
    <xdr:pic>
      <xdr:nvPicPr>
        <xdr:cNvPr id="699" name="image9.png">
          <a:extLst>
            <a:ext uri="{FF2B5EF4-FFF2-40B4-BE49-F238E27FC236}">
              <a16:creationId xmlns:a16="http://schemas.microsoft.com/office/drawing/2014/main" id="{00000000-0008-0000-0200-0000B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468</xdr:row>
      <xdr:rowOff>0</xdr:rowOff>
    </xdr:from>
    <xdr:ext cx="200025" cy="200025"/>
    <xdr:pic>
      <xdr:nvPicPr>
        <xdr:cNvPr id="700" name="image5.png">
          <a:extLst>
            <a:ext uri="{FF2B5EF4-FFF2-40B4-BE49-F238E27FC236}">
              <a16:creationId xmlns:a16="http://schemas.microsoft.com/office/drawing/2014/main" id="{00000000-0008-0000-0200-0000BC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475</xdr:row>
      <xdr:rowOff>0</xdr:rowOff>
    </xdr:from>
    <xdr:ext cx="200025" cy="200025"/>
    <xdr:pic>
      <xdr:nvPicPr>
        <xdr:cNvPr id="701" name="image10.png">
          <a:extLst>
            <a:ext uri="{FF2B5EF4-FFF2-40B4-BE49-F238E27FC236}">
              <a16:creationId xmlns:a16="http://schemas.microsoft.com/office/drawing/2014/main" id="{00000000-0008-0000-0200-0000B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475</xdr:row>
      <xdr:rowOff>0</xdr:rowOff>
    </xdr:from>
    <xdr:ext cx="200025" cy="200025"/>
    <xdr:pic>
      <xdr:nvPicPr>
        <xdr:cNvPr id="702" name="image9.png">
          <a:extLst>
            <a:ext uri="{FF2B5EF4-FFF2-40B4-BE49-F238E27FC236}">
              <a16:creationId xmlns:a16="http://schemas.microsoft.com/office/drawing/2014/main" id="{00000000-0008-0000-0200-0000B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475</xdr:row>
      <xdr:rowOff>0</xdr:rowOff>
    </xdr:from>
    <xdr:ext cx="200025" cy="200025"/>
    <xdr:pic>
      <xdr:nvPicPr>
        <xdr:cNvPr id="703" name="image5.png">
          <a:extLst>
            <a:ext uri="{FF2B5EF4-FFF2-40B4-BE49-F238E27FC236}">
              <a16:creationId xmlns:a16="http://schemas.microsoft.com/office/drawing/2014/main" id="{00000000-0008-0000-0200-0000BF02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478</xdr:row>
      <xdr:rowOff>0</xdr:rowOff>
    </xdr:from>
    <xdr:ext cx="200025" cy="200025"/>
    <xdr:pic>
      <xdr:nvPicPr>
        <xdr:cNvPr id="704" name="image8.png">
          <a:extLst>
            <a:ext uri="{FF2B5EF4-FFF2-40B4-BE49-F238E27FC236}">
              <a16:creationId xmlns:a16="http://schemas.microsoft.com/office/drawing/2014/main" id="{00000000-0008-0000-0200-0000C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478</xdr:row>
      <xdr:rowOff>0</xdr:rowOff>
    </xdr:from>
    <xdr:ext cx="200025" cy="200025"/>
    <xdr:pic>
      <xdr:nvPicPr>
        <xdr:cNvPr id="705" name="image2.png">
          <a:extLst>
            <a:ext uri="{FF2B5EF4-FFF2-40B4-BE49-F238E27FC236}">
              <a16:creationId xmlns:a16="http://schemas.microsoft.com/office/drawing/2014/main" id="{00000000-0008-0000-0200-0000C1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478</xdr:row>
      <xdr:rowOff>0</xdr:rowOff>
    </xdr:from>
    <xdr:ext cx="200025" cy="200025"/>
    <xdr:pic>
      <xdr:nvPicPr>
        <xdr:cNvPr id="706" name="image12.png">
          <a:extLst>
            <a:ext uri="{FF2B5EF4-FFF2-40B4-BE49-F238E27FC236}">
              <a16:creationId xmlns:a16="http://schemas.microsoft.com/office/drawing/2014/main" id="{00000000-0008-0000-0200-0000C2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478</xdr:row>
      <xdr:rowOff>0</xdr:rowOff>
    </xdr:from>
    <xdr:ext cx="200025" cy="200025"/>
    <xdr:pic>
      <xdr:nvPicPr>
        <xdr:cNvPr id="707" name="image9.png">
          <a:extLst>
            <a:ext uri="{FF2B5EF4-FFF2-40B4-BE49-F238E27FC236}">
              <a16:creationId xmlns:a16="http://schemas.microsoft.com/office/drawing/2014/main" id="{00000000-0008-0000-0200-0000C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479</xdr:row>
      <xdr:rowOff>0</xdr:rowOff>
    </xdr:from>
    <xdr:ext cx="200025" cy="200025"/>
    <xdr:pic>
      <xdr:nvPicPr>
        <xdr:cNvPr id="708" name="image9.png">
          <a:extLst>
            <a:ext uri="{FF2B5EF4-FFF2-40B4-BE49-F238E27FC236}">
              <a16:creationId xmlns:a16="http://schemas.microsoft.com/office/drawing/2014/main" id="{00000000-0008-0000-0200-0000C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480</xdr:row>
      <xdr:rowOff>0</xdr:rowOff>
    </xdr:from>
    <xdr:ext cx="200025" cy="200025"/>
    <xdr:pic>
      <xdr:nvPicPr>
        <xdr:cNvPr id="709" name="image9.png">
          <a:extLst>
            <a:ext uri="{FF2B5EF4-FFF2-40B4-BE49-F238E27FC236}">
              <a16:creationId xmlns:a16="http://schemas.microsoft.com/office/drawing/2014/main" id="{00000000-0008-0000-0200-0000C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481</xdr:row>
      <xdr:rowOff>0</xdr:rowOff>
    </xdr:from>
    <xdr:ext cx="200025" cy="200025"/>
    <xdr:pic>
      <xdr:nvPicPr>
        <xdr:cNvPr id="710" name="image8.png">
          <a:extLst>
            <a:ext uri="{FF2B5EF4-FFF2-40B4-BE49-F238E27FC236}">
              <a16:creationId xmlns:a16="http://schemas.microsoft.com/office/drawing/2014/main" id="{00000000-0008-0000-0200-0000C6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481</xdr:row>
      <xdr:rowOff>0</xdr:rowOff>
    </xdr:from>
    <xdr:ext cx="200025" cy="200025"/>
    <xdr:pic>
      <xdr:nvPicPr>
        <xdr:cNvPr id="711" name="image9.png">
          <a:extLst>
            <a:ext uri="{FF2B5EF4-FFF2-40B4-BE49-F238E27FC236}">
              <a16:creationId xmlns:a16="http://schemas.microsoft.com/office/drawing/2014/main" id="{00000000-0008-0000-0200-0000C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481</xdr:row>
      <xdr:rowOff>0</xdr:rowOff>
    </xdr:from>
    <xdr:ext cx="200025" cy="200025"/>
    <xdr:pic>
      <xdr:nvPicPr>
        <xdr:cNvPr id="712" name="image4.png">
          <a:extLst>
            <a:ext uri="{FF2B5EF4-FFF2-40B4-BE49-F238E27FC236}">
              <a16:creationId xmlns:a16="http://schemas.microsoft.com/office/drawing/2014/main" id="{00000000-0008-0000-0200-0000C8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482</xdr:row>
      <xdr:rowOff>0</xdr:rowOff>
    </xdr:from>
    <xdr:ext cx="200025" cy="200025"/>
    <xdr:pic>
      <xdr:nvPicPr>
        <xdr:cNvPr id="713" name="image2.png">
          <a:extLst>
            <a:ext uri="{FF2B5EF4-FFF2-40B4-BE49-F238E27FC236}">
              <a16:creationId xmlns:a16="http://schemas.microsoft.com/office/drawing/2014/main" id="{00000000-0008-0000-0200-0000C9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483</xdr:row>
      <xdr:rowOff>0</xdr:rowOff>
    </xdr:from>
    <xdr:ext cx="200025" cy="200025"/>
    <xdr:pic>
      <xdr:nvPicPr>
        <xdr:cNvPr id="714" name="image2.png">
          <a:extLst>
            <a:ext uri="{FF2B5EF4-FFF2-40B4-BE49-F238E27FC236}">
              <a16:creationId xmlns:a16="http://schemas.microsoft.com/office/drawing/2014/main" id="{00000000-0008-0000-0200-0000CA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484</xdr:row>
      <xdr:rowOff>0</xdr:rowOff>
    </xdr:from>
    <xdr:ext cx="200025" cy="200025"/>
    <xdr:pic>
      <xdr:nvPicPr>
        <xdr:cNvPr id="715" name="image2.png">
          <a:extLst>
            <a:ext uri="{FF2B5EF4-FFF2-40B4-BE49-F238E27FC236}">
              <a16:creationId xmlns:a16="http://schemas.microsoft.com/office/drawing/2014/main" id="{00000000-0008-0000-0200-0000CB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485</xdr:row>
      <xdr:rowOff>0</xdr:rowOff>
    </xdr:from>
    <xdr:ext cx="200025" cy="200025"/>
    <xdr:pic>
      <xdr:nvPicPr>
        <xdr:cNvPr id="716" name="image8.png">
          <a:extLst>
            <a:ext uri="{FF2B5EF4-FFF2-40B4-BE49-F238E27FC236}">
              <a16:creationId xmlns:a16="http://schemas.microsoft.com/office/drawing/2014/main" id="{00000000-0008-0000-0200-0000CC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485</xdr:row>
      <xdr:rowOff>0</xdr:rowOff>
    </xdr:from>
    <xdr:ext cx="200025" cy="200025"/>
    <xdr:pic>
      <xdr:nvPicPr>
        <xdr:cNvPr id="717" name="image9.png">
          <a:extLst>
            <a:ext uri="{FF2B5EF4-FFF2-40B4-BE49-F238E27FC236}">
              <a16:creationId xmlns:a16="http://schemas.microsoft.com/office/drawing/2014/main" id="{00000000-0008-0000-0200-0000C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485</xdr:row>
      <xdr:rowOff>0</xdr:rowOff>
    </xdr:from>
    <xdr:ext cx="200025" cy="200025"/>
    <xdr:pic>
      <xdr:nvPicPr>
        <xdr:cNvPr id="718" name="image3.png">
          <a:extLst>
            <a:ext uri="{FF2B5EF4-FFF2-40B4-BE49-F238E27FC236}">
              <a16:creationId xmlns:a16="http://schemas.microsoft.com/office/drawing/2014/main" id="{00000000-0008-0000-0200-0000CE02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485</xdr:row>
      <xdr:rowOff>0</xdr:rowOff>
    </xdr:from>
    <xdr:ext cx="200025" cy="200025"/>
    <xdr:pic>
      <xdr:nvPicPr>
        <xdr:cNvPr id="719" name="image10.png">
          <a:extLst>
            <a:ext uri="{FF2B5EF4-FFF2-40B4-BE49-F238E27FC236}">
              <a16:creationId xmlns:a16="http://schemas.microsoft.com/office/drawing/2014/main" id="{00000000-0008-0000-0200-0000C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486</xdr:row>
      <xdr:rowOff>0</xdr:rowOff>
    </xdr:from>
    <xdr:ext cx="200025" cy="200025"/>
    <xdr:pic>
      <xdr:nvPicPr>
        <xdr:cNvPr id="720" name="image10.png">
          <a:extLst>
            <a:ext uri="{FF2B5EF4-FFF2-40B4-BE49-F238E27FC236}">
              <a16:creationId xmlns:a16="http://schemas.microsoft.com/office/drawing/2014/main" id="{00000000-0008-0000-0200-0000D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487</xdr:row>
      <xdr:rowOff>0</xdr:rowOff>
    </xdr:from>
    <xdr:ext cx="200025" cy="200025"/>
    <xdr:pic>
      <xdr:nvPicPr>
        <xdr:cNvPr id="721" name="image10.png">
          <a:extLst>
            <a:ext uri="{FF2B5EF4-FFF2-40B4-BE49-F238E27FC236}">
              <a16:creationId xmlns:a16="http://schemas.microsoft.com/office/drawing/2014/main" id="{00000000-0008-0000-0200-0000D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488</xdr:row>
      <xdr:rowOff>0</xdr:rowOff>
    </xdr:from>
    <xdr:ext cx="200025" cy="200025"/>
    <xdr:pic>
      <xdr:nvPicPr>
        <xdr:cNvPr id="722" name="image8.png">
          <a:extLst>
            <a:ext uri="{FF2B5EF4-FFF2-40B4-BE49-F238E27FC236}">
              <a16:creationId xmlns:a16="http://schemas.microsoft.com/office/drawing/2014/main" id="{00000000-0008-0000-0200-0000D2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488</xdr:row>
      <xdr:rowOff>0</xdr:rowOff>
    </xdr:from>
    <xdr:ext cx="200025" cy="200025"/>
    <xdr:pic>
      <xdr:nvPicPr>
        <xdr:cNvPr id="723" name="image1.png">
          <a:extLst>
            <a:ext uri="{FF2B5EF4-FFF2-40B4-BE49-F238E27FC236}">
              <a16:creationId xmlns:a16="http://schemas.microsoft.com/office/drawing/2014/main" id="{00000000-0008-0000-0200-0000D3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488</xdr:row>
      <xdr:rowOff>0</xdr:rowOff>
    </xdr:from>
    <xdr:ext cx="200025" cy="200025"/>
    <xdr:pic>
      <xdr:nvPicPr>
        <xdr:cNvPr id="724" name="image11.png">
          <a:extLst>
            <a:ext uri="{FF2B5EF4-FFF2-40B4-BE49-F238E27FC236}">
              <a16:creationId xmlns:a16="http://schemas.microsoft.com/office/drawing/2014/main" id="{00000000-0008-0000-0200-0000D4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490</xdr:row>
      <xdr:rowOff>0</xdr:rowOff>
    </xdr:from>
    <xdr:ext cx="200025" cy="200025"/>
    <xdr:pic>
      <xdr:nvPicPr>
        <xdr:cNvPr id="725" name="image6.png">
          <a:extLst>
            <a:ext uri="{FF2B5EF4-FFF2-40B4-BE49-F238E27FC236}">
              <a16:creationId xmlns:a16="http://schemas.microsoft.com/office/drawing/2014/main" id="{00000000-0008-0000-0200-0000D5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491</xdr:row>
      <xdr:rowOff>0</xdr:rowOff>
    </xdr:from>
    <xdr:ext cx="200025" cy="200025"/>
    <xdr:pic>
      <xdr:nvPicPr>
        <xdr:cNvPr id="726" name="image8.png">
          <a:extLst>
            <a:ext uri="{FF2B5EF4-FFF2-40B4-BE49-F238E27FC236}">
              <a16:creationId xmlns:a16="http://schemas.microsoft.com/office/drawing/2014/main" id="{00000000-0008-0000-0200-0000D6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491</xdr:row>
      <xdr:rowOff>0</xdr:rowOff>
    </xdr:from>
    <xdr:ext cx="200025" cy="200025"/>
    <xdr:pic>
      <xdr:nvPicPr>
        <xdr:cNvPr id="727" name="image9.png">
          <a:extLst>
            <a:ext uri="{FF2B5EF4-FFF2-40B4-BE49-F238E27FC236}">
              <a16:creationId xmlns:a16="http://schemas.microsoft.com/office/drawing/2014/main" id="{00000000-0008-0000-0200-0000D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491</xdr:row>
      <xdr:rowOff>0</xdr:rowOff>
    </xdr:from>
    <xdr:ext cx="200025" cy="200025"/>
    <xdr:pic>
      <xdr:nvPicPr>
        <xdr:cNvPr id="728" name="image7.png">
          <a:extLst>
            <a:ext uri="{FF2B5EF4-FFF2-40B4-BE49-F238E27FC236}">
              <a16:creationId xmlns:a16="http://schemas.microsoft.com/office/drawing/2014/main" id="{00000000-0008-0000-0200-0000D8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492</xdr:row>
      <xdr:rowOff>0</xdr:rowOff>
    </xdr:from>
    <xdr:ext cx="200025" cy="200025"/>
    <xdr:pic>
      <xdr:nvPicPr>
        <xdr:cNvPr id="729" name="image10.png">
          <a:extLst>
            <a:ext uri="{FF2B5EF4-FFF2-40B4-BE49-F238E27FC236}">
              <a16:creationId xmlns:a16="http://schemas.microsoft.com/office/drawing/2014/main" id="{00000000-0008-0000-0200-0000D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493</xdr:row>
      <xdr:rowOff>0</xdr:rowOff>
    </xdr:from>
    <xdr:ext cx="200025" cy="200025"/>
    <xdr:pic>
      <xdr:nvPicPr>
        <xdr:cNvPr id="730" name="image10.png">
          <a:extLst>
            <a:ext uri="{FF2B5EF4-FFF2-40B4-BE49-F238E27FC236}">
              <a16:creationId xmlns:a16="http://schemas.microsoft.com/office/drawing/2014/main" id="{00000000-0008-0000-0200-0000D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494</xdr:row>
      <xdr:rowOff>0</xdr:rowOff>
    </xdr:from>
    <xdr:ext cx="200025" cy="200025"/>
    <xdr:pic>
      <xdr:nvPicPr>
        <xdr:cNvPr id="731" name="image10.png">
          <a:extLst>
            <a:ext uri="{FF2B5EF4-FFF2-40B4-BE49-F238E27FC236}">
              <a16:creationId xmlns:a16="http://schemas.microsoft.com/office/drawing/2014/main" id="{00000000-0008-0000-0200-0000D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494</xdr:row>
      <xdr:rowOff>0</xdr:rowOff>
    </xdr:from>
    <xdr:ext cx="200025" cy="200025"/>
    <xdr:pic>
      <xdr:nvPicPr>
        <xdr:cNvPr id="732" name="image2.png">
          <a:extLst>
            <a:ext uri="{FF2B5EF4-FFF2-40B4-BE49-F238E27FC236}">
              <a16:creationId xmlns:a16="http://schemas.microsoft.com/office/drawing/2014/main" id="{00000000-0008-0000-0200-0000DC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494</xdr:row>
      <xdr:rowOff>0</xdr:rowOff>
    </xdr:from>
    <xdr:ext cx="200025" cy="200025"/>
    <xdr:pic>
      <xdr:nvPicPr>
        <xdr:cNvPr id="733" name="image4.png">
          <a:extLst>
            <a:ext uri="{FF2B5EF4-FFF2-40B4-BE49-F238E27FC236}">
              <a16:creationId xmlns:a16="http://schemas.microsoft.com/office/drawing/2014/main" id="{00000000-0008-0000-0200-0000DD02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494</xdr:row>
      <xdr:rowOff>0</xdr:rowOff>
    </xdr:from>
    <xdr:ext cx="200025" cy="200025"/>
    <xdr:pic>
      <xdr:nvPicPr>
        <xdr:cNvPr id="734" name="image8.png">
          <a:extLst>
            <a:ext uri="{FF2B5EF4-FFF2-40B4-BE49-F238E27FC236}">
              <a16:creationId xmlns:a16="http://schemas.microsoft.com/office/drawing/2014/main" id="{00000000-0008-0000-0200-0000DE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495</xdr:row>
      <xdr:rowOff>0</xdr:rowOff>
    </xdr:from>
    <xdr:ext cx="200025" cy="200025"/>
    <xdr:pic>
      <xdr:nvPicPr>
        <xdr:cNvPr id="735" name="image8.png">
          <a:extLst>
            <a:ext uri="{FF2B5EF4-FFF2-40B4-BE49-F238E27FC236}">
              <a16:creationId xmlns:a16="http://schemas.microsoft.com/office/drawing/2014/main" id="{00000000-0008-0000-0200-0000DF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496</xdr:row>
      <xdr:rowOff>0</xdr:rowOff>
    </xdr:from>
    <xdr:ext cx="200025" cy="200025"/>
    <xdr:pic>
      <xdr:nvPicPr>
        <xdr:cNvPr id="736" name="image8.png">
          <a:extLst>
            <a:ext uri="{FF2B5EF4-FFF2-40B4-BE49-F238E27FC236}">
              <a16:creationId xmlns:a16="http://schemas.microsoft.com/office/drawing/2014/main" id="{00000000-0008-0000-0200-0000E0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497</xdr:row>
      <xdr:rowOff>0</xdr:rowOff>
    </xdr:from>
    <xdr:ext cx="200025" cy="200025"/>
    <xdr:pic>
      <xdr:nvPicPr>
        <xdr:cNvPr id="737" name="image8.png">
          <a:extLst>
            <a:ext uri="{FF2B5EF4-FFF2-40B4-BE49-F238E27FC236}">
              <a16:creationId xmlns:a16="http://schemas.microsoft.com/office/drawing/2014/main" id="{00000000-0008-0000-0200-0000E1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497</xdr:row>
      <xdr:rowOff>0</xdr:rowOff>
    </xdr:from>
    <xdr:ext cx="200025" cy="200025"/>
    <xdr:pic>
      <xdr:nvPicPr>
        <xdr:cNvPr id="738" name="image9.png">
          <a:extLst>
            <a:ext uri="{FF2B5EF4-FFF2-40B4-BE49-F238E27FC236}">
              <a16:creationId xmlns:a16="http://schemas.microsoft.com/office/drawing/2014/main" id="{00000000-0008-0000-0200-0000E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497</xdr:row>
      <xdr:rowOff>0</xdr:rowOff>
    </xdr:from>
    <xdr:ext cx="200025" cy="200025"/>
    <xdr:pic>
      <xdr:nvPicPr>
        <xdr:cNvPr id="739" name="image11.png">
          <a:extLst>
            <a:ext uri="{FF2B5EF4-FFF2-40B4-BE49-F238E27FC236}">
              <a16:creationId xmlns:a16="http://schemas.microsoft.com/office/drawing/2014/main" id="{00000000-0008-0000-0200-0000E3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498</xdr:row>
      <xdr:rowOff>0</xdr:rowOff>
    </xdr:from>
    <xdr:ext cx="200025" cy="200025"/>
    <xdr:pic>
      <xdr:nvPicPr>
        <xdr:cNvPr id="740" name="image6.png">
          <a:extLst>
            <a:ext uri="{FF2B5EF4-FFF2-40B4-BE49-F238E27FC236}">
              <a16:creationId xmlns:a16="http://schemas.microsoft.com/office/drawing/2014/main" id="{00000000-0008-0000-0200-0000E4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499</xdr:row>
      <xdr:rowOff>0</xdr:rowOff>
    </xdr:from>
    <xdr:ext cx="200025" cy="200025"/>
    <xdr:pic>
      <xdr:nvPicPr>
        <xdr:cNvPr id="741" name="image6.png">
          <a:extLst>
            <a:ext uri="{FF2B5EF4-FFF2-40B4-BE49-F238E27FC236}">
              <a16:creationId xmlns:a16="http://schemas.microsoft.com/office/drawing/2014/main" id="{00000000-0008-0000-0200-0000E5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500</xdr:row>
      <xdr:rowOff>0</xdr:rowOff>
    </xdr:from>
    <xdr:ext cx="200025" cy="200025"/>
    <xdr:pic>
      <xdr:nvPicPr>
        <xdr:cNvPr id="742" name="image8.png">
          <a:extLst>
            <a:ext uri="{FF2B5EF4-FFF2-40B4-BE49-F238E27FC236}">
              <a16:creationId xmlns:a16="http://schemas.microsoft.com/office/drawing/2014/main" id="{00000000-0008-0000-0200-0000E6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500</xdr:row>
      <xdr:rowOff>0</xdr:rowOff>
    </xdr:from>
    <xdr:ext cx="200025" cy="200025"/>
    <xdr:pic>
      <xdr:nvPicPr>
        <xdr:cNvPr id="743" name="image2.png">
          <a:extLst>
            <a:ext uri="{FF2B5EF4-FFF2-40B4-BE49-F238E27FC236}">
              <a16:creationId xmlns:a16="http://schemas.microsoft.com/office/drawing/2014/main" id="{00000000-0008-0000-0200-0000E7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500</xdr:row>
      <xdr:rowOff>0</xdr:rowOff>
    </xdr:from>
    <xdr:ext cx="200025" cy="200025"/>
    <xdr:pic>
      <xdr:nvPicPr>
        <xdr:cNvPr id="744" name="image12.png">
          <a:extLst>
            <a:ext uri="{FF2B5EF4-FFF2-40B4-BE49-F238E27FC236}">
              <a16:creationId xmlns:a16="http://schemas.microsoft.com/office/drawing/2014/main" id="{00000000-0008-0000-0200-0000E802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501</xdr:row>
      <xdr:rowOff>0</xdr:rowOff>
    </xdr:from>
    <xdr:ext cx="200025" cy="200025"/>
    <xdr:pic>
      <xdr:nvPicPr>
        <xdr:cNvPr id="745" name="image10.png">
          <a:extLst>
            <a:ext uri="{FF2B5EF4-FFF2-40B4-BE49-F238E27FC236}">
              <a16:creationId xmlns:a16="http://schemas.microsoft.com/office/drawing/2014/main" id="{00000000-0008-0000-0200-0000E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502</xdr:row>
      <xdr:rowOff>0</xdr:rowOff>
    </xdr:from>
    <xdr:ext cx="200025" cy="200025"/>
    <xdr:pic>
      <xdr:nvPicPr>
        <xdr:cNvPr id="746" name="image10.png">
          <a:extLst>
            <a:ext uri="{FF2B5EF4-FFF2-40B4-BE49-F238E27FC236}">
              <a16:creationId xmlns:a16="http://schemas.microsoft.com/office/drawing/2014/main" id="{00000000-0008-0000-0200-0000E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503</xdr:row>
      <xdr:rowOff>0</xdr:rowOff>
    </xdr:from>
    <xdr:ext cx="200025" cy="200025"/>
    <xdr:pic>
      <xdr:nvPicPr>
        <xdr:cNvPr id="747" name="image10.png">
          <a:extLst>
            <a:ext uri="{FF2B5EF4-FFF2-40B4-BE49-F238E27FC236}">
              <a16:creationId xmlns:a16="http://schemas.microsoft.com/office/drawing/2014/main" id="{00000000-0008-0000-0200-0000E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503</xdr:row>
      <xdr:rowOff>0</xdr:rowOff>
    </xdr:from>
    <xdr:ext cx="200025" cy="200025"/>
    <xdr:pic>
      <xdr:nvPicPr>
        <xdr:cNvPr id="748" name="image1.png">
          <a:extLst>
            <a:ext uri="{FF2B5EF4-FFF2-40B4-BE49-F238E27FC236}">
              <a16:creationId xmlns:a16="http://schemas.microsoft.com/office/drawing/2014/main" id="{00000000-0008-0000-0200-0000EC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503</xdr:row>
      <xdr:rowOff>0</xdr:rowOff>
    </xdr:from>
    <xdr:ext cx="200025" cy="200025"/>
    <xdr:pic>
      <xdr:nvPicPr>
        <xdr:cNvPr id="749" name="image11.png">
          <a:extLst>
            <a:ext uri="{FF2B5EF4-FFF2-40B4-BE49-F238E27FC236}">
              <a16:creationId xmlns:a16="http://schemas.microsoft.com/office/drawing/2014/main" id="{00000000-0008-0000-0200-0000ED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504</xdr:row>
      <xdr:rowOff>0</xdr:rowOff>
    </xdr:from>
    <xdr:ext cx="200025" cy="200025"/>
    <xdr:pic>
      <xdr:nvPicPr>
        <xdr:cNvPr id="750" name="image9.png">
          <a:extLst>
            <a:ext uri="{FF2B5EF4-FFF2-40B4-BE49-F238E27FC236}">
              <a16:creationId xmlns:a16="http://schemas.microsoft.com/office/drawing/2014/main" id="{00000000-0008-0000-0200-0000E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505</xdr:row>
      <xdr:rowOff>0</xdr:rowOff>
    </xdr:from>
    <xdr:ext cx="200025" cy="200025"/>
    <xdr:pic>
      <xdr:nvPicPr>
        <xdr:cNvPr id="751" name="image9.png">
          <a:extLst>
            <a:ext uri="{FF2B5EF4-FFF2-40B4-BE49-F238E27FC236}">
              <a16:creationId xmlns:a16="http://schemas.microsoft.com/office/drawing/2014/main" id="{00000000-0008-0000-0200-0000EF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506</xdr:row>
      <xdr:rowOff>0</xdr:rowOff>
    </xdr:from>
    <xdr:ext cx="200025" cy="200025"/>
    <xdr:pic>
      <xdr:nvPicPr>
        <xdr:cNvPr id="752" name="image9.png">
          <a:extLst>
            <a:ext uri="{FF2B5EF4-FFF2-40B4-BE49-F238E27FC236}">
              <a16:creationId xmlns:a16="http://schemas.microsoft.com/office/drawing/2014/main" id="{00000000-0008-0000-0200-0000F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507</xdr:row>
      <xdr:rowOff>0</xdr:rowOff>
    </xdr:from>
    <xdr:ext cx="200025" cy="200025"/>
    <xdr:pic>
      <xdr:nvPicPr>
        <xdr:cNvPr id="753" name="image8.png">
          <a:extLst>
            <a:ext uri="{FF2B5EF4-FFF2-40B4-BE49-F238E27FC236}">
              <a16:creationId xmlns:a16="http://schemas.microsoft.com/office/drawing/2014/main" id="{00000000-0008-0000-0200-0000F1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507</xdr:row>
      <xdr:rowOff>0</xdr:rowOff>
    </xdr:from>
    <xdr:ext cx="200025" cy="200025"/>
    <xdr:pic>
      <xdr:nvPicPr>
        <xdr:cNvPr id="754" name="image6.png">
          <a:extLst>
            <a:ext uri="{FF2B5EF4-FFF2-40B4-BE49-F238E27FC236}">
              <a16:creationId xmlns:a16="http://schemas.microsoft.com/office/drawing/2014/main" id="{00000000-0008-0000-0200-0000F2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507</xdr:row>
      <xdr:rowOff>0</xdr:rowOff>
    </xdr:from>
    <xdr:ext cx="200025" cy="200025"/>
    <xdr:pic>
      <xdr:nvPicPr>
        <xdr:cNvPr id="755" name="image8.png">
          <a:extLst>
            <a:ext uri="{FF2B5EF4-FFF2-40B4-BE49-F238E27FC236}">
              <a16:creationId xmlns:a16="http://schemas.microsoft.com/office/drawing/2014/main" id="{00000000-0008-0000-0200-0000F3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508</xdr:row>
      <xdr:rowOff>0</xdr:rowOff>
    </xdr:from>
    <xdr:ext cx="200025" cy="200025"/>
    <xdr:pic>
      <xdr:nvPicPr>
        <xdr:cNvPr id="756" name="image8.png">
          <a:extLst>
            <a:ext uri="{FF2B5EF4-FFF2-40B4-BE49-F238E27FC236}">
              <a16:creationId xmlns:a16="http://schemas.microsoft.com/office/drawing/2014/main" id="{00000000-0008-0000-0200-0000F4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509</xdr:row>
      <xdr:rowOff>0</xdr:rowOff>
    </xdr:from>
    <xdr:ext cx="200025" cy="200025"/>
    <xdr:pic>
      <xdr:nvPicPr>
        <xdr:cNvPr id="757" name="image8.png">
          <a:extLst>
            <a:ext uri="{FF2B5EF4-FFF2-40B4-BE49-F238E27FC236}">
              <a16:creationId xmlns:a16="http://schemas.microsoft.com/office/drawing/2014/main" id="{00000000-0008-0000-0200-0000F5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510</xdr:row>
      <xdr:rowOff>0</xdr:rowOff>
    </xdr:from>
    <xdr:ext cx="200025" cy="200025"/>
    <xdr:pic>
      <xdr:nvPicPr>
        <xdr:cNvPr id="758" name="image10.png">
          <a:extLst>
            <a:ext uri="{FF2B5EF4-FFF2-40B4-BE49-F238E27FC236}">
              <a16:creationId xmlns:a16="http://schemas.microsoft.com/office/drawing/2014/main" id="{00000000-0008-0000-0200-0000F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510</xdr:row>
      <xdr:rowOff>0</xdr:rowOff>
    </xdr:from>
    <xdr:ext cx="200025" cy="200025"/>
    <xdr:pic>
      <xdr:nvPicPr>
        <xdr:cNvPr id="759" name="image1.png">
          <a:extLst>
            <a:ext uri="{FF2B5EF4-FFF2-40B4-BE49-F238E27FC236}">
              <a16:creationId xmlns:a16="http://schemas.microsoft.com/office/drawing/2014/main" id="{00000000-0008-0000-0200-0000F7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510</xdr:row>
      <xdr:rowOff>0</xdr:rowOff>
    </xdr:from>
    <xdr:ext cx="200025" cy="200025"/>
    <xdr:pic>
      <xdr:nvPicPr>
        <xdr:cNvPr id="760" name="image11.png">
          <a:extLst>
            <a:ext uri="{FF2B5EF4-FFF2-40B4-BE49-F238E27FC236}">
              <a16:creationId xmlns:a16="http://schemas.microsoft.com/office/drawing/2014/main" id="{00000000-0008-0000-0200-0000F8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512</xdr:row>
      <xdr:rowOff>0</xdr:rowOff>
    </xdr:from>
    <xdr:ext cx="200025" cy="200025"/>
    <xdr:pic>
      <xdr:nvPicPr>
        <xdr:cNvPr id="761" name="image6.png">
          <a:extLst>
            <a:ext uri="{FF2B5EF4-FFF2-40B4-BE49-F238E27FC236}">
              <a16:creationId xmlns:a16="http://schemas.microsoft.com/office/drawing/2014/main" id="{00000000-0008-0000-0200-0000F9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513</xdr:row>
      <xdr:rowOff>0</xdr:rowOff>
    </xdr:from>
    <xdr:ext cx="200025" cy="200025"/>
    <xdr:pic>
      <xdr:nvPicPr>
        <xdr:cNvPr id="762" name="image8.png">
          <a:extLst>
            <a:ext uri="{FF2B5EF4-FFF2-40B4-BE49-F238E27FC236}">
              <a16:creationId xmlns:a16="http://schemas.microsoft.com/office/drawing/2014/main" id="{00000000-0008-0000-0200-0000FA02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513</xdr:row>
      <xdr:rowOff>0</xdr:rowOff>
    </xdr:from>
    <xdr:ext cx="200025" cy="200025"/>
    <xdr:pic>
      <xdr:nvPicPr>
        <xdr:cNvPr id="763" name="image2.png">
          <a:extLst>
            <a:ext uri="{FF2B5EF4-FFF2-40B4-BE49-F238E27FC236}">
              <a16:creationId xmlns:a16="http://schemas.microsoft.com/office/drawing/2014/main" id="{00000000-0008-0000-0200-0000FB02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513</xdr:row>
      <xdr:rowOff>0</xdr:rowOff>
    </xdr:from>
    <xdr:ext cx="200025" cy="200025"/>
    <xdr:pic>
      <xdr:nvPicPr>
        <xdr:cNvPr id="764" name="image11.png">
          <a:extLst>
            <a:ext uri="{FF2B5EF4-FFF2-40B4-BE49-F238E27FC236}">
              <a16:creationId xmlns:a16="http://schemas.microsoft.com/office/drawing/2014/main" id="{00000000-0008-0000-0200-0000FC02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514</xdr:row>
      <xdr:rowOff>0</xdr:rowOff>
    </xdr:from>
    <xdr:ext cx="200025" cy="200025"/>
    <xdr:pic>
      <xdr:nvPicPr>
        <xdr:cNvPr id="765" name="image7.png">
          <a:extLst>
            <a:ext uri="{FF2B5EF4-FFF2-40B4-BE49-F238E27FC236}">
              <a16:creationId xmlns:a16="http://schemas.microsoft.com/office/drawing/2014/main" id="{00000000-0008-0000-0200-0000FD02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515</xdr:row>
      <xdr:rowOff>0</xdr:rowOff>
    </xdr:from>
    <xdr:ext cx="200025" cy="200025"/>
    <xdr:pic>
      <xdr:nvPicPr>
        <xdr:cNvPr id="766" name="image6.png">
          <a:extLst>
            <a:ext uri="{FF2B5EF4-FFF2-40B4-BE49-F238E27FC236}">
              <a16:creationId xmlns:a16="http://schemas.microsoft.com/office/drawing/2014/main" id="{00000000-0008-0000-0200-0000FE02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517</xdr:row>
      <xdr:rowOff>0</xdr:rowOff>
    </xdr:from>
    <xdr:ext cx="200025" cy="200025"/>
    <xdr:pic>
      <xdr:nvPicPr>
        <xdr:cNvPr id="767" name="image10.png">
          <a:extLst>
            <a:ext uri="{FF2B5EF4-FFF2-40B4-BE49-F238E27FC236}">
              <a16:creationId xmlns:a16="http://schemas.microsoft.com/office/drawing/2014/main" id="{00000000-0008-0000-0200-0000F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517</xdr:row>
      <xdr:rowOff>0</xdr:rowOff>
    </xdr:from>
    <xdr:ext cx="200025" cy="200025"/>
    <xdr:pic>
      <xdr:nvPicPr>
        <xdr:cNvPr id="768" name="image9.png">
          <a:extLst>
            <a:ext uri="{FF2B5EF4-FFF2-40B4-BE49-F238E27FC236}">
              <a16:creationId xmlns:a16="http://schemas.microsoft.com/office/drawing/2014/main" id="{00000000-0008-0000-0200-00000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517</xdr:row>
      <xdr:rowOff>0</xdr:rowOff>
    </xdr:from>
    <xdr:ext cx="200025" cy="200025"/>
    <xdr:pic>
      <xdr:nvPicPr>
        <xdr:cNvPr id="769" name="image5.png">
          <a:extLst>
            <a:ext uri="{FF2B5EF4-FFF2-40B4-BE49-F238E27FC236}">
              <a16:creationId xmlns:a16="http://schemas.microsoft.com/office/drawing/2014/main" id="{00000000-0008-0000-0200-000001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517</xdr:row>
      <xdr:rowOff>0</xdr:rowOff>
    </xdr:from>
    <xdr:ext cx="200025" cy="200025"/>
    <xdr:pic>
      <xdr:nvPicPr>
        <xdr:cNvPr id="770" name="image8.png">
          <a:extLst>
            <a:ext uri="{FF2B5EF4-FFF2-40B4-BE49-F238E27FC236}">
              <a16:creationId xmlns:a16="http://schemas.microsoft.com/office/drawing/2014/main" id="{00000000-0008-0000-0200-00000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518</xdr:row>
      <xdr:rowOff>0</xdr:rowOff>
    </xdr:from>
    <xdr:ext cx="200025" cy="200025"/>
    <xdr:pic>
      <xdr:nvPicPr>
        <xdr:cNvPr id="771" name="image8.png">
          <a:extLst>
            <a:ext uri="{FF2B5EF4-FFF2-40B4-BE49-F238E27FC236}">
              <a16:creationId xmlns:a16="http://schemas.microsoft.com/office/drawing/2014/main" id="{00000000-0008-0000-0200-00000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519</xdr:row>
      <xdr:rowOff>0</xdr:rowOff>
    </xdr:from>
    <xdr:ext cx="200025" cy="200025"/>
    <xdr:pic>
      <xdr:nvPicPr>
        <xdr:cNvPr id="772" name="image8.png">
          <a:extLst>
            <a:ext uri="{FF2B5EF4-FFF2-40B4-BE49-F238E27FC236}">
              <a16:creationId xmlns:a16="http://schemas.microsoft.com/office/drawing/2014/main" id="{00000000-0008-0000-0200-000004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519</xdr:row>
      <xdr:rowOff>0</xdr:rowOff>
    </xdr:from>
    <xdr:ext cx="200025" cy="200025"/>
    <xdr:pic>
      <xdr:nvPicPr>
        <xdr:cNvPr id="773" name="image2.png">
          <a:extLst>
            <a:ext uri="{FF2B5EF4-FFF2-40B4-BE49-F238E27FC236}">
              <a16:creationId xmlns:a16="http://schemas.microsoft.com/office/drawing/2014/main" id="{00000000-0008-0000-0200-000005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519</xdr:row>
      <xdr:rowOff>0</xdr:rowOff>
    </xdr:from>
    <xdr:ext cx="200025" cy="200025"/>
    <xdr:pic>
      <xdr:nvPicPr>
        <xdr:cNvPr id="774" name="image6.png">
          <a:extLst>
            <a:ext uri="{FF2B5EF4-FFF2-40B4-BE49-F238E27FC236}">
              <a16:creationId xmlns:a16="http://schemas.microsoft.com/office/drawing/2014/main" id="{00000000-0008-0000-0200-000006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519</xdr:row>
      <xdr:rowOff>0</xdr:rowOff>
    </xdr:from>
    <xdr:ext cx="200025" cy="200025"/>
    <xdr:pic>
      <xdr:nvPicPr>
        <xdr:cNvPr id="775" name="image5.png">
          <a:extLst>
            <a:ext uri="{FF2B5EF4-FFF2-40B4-BE49-F238E27FC236}">
              <a16:creationId xmlns:a16="http://schemas.microsoft.com/office/drawing/2014/main" id="{00000000-0008-0000-0200-00000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519</xdr:row>
      <xdr:rowOff>0</xdr:rowOff>
    </xdr:from>
    <xdr:ext cx="200025" cy="200025"/>
    <xdr:pic>
      <xdr:nvPicPr>
        <xdr:cNvPr id="776" name="image3.png">
          <a:extLst>
            <a:ext uri="{FF2B5EF4-FFF2-40B4-BE49-F238E27FC236}">
              <a16:creationId xmlns:a16="http://schemas.microsoft.com/office/drawing/2014/main" id="{00000000-0008-0000-0200-000008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524</xdr:row>
      <xdr:rowOff>0</xdr:rowOff>
    </xdr:from>
    <xdr:ext cx="200025" cy="200025"/>
    <xdr:pic>
      <xdr:nvPicPr>
        <xdr:cNvPr id="777" name="image8.png">
          <a:extLst>
            <a:ext uri="{FF2B5EF4-FFF2-40B4-BE49-F238E27FC236}">
              <a16:creationId xmlns:a16="http://schemas.microsoft.com/office/drawing/2014/main" id="{00000000-0008-0000-0200-00000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524</xdr:row>
      <xdr:rowOff>0</xdr:rowOff>
    </xdr:from>
    <xdr:ext cx="200025" cy="200025"/>
    <xdr:pic>
      <xdr:nvPicPr>
        <xdr:cNvPr id="778" name="image9.png">
          <a:extLst>
            <a:ext uri="{FF2B5EF4-FFF2-40B4-BE49-F238E27FC236}">
              <a16:creationId xmlns:a16="http://schemas.microsoft.com/office/drawing/2014/main" id="{00000000-0008-0000-0200-00000A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524</xdr:row>
      <xdr:rowOff>0</xdr:rowOff>
    </xdr:from>
    <xdr:ext cx="200025" cy="200025"/>
    <xdr:pic>
      <xdr:nvPicPr>
        <xdr:cNvPr id="779" name="image2.png">
          <a:extLst>
            <a:ext uri="{FF2B5EF4-FFF2-40B4-BE49-F238E27FC236}">
              <a16:creationId xmlns:a16="http://schemas.microsoft.com/office/drawing/2014/main" id="{00000000-0008-0000-0200-00000B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524</xdr:row>
      <xdr:rowOff>0</xdr:rowOff>
    </xdr:from>
    <xdr:ext cx="200025" cy="200025"/>
    <xdr:pic>
      <xdr:nvPicPr>
        <xdr:cNvPr id="780" name="image3.png">
          <a:extLst>
            <a:ext uri="{FF2B5EF4-FFF2-40B4-BE49-F238E27FC236}">
              <a16:creationId xmlns:a16="http://schemas.microsoft.com/office/drawing/2014/main" id="{00000000-0008-0000-0200-00000C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524</xdr:row>
      <xdr:rowOff>0</xdr:rowOff>
    </xdr:from>
    <xdr:ext cx="200025" cy="200025"/>
    <xdr:pic>
      <xdr:nvPicPr>
        <xdr:cNvPr id="781" name="image11.png">
          <a:extLst>
            <a:ext uri="{FF2B5EF4-FFF2-40B4-BE49-F238E27FC236}">
              <a16:creationId xmlns:a16="http://schemas.microsoft.com/office/drawing/2014/main" id="{00000000-0008-0000-0200-00000D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530</xdr:row>
      <xdr:rowOff>0</xdr:rowOff>
    </xdr:from>
    <xdr:ext cx="200025" cy="200025"/>
    <xdr:pic>
      <xdr:nvPicPr>
        <xdr:cNvPr id="782" name="image8.png">
          <a:extLst>
            <a:ext uri="{FF2B5EF4-FFF2-40B4-BE49-F238E27FC236}">
              <a16:creationId xmlns:a16="http://schemas.microsoft.com/office/drawing/2014/main" id="{00000000-0008-0000-0200-00000E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530</xdr:row>
      <xdr:rowOff>0</xdr:rowOff>
    </xdr:from>
    <xdr:ext cx="200025" cy="200025"/>
    <xdr:pic>
      <xdr:nvPicPr>
        <xdr:cNvPr id="783" name="image2.png">
          <a:extLst>
            <a:ext uri="{FF2B5EF4-FFF2-40B4-BE49-F238E27FC236}">
              <a16:creationId xmlns:a16="http://schemas.microsoft.com/office/drawing/2014/main" id="{00000000-0008-0000-0200-00000F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530</xdr:row>
      <xdr:rowOff>0</xdr:rowOff>
    </xdr:from>
    <xdr:ext cx="200025" cy="200025"/>
    <xdr:pic>
      <xdr:nvPicPr>
        <xdr:cNvPr id="784" name="image7.png">
          <a:extLst>
            <a:ext uri="{FF2B5EF4-FFF2-40B4-BE49-F238E27FC236}">
              <a16:creationId xmlns:a16="http://schemas.microsoft.com/office/drawing/2014/main" id="{00000000-0008-0000-0200-000010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530</xdr:row>
      <xdr:rowOff>0</xdr:rowOff>
    </xdr:from>
    <xdr:ext cx="200025" cy="200025"/>
    <xdr:pic>
      <xdr:nvPicPr>
        <xdr:cNvPr id="785" name="image1.png">
          <a:extLst>
            <a:ext uri="{FF2B5EF4-FFF2-40B4-BE49-F238E27FC236}">
              <a16:creationId xmlns:a16="http://schemas.microsoft.com/office/drawing/2014/main" id="{00000000-0008-0000-0200-000011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531</xdr:row>
      <xdr:rowOff>0</xdr:rowOff>
    </xdr:from>
    <xdr:ext cx="200025" cy="200025"/>
    <xdr:pic>
      <xdr:nvPicPr>
        <xdr:cNvPr id="786" name="image1.png">
          <a:extLst>
            <a:ext uri="{FF2B5EF4-FFF2-40B4-BE49-F238E27FC236}">
              <a16:creationId xmlns:a16="http://schemas.microsoft.com/office/drawing/2014/main" id="{00000000-0008-0000-0200-000012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532</xdr:row>
      <xdr:rowOff>0</xdr:rowOff>
    </xdr:from>
    <xdr:ext cx="200025" cy="200025"/>
    <xdr:pic>
      <xdr:nvPicPr>
        <xdr:cNvPr id="787" name="image10.png">
          <a:extLst>
            <a:ext uri="{FF2B5EF4-FFF2-40B4-BE49-F238E27FC236}">
              <a16:creationId xmlns:a16="http://schemas.microsoft.com/office/drawing/2014/main" id="{00000000-0008-0000-0200-00001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532</xdr:row>
      <xdr:rowOff>0</xdr:rowOff>
    </xdr:from>
    <xdr:ext cx="200025" cy="200025"/>
    <xdr:pic>
      <xdr:nvPicPr>
        <xdr:cNvPr id="788" name="image6.png">
          <a:extLst>
            <a:ext uri="{FF2B5EF4-FFF2-40B4-BE49-F238E27FC236}">
              <a16:creationId xmlns:a16="http://schemas.microsoft.com/office/drawing/2014/main" id="{00000000-0008-0000-0200-000014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532</xdr:row>
      <xdr:rowOff>0</xdr:rowOff>
    </xdr:from>
    <xdr:ext cx="200025" cy="200025"/>
    <xdr:pic>
      <xdr:nvPicPr>
        <xdr:cNvPr id="789" name="image5.png">
          <a:extLst>
            <a:ext uri="{FF2B5EF4-FFF2-40B4-BE49-F238E27FC236}">
              <a16:creationId xmlns:a16="http://schemas.microsoft.com/office/drawing/2014/main" id="{00000000-0008-0000-0200-000015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532</xdr:row>
      <xdr:rowOff>0</xdr:rowOff>
    </xdr:from>
    <xdr:ext cx="200025" cy="200025"/>
    <xdr:pic>
      <xdr:nvPicPr>
        <xdr:cNvPr id="790" name="image11.png">
          <a:extLst>
            <a:ext uri="{FF2B5EF4-FFF2-40B4-BE49-F238E27FC236}">
              <a16:creationId xmlns:a16="http://schemas.microsoft.com/office/drawing/2014/main" id="{00000000-0008-0000-0200-000016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532</xdr:row>
      <xdr:rowOff>0</xdr:rowOff>
    </xdr:from>
    <xdr:ext cx="200025" cy="200025"/>
    <xdr:pic>
      <xdr:nvPicPr>
        <xdr:cNvPr id="791" name="image8.png">
          <a:extLst>
            <a:ext uri="{FF2B5EF4-FFF2-40B4-BE49-F238E27FC236}">
              <a16:creationId xmlns:a16="http://schemas.microsoft.com/office/drawing/2014/main" id="{00000000-0008-0000-0200-000017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533</xdr:row>
      <xdr:rowOff>0</xdr:rowOff>
    </xdr:from>
    <xdr:ext cx="200025" cy="200025"/>
    <xdr:pic>
      <xdr:nvPicPr>
        <xdr:cNvPr id="792" name="image8.png">
          <a:extLst>
            <a:ext uri="{FF2B5EF4-FFF2-40B4-BE49-F238E27FC236}">
              <a16:creationId xmlns:a16="http://schemas.microsoft.com/office/drawing/2014/main" id="{00000000-0008-0000-0200-000018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535</xdr:row>
      <xdr:rowOff>0</xdr:rowOff>
    </xdr:from>
    <xdr:ext cx="200025" cy="200025"/>
    <xdr:pic>
      <xdr:nvPicPr>
        <xdr:cNvPr id="793" name="image8.png">
          <a:extLst>
            <a:ext uri="{FF2B5EF4-FFF2-40B4-BE49-F238E27FC236}">
              <a16:creationId xmlns:a16="http://schemas.microsoft.com/office/drawing/2014/main" id="{00000000-0008-0000-0200-00001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535</xdr:row>
      <xdr:rowOff>0</xdr:rowOff>
    </xdr:from>
    <xdr:ext cx="200025" cy="200025"/>
    <xdr:pic>
      <xdr:nvPicPr>
        <xdr:cNvPr id="794" name="image9.png">
          <a:extLst>
            <a:ext uri="{FF2B5EF4-FFF2-40B4-BE49-F238E27FC236}">
              <a16:creationId xmlns:a16="http://schemas.microsoft.com/office/drawing/2014/main" id="{00000000-0008-0000-0200-00001A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535</xdr:row>
      <xdr:rowOff>0</xdr:rowOff>
    </xdr:from>
    <xdr:ext cx="200025" cy="200025"/>
    <xdr:pic>
      <xdr:nvPicPr>
        <xdr:cNvPr id="795" name="image2.png">
          <a:extLst>
            <a:ext uri="{FF2B5EF4-FFF2-40B4-BE49-F238E27FC236}">
              <a16:creationId xmlns:a16="http://schemas.microsoft.com/office/drawing/2014/main" id="{00000000-0008-0000-0200-00001B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535</xdr:row>
      <xdr:rowOff>0</xdr:rowOff>
    </xdr:from>
    <xdr:ext cx="200025" cy="200025"/>
    <xdr:pic>
      <xdr:nvPicPr>
        <xdr:cNvPr id="796" name="image12.png">
          <a:extLst>
            <a:ext uri="{FF2B5EF4-FFF2-40B4-BE49-F238E27FC236}">
              <a16:creationId xmlns:a16="http://schemas.microsoft.com/office/drawing/2014/main" id="{00000000-0008-0000-0200-00001C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535</xdr:row>
      <xdr:rowOff>0</xdr:rowOff>
    </xdr:from>
    <xdr:ext cx="200025" cy="200025"/>
    <xdr:pic>
      <xdr:nvPicPr>
        <xdr:cNvPr id="797" name="image11.png">
          <a:extLst>
            <a:ext uri="{FF2B5EF4-FFF2-40B4-BE49-F238E27FC236}">
              <a16:creationId xmlns:a16="http://schemas.microsoft.com/office/drawing/2014/main" id="{00000000-0008-0000-0200-00001D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535</xdr:row>
      <xdr:rowOff>0</xdr:rowOff>
    </xdr:from>
    <xdr:ext cx="200025" cy="200025"/>
    <xdr:pic>
      <xdr:nvPicPr>
        <xdr:cNvPr id="798" name="image1.png">
          <a:extLst>
            <a:ext uri="{FF2B5EF4-FFF2-40B4-BE49-F238E27FC236}">
              <a16:creationId xmlns:a16="http://schemas.microsoft.com/office/drawing/2014/main" id="{00000000-0008-0000-0200-00001E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536</xdr:row>
      <xdr:rowOff>0</xdr:rowOff>
    </xdr:from>
    <xdr:ext cx="200025" cy="200025"/>
    <xdr:pic>
      <xdr:nvPicPr>
        <xdr:cNvPr id="799" name="image3.png">
          <a:extLst>
            <a:ext uri="{FF2B5EF4-FFF2-40B4-BE49-F238E27FC236}">
              <a16:creationId xmlns:a16="http://schemas.microsoft.com/office/drawing/2014/main" id="{00000000-0008-0000-0200-00001F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537</xdr:row>
      <xdr:rowOff>0</xdr:rowOff>
    </xdr:from>
    <xdr:ext cx="200025" cy="200025"/>
    <xdr:pic>
      <xdr:nvPicPr>
        <xdr:cNvPr id="800" name="image1.png">
          <a:extLst>
            <a:ext uri="{FF2B5EF4-FFF2-40B4-BE49-F238E27FC236}">
              <a16:creationId xmlns:a16="http://schemas.microsoft.com/office/drawing/2014/main" id="{00000000-0008-0000-0200-000020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538</xdr:row>
      <xdr:rowOff>0</xdr:rowOff>
    </xdr:from>
    <xdr:ext cx="200025" cy="200025"/>
    <xdr:pic>
      <xdr:nvPicPr>
        <xdr:cNvPr id="801" name="image10.png">
          <a:extLst>
            <a:ext uri="{FF2B5EF4-FFF2-40B4-BE49-F238E27FC236}">
              <a16:creationId xmlns:a16="http://schemas.microsoft.com/office/drawing/2014/main" id="{00000000-0008-0000-0200-00002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538</xdr:row>
      <xdr:rowOff>0</xdr:rowOff>
    </xdr:from>
    <xdr:ext cx="200025" cy="200025"/>
    <xdr:pic>
      <xdr:nvPicPr>
        <xdr:cNvPr id="802" name="image9.png">
          <a:extLst>
            <a:ext uri="{FF2B5EF4-FFF2-40B4-BE49-F238E27FC236}">
              <a16:creationId xmlns:a16="http://schemas.microsoft.com/office/drawing/2014/main" id="{00000000-0008-0000-0200-000022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538</xdr:row>
      <xdr:rowOff>0</xdr:rowOff>
    </xdr:from>
    <xdr:ext cx="200025" cy="200025"/>
    <xdr:pic>
      <xdr:nvPicPr>
        <xdr:cNvPr id="803" name="image12.png">
          <a:extLst>
            <a:ext uri="{FF2B5EF4-FFF2-40B4-BE49-F238E27FC236}">
              <a16:creationId xmlns:a16="http://schemas.microsoft.com/office/drawing/2014/main" id="{00000000-0008-0000-0200-000023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539</xdr:row>
      <xdr:rowOff>0</xdr:rowOff>
    </xdr:from>
    <xdr:ext cx="200025" cy="200025"/>
    <xdr:pic>
      <xdr:nvPicPr>
        <xdr:cNvPr id="804" name="image8.png">
          <a:extLst>
            <a:ext uri="{FF2B5EF4-FFF2-40B4-BE49-F238E27FC236}">
              <a16:creationId xmlns:a16="http://schemas.microsoft.com/office/drawing/2014/main" id="{00000000-0008-0000-0200-000024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540</xdr:row>
      <xdr:rowOff>0</xdr:rowOff>
    </xdr:from>
    <xdr:ext cx="200025" cy="200025"/>
    <xdr:pic>
      <xdr:nvPicPr>
        <xdr:cNvPr id="805" name="image8.png">
          <a:extLst>
            <a:ext uri="{FF2B5EF4-FFF2-40B4-BE49-F238E27FC236}">
              <a16:creationId xmlns:a16="http://schemas.microsoft.com/office/drawing/2014/main" id="{00000000-0008-0000-0200-00002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541</xdr:row>
      <xdr:rowOff>0</xdr:rowOff>
    </xdr:from>
    <xdr:ext cx="200025" cy="200025"/>
    <xdr:pic>
      <xdr:nvPicPr>
        <xdr:cNvPr id="806" name="image10.png">
          <a:extLst>
            <a:ext uri="{FF2B5EF4-FFF2-40B4-BE49-F238E27FC236}">
              <a16:creationId xmlns:a16="http://schemas.microsoft.com/office/drawing/2014/main" id="{00000000-0008-0000-0200-00002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541</xdr:row>
      <xdr:rowOff>0</xdr:rowOff>
    </xdr:from>
    <xdr:ext cx="200025" cy="200025"/>
    <xdr:pic>
      <xdr:nvPicPr>
        <xdr:cNvPr id="807" name="image6.png">
          <a:extLst>
            <a:ext uri="{FF2B5EF4-FFF2-40B4-BE49-F238E27FC236}">
              <a16:creationId xmlns:a16="http://schemas.microsoft.com/office/drawing/2014/main" id="{00000000-0008-0000-0200-000027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541</xdr:row>
      <xdr:rowOff>0</xdr:rowOff>
    </xdr:from>
    <xdr:ext cx="200025" cy="200025"/>
    <xdr:pic>
      <xdr:nvPicPr>
        <xdr:cNvPr id="808" name="image7.png">
          <a:extLst>
            <a:ext uri="{FF2B5EF4-FFF2-40B4-BE49-F238E27FC236}">
              <a16:creationId xmlns:a16="http://schemas.microsoft.com/office/drawing/2014/main" id="{00000000-0008-0000-0200-000028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541</xdr:row>
      <xdr:rowOff>0</xdr:rowOff>
    </xdr:from>
    <xdr:ext cx="200025" cy="200025"/>
    <xdr:pic>
      <xdr:nvPicPr>
        <xdr:cNvPr id="809" name="image1.png">
          <a:extLst>
            <a:ext uri="{FF2B5EF4-FFF2-40B4-BE49-F238E27FC236}">
              <a16:creationId xmlns:a16="http://schemas.microsoft.com/office/drawing/2014/main" id="{00000000-0008-0000-0200-000029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542</xdr:row>
      <xdr:rowOff>0</xdr:rowOff>
    </xdr:from>
    <xdr:ext cx="200025" cy="200025"/>
    <xdr:pic>
      <xdr:nvPicPr>
        <xdr:cNvPr id="810" name="image1.png">
          <a:extLst>
            <a:ext uri="{FF2B5EF4-FFF2-40B4-BE49-F238E27FC236}">
              <a16:creationId xmlns:a16="http://schemas.microsoft.com/office/drawing/2014/main" id="{00000000-0008-0000-0200-00002A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543</xdr:row>
      <xdr:rowOff>0</xdr:rowOff>
    </xdr:from>
    <xdr:ext cx="200025" cy="200025"/>
    <xdr:pic>
      <xdr:nvPicPr>
        <xdr:cNvPr id="811" name="image1.png">
          <a:extLst>
            <a:ext uri="{FF2B5EF4-FFF2-40B4-BE49-F238E27FC236}">
              <a16:creationId xmlns:a16="http://schemas.microsoft.com/office/drawing/2014/main" id="{00000000-0008-0000-0200-00002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544</xdr:row>
      <xdr:rowOff>0</xdr:rowOff>
    </xdr:from>
    <xdr:ext cx="200025" cy="200025"/>
    <xdr:pic>
      <xdr:nvPicPr>
        <xdr:cNvPr id="812" name="image10.png">
          <a:extLst>
            <a:ext uri="{FF2B5EF4-FFF2-40B4-BE49-F238E27FC236}">
              <a16:creationId xmlns:a16="http://schemas.microsoft.com/office/drawing/2014/main" id="{00000000-0008-0000-0200-00002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544</xdr:row>
      <xdr:rowOff>0</xdr:rowOff>
    </xdr:from>
    <xdr:ext cx="200025" cy="200025"/>
    <xdr:pic>
      <xdr:nvPicPr>
        <xdr:cNvPr id="813" name="image1.png">
          <a:extLst>
            <a:ext uri="{FF2B5EF4-FFF2-40B4-BE49-F238E27FC236}">
              <a16:creationId xmlns:a16="http://schemas.microsoft.com/office/drawing/2014/main" id="{00000000-0008-0000-0200-00002D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544</xdr:row>
      <xdr:rowOff>0</xdr:rowOff>
    </xdr:from>
    <xdr:ext cx="200025" cy="200025"/>
    <xdr:pic>
      <xdr:nvPicPr>
        <xdr:cNvPr id="814" name="image11.png">
          <a:extLst>
            <a:ext uri="{FF2B5EF4-FFF2-40B4-BE49-F238E27FC236}">
              <a16:creationId xmlns:a16="http://schemas.microsoft.com/office/drawing/2014/main" id="{00000000-0008-0000-0200-00002E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544</xdr:row>
      <xdr:rowOff>0</xdr:rowOff>
    </xdr:from>
    <xdr:ext cx="200025" cy="200025"/>
    <xdr:pic>
      <xdr:nvPicPr>
        <xdr:cNvPr id="815" name="image8.png">
          <a:extLst>
            <a:ext uri="{FF2B5EF4-FFF2-40B4-BE49-F238E27FC236}">
              <a16:creationId xmlns:a16="http://schemas.microsoft.com/office/drawing/2014/main" id="{00000000-0008-0000-0200-00002F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545</xdr:row>
      <xdr:rowOff>0</xdr:rowOff>
    </xdr:from>
    <xdr:ext cx="200025" cy="200025"/>
    <xdr:pic>
      <xdr:nvPicPr>
        <xdr:cNvPr id="816" name="image8.png">
          <a:extLst>
            <a:ext uri="{FF2B5EF4-FFF2-40B4-BE49-F238E27FC236}">
              <a16:creationId xmlns:a16="http://schemas.microsoft.com/office/drawing/2014/main" id="{00000000-0008-0000-0200-000030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546</xdr:row>
      <xdr:rowOff>0</xdr:rowOff>
    </xdr:from>
    <xdr:ext cx="200025" cy="200025"/>
    <xdr:pic>
      <xdr:nvPicPr>
        <xdr:cNvPr id="817" name="image8.png">
          <a:extLst>
            <a:ext uri="{FF2B5EF4-FFF2-40B4-BE49-F238E27FC236}">
              <a16:creationId xmlns:a16="http://schemas.microsoft.com/office/drawing/2014/main" id="{00000000-0008-0000-0200-00003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547</xdr:row>
      <xdr:rowOff>0</xdr:rowOff>
    </xdr:from>
    <xdr:ext cx="200025" cy="200025"/>
    <xdr:pic>
      <xdr:nvPicPr>
        <xdr:cNvPr id="818" name="image10.png">
          <a:extLst>
            <a:ext uri="{FF2B5EF4-FFF2-40B4-BE49-F238E27FC236}">
              <a16:creationId xmlns:a16="http://schemas.microsoft.com/office/drawing/2014/main" id="{00000000-0008-0000-0200-00003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547</xdr:row>
      <xdr:rowOff>0</xdr:rowOff>
    </xdr:from>
    <xdr:ext cx="200025" cy="200025"/>
    <xdr:pic>
      <xdr:nvPicPr>
        <xdr:cNvPr id="819" name="image1.png">
          <a:extLst>
            <a:ext uri="{FF2B5EF4-FFF2-40B4-BE49-F238E27FC236}">
              <a16:creationId xmlns:a16="http://schemas.microsoft.com/office/drawing/2014/main" id="{00000000-0008-0000-0200-000033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547</xdr:row>
      <xdr:rowOff>0</xdr:rowOff>
    </xdr:from>
    <xdr:ext cx="200025" cy="200025"/>
    <xdr:pic>
      <xdr:nvPicPr>
        <xdr:cNvPr id="820" name="image3.png">
          <a:extLst>
            <a:ext uri="{FF2B5EF4-FFF2-40B4-BE49-F238E27FC236}">
              <a16:creationId xmlns:a16="http://schemas.microsoft.com/office/drawing/2014/main" id="{00000000-0008-0000-0200-000034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547</xdr:row>
      <xdr:rowOff>0</xdr:rowOff>
    </xdr:from>
    <xdr:ext cx="200025" cy="200025"/>
    <xdr:pic>
      <xdr:nvPicPr>
        <xdr:cNvPr id="821" name="image8.png">
          <a:extLst>
            <a:ext uri="{FF2B5EF4-FFF2-40B4-BE49-F238E27FC236}">
              <a16:creationId xmlns:a16="http://schemas.microsoft.com/office/drawing/2014/main" id="{00000000-0008-0000-0200-00003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548</xdr:row>
      <xdr:rowOff>0</xdr:rowOff>
    </xdr:from>
    <xdr:ext cx="200025" cy="200025"/>
    <xdr:pic>
      <xdr:nvPicPr>
        <xdr:cNvPr id="822" name="image8.png">
          <a:extLst>
            <a:ext uri="{FF2B5EF4-FFF2-40B4-BE49-F238E27FC236}">
              <a16:creationId xmlns:a16="http://schemas.microsoft.com/office/drawing/2014/main" id="{00000000-0008-0000-0200-00003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549</xdr:row>
      <xdr:rowOff>0</xdr:rowOff>
    </xdr:from>
    <xdr:ext cx="200025" cy="200025"/>
    <xdr:pic>
      <xdr:nvPicPr>
        <xdr:cNvPr id="823" name="image8.png">
          <a:extLst>
            <a:ext uri="{FF2B5EF4-FFF2-40B4-BE49-F238E27FC236}">
              <a16:creationId xmlns:a16="http://schemas.microsoft.com/office/drawing/2014/main" id="{00000000-0008-0000-0200-000037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550</xdr:row>
      <xdr:rowOff>0</xdr:rowOff>
    </xdr:from>
    <xdr:ext cx="200025" cy="200025"/>
    <xdr:pic>
      <xdr:nvPicPr>
        <xdr:cNvPr id="824" name="image10.png">
          <a:extLst>
            <a:ext uri="{FF2B5EF4-FFF2-40B4-BE49-F238E27FC236}">
              <a16:creationId xmlns:a16="http://schemas.microsoft.com/office/drawing/2014/main" id="{00000000-0008-0000-0200-00003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550</xdr:row>
      <xdr:rowOff>0</xdr:rowOff>
    </xdr:from>
    <xdr:ext cx="200025" cy="200025"/>
    <xdr:pic>
      <xdr:nvPicPr>
        <xdr:cNvPr id="825" name="image9.png">
          <a:extLst>
            <a:ext uri="{FF2B5EF4-FFF2-40B4-BE49-F238E27FC236}">
              <a16:creationId xmlns:a16="http://schemas.microsoft.com/office/drawing/2014/main" id="{00000000-0008-0000-0200-000039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550</xdr:row>
      <xdr:rowOff>0</xdr:rowOff>
    </xdr:from>
    <xdr:ext cx="200025" cy="200025"/>
    <xdr:pic>
      <xdr:nvPicPr>
        <xdr:cNvPr id="826" name="image3.png">
          <a:extLst>
            <a:ext uri="{FF2B5EF4-FFF2-40B4-BE49-F238E27FC236}">
              <a16:creationId xmlns:a16="http://schemas.microsoft.com/office/drawing/2014/main" id="{00000000-0008-0000-0200-00003A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550</xdr:row>
      <xdr:rowOff>0</xdr:rowOff>
    </xdr:from>
    <xdr:ext cx="200025" cy="200025"/>
    <xdr:pic>
      <xdr:nvPicPr>
        <xdr:cNvPr id="827" name="image11.png">
          <a:extLst>
            <a:ext uri="{FF2B5EF4-FFF2-40B4-BE49-F238E27FC236}">
              <a16:creationId xmlns:a16="http://schemas.microsoft.com/office/drawing/2014/main" id="{00000000-0008-0000-0200-00003B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550</xdr:row>
      <xdr:rowOff>0</xdr:rowOff>
    </xdr:from>
    <xdr:ext cx="200025" cy="200025"/>
    <xdr:pic>
      <xdr:nvPicPr>
        <xdr:cNvPr id="828" name="image10.png">
          <a:extLst>
            <a:ext uri="{FF2B5EF4-FFF2-40B4-BE49-F238E27FC236}">
              <a16:creationId xmlns:a16="http://schemas.microsoft.com/office/drawing/2014/main" id="{00000000-0008-0000-0200-00003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551</xdr:row>
      <xdr:rowOff>0</xdr:rowOff>
    </xdr:from>
    <xdr:ext cx="200025" cy="200025"/>
    <xdr:pic>
      <xdr:nvPicPr>
        <xdr:cNvPr id="829" name="image10.png">
          <a:extLst>
            <a:ext uri="{FF2B5EF4-FFF2-40B4-BE49-F238E27FC236}">
              <a16:creationId xmlns:a16="http://schemas.microsoft.com/office/drawing/2014/main" id="{00000000-0008-0000-0200-00003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552</xdr:row>
      <xdr:rowOff>0</xdr:rowOff>
    </xdr:from>
    <xdr:ext cx="200025" cy="200025"/>
    <xdr:pic>
      <xdr:nvPicPr>
        <xdr:cNvPr id="830" name="image10.png">
          <a:extLst>
            <a:ext uri="{FF2B5EF4-FFF2-40B4-BE49-F238E27FC236}">
              <a16:creationId xmlns:a16="http://schemas.microsoft.com/office/drawing/2014/main" id="{00000000-0008-0000-0200-00003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553</xdr:row>
      <xdr:rowOff>0</xdr:rowOff>
    </xdr:from>
    <xdr:ext cx="200025" cy="200025"/>
    <xdr:pic>
      <xdr:nvPicPr>
        <xdr:cNvPr id="831" name="image10.png">
          <a:extLst>
            <a:ext uri="{FF2B5EF4-FFF2-40B4-BE49-F238E27FC236}">
              <a16:creationId xmlns:a16="http://schemas.microsoft.com/office/drawing/2014/main" id="{00000000-0008-0000-0200-00003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553</xdr:row>
      <xdr:rowOff>0</xdr:rowOff>
    </xdr:from>
    <xdr:ext cx="200025" cy="200025"/>
    <xdr:pic>
      <xdr:nvPicPr>
        <xdr:cNvPr id="832" name="image9.png">
          <a:extLst>
            <a:ext uri="{FF2B5EF4-FFF2-40B4-BE49-F238E27FC236}">
              <a16:creationId xmlns:a16="http://schemas.microsoft.com/office/drawing/2014/main" id="{00000000-0008-0000-0200-00004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553</xdr:row>
      <xdr:rowOff>0</xdr:rowOff>
    </xdr:from>
    <xdr:ext cx="200025" cy="200025"/>
    <xdr:pic>
      <xdr:nvPicPr>
        <xdr:cNvPr id="833" name="image5.png">
          <a:extLst>
            <a:ext uri="{FF2B5EF4-FFF2-40B4-BE49-F238E27FC236}">
              <a16:creationId xmlns:a16="http://schemas.microsoft.com/office/drawing/2014/main" id="{00000000-0008-0000-0200-000041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553</xdr:row>
      <xdr:rowOff>0</xdr:rowOff>
    </xdr:from>
    <xdr:ext cx="200025" cy="200025"/>
    <xdr:pic>
      <xdr:nvPicPr>
        <xdr:cNvPr id="834" name="image12.png">
          <a:extLst>
            <a:ext uri="{FF2B5EF4-FFF2-40B4-BE49-F238E27FC236}">
              <a16:creationId xmlns:a16="http://schemas.microsoft.com/office/drawing/2014/main" id="{00000000-0008-0000-0200-000042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554</xdr:row>
      <xdr:rowOff>0</xdr:rowOff>
    </xdr:from>
    <xdr:ext cx="200025" cy="200025"/>
    <xdr:pic>
      <xdr:nvPicPr>
        <xdr:cNvPr id="835" name="image12.png">
          <a:extLst>
            <a:ext uri="{FF2B5EF4-FFF2-40B4-BE49-F238E27FC236}">
              <a16:creationId xmlns:a16="http://schemas.microsoft.com/office/drawing/2014/main" id="{00000000-0008-0000-0200-000043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555</xdr:row>
      <xdr:rowOff>0</xdr:rowOff>
    </xdr:from>
    <xdr:ext cx="200025" cy="200025"/>
    <xdr:pic>
      <xdr:nvPicPr>
        <xdr:cNvPr id="836" name="image6.png">
          <a:extLst>
            <a:ext uri="{FF2B5EF4-FFF2-40B4-BE49-F238E27FC236}">
              <a16:creationId xmlns:a16="http://schemas.microsoft.com/office/drawing/2014/main" id="{00000000-0008-0000-0200-000044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556</xdr:row>
      <xdr:rowOff>0</xdr:rowOff>
    </xdr:from>
    <xdr:ext cx="200025" cy="200025"/>
    <xdr:pic>
      <xdr:nvPicPr>
        <xdr:cNvPr id="837" name="image10.png">
          <a:extLst>
            <a:ext uri="{FF2B5EF4-FFF2-40B4-BE49-F238E27FC236}">
              <a16:creationId xmlns:a16="http://schemas.microsoft.com/office/drawing/2014/main" id="{00000000-0008-0000-0200-00004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556</xdr:row>
      <xdr:rowOff>0</xdr:rowOff>
    </xdr:from>
    <xdr:ext cx="200025" cy="200025"/>
    <xdr:pic>
      <xdr:nvPicPr>
        <xdr:cNvPr id="838" name="image2.png">
          <a:extLst>
            <a:ext uri="{FF2B5EF4-FFF2-40B4-BE49-F238E27FC236}">
              <a16:creationId xmlns:a16="http://schemas.microsoft.com/office/drawing/2014/main" id="{00000000-0008-0000-0200-000046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556</xdr:row>
      <xdr:rowOff>0</xdr:rowOff>
    </xdr:from>
    <xdr:ext cx="200025" cy="200025"/>
    <xdr:pic>
      <xdr:nvPicPr>
        <xdr:cNvPr id="839" name="image4.png">
          <a:extLst>
            <a:ext uri="{FF2B5EF4-FFF2-40B4-BE49-F238E27FC236}">
              <a16:creationId xmlns:a16="http://schemas.microsoft.com/office/drawing/2014/main" id="{00000000-0008-0000-0200-000047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556</xdr:row>
      <xdr:rowOff>0</xdr:rowOff>
    </xdr:from>
    <xdr:ext cx="200025" cy="200025"/>
    <xdr:pic>
      <xdr:nvPicPr>
        <xdr:cNvPr id="840" name="image9.png">
          <a:extLst>
            <a:ext uri="{FF2B5EF4-FFF2-40B4-BE49-F238E27FC236}">
              <a16:creationId xmlns:a16="http://schemas.microsoft.com/office/drawing/2014/main" id="{00000000-0008-0000-0200-000048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558</xdr:row>
      <xdr:rowOff>0</xdr:rowOff>
    </xdr:from>
    <xdr:ext cx="200025" cy="200025"/>
    <xdr:pic>
      <xdr:nvPicPr>
        <xdr:cNvPr id="841" name="image9.png">
          <a:extLst>
            <a:ext uri="{FF2B5EF4-FFF2-40B4-BE49-F238E27FC236}">
              <a16:creationId xmlns:a16="http://schemas.microsoft.com/office/drawing/2014/main" id="{00000000-0008-0000-0200-000049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559</xdr:row>
      <xdr:rowOff>0</xdr:rowOff>
    </xdr:from>
    <xdr:ext cx="200025" cy="200025"/>
    <xdr:pic>
      <xdr:nvPicPr>
        <xdr:cNvPr id="842" name="image10.png">
          <a:extLst>
            <a:ext uri="{FF2B5EF4-FFF2-40B4-BE49-F238E27FC236}">
              <a16:creationId xmlns:a16="http://schemas.microsoft.com/office/drawing/2014/main" id="{00000000-0008-0000-0200-00004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559</xdr:row>
      <xdr:rowOff>0</xdr:rowOff>
    </xdr:from>
    <xdr:ext cx="200025" cy="200025"/>
    <xdr:pic>
      <xdr:nvPicPr>
        <xdr:cNvPr id="843" name="image1.png">
          <a:extLst>
            <a:ext uri="{FF2B5EF4-FFF2-40B4-BE49-F238E27FC236}">
              <a16:creationId xmlns:a16="http://schemas.microsoft.com/office/drawing/2014/main" id="{00000000-0008-0000-0200-00004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559</xdr:row>
      <xdr:rowOff>0</xdr:rowOff>
    </xdr:from>
    <xdr:ext cx="200025" cy="200025"/>
    <xdr:pic>
      <xdr:nvPicPr>
        <xdr:cNvPr id="844" name="image7.png">
          <a:extLst>
            <a:ext uri="{FF2B5EF4-FFF2-40B4-BE49-F238E27FC236}">
              <a16:creationId xmlns:a16="http://schemas.microsoft.com/office/drawing/2014/main" id="{00000000-0008-0000-0200-00004C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560</xdr:row>
      <xdr:rowOff>0</xdr:rowOff>
    </xdr:from>
    <xdr:ext cx="200025" cy="200025"/>
    <xdr:pic>
      <xdr:nvPicPr>
        <xdr:cNvPr id="845" name="image9.png">
          <a:extLst>
            <a:ext uri="{FF2B5EF4-FFF2-40B4-BE49-F238E27FC236}">
              <a16:creationId xmlns:a16="http://schemas.microsoft.com/office/drawing/2014/main" id="{00000000-0008-0000-0200-00004D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561</xdr:row>
      <xdr:rowOff>0</xdr:rowOff>
    </xdr:from>
    <xdr:ext cx="200025" cy="200025"/>
    <xdr:pic>
      <xdr:nvPicPr>
        <xdr:cNvPr id="846" name="image9.png">
          <a:extLst>
            <a:ext uri="{FF2B5EF4-FFF2-40B4-BE49-F238E27FC236}">
              <a16:creationId xmlns:a16="http://schemas.microsoft.com/office/drawing/2014/main" id="{00000000-0008-0000-0200-00004E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565</xdr:row>
      <xdr:rowOff>0</xdr:rowOff>
    </xdr:from>
    <xdr:ext cx="200025" cy="200025"/>
    <xdr:pic>
      <xdr:nvPicPr>
        <xdr:cNvPr id="847" name="image10.png">
          <a:extLst>
            <a:ext uri="{FF2B5EF4-FFF2-40B4-BE49-F238E27FC236}">
              <a16:creationId xmlns:a16="http://schemas.microsoft.com/office/drawing/2014/main" id="{00000000-0008-0000-0200-00004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565</xdr:row>
      <xdr:rowOff>0</xdr:rowOff>
    </xdr:from>
    <xdr:ext cx="200025" cy="200025"/>
    <xdr:pic>
      <xdr:nvPicPr>
        <xdr:cNvPr id="848" name="image2.png">
          <a:extLst>
            <a:ext uri="{FF2B5EF4-FFF2-40B4-BE49-F238E27FC236}">
              <a16:creationId xmlns:a16="http://schemas.microsoft.com/office/drawing/2014/main" id="{00000000-0008-0000-0200-000050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565</xdr:row>
      <xdr:rowOff>0</xdr:rowOff>
    </xdr:from>
    <xdr:ext cx="200025" cy="200025"/>
    <xdr:pic>
      <xdr:nvPicPr>
        <xdr:cNvPr id="849" name="image11.png">
          <a:extLst>
            <a:ext uri="{FF2B5EF4-FFF2-40B4-BE49-F238E27FC236}">
              <a16:creationId xmlns:a16="http://schemas.microsoft.com/office/drawing/2014/main" id="{00000000-0008-0000-0200-000051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569</xdr:row>
      <xdr:rowOff>0</xdr:rowOff>
    </xdr:from>
    <xdr:ext cx="200025" cy="200025"/>
    <xdr:pic>
      <xdr:nvPicPr>
        <xdr:cNvPr id="850" name="image8.png">
          <a:extLst>
            <a:ext uri="{FF2B5EF4-FFF2-40B4-BE49-F238E27FC236}">
              <a16:creationId xmlns:a16="http://schemas.microsoft.com/office/drawing/2014/main" id="{00000000-0008-0000-0200-00005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569</xdr:row>
      <xdr:rowOff>0</xdr:rowOff>
    </xdr:from>
    <xdr:ext cx="200025" cy="200025"/>
    <xdr:pic>
      <xdr:nvPicPr>
        <xdr:cNvPr id="851" name="image1.png">
          <a:extLst>
            <a:ext uri="{FF2B5EF4-FFF2-40B4-BE49-F238E27FC236}">
              <a16:creationId xmlns:a16="http://schemas.microsoft.com/office/drawing/2014/main" id="{00000000-0008-0000-0200-000053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569</xdr:row>
      <xdr:rowOff>0</xdr:rowOff>
    </xdr:from>
    <xdr:ext cx="200025" cy="200025"/>
    <xdr:pic>
      <xdr:nvPicPr>
        <xdr:cNvPr id="852" name="image5.png">
          <a:extLst>
            <a:ext uri="{FF2B5EF4-FFF2-40B4-BE49-F238E27FC236}">
              <a16:creationId xmlns:a16="http://schemas.microsoft.com/office/drawing/2014/main" id="{00000000-0008-0000-0200-000054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569</xdr:row>
      <xdr:rowOff>0</xdr:rowOff>
    </xdr:from>
    <xdr:ext cx="200025" cy="200025"/>
    <xdr:pic>
      <xdr:nvPicPr>
        <xdr:cNvPr id="853" name="image8.png">
          <a:extLst>
            <a:ext uri="{FF2B5EF4-FFF2-40B4-BE49-F238E27FC236}">
              <a16:creationId xmlns:a16="http://schemas.microsoft.com/office/drawing/2014/main" id="{00000000-0008-0000-0200-00005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570</xdr:row>
      <xdr:rowOff>0</xdr:rowOff>
    </xdr:from>
    <xdr:ext cx="200025" cy="200025"/>
    <xdr:pic>
      <xdr:nvPicPr>
        <xdr:cNvPr id="854" name="image8.png">
          <a:extLst>
            <a:ext uri="{FF2B5EF4-FFF2-40B4-BE49-F238E27FC236}">
              <a16:creationId xmlns:a16="http://schemas.microsoft.com/office/drawing/2014/main" id="{00000000-0008-0000-0200-00005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571</xdr:row>
      <xdr:rowOff>0</xdr:rowOff>
    </xdr:from>
    <xdr:ext cx="200025" cy="200025"/>
    <xdr:pic>
      <xdr:nvPicPr>
        <xdr:cNvPr id="855" name="image8.png">
          <a:extLst>
            <a:ext uri="{FF2B5EF4-FFF2-40B4-BE49-F238E27FC236}">
              <a16:creationId xmlns:a16="http://schemas.microsoft.com/office/drawing/2014/main" id="{00000000-0008-0000-0200-000057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572</xdr:row>
      <xdr:rowOff>0</xdr:rowOff>
    </xdr:from>
    <xdr:ext cx="200025" cy="200025"/>
    <xdr:pic>
      <xdr:nvPicPr>
        <xdr:cNvPr id="856" name="image8.png">
          <a:extLst>
            <a:ext uri="{FF2B5EF4-FFF2-40B4-BE49-F238E27FC236}">
              <a16:creationId xmlns:a16="http://schemas.microsoft.com/office/drawing/2014/main" id="{00000000-0008-0000-0200-000058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572</xdr:row>
      <xdr:rowOff>0</xdr:rowOff>
    </xdr:from>
    <xdr:ext cx="200025" cy="200025"/>
    <xdr:pic>
      <xdr:nvPicPr>
        <xdr:cNvPr id="857" name="image1.png">
          <a:extLst>
            <a:ext uri="{FF2B5EF4-FFF2-40B4-BE49-F238E27FC236}">
              <a16:creationId xmlns:a16="http://schemas.microsoft.com/office/drawing/2014/main" id="{00000000-0008-0000-0200-000059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572</xdr:row>
      <xdr:rowOff>0</xdr:rowOff>
    </xdr:from>
    <xdr:ext cx="200025" cy="200025"/>
    <xdr:pic>
      <xdr:nvPicPr>
        <xdr:cNvPr id="858" name="image7.png">
          <a:extLst>
            <a:ext uri="{FF2B5EF4-FFF2-40B4-BE49-F238E27FC236}">
              <a16:creationId xmlns:a16="http://schemas.microsoft.com/office/drawing/2014/main" id="{00000000-0008-0000-0200-00005A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574</xdr:row>
      <xdr:rowOff>0</xdr:rowOff>
    </xdr:from>
    <xdr:ext cx="200025" cy="200025"/>
    <xdr:pic>
      <xdr:nvPicPr>
        <xdr:cNvPr id="859" name="image8.png">
          <a:extLst>
            <a:ext uri="{FF2B5EF4-FFF2-40B4-BE49-F238E27FC236}">
              <a16:creationId xmlns:a16="http://schemas.microsoft.com/office/drawing/2014/main" id="{00000000-0008-0000-0200-00005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574</xdr:row>
      <xdr:rowOff>0</xdr:rowOff>
    </xdr:from>
    <xdr:ext cx="200025" cy="200025"/>
    <xdr:pic>
      <xdr:nvPicPr>
        <xdr:cNvPr id="860" name="image2.png">
          <a:extLst>
            <a:ext uri="{FF2B5EF4-FFF2-40B4-BE49-F238E27FC236}">
              <a16:creationId xmlns:a16="http://schemas.microsoft.com/office/drawing/2014/main" id="{00000000-0008-0000-0200-00005C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574</xdr:row>
      <xdr:rowOff>0</xdr:rowOff>
    </xdr:from>
    <xdr:ext cx="200025" cy="200025"/>
    <xdr:pic>
      <xdr:nvPicPr>
        <xdr:cNvPr id="861" name="image12.png">
          <a:extLst>
            <a:ext uri="{FF2B5EF4-FFF2-40B4-BE49-F238E27FC236}">
              <a16:creationId xmlns:a16="http://schemas.microsoft.com/office/drawing/2014/main" id="{00000000-0008-0000-0200-00005D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574</xdr:row>
      <xdr:rowOff>0</xdr:rowOff>
    </xdr:from>
    <xdr:ext cx="200025" cy="200025"/>
    <xdr:pic>
      <xdr:nvPicPr>
        <xdr:cNvPr id="862" name="image2.png">
          <a:extLst>
            <a:ext uri="{FF2B5EF4-FFF2-40B4-BE49-F238E27FC236}">
              <a16:creationId xmlns:a16="http://schemas.microsoft.com/office/drawing/2014/main" id="{00000000-0008-0000-0200-00005E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575</xdr:row>
      <xdr:rowOff>0</xdr:rowOff>
    </xdr:from>
    <xdr:ext cx="200025" cy="200025"/>
    <xdr:pic>
      <xdr:nvPicPr>
        <xdr:cNvPr id="863" name="image2.png">
          <a:extLst>
            <a:ext uri="{FF2B5EF4-FFF2-40B4-BE49-F238E27FC236}">
              <a16:creationId xmlns:a16="http://schemas.microsoft.com/office/drawing/2014/main" id="{00000000-0008-0000-0200-00005F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576</xdr:row>
      <xdr:rowOff>0</xdr:rowOff>
    </xdr:from>
    <xdr:ext cx="200025" cy="200025"/>
    <xdr:pic>
      <xdr:nvPicPr>
        <xdr:cNvPr id="864" name="image9.png">
          <a:extLst>
            <a:ext uri="{FF2B5EF4-FFF2-40B4-BE49-F238E27FC236}">
              <a16:creationId xmlns:a16="http://schemas.microsoft.com/office/drawing/2014/main" id="{00000000-0008-0000-0200-00006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576</xdr:row>
      <xdr:rowOff>0</xdr:rowOff>
    </xdr:from>
    <xdr:ext cx="200025" cy="200025"/>
    <xdr:pic>
      <xdr:nvPicPr>
        <xdr:cNvPr id="865" name="image2.png">
          <a:extLst>
            <a:ext uri="{FF2B5EF4-FFF2-40B4-BE49-F238E27FC236}">
              <a16:creationId xmlns:a16="http://schemas.microsoft.com/office/drawing/2014/main" id="{00000000-0008-0000-0200-000061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576</xdr:row>
      <xdr:rowOff>0</xdr:rowOff>
    </xdr:from>
    <xdr:ext cx="200025" cy="200025"/>
    <xdr:pic>
      <xdr:nvPicPr>
        <xdr:cNvPr id="866" name="image4.png">
          <a:extLst>
            <a:ext uri="{FF2B5EF4-FFF2-40B4-BE49-F238E27FC236}">
              <a16:creationId xmlns:a16="http://schemas.microsoft.com/office/drawing/2014/main" id="{00000000-0008-0000-0200-000062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576</xdr:row>
      <xdr:rowOff>0</xdr:rowOff>
    </xdr:from>
    <xdr:ext cx="200025" cy="200025"/>
    <xdr:pic>
      <xdr:nvPicPr>
        <xdr:cNvPr id="867" name="image8.png">
          <a:extLst>
            <a:ext uri="{FF2B5EF4-FFF2-40B4-BE49-F238E27FC236}">
              <a16:creationId xmlns:a16="http://schemas.microsoft.com/office/drawing/2014/main" id="{00000000-0008-0000-0200-00006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577</xdr:row>
      <xdr:rowOff>0</xdr:rowOff>
    </xdr:from>
    <xdr:ext cx="200025" cy="200025"/>
    <xdr:pic>
      <xdr:nvPicPr>
        <xdr:cNvPr id="868" name="image8.png">
          <a:extLst>
            <a:ext uri="{FF2B5EF4-FFF2-40B4-BE49-F238E27FC236}">
              <a16:creationId xmlns:a16="http://schemas.microsoft.com/office/drawing/2014/main" id="{00000000-0008-0000-0200-000064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578</xdr:row>
      <xdr:rowOff>0</xdr:rowOff>
    </xdr:from>
    <xdr:ext cx="200025" cy="200025"/>
    <xdr:pic>
      <xdr:nvPicPr>
        <xdr:cNvPr id="869" name="image8.png">
          <a:extLst>
            <a:ext uri="{FF2B5EF4-FFF2-40B4-BE49-F238E27FC236}">
              <a16:creationId xmlns:a16="http://schemas.microsoft.com/office/drawing/2014/main" id="{00000000-0008-0000-0200-00006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588</xdr:row>
      <xdr:rowOff>0</xdr:rowOff>
    </xdr:from>
    <xdr:ext cx="200025" cy="200025"/>
    <xdr:pic>
      <xdr:nvPicPr>
        <xdr:cNvPr id="870" name="image10.png">
          <a:extLst>
            <a:ext uri="{FF2B5EF4-FFF2-40B4-BE49-F238E27FC236}">
              <a16:creationId xmlns:a16="http://schemas.microsoft.com/office/drawing/2014/main" id="{00000000-0008-0000-0200-00006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588</xdr:row>
      <xdr:rowOff>0</xdr:rowOff>
    </xdr:from>
    <xdr:ext cx="200025" cy="200025"/>
    <xdr:pic>
      <xdr:nvPicPr>
        <xdr:cNvPr id="871" name="image6.png">
          <a:extLst>
            <a:ext uri="{FF2B5EF4-FFF2-40B4-BE49-F238E27FC236}">
              <a16:creationId xmlns:a16="http://schemas.microsoft.com/office/drawing/2014/main" id="{00000000-0008-0000-0200-000067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588</xdr:row>
      <xdr:rowOff>0</xdr:rowOff>
    </xdr:from>
    <xdr:ext cx="200025" cy="200025"/>
    <xdr:pic>
      <xdr:nvPicPr>
        <xdr:cNvPr id="872" name="image4.png">
          <a:extLst>
            <a:ext uri="{FF2B5EF4-FFF2-40B4-BE49-F238E27FC236}">
              <a16:creationId xmlns:a16="http://schemas.microsoft.com/office/drawing/2014/main" id="{00000000-0008-0000-0200-000068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589</xdr:row>
      <xdr:rowOff>0</xdr:rowOff>
    </xdr:from>
    <xdr:ext cx="200025" cy="200025"/>
    <xdr:pic>
      <xdr:nvPicPr>
        <xdr:cNvPr id="873" name="image8.png">
          <a:extLst>
            <a:ext uri="{FF2B5EF4-FFF2-40B4-BE49-F238E27FC236}">
              <a16:creationId xmlns:a16="http://schemas.microsoft.com/office/drawing/2014/main" id="{00000000-0008-0000-0200-00006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591</xdr:row>
      <xdr:rowOff>0</xdr:rowOff>
    </xdr:from>
    <xdr:ext cx="200025" cy="200025"/>
    <xdr:pic>
      <xdr:nvPicPr>
        <xdr:cNvPr id="874" name="image8.png">
          <a:extLst>
            <a:ext uri="{FF2B5EF4-FFF2-40B4-BE49-F238E27FC236}">
              <a16:creationId xmlns:a16="http://schemas.microsoft.com/office/drawing/2014/main" id="{00000000-0008-0000-0200-00006A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591</xdr:row>
      <xdr:rowOff>0</xdr:rowOff>
    </xdr:from>
    <xdr:ext cx="200025" cy="200025"/>
    <xdr:pic>
      <xdr:nvPicPr>
        <xdr:cNvPr id="875" name="image9.png">
          <a:extLst>
            <a:ext uri="{FF2B5EF4-FFF2-40B4-BE49-F238E27FC236}">
              <a16:creationId xmlns:a16="http://schemas.microsoft.com/office/drawing/2014/main" id="{00000000-0008-0000-0200-00006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591</xdr:row>
      <xdr:rowOff>0</xdr:rowOff>
    </xdr:from>
    <xdr:ext cx="200025" cy="200025"/>
    <xdr:pic>
      <xdr:nvPicPr>
        <xdr:cNvPr id="876" name="image5.png">
          <a:extLst>
            <a:ext uri="{FF2B5EF4-FFF2-40B4-BE49-F238E27FC236}">
              <a16:creationId xmlns:a16="http://schemas.microsoft.com/office/drawing/2014/main" id="{00000000-0008-0000-0200-00006C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591</xdr:row>
      <xdr:rowOff>0</xdr:rowOff>
    </xdr:from>
    <xdr:ext cx="200025" cy="200025"/>
    <xdr:pic>
      <xdr:nvPicPr>
        <xdr:cNvPr id="877" name="image6.png">
          <a:extLst>
            <a:ext uri="{FF2B5EF4-FFF2-40B4-BE49-F238E27FC236}">
              <a16:creationId xmlns:a16="http://schemas.microsoft.com/office/drawing/2014/main" id="{00000000-0008-0000-0200-00006D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592</xdr:row>
      <xdr:rowOff>0</xdr:rowOff>
    </xdr:from>
    <xdr:ext cx="200025" cy="200025"/>
    <xdr:pic>
      <xdr:nvPicPr>
        <xdr:cNvPr id="878" name="image6.png">
          <a:extLst>
            <a:ext uri="{FF2B5EF4-FFF2-40B4-BE49-F238E27FC236}">
              <a16:creationId xmlns:a16="http://schemas.microsoft.com/office/drawing/2014/main" id="{00000000-0008-0000-0200-00006E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593</xdr:row>
      <xdr:rowOff>0</xdr:rowOff>
    </xdr:from>
    <xdr:ext cx="200025" cy="200025"/>
    <xdr:pic>
      <xdr:nvPicPr>
        <xdr:cNvPr id="879" name="image6.png">
          <a:extLst>
            <a:ext uri="{FF2B5EF4-FFF2-40B4-BE49-F238E27FC236}">
              <a16:creationId xmlns:a16="http://schemas.microsoft.com/office/drawing/2014/main" id="{00000000-0008-0000-0200-00006F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594</xdr:row>
      <xdr:rowOff>0</xdr:rowOff>
    </xdr:from>
    <xdr:ext cx="200025" cy="200025"/>
    <xdr:pic>
      <xdr:nvPicPr>
        <xdr:cNvPr id="880" name="image8.png">
          <a:extLst>
            <a:ext uri="{FF2B5EF4-FFF2-40B4-BE49-F238E27FC236}">
              <a16:creationId xmlns:a16="http://schemas.microsoft.com/office/drawing/2014/main" id="{00000000-0008-0000-0200-000070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594</xdr:row>
      <xdr:rowOff>0</xdr:rowOff>
    </xdr:from>
    <xdr:ext cx="200025" cy="200025"/>
    <xdr:pic>
      <xdr:nvPicPr>
        <xdr:cNvPr id="881" name="image9.png">
          <a:extLst>
            <a:ext uri="{FF2B5EF4-FFF2-40B4-BE49-F238E27FC236}">
              <a16:creationId xmlns:a16="http://schemas.microsoft.com/office/drawing/2014/main" id="{00000000-0008-0000-0200-000071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594</xdr:row>
      <xdr:rowOff>0</xdr:rowOff>
    </xdr:from>
    <xdr:ext cx="200025" cy="200025"/>
    <xdr:pic>
      <xdr:nvPicPr>
        <xdr:cNvPr id="882" name="image5.png">
          <a:extLst>
            <a:ext uri="{FF2B5EF4-FFF2-40B4-BE49-F238E27FC236}">
              <a16:creationId xmlns:a16="http://schemas.microsoft.com/office/drawing/2014/main" id="{00000000-0008-0000-0200-000072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594</xdr:row>
      <xdr:rowOff>0</xdr:rowOff>
    </xdr:from>
    <xdr:ext cx="200025" cy="200025"/>
    <xdr:pic>
      <xdr:nvPicPr>
        <xdr:cNvPr id="883" name="image9.png">
          <a:extLst>
            <a:ext uri="{FF2B5EF4-FFF2-40B4-BE49-F238E27FC236}">
              <a16:creationId xmlns:a16="http://schemas.microsoft.com/office/drawing/2014/main" id="{00000000-0008-0000-0200-000073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595</xdr:row>
      <xdr:rowOff>0</xdr:rowOff>
    </xdr:from>
    <xdr:ext cx="200025" cy="200025"/>
    <xdr:pic>
      <xdr:nvPicPr>
        <xdr:cNvPr id="884" name="image9.png">
          <a:extLst>
            <a:ext uri="{FF2B5EF4-FFF2-40B4-BE49-F238E27FC236}">
              <a16:creationId xmlns:a16="http://schemas.microsoft.com/office/drawing/2014/main" id="{00000000-0008-0000-0200-000074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596</xdr:row>
      <xdr:rowOff>0</xdr:rowOff>
    </xdr:from>
    <xdr:ext cx="200025" cy="200025"/>
    <xdr:pic>
      <xdr:nvPicPr>
        <xdr:cNvPr id="885" name="image8.png">
          <a:extLst>
            <a:ext uri="{FF2B5EF4-FFF2-40B4-BE49-F238E27FC236}">
              <a16:creationId xmlns:a16="http://schemas.microsoft.com/office/drawing/2014/main" id="{00000000-0008-0000-0200-00007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596</xdr:row>
      <xdr:rowOff>0</xdr:rowOff>
    </xdr:from>
    <xdr:ext cx="200025" cy="200025"/>
    <xdr:pic>
      <xdr:nvPicPr>
        <xdr:cNvPr id="886" name="image9.png">
          <a:extLst>
            <a:ext uri="{FF2B5EF4-FFF2-40B4-BE49-F238E27FC236}">
              <a16:creationId xmlns:a16="http://schemas.microsoft.com/office/drawing/2014/main" id="{00000000-0008-0000-0200-000076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596</xdr:row>
      <xdr:rowOff>0</xdr:rowOff>
    </xdr:from>
    <xdr:ext cx="200025" cy="200025"/>
    <xdr:pic>
      <xdr:nvPicPr>
        <xdr:cNvPr id="887" name="image5.png">
          <a:extLst>
            <a:ext uri="{FF2B5EF4-FFF2-40B4-BE49-F238E27FC236}">
              <a16:creationId xmlns:a16="http://schemas.microsoft.com/office/drawing/2014/main" id="{00000000-0008-0000-0200-00007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596</xdr:row>
      <xdr:rowOff>0</xdr:rowOff>
    </xdr:from>
    <xdr:ext cx="200025" cy="200025"/>
    <xdr:pic>
      <xdr:nvPicPr>
        <xdr:cNvPr id="888" name="image10.png">
          <a:extLst>
            <a:ext uri="{FF2B5EF4-FFF2-40B4-BE49-F238E27FC236}">
              <a16:creationId xmlns:a16="http://schemas.microsoft.com/office/drawing/2014/main" id="{00000000-0008-0000-0200-00007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597</xdr:row>
      <xdr:rowOff>0</xdr:rowOff>
    </xdr:from>
    <xdr:ext cx="200025" cy="200025"/>
    <xdr:pic>
      <xdr:nvPicPr>
        <xdr:cNvPr id="889" name="image10.png">
          <a:extLst>
            <a:ext uri="{FF2B5EF4-FFF2-40B4-BE49-F238E27FC236}">
              <a16:creationId xmlns:a16="http://schemas.microsoft.com/office/drawing/2014/main" id="{00000000-0008-0000-0200-00007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599</xdr:row>
      <xdr:rowOff>0</xdr:rowOff>
    </xdr:from>
    <xdr:ext cx="200025" cy="200025"/>
    <xdr:pic>
      <xdr:nvPicPr>
        <xdr:cNvPr id="890" name="image10.png">
          <a:extLst>
            <a:ext uri="{FF2B5EF4-FFF2-40B4-BE49-F238E27FC236}">
              <a16:creationId xmlns:a16="http://schemas.microsoft.com/office/drawing/2014/main" id="{00000000-0008-0000-0200-00007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599</xdr:row>
      <xdr:rowOff>0</xdr:rowOff>
    </xdr:from>
    <xdr:ext cx="200025" cy="200025"/>
    <xdr:pic>
      <xdr:nvPicPr>
        <xdr:cNvPr id="891" name="image9.png">
          <a:extLst>
            <a:ext uri="{FF2B5EF4-FFF2-40B4-BE49-F238E27FC236}">
              <a16:creationId xmlns:a16="http://schemas.microsoft.com/office/drawing/2014/main" id="{00000000-0008-0000-0200-00007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599</xdr:row>
      <xdr:rowOff>0</xdr:rowOff>
    </xdr:from>
    <xdr:ext cx="200025" cy="200025"/>
    <xdr:pic>
      <xdr:nvPicPr>
        <xdr:cNvPr id="892" name="image12.png">
          <a:extLst>
            <a:ext uri="{FF2B5EF4-FFF2-40B4-BE49-F238E27FC236}">
              <a16:creationId xmlns:a16="http://schemas.microsoft.com/office/drawing/2014/main" id="{00000000-0008-0000-0200-00007C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599</xdr:row>
      <xdr:rowOff>0</xdr:rowOff>
    </xdr:from>
    <xdr:ext cx="200025" cy="200025"/>
    <xdr:pic>
      <xdr:nvPicPr>
        <xdr:cNvPr id="893" name="image5.png">
          <a:extLst>
            <a:ext uri="{FF2B5EF4-FFF2-40B4-BE49-F238E27FC236}">
              <a16:creationId xmlns:a16="http://schemas.microsoft.com/office/drawing/2014/main" id="{00000000-0008-0000-0200-00007D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600</xdr:row>
      <xdr:rowOff>0</xdr:rowOff>
    </xdr:from>
    <xdr:ext cx="200025" cy="200025"/>
    <xdr:pic>
      <xdr:nvPicPr>
        <xdr:cNvPr id="894" name="image5.png">
          <a:extLst>
            <a:ext uri="{FF2B5EF4-FFF2-40B4-BE49-F238E27FC236}">
              <a16:creationId xmlns:a16="http://schemas.microsoft.com/office/drawing/2014/main" id="{00000000-0008-0000-0200-00007E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601</xdr:row>
      <xdr:rowOff>0</xdr:rowOff>
    </xdr:from>
    <xdr:ext cx="200025" cy="200025"/>
    <xdr:pic>
      <xdr:nvPicPr>
        <xdr:cNvPr id="895" name="image6.png">
          <a:extLst>
            <a:ext uri="{FF2B5EF4-FFF2-40B4-BE49-F238E27FC236}">
              <a16:creationId xmlns:a16="http://schemas.microsoft.com/office/drawing/2014/main" id="{00000000-0008-0000-0200-00007F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603</xdr:row>
      <xdr:rowOff>0</xdr:rowOff>
    </xdr:from>
    <xdr:ext cx="200025" cy="200025"/>
    <xdr:pic>
      <xdr:nvPicPr>
        <xdr:cNvPr id="896" name="image10.png">
          <a:extLst>
            <a:ext uri="{FF2B5EF4-FFF2-40B4-BE49-F238E27FC236}">
              <a16:creationId xmlns:a16="http://schemas.microsoft.com/office/drawing/2014/main" id="{00000000-0008-0000-0200-00008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603</xdr:row>
      <xdr:rowOff>0</xdr:rowOff>
    </xdr:from>
    <xdr:ext cx="200025" cy="200025"/>
    <xdr:pic>
      <xdr:nvPicPr>
        <xdr:cNvPr id="897" name="image1.png">
          <a:extLst>
            <a:ext uri="{FF2B5EF4-FFF2-40B4-BE49-F238E27FC236}">
              <a16:creationId xmlns:a16="http://schemas.microsoft.com/office/drawing/2014/main" id="{00000000-0008-0000-0200-000081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603</xdr:row>
      <xdr:rowOff>0</xdr:rowOff>
    </xdr:from>
    <xdr:ext cx="200025" cy="200025"/>
    <xdr:pic>
      <xdr:nvPicPr>
        <xdr:cNvPr id="898" name="image3.png">
          <a:extLst>
            <a:ext uri="{FF2B5EF4-FFF2-40B4-BE49-F238E27FC236}">
              <a16:creationId xmlns:a16="http://schemas.microsoft.com/office/drawing/2014/main" id="{00000000-0008-0000-0200-000082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603</xdr:row>
      <xdr:rowOff>0</xdr:rowOff>
    </xdr:from>
    <xdr:ext cx="200025" cy="200025"/>
    <xdr:pic>
      <xdr:nvPicPr>
        <xdr:cNvPr id="899" name="image4.png">
          <a:extLst>
            <a:ext uri="{FF2B5EF4-FFF2-40B4-BE49-F238E27FC236}">
              <a16:creationId xmlns:a16="http://schemas.microsoft.com/office/drawing/2014/main" id="{00000000-0008-0000-0200-000083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604</xdr:row>
      <xdr:rowOff>0</xdr:rowOff>
    </xdr:from>
    <xdr:ext cx="200025" cy="200025"/>
    <xdr:pic>
      <xdr:nvPicPr>
        <xdr:cNvPr id="900" name="image4.png">
          <a:extLst>
            <a:ext uri="{FF2B5EF4-FFF2-40B4-BE49-F238E27FC236}">
              <a16:creationId xmlns:a16="http://schemas.microsoft.com/office/drawing/2014/main" id="{00000000-0008-0000-0200-000084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605</xdr:row>
      <xdr:rowOff>0</xdr:rowOff>
    </xdr:from>
    <xdr:ext cx="200025" cy="200025"/>
    <xdr:pic>
      <xdr:nvPicPr>
        <xdr:cNvPr id="901" name="image6.png">
          <a:extLst>
            <a:ext uri="{FF2B5EF4-FFF2-40B4-BE49-F238E27FC236}">
              <a16:creationId xmlns:a16="http://schemas.microsoft.com/office/drawing/2014/main" id="{00000000-0008-0000-0200-000085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606</xdr:row>
      <xdr:rowOff>0</xdr:rowOff>
    </xdr:from>
    <xdr:ext cx="200025" cy="200025"/>
    <xdr:pic>
      <xdr:nvPicPr>
        <xdr:cNvPr id="902" name="image8.png">
          <a:extLst>
            <a:ext uri="{FF2B5EF4-FFF2-40B4-BE49-F238E27FC236}">
              <a16:creationId xmlns:a16="http://schemas.microsoft.com/office/drawing/2014/main" id="{00000000-0008-0000-0200-00008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606</xdr:row>
      <xdr:rowOff>0</xdr:rowOff>
    </xdr:from>
    <xdr:ext cx="200025" cy="200025"/>
    <xdr:pic>
      <xdr:nvPicPr>
        <xdr:cNvPr id="903" name="image2.png">
          <a:extLst>
            <a:ext uri="{FF2B5EF4-FFF2-40B4-BE49-F238E27FC236}">
              <a16:creationId xmlns:a16="http://schemas.microsoft.com/office/drawing/2014/main" id="{00000000-0008-0000-0200-000087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606</xdr:row>
      <xdr:rowOff>0</xdr:rowOff>
    </xdr:from>
    <xdr:ext cx="200025" cy="200025"/>
    <xdr:pic>
      <xdr:nvPicPr>
        <xdr:cNvPr id="904" name="image5.png">
          <a:extLst>
            <a:ext uri="{FF2B5EF4-FFF2-40B4-BE49-F238E27FC236}">
              <a16:creationId xmlns:a16="http://schemas.microsoft.com/office/drawing/2014/main" id="{00000000-0008-0000-0200-000088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606</xdr:row>
      <xdr:rowOff>0</xdr:rowOff>
    </xdr:from>
    <xdr:ext cx="200025" cy="200025"/>
    <xdr:pic>
      <xdr:nvPicPr>
        <xdr:cNvPr id="905" name="image3.png">
          <a:extLst>
            <a:ext uri="{FF2B5EF4-FFF2-40B4-BE49-F238E27FC236}">
              <a16:creationId xmlns:a16="http://schemas.microsoft.com/office/drawing/2014/main" id="{00000000-0008-0000-0200-000089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606</xdr:row>
      <xdr:rowOff>0</xdr:rowOff>
    </xdr:from>
    <xdr:ext cx="200025" cy="200025"/>
    <xdr:pic>
      <xdr:nvPicPr>
        <xdr:cNvPr id="906" name="image11.png">
          <a:extLst>
            <a:ext uri="{FF2B5EF4-FFF2-40B4-BE49-F238E27FC236}">
              <a16:creationId xmlns:a16="http://schemas.microsoft.com/office/drawing/2014/main" id="{00000000-0008-0000-0200-00008A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612</xdr:row>
      <xdr:rowOff>0</xdr:rowOff>
    </xdr:from>
    <xdr:ext cx="200025" cy="200025"/>
    <xdr:pic>
      <xdr:nvPicPr>
        <xdr:cNvPr id="907" name="image8.png">
          <a:extLst>
            <a:ext uri="{FF2B5EF4-FFF2-40B4-BE49-F238E27FC236}">
              <a16:creationId xmlns:a16="http://schemas.microsoft.com/office/drawing/2014/main" id="{00000000-0008-0000-0200-00008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612</xdr:row>
      <xdr:rowOff>0</xdr:rowOff>
    </xdr:from>
    <xdr:ext cx="200025" cy="200025"/>
    <xdr:pic>
      <xdr:nvPicPr>
        <xdr:cNvPr id="908" name="image1.png">
          <a:extLst>
            <a:ext uri="{FF2B5EF4-FFF2-40B4-BE49-F238E27FC236}">
              <a16:creationId xmlns:a16="http://schemas.microsoft.com/office/drawing/2014/main" id="{00000000-0008-0000-0200-00008C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612</xdr:row>
      <xdr:rowOff>0</xdr:rowOff>
    </xdr:from>
    <xdr:ext cx="200025" cy="200025"/>
    <xdr:pic>
      <xdr:nvPicPr>
        <xdr:cNvPr id="909" name="image3.png">
          <a:extLst>
            <a:ext uri="{FF2B5EF4-FFF2-40B4-BE49-F238E27FC236}">
              <a16:creationId xmlns:a16="http://schemas.microsoft.com/office/drawing/2014/main" id="{00000000-0008-0000-0200-00008D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613</xdr:row>
      <xdr:rowOff>0</xdr:rowOff>
    </xdr:from>
    <xdr:ext cx="200025" cy="200025"/>
    <xdr:pic>
      <xdr:nvPicPr>
        <xdr:cNvPr id="910" name="image10.png">
          <a:extLst>
            <a:ext uri="{FF2B5EF4-FFF2-40B4-BE49-F238E27FC236}">
              <a16:creationId xmlns:a16="http://schemas.microsoft.com/office/drawing/2014/main" id="{00000000-0008-0000-0200-00008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614</xdr:row>
      <xdr:rowOff>0</xdr:rowOff>
    </xdr:from>
    <xdr:ext cx="200025" cy="200025"/>
    <xdr:pic>
      <xdr:nvPicPr>
        <xdr:cNvPr id="911" name="image10.png">
          <a:extLst>
            <a:ext uri="{FF2B5EF4-FFF2-40B4-BE49-F238E27FC236}">
              <a16:creationId xmlns:a16="http://schemas.microsoft.com/office/drawing/2014/main" id="{00000000-0008-0000-0200-00008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615</xdr:row>
      <xdr:rowOff>0</xdr:rowOff>
    </xdr:from>
    <xdr:ext cx="200025" cy="200025"/>
    <xdr:pic>
      <xdr:nvPicPr>
        <xdr:cNvPr id="912" name="image10.png">
          <a:extLst>
            <a:ext uri="{FF2B5EF4-FFF2-40B4-BE49-F238E27FC236}">
              <a16:creationId xmlns:a16="http://schemas.microsoft.com/office/drawing/2014/main" id="{00000000-0008-0000-0200-00009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615</xdr:row>
      <xdr:rowOff>0</xdr:rowOff>
    </xdr:from>
    <xdr:ext cx="200025" cy="200025"/>
    <xdr:pic>
      <xdr:nvPicPr>
        <xdr:cNvPr id="913" name="image2.png">
          <a:extLst>
            <a:ext uri="{FF2B5EF4-FFF2-40B4-BE49-F238E27FC236}">
              <a16:creationId xmlns:a16="http://schemas.microsoft.com/office/drawing/2014/main" id="{00000000-0008-0000-0200-000091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615</xdr:row>
      <xdr:rowOff>0</xdr:rowOff>
    </xdr:from>
    <xdr:ext cx="200025" cy="200025"/>
    <xdr:pic>
      <xdr:nvPicPr>
        <xdr:cNvPr id="914" name="image12.png">
          <a:extLst>
            <a:ext uri="{FF2B5EF4-FFF2-40B4-BE49-F238E27FC236}">
              <a16:creationId xmlns:a16="http://schemas.microsoft.com/office/drawing/2014/main" id="{00000000-0008-0000-0200-000092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616</xdr:row>
      <xdr:rowOff>0</xdr:rowOff>
    </xdr:from>
    <xdr:ext cx="200025" cy="200025"/>
    <xdr:pic>
      <xdr:nvPicPr>
        <xdr:cNvPr id="915" name="image8.png">
          <a:extLst>
            <a:ext uri="{FF2B5EF4-FFF2-40B4-BE49-F238E27FC236}">
              <a16:creationId xmlns:a16="http://schemas.microsoft.com/office/drawing/2014/main" id="{00000000-0008-0000-0200-00009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617</xdr:row>
      <xdr:rowOff>0</xdr:rowOff>
    </xdr:from>
    <xdr:ext cx="200025" cy="200025"/>
    <xdr:pic>
      <xdr:nvPicPr>
        <xdr:cNvPr id="916" name="image8.png">
          <a:extLst>
            <a:ext uri="{FF2B5EF4-FFF2-40B4-BE49-F238E27FC236}">
              <a16:creationId xmlns:a16="http://schemas.microsoft.com/office/drawing/2014/main" id="{00000000-0008-0000-0200-000094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618</xdr:row>
      <xdr:rowOff>0</xdr:rowOff>
    </xdr:from>
    <xdr:ext cx="200025" cy="200025"/>
    <xdr:pic>
      <xdr:nvPicPr>
        <xdr:cNvPr id="917" name="image10.png">
          <a:extLst>
            <a:ext uri="{FF2B5EF4-FFF2-40B4-BE49-F238E27FC236}">
              <a16:creationId xmlns:a16="http://schemas.microsoft.com/office/drawing/2014/main" id="{00000000-0008-0000-0200-00009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618</xdr:row>
      <xdr:rowOff>0</xdr:rowOff>
    </xdr:from>
    <xdr:ext cx="200025" cy="200025"/>
    <xdr:pic>
      <xdr:nvPicPr>
        <xdr:cNvPr id="918" name="image5.png">
          <a:extLst>
            <a:ext uri="{FF2B5EF4-FFF2-40B4-BE49-F238E27FC236}">
              <a16:creationId xmlns:a16="http://schemas.microsoft.com/office/drawing/2014/main" id="{00000000-0008-0000-0200-000096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618</xdr:row>
      <xdr:rowOff>0</xdr:rowOff>
    </xdr:from>
    <xdr:ext cx="200025" cy="200025"/>
    <xdr:pic>
      <xdr:nvPicPr>
        <xdr:cNvPr id="919" name="image7.png">
          <a:extLst>
            <a:ext uri="{FF2B5EF4-FFF2-40B4-BE49-F238E27FC236}">
              <a16:creationId xmlns:a16="http://schemas.microsoft.com/office/drawing/2014/main" id="{00000000-0008-0000-0200-000097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0</xdr:colOff>
      <xdr:row>618</xdr:row>
      <xdr:rowOff>0</xdr:rowOff>
    </xdr:from>
    <xdr:ext cx="200025" cy="200025"/>
    <xdr:pic>
      <xdr:nvPicPr>
        <xdr:cNvPr id="920" name="image11.png">
          <a:extLst>
            <a:ext uri="{FF2B5EF4-FFF2-40B4-BE49-F238E27FC236}">
              <a16:creationId xmlns:a16="http://schemas.microsoft.com/office/drawing/2014/main" id="{00000000-0008-0000-0200-000098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618</xdr:row>
      <xdr:rowOff>0</xdr:rowOff>
    </xdr:from>
    <xdr:ext cx="200025" cy="200025"/>
    <xdr:pic>
      <xdr:nvPicPr>
        <xdr:cNvPr id="921" name="image9.png">
          <a:extLst>
            <a:ext uri="{FF2B5EF4-FFF2-40B4-BE49-F238E27FC236}">
              <a16:creationId xmlns:a16="http://schemas.microsoft.com/office/drawing/2014/main" id="{00000000-0008-0000-0200-000099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619</xdr:row>
      <xdr:rowOff>0</xdr:rowOff>
    </xdr:from>
    <xdr:ext cx="200025" cy="200025"/>
    <xdr:pic>
      <xdr:nvPicPr>
        <xdr:cNvPr id="922" name="image9.png">
          <a:extLst>
            <a:ext uri="{FF2B5EF4-FFF2-40B4-BE49-F238E27FC236}">
              <a16:creationId xmlns:a16="http://schemas.microsoft.com/office/drawing/2014/main" id="{00000000-0008-0000-0200-00009A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621</xdr:row>
      <xdr:rowOff>0</xdr:rowOff>
    </xdr:from>
    <xdr:ext cx="200025" cy="200025"/>
    <xdr:pic>
      <xdr:nvPicPr>
        <xdr:cNvPr id="923" name="image8.png">
          <a:extLst>
            <a:ext uri="{FF2B5EF4-FFF2-40B4-BE49-F238E27FC236}">
              <a16:creationId xmlns:a16="http://schemas.microsoft.com/office/drawing/2014/main" id="{00000000-0008-0000-0200-00009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621</xdr:row>
      <xdr:rowOff>0</xdr:rowOff>
    </xdr:from>
    <xdr:ext cx="200025" cy="200025"/>
    <xdr:pic>
      <xdr:nvPicPr>
        <xdr:cNvPr id="924" name="image6.png">
          <a:extLst>
            <a:ext uri="{FF2B5EF4-FFF2-40B4-BE49-F238E27FC236}">
              <a16:creationId xmlns:a16="http://schemas.microsoft.com/office/drawing/2014/main" id="{00000000-0008-0000-0200-00009C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621</xdr:row>
      <xdr:rowOff>0</xdr:rowOff>
    </xdr:from>
    <xdr:ext cx="200025" cy="200025"/>
    <xdr:pic>
      <xdr:nvPicPr>
        <xdr:cNvPr id="925" name="image5.png">
          <a:extLst>
            <a:ext uri="{FF2B5EF4-FFF2-40B4-BE49-F238E27FC236}">
              <a16:creationId xmlns:a16="http://schemas.microsoft.com/office/drawing/2014/main" id="{00000000-0008-0000-0200-00009D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623</xdr:row>
      <xdr:rowOff>0</xdr:rowOff>
    </xdr:from>
    <xdr:ext cx="200025" cy="200025"/>
    <xdr:pic>
      <xdr:nvPicPr>
        <xdr:cNvPr id="926" name="image10.png">
          <a:extLst>
            <a:ext uri="{FF2B5EF4-FFF2-40B4-BE49-F238E27FC236}">
              <a16:creationId xmlns:a16="http://schemas.microsoft.com/office/drawing/2014/main" id="{00000000-0008-0000-0200-00009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623</xdr:row>
      <xdr:rowOff>0</xdr:rowOff>
    </xdr:from>
    <xdr:ext cx="200025" cy="200025"/>
    <xdr:pic>
      <xdr:nvPicPr>
        <xdr:cNvPr id="927" name="image9.png">
          <a:extLst>
            <a:ext uri="{FF2B5EF4-FFF2-40B4-BE49-F238E27FC236}">
              <a16:creationId xmlns:a16="http://schemas.microsoft.com/office/drawing/2014/main" id="{00000000-0008-0000-0200-00009F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623</xdr:row>
      <xdr:rowOff>0</xdr:rowOff>
    </xdr:from>
    <xdr:ext cx="200025" cy="200025"/>
    <xdr:pic>
      <xdr:nvPicPr>
        <xdr:cNvPr id="928" name="image4.png">
          <a:extLst>
            <a:ext uri="{FF2B5EF4-FFF2-40B4-BE49-F238E27FC236}">
              <a16:creationId xmlns:a16="http://schemas.microsoft.com/office/drawing/2014/main" id="{00000000-0008-0000-0200-0000A0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624</xdr:row>
      <xdr:rowOff>0</xdr:rowOff>
    </xdr:from>
    <xdr:ext cx="200025" cy="200025"/>
    <xdr:pic>
      <xdr:nvPicPr>
        <xdr:cNvPr id="929" name="image8.png">
          <a:extLst>
            <a:ext uri="{FF2B5EF4-FFF2-40B4-BE49-F238E27FC236}">
              <a16:creationId xmlns:a16="http://schemas.microsoft.com/office/drawing/2014/main" id="{00000000-0008-0000-0200-0000A1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625</xdr:row>
      <xdr:rowOff>0</xdr:rowOff>
    </xdr:from>
    <xdr:ext cx="200025" cy="200025"/>
    <xdr:pic>
      <xdr:nvPicPr>
        <xdr:cNvPr id="930" name="image8.png">
          <a:extLst>
            <a:ext uri="{FF2B5EF4-FFF2-40B4-BE49-F238E27FC236}">
              <a16:creationId xmlns:a16="http://schemas.microsoft.com/office/drawing/2014/main" id="{00000000-0008-0000-0200-0000A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626</xdr:row>
      <xdr:rowOff>0</xdr:rowOff>
    </xdr:from>
    <xdr:ext cx="200025" cy="200025"/>
    <xdr:pic>
      <xdr:nvPicPr>
        <xdr:cNvPr id="931" name="image10.png">
          <a:extLst>
            <a:ext uri="{FF2B5EF4-FFF2-40B4-BE49-F238E27FC236}">
              <a16:creationId xmlns:a16="http://schemas.microsoft.com/office/drawing/2014/main" id="{00000000-0008-0000-0200-0000A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626</xdr:row>
      <xdr:rowOff>0</xdr:rowOff>
    </xdr:from>
    <xdr:ext cx="200025" cy="200025"/>
    <xdr:pic>
      <xdr:nvPicPr>
        <xdr:cNvPr id="932" name="image1.png">
          <a:extLst>
            <a:ext uri="{FF2B5EF4-FFF2-40B4-BE49-F238E27FC236}">
              <a16:creationId xmlns:a16="http://schemas.microsoft.com/office/drawing/2014/main" id="{00000000-0008-0000-0200-0000A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626</xdr:row>
      <xdr:rowOff>0</xdr:rowOff>
    </xdr:from>
    <xdr:ext cx="200025" cy="200025"/>
    <xdr:pic>
      <xdr:nvPicPr>
        <xdr:cNvPr id="933" name="image5.png">
          <a:extLst>
            <a:ext uri="{FF2B5EF4-FFF2-40B4-BE49-F238E27FC236}">
              <a16:creationId xmlns:a16="http://schemas.microsoft.com/office/drawing/2014/main" id="{00000000-0008-0000-0200-0000A5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626</xdr:row>
      <xdr:rowOff>0</xdr:rowOff>
    </xdr:from>
    <xdr:ext cx="200025" cy="200025"/>
    <xdr:pic>
      <xdr:nvPicPr>
        <xdr:cNvPr id="934" name="image8.png">
          <a:extLst>
            <a:ext uri="{FF2B5EF4-FFF2-40B4-BE49-F238E27FC236}">
              <a16:creationId xmlns:a16="http://schemas.microsoft.com/office/drawing/2014/main" id="{00000000-0008-0000-0200-0000A6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627</xdr:row>
      <xdr:rowOff>0</xdr:rowOff>
    </xdr:from>
    <xdr:ext cx="200025" cy="200025"/>
    <xdr:pic>
      <xdr:nvPicPr>
        <xdr:cNvPr id="935" name="image8.png">
          <a:extLst>
            <a:ext uri="{FF2B5EF4-FFF2-40B4-BE49-F238E27FC236}">
              <a16:creationId xmlns:a16="http://schemas.microsoft.com/office/drawing/2014/main" id="{00000000-0008-0000-0200-0000A7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628</xdr:row>
      <xdr:rowOff>0</xdr:rowOff>
    </xdr:from>
    <xdr:ext cx="200025" cy="200025"/>
    <xdr:pic>
      <xdr:nvPicPr>
        <xdr:cNvPr id="936" name="image8.png">
          <a:extLst>
            <a:ext uri="{FF2B5EF4-FFF2-40B4-BE49-F238E27FC236}">
              <a16:creationId xmlns:a16="http://schemas.microsoft.com/office/drawing/2014/main" id="{00000000-0008-0000-0200-0000A8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640</xdr:row>
      <xdr:rowOff>0</xdr:rowOff>
    </xdr:from>
    <xdr:ext cx="200025" cy="200025"/>
    <xdr:pic>
      <xdr:nvPicPr>
        <xdr:cNvPr id="937" name="image8.png">
          <a:extLst>
            <a:ext uri="{FF2B5EF4-FFF2-40B4-BE49-F238E27FC236}">
              <a16:creationId xmlns:a16="http://schemas.microsoft.com/office/drawing/2014/main" id="{00000000-0008-0000-0200-0000A9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640</xdr:row>
      <xdr:rowOff>0</xdr:rowOff>
    </xdr:from>
    <xdr:ext cx="200025" cy="200025"/>
    <xdr:pic>
      <xdr:nvPicPr>
        <xdr:cNvPr id="938" name="image5.png">
          <a:extLst>
            <a:ext uri="{FF2B5EF4-FFF2-40B4-BE49-F238E27FC236}">
              <a16:creationId xmlns:a16="http://schemas.microsoft.com/office/drawing/2014/main" id="{00000000-0008-0000-0200-0000AA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640</xdr:row>
      <xdr:rowOff>0</xdr:rowOff>
    </xdr:from>
    <xdr:ext cx="200025" cy="200025"/>
    <xdr:pic>
      <xdr:nvPicPr>
        <xdr:cNvPr id="939" name="image7.png">
          <a:extLst>
            <a:ext uri="{FF2B5EF4-FFF2-40B4-BE49-F238E27FC236}">
              <a16:creationId xmlns:a16="http://schemas.microsoft.com/office/drawing/2014/main" id="{00000000-0008-0000-0200-0000AB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640</xdr:row>
      <xdr:rowOff>0</xdr:rowOff>
    </xdr:from>
    <xdr:ext cx="200025" cy="200025"/>
    <xdr:pic>
      <xdr:nvPicPr>
        <xdr:cNvPr id="940" name="image2.png">
          <a:extLst>
            <a:ext uri="{FF2B5EF4-FFF2-40B4-BE49-F238E27FC236}">
              <a16:creationId xmlns:a16="http://schemas.microsoft.com/office/drawing/2014/main" id="{00000000-0008-0000-0200-0000AC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641</xdr:row>
      <xdr:rowOff>0</xdr:rowOff>
    </xdr:from>
    <xdr:ext cx="200025" cy="200025"/>
    <xdr:pic>
      <xdr:nvPicPr>
        <xdr:cNvPr id="941" name="image2.png">
          <a:extLst>
            <a:ext uri="{FF2B5EF4-FFF2-40B4-BE49-F238E27FC236}">
              <a16:creationId xmlns:a16="http://schemas.microsoft.com/office/drawing/2014/main" id="{00000000-0008-0000-0200-0000AD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642</xdr:row>
      <xdr:rowOff>0</xdr:rowOff>
    </xdr:from>
    <xdr:ext cx="200025" cy="200025"/>
    <xdr:pic>
      <xdr:nvPicPr>
        <xdr:cNvPr id="942" name="image2.png">
          <a:extLst>
            <a:ext uri="{FF2B5EF4-FFF2-40B4-BE49-F238E27FC236}">
              <a16:creationId xmlns:a16="http://schemas.microsoft.com/office/drawing/2014/main" id="{00000000-0008-0000-0200-0000AE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643</xdr:row>
      <xdr:rowOff>0</xdr:rowOff>
    </xdr:from>
    <xdr:ext cx="200025" cy="200025"/>
    <xdr:pic>
      <xdr:nvPicPr>
        <xdr:cNvPr id="943" name="image10.png">
          <a:extLst>
            <a:ext uri="{FF2B5EF4-FFF2-40B4-BE49-F238E27FC236}">
              <a16:creationId xmlns:a16="http://schemas.microsoft.com/office/drawing/2014/main" id="{00000000-0008-0000-0200-0000A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643</xdr:row>
      <xdr:rowOff>0</xdr:rowOff>
    </xdr:from>
    <xdr:ext cx="200025" cy="200025"/>
    <xdr:pic>
      <xdr:nvPicPr>
        <xdr:cNvPr id="944" name="image2.png">
          <a:extLst>
            <a:ext uri="{FF2B5EF4-FFF2-40B4-BE49-F238E27FC236}">
              <a16:creationId xmlns:a16="http://schemas.microsoft.com/office/drawing/2014/main" id="{00000000-0008-0000-0200-0000B0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643</xdr:row>
      <xdr:rowOff>0</xdr:rowOff>
    </xdr:from>
    <xdr:ext cx="200025" cy="200025"/>
    <xdr:pic>
      <xdr:nvPicPr>
        <xdr:cNvPr id="945" name="image12.png">
          <a:extLst>
            <a:ext uri="{FF2B5EF4-FFF2-40B4-BE49-F238E27FC236}">
              <a16:creationId xmlns:a16="http://schemas.microsoft.com/office/drawing/2014/main" id="{00000000-0008-0000-0200-0000B1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643</xdr:row>
      <xdr:rowOff>0</xdr:rowOff>
    </xdr:from>
    <xdr:ext cx="200025" cy="200025"/>
    <xdr:pic>
      <xdr:nvPicPr>
        <xdr:cNvPr id="946" name="image1.png">
          <a:extLst>
            <a:ext uri="{FF2B5EF4-FFF2-40B4-BE49-F238E27FC236}">
              <a16:creationId xmlns:a16="http://schemas.microsoft.com/office/drawing/2014/main" id="{00000000-0008-0000-0200-0000B2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644</xdr:row>
      <xdr:rowOff>0</xdr:rowOff>
    </xdr:from>
    <xdr:ext cx="200025" cy="200025"/>
    <xdr:pic>
      <xdr:nvPicPr>
        <xdr:cNvPr id="947" name="image1.png">
          <a:extLst>
            <a:ext uri="{FF2B5EF4-FFF2-40B4-BE49-F238E27FC236}">
              <a16:creationId xmlns:a16="http://schemas.microsoft.com/office/drawing/2014/main" id="{00000000-0008-0000-0200-0000B3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645</xdr:row>
      <xdr:rowOff>0</xdr:rowOff>
    </xdr:from>
    <xdr:ext cx="200025" cy="200025"/>
    <xdr:pic>
      <xdr:nvPicPr>
        <xdr:cNvPr id="948" name="image1.png">
          <a:extLst>
            <a:ext uri="{FF2B5EF4-FFF2-40B4-BE49-F238E27FC236}">
              <a16:creationId xmlns:a16="http://schemas.microsoft.com/office/drawing/2014/main" id="{00000000-0008-0000-0200-0000B4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646</xdr:row>
      <xdr:rowOff>0</xdr:rowOff>
    </xdr:from>
    <xdr:ext cx="200025" cy="200025"/>
    <xdr:pic>
      <xdr:nvPicPr>
        <xdr:cNvPr id="949" name="image8.png">
          <a:extLst>
            <a:ext uri="{FF2B5EF4-FFF2-40B4-BE49-F238E27FC236}">
              <a16:creationId xmlns:a16="http://schemas.microsoft.com/office/drawing/2014/main" id="{00000000-0008-0000-0200-0000B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646</xdr:row>
      <xdr:rowOff>0</xdr:rowOff>
    </xdr:from>
    <xdr:ext cx="200025" cy="200025"/>
    <xdr:pic>
      <xdr:nvPicPr>
        <xdr:cNvPr id="950" name="image9.png">
          <a:extLst>
            <a:ext uri="{FF2B5EF4-FFF2-40B4-BE49-F238E27FC236}">
              <a16:creationId xmlns:a16="http://schemas.microsoft.com/office/drawing/2014/main" id="{00000000-0008-0000-0200-0000B6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646</xdr:row>
      <xdr:rowOff>0</xdr:rowOff>
    </xdr:from>
    <xdr:ext cx="200025" cy="200025"/>
    <xdr:pic>
      <xdr:nvPicPr>
        <xdr:cNvPr id="951" name="image5.png">
          <a:extLst>
            <a:ext uri="{FF2B5EF4-FFF2-40B4-BE49-F238E27FC236}">
              <a16:creationId xmlns:a16="http://schemas.microsoft.com/office/drawing/2014/main" id="{00000000-0008-0000-0200-0000B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649</xdr:row>
      <xdr:rowOff>0</xdr:rowOff>
    </xdr:from>
    <xdr:ext cx="200025" cy="200025"/>
    <xdr:pic>
      <xdr:nvPicPr>
        <xdr:cNvPr id="952" name="image10.png">
          <a:extLst>
            <a:ext uri="{FF2B5EF4-FFF2-40B4-BE49-F238E27FC236}">
              <a16:creationId xmlns:a16="http://schemas.microsoft.com/office/drawing/2014/main" id="{00000000-0008-0000-0200-0000B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649</xdr:row>
      <xdr:rowOff>0</xdr:rowOff>
    </xdr:from>
    <xdr:ext cx="200025" cy="200025"/>
    <xdr:pic>
      <xdr:nvPicPr>
        <xdr:cNvPr id="953" name="image6.png">
          <a:extLst>
            <a:ext uri="{FF2B5EF4-FFF2-40B4-BE49-F238E27FC236}">
              <a16:creationId xmlns:a16="http://schemas.microsoft.com/office/drawing/2014/main" id="{00000000-0008-0000-0200-0000B9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649</xdr:row>
      <xdr:rowOff>0</xdr:rowOff>
    </xdr:from>
    <xdr:ext cx="200025" cy="200025"/>
    <xdr:pic>
      <xdr:nvPicPr>
        <xdr:cNvPr id="954" name="image7.png">
          <a:extLst>
            <a:ext uri="{FF2B5EF4-FFF2-40B4-BE49-F238E27FC236}">
              <a16:creationId xmlns:a16="http://schemas.microsoft.com/office/drawing/2014/main" id="{00000000-0008-0000-0200-0000BA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649</xdr:row>
      <xdr:rowOff>0</xdr:rowOff>
    </xdr:from>
    <xdr:ext cx="200025" cy="200025"/>
    <xdr:pic>
      <xdr:nvPicPr>
        <xdr:cNvPr id="955" name="image1.png">
          <a:extLst>
            <a:ext uri="{FF2B5EF4-FFF2-40B4-BE49-F238E27FC236}">
              <a16:creationId xmlns:a16="http://schemas.microsoft.com/office/drawing/2014/main" id="{00000000-0008-0000-0200-0000B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650</xdr:row>
      <xdr:rowOff>0</xdr:rowOff>
    </xdr:from>
    <xdr:ext cx="200025" cy="200025"/>
    <xdr:pic>
      <xdr:nvPicPr>
        <xdr:cNvPr id="956" name="image1.png">
          <a:extLst>
            <a:ext uri="{FF2B5EF4-FFF2-40B4-BE49-F238E27FC236}">
              <a16:creationId xmlns:a16="http://schemas.microsoft.com/office/drawing/2014/main" id="{00000000-0008-0000-0200-0000BC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652</xdr:row>
      <xdr:rowOff>0</xdr:rowOff>
    </xdr:from>
    <xdr:ext cx="200025" cy="200025"/>
    <xdr:pic>
      <xdr:nvPicPr>
        <xdr:cNvPr id="957" name="image8.png">
          <a:extLst>
            <a:ext uri="{FF2B5EF4-FFF2-40B4-BE49-F238E27FC236}">
              <a16:creationId xmlns:a16="http://schemas.microsoft.com/office/drawing/2014/main" id="{00000000-0008-0000-0200-0000BD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652</xdr:row>
      <xdr:rowOff>0</xdr:rowOff>
    </xdr:from>
    <xdr:ext cx="200025" cy="200025"/>
    <xdr:pic>
      <xdr:nvPicPr>
        <xdr:cNvPr id="958" name="image9.png">
          <a:extLst>
            <a:ext uri="{FF2B5EF4-FFF2-40B4-BE49-F238E27FC236}">
              <a16:creationId xmlns:a16="http://schemas.microsoft.com/office/drawing/2014/main" id="{00000000-0008-0000-0200-0000BE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652</xdr:row>
      <xdr:rowOff>0</xdr:rowOff>
    </xdr:from>
    <xdr:ext cx="200025" cy="200025"/>
    <xdr:pic>
      <xdr:nvPicPr>
        <xdr:cNvPr id="959" name="image5.png">
          <a:extLst>
            <a:ext uri="{FF2B5EF4-FFF2-40B4-BE49-F238E27FC236}">
              <a16:creationId xmlns:a16="http://schemas.microsoft.com/office/drawing/2014/main" id="{00000000-0008-0000-0200-0000BF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656</xdr:row>
      <xdr:rowOff>0</xdr:rowOff>
    </xdr:from>
    <xdr:ext cx="200025" cy="200025"/>
    <xdr:pic>
      <xdr:nvPicPr>
        <xdr:cNvPr id="960" name="image8.png">
          <a:extLst>
            <a:ext uri="{FF2B5EF4-FFF2-40B4-BE49-F238E27FC236}">
              <a16:creationId xmlns:a16="http://schemas.microsoft.com/office/drawing/2014/main" id="{00000000-0008-0000-0200-0000C0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656</xdr:row>
      <xdr:rowOff>0</xdr:rowOff>
    </xdr:from>
    <xdr:ext cx="200025" cy="200025"/>
    <xdr:pic>
      <xdr:nvPicPr>
        <xdr:cNvPr id="961" name="image9.png">
          <a:extLst>
            <a:ext uri="{FF2B5EF4-FFF2-40B4-BE49-F238E27FC236}">
              <a16:creationId xmlns:a16="http://schemas.microsoft.com/office/drawing/2014/main" id="{00000000-0008-0000-0200-0000C1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656</xdr:row>
      <xdr:rowOff>0</xdr:rowOff>
    </xdr:from>
    <xdr:ext cx="200025" cy="200025"/>
    <xdr:pic>
      <xdr:nvPicPr>
        <xdr:cNvPr id="962" name="image4.png">
          <a:extLst>
            <a:ext uri="{FF2B5EF4-FFF2-40B4-BE49-F238E27FC236}">
              <a16:creationId xmlns:a16="http://schemas.microsoft.com/office/drawing/2014/main" id="{00000000-0008-0000-0200-0000C2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657</xdr:row>
      <xdr:rowOff>0</xdr:rowOff>
    </xdr:from>
    <xdr:ext cx="200025" cy="200025"/>
    <xdr:pic>
      <xdr:nvPicPr>
        <xdr:cNvPr id="963" name="image10.png">
          <a:extLst>
            <a:ext uri="{FF2B5EF4-FFF2-40B4-BE49-F238E27FC236}">
              <a16:creationId xmlns:a16="http://schemas.microsoft.com/office/drawing/2014/main" id="{00000000-0008-0000-0200-0000C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658</xdr:row>
      <xdr:rowOff>0</xdr:rowOff>
    </xdr:from>
    <xdr:ext cx="200025" cy="200025"/>
    <xdr:pic>
      <xdr:nvPicPr>
        <xdr:cNvPr id="964" name="image10.png">
          <a:extLst>
            <a:ext uri="{FF2B5EF4-FFF2-40B4-BE49-F238E27FC236}">
              <a16:creationId xmlns:a16="http://schemas.microsoft.com/office/drawing/2014/main" id="{00000000-0008-0000-0200-0000C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659</xdr:row>
      <xdr:rowOff>0</xdr:rowOff>
    </xdr:from>
    <xdr:ext cx="200025" cy="200025"/>
    <xdr:pic>
      <xdr:nvPicPr>
        <xdr:cNvPr id="965" name="image10.png">
          <a:extLst>
            <a:ext uri="{FF2B5EF4-FFF2-40B4-BE49-F238E27FC236}">
              <a16:creationId xmlns:a16="http://schemas.microsoft.com/office/drawing/2014/main" id="{00000000-0008-0000-0200-0000C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659</xdr:row>
      <xdr:rowOff>0</xdr:rowOff>
    </xdr:from>
    <xdr:ext cx="200025" cy="200025"/>
    <xdr:pic>
      <xdr:nvPicPr>
        <xdr:cNvPr id="966" name="image1.png">
          <a:extLst>
            <a:ext uri="{FF2B5EF4-FFF2-40B4-BE49-F238E27FC236}">
              <a16:creationId xmlns:a16="http://schemas.microsoft.com/office/drawing/2014/main" id="{00000000-0008-0000-0200-0000C6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659</xdr:row>
      <xdr:rowOff>0</xdr:rowOff>
    </xdr:from>
    <xdr:ext cx="200025" cy="200025"/>
    <xdr:pic>
      <xdr:nvPicPr>
        <xdr:cNvPr id="967" name="image5.png">
          <a:extLst>
            <a:ext uri="{FF2B5EF4-FFF2-40B4-BE49-F238E27FC236}">
              <a16:creationId xmlns:a16="http://schemas.microsoft.com/office/drawing/2014/main" id="{00000000-0008-0000-0200-0000C7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659</xdr:row>
      <xdr:rowOff>0</xdr:rowOff>
    </xdr:from>
    <xdr:ext cx="200025" cy="200025"/>
    <xdr:pic>
      <xdr:nvPicPr>
        <xdr:cNvPr id="968" name="image10.png">
          <a:extLst>
            <a:ext uri="{FF2B5EF4-FFF2-40B4-BE49-F238E27FC236}">
              <a16:creationId xmlns:a16="http://schemas.microsoft.com/office/drawing/2014/main" id="{00000000-0008-0000-0200-0000C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660</xdr:row>
      <xdr:rowOff>0</xdr:rowOff>
    </xdr:from>
    <xdr:ext cx="200025" cy="200025"/>
    <xdr:pic>
      <xdr:nvPicPr>
        <xdr:cNvPr id="969" name="image10.png">
          <a:extLst>
            <a:ext uri="{FF2B5EF4-FFF2-40B4-BE49-F238E27FC236}">
              <a16:creationId xmlns:a16="http://schemas.microsoft.com/office/drawing/2014/main" id="{00000000-0008-0000-0200-0000C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661</xdr:row>
      <xdr:rowOff>0</xdr:rowOff>
    </xdr:from>
    <xdr:ext cx="200025" cy="200025"/>
    <xdr:pic>
      <xdr:nvPicPr>
        <xdr:cNvPr id="970" name="image10.png">
          <a:extLst>
            <a:ext uri="{FF2B5EF4-FFF2-40B4-BE49-F238E27FC236}">
              <a16:creationId xmlns:a16="http://schemas.microsoft.com/office/drawing/2014/main" id="{00000000-0008-0000-0200-0000C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661</xdr:row>
      <xdr:rowOff>0</xdr:rowOff>
    </xdr:from>
    <xdr:ext cx="200025" cy="200025"/>
    <xdr:pic>
      <xdr:nvPicPr>
        <xdr:cNvPr id="971" name="image1.png">
          <a:extLst>
            <a:ext uri="{FF2B5EF4-FFF2-40B4-BE49-F238E27FC236}">
              <a16:creationId xmlns:a16="http://schemas.microsoft.com/office/drawing/2014/main" id="{00000000-0008-0000-0200-0000CB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661</xdr:row>
      <xdr:rowOff>0</xdr:rowOff>
    </xdr:from>
    <xdr:ext cx="200025" cy="200025"/>
    <xdr:pic>
      <xdr:nvPicPr>
        <xdr:cNvPr id="972" name="image11.png">
          <a:extLst>
            <a:ext uri="{FF2B5EF4-FFF2-40B4-BE49-F238E27FC236}">
              <a16:creationId xmlns:a16="http://schemas.microsoft.com/office/drawing/2014/main" id="{00000000-0008-0000-0200-0000CC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661</xdr:row>
      <xdr:rowOff>0</xdr:rowOff>
    </xdr:from>
    <xdr:ext cx="200025" cy="200025"/>
    <xdr:pic>
      <xdr:nvPicPr>
        <xdr:cNvPr id="973" name="image4.png">
          <a:extLst>
            <a:ext uri="{FF2B5EF4-FFF2-40B4-BE49-F238E27FC236}">
              <a16:creationId xmlns:a16="http://schemas.microsoft.com/office/drawing/2014/main" id="{00000000-0008-0000-0200-0000CD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663</xdr:row>
      <xdr:rowOff>0</xdr:rowOff>
    </xdr:from>
    <xdr:ext cx="200025" cy="200025"/>
    <xdr:pic>
      <xdr:nvPicPr>
        <xdr:cNvPr id="974" name="image6.png">
          <a:extLst>
            <a:ext uri="{FF2B5EF4-FFF2-40B4-BE49-F238E27FC236}">
              <a16:creationId xmlns:a16="http://schemas.microsoft.com/office/drawing/2014/main" id="{00000000-0008-0000-0200-0000CE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664</xdr:row>
      <xdr:rowOff>0</xdr:rowOff>
    </xdr:from>
    <xdr:ext cx="200025" cy="200025"/>
    <xdr:pic>
      <xdr:nvPicPr>
        <xdr:cNvPr id="975" name="image2.png">
          <a:extLst>
            <a:ext uri="{FF2B5EF4-FFF2-40B4-BE49-F238E27FC236}">
              <a16:creationId xmlns:a16="http://schemas.microsoft.com/office/drawing/2014/main" id="{00000000-0008-0000-0200-0000CF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664</xdr:row>
      <xdr:rowOff>0</xdr:rowOff>
    </xdr:from>
    <xdr:ext cx="200025" cy="200025"/>
    <xdr:pic>
      <xdr:nvPicPr>
        <xdr:cNvPr id="976" name="image5.png">
          <a:extLst>
            <a:ext uri="{FF2B5EF4-FFF2-40B4-BE49-F238E27FC236}">
              <a16:creationId xmlns:a16="http://schemas.microsoft.com/office/drawing/2014/main" id="{00000000-0008-0000-0200-0000D0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664</xdr:row>
      <xdr:rowOff>0</xdr:rowOff>
    </xdr:from>
    <xdr:ext cx="200025" cy="200025"/>
    <xdr:pic>
      <xdr:nvPicPr>
        <xdr:cNvPr id="977" name="image4.png">
          <a:extLst>
            <a:ext uri="{FF2B5EF4-FFF2-40B4-BE49-F238E27FC236}">
              <a16:creationId xmlns:a16="http://schemas.microsoft.com/office/drawing/2014/main" id="{00000000-0008-0000-0200-0000D1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665</xdr:row>
      <xdr:rowOff>0</xdr:rowOff>
    </xdr:from>
    <xdr:ext cx="200025" cy="200025"/>
    <xdr:pic>
      <xdr:nvPicPr>
        <xdr:cNvPr id="978" name="image8.png">
          <a:extLst>
            <a:ext uri="{FF2B5EF4-FFF2-40B4-BE49-F238E27FC236}">
              <a16:creationId xmlns:a16="http://schemas.microsoft.com/office/drawing/2014/main" id="{00000000-0008-0000-0200-0000D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666</xdr:row>
      <xdr:rowOff>0</xdr:rowOff>
    </xdr:from>
    <xdr:ext cx="200025" cy="200025"/>
    <xdr:pic>
      <xdr:nvPicPr>
        <xdr:cNvPr id="979" name="image8.png">
          <a:extLst>
            <a:ext uri="{FF2B5EF4-FFF2-40B4-BE49-F238E27FC236}">
              <a16:creationId xmlns:a16="http://schemas.microsoft.com/office/drawing/2014/main" id="{00000000-0008-0000-0200-0000D3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670</xdr:row>
      <xdr:rowOff>0</xdr:rowOff>
    </xdr:from>
    <xdr:ext cx="200025" cy="200025"/>
    <xdr:pic>
      <xdr:nvPicPr>
        <xdr:cNvPr id="980" name="image10.png">
          <a:extLst>
            <a:ext uri="{FF2B5EF4-FFF2-40B4-BE49-F238E27FC236}">
              <a16:creationId xmlns:a16="http://schemas.microsoft.com/office/drawing/2014/main" id="{00000000-0008-0000-0200-0000D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670</xdr:row>
      <xdr:rowOff>0</xdr:rowOff>
    </xdr:from>
    <xdr:ext cx="200025" cy="200025"/>
    <xdr:pic>
      <xdr:nvPicPr>
        <xdr:cNvPr id="981" name="image8.png">
          <a:extLst>
            <a:ext uri="{FF2B5EF4-FFF2-40B4-BE49-F238E27FC236}">
              <a16:creationId xmlns:a16="http://schemas.microsoft.com/office/drawing/2014/main" id="{00000000-0008-0000-0200-0000D5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670</xdr:row>
      <xdr:rowOff>0</xdr:rowOff>
    </xdr:from>
    <xdr:ext cx="200025" cy="200025"/>
    <xdr:pic>
      <xdr:nvPicPr>
        <xdr:cNvPr id="982" name="image2.png">
          <a:extLst>
            <a:ext uri="{FF2B5EF4-FFF2-40B4-BE49-F238E27FC236}">
              <a16:creationId xmlns:a16="http://schemas.microsoft.com/office/drawing/2014/main" id="{00000000-0008-0000-0200-0000D6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672</xdr:row>
      <xdr:rowOff>0</xdr:rowOff>
    </xdr:from>
    <xdr:ext cx="200025" cy="200025"/>
    <xdr:pic>
      <xdr:nvPicPr>
        <xdr:cNvPr id="983" name="image10.png">
          <a:extLst>
            <a:ext uri="{FF2B5EF4-FFF2-40B4-BE49-F238E27FC236}">
              <a16:creationId xmlns:a16="http://schemas.microsoft.com/office/drawing/2014/main" id="{00000000-0008-0000-0200-0000D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672</xdr:row>
      <xdr:rowOff>0</xdr:rowOff>
    </xdr:from>
    <xdr:ext cx="200025" cy="200025"/>
    <xdr:pic>
      <xdr:nvPicPr>
        <xdr:cNvPr id="984" name="image1.png">
          <a:extLst>
            <a:ext uri="{FF2B5EF4-FFF2-40B4-BE49-F238E27FC236}">
              <a16:creationId xmlns:a16="http://schemas.microsoft.com/office/drawing/2014/main" id="{00000000-0008-0000-0200-0000D803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672</xdr:row>
      <xdr:rowOff>0</xdr:rowOff>
    </xdr:from>
    <xdr:ext cx="200025" cy="200025"/>
    <xdr:pic>
      <xdr:nvPicPr>
        <xdr:cNvPr id="985" name="image5.png">
          <a:extLst>
            <a:ext uri="{FF2B5EF4-FFF2-40B4-BE49-F238E27FC236}">
              <a16:creationId xmlns:a16="http://schemas.microsoft.com/office/drawing/2014/main" id="{00000000-0008-0000-0200-0000D9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672</xdr:row>
      <xdr:rowOff>0</xdr:rowOff>
    </xdr:from>
    <xdr:ext cx="200025" cy="200025"/>
    <xdr:pic>
      <xdr:nvPicPr>
        <xdr:cNvPr id="986" name="image8.png">
          <a:extLst>
            <a:ext uri="{FF2B5EF4-FFF2-40B4-BE49-F238E27FC236}">
              <a16:creationId xmlns:a16="http://schemas.microsoft.com/office/drawing/2014/main" id="{00000000-0008-0000-0200-0000DA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673</xdr:row>
      <xdr:rowOff>0</xdr:rowOff>
    </xdr:from>
    <xdr:ext cx="200025" cy="200025"/>
    <xdr:pic>
      <xdr:nvPicPr>
        <xdr:cNvPr id="987" name="image8.png">
          <a:extLst>
            <a:ext uri="{FF2B5EF4-FFF2-40B4-BE49-F238E27FC236}">
              <a16:creationId xmlns:a16="http://schemas.microsoft.com/office/drawing/2014/main" id="{00000000-0008-0000-0200-0000DB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674</xdr:row>
      <xdr:rowOff>0</xdr:rowOff>
    </xdr:from>
    <xdr:ext cx="200025" cy="200025"/>
    <xdr:pic>
      <xdr:nvPicPr>
        <xdr:cNvPr id="988" name="image8.png">
          <a:extLst>
            <a:ext uri="{FF2B5EF4-FFF2-40B4-BE49-F238E27FC236}">
              <a16:creationId xmlns:a16="http://schemas.microsoft.com/office/drawing/2014/main" id="{00000000-0008-0000-0200-0000DC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675</xdr:row>
      <xdr:rowOff>0</xdr:rowOff>
    </xdr:from>
    <xdr:ext cx="200025" cy="200025"/>
    <xdr:pic>
      <xdr:nvPicPr>
        <xdr:cNvPr id="989" name="image2.png">
          <a:extLst>
            <a:ext uri="{FF2B5EF4-FFF2-40B4-BE49-F238E27FC236}">
              <a16:creationId xmlns:a16="http://schemas.microsoft.com/office/drawing/2014/main" id="{00000000-0008-0000-0200-0000DD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675</xdr:row>
      <xdr:rowOff>0</xdr:rowOff>
    </xdr:from>
    <xdr:ext cx="200025" cy="200025"/>
    <xdr:pic>
      <xdr:nvPicPr>
        <xdr:cNvPr id="990" name="image6.png">
          <a:extLst>
            <a:ext uri="{FF2B5EF4-FFF2-40B4-BE49-F238E27FC236}">
              <a16:creationId xmlns:a16="http://schemas.microsoft.com/office/drawing/2014/main" id="{00000000-0008-0000-0200-0000DE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675</xdr:row>
      <xdr:rowOff>0</xdr:rowOff>
    </xdr:from>
    <xdr:ext cx="200025" cy="200025"/>
    <xdr:pic>
      <xdr:nvPicPr>
        <xdr:cNvPr id="991" name="image5.png">
          <a:extLst>
            <a:ext uri="{FF2B5EF4-FFF2-40B4-BE49-F238E27FC236}">
              <a16:creationId xmlns:a16="http://schemas.microsoft.com/office/drawing/2014/main" id="{00000000-0008-0000-0200-0000DF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675</xdr:row>
      <xdr:rowOff>0</xdr:rowOff>
    </xdr:from>
    <xdr:ext cx="200025" cy="200025"/>
    <xdr:pic>
      <xdr:nvPicPr>
        <xdr:cNvPr id="992" name="image9.png">
          <a:extLst>
            <a:ext uri="{FF2B5EF4-FFF2-40B4-BE49-F238E27FC236}">
              <a16:creationId xmlns:a16="http://schemas.microsoft.com/office/drawing/2014/main" id="{00000000-0008-0000-0200-0000E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676</xdr:row>
      <xdr:rowOff>0</xdr:rowOff>
    </xdr:from>
    <xdr:ext cx="200025" cy="200025"/>
    <xdr:pic>
      <xdr:nvPicPr>
        <xdr:cNvPr id="993" name="image9.png">
          <a:extLst>
            <a:ext uri="{FF2B5EF4-FFF2-40B4-BE49-F238E27FC236}">
              <a16:creationId xmlns:a16="http://schemas.microsoft.com/office/drawing/2014/main" id="{00000000-0008-0000-0200-0000E1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677</xdr:row>
      <xdr:rowOff>0</xdr:rowOff>
    </xdr:from>
    <xdr:ext cx="200025" cy="200025"/>
    <xdr:pic>
      <xdr:nvPicPr>
        <xdr:cNvPr id="994" name="image9.png">
          <a:extLst>
            <a:ext uri="{FF2B5EF4-FFF2-40B4-BE49-F238E27FC236}">
              <a16:creationId xmlns:a16="http://schemas.microsoft.com/office/drawing/2014/main" id="{00000000-0008-0000-0200-0000E2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678</xdr:row>
      <xdr:rowOff>0</xdr:rowOff>
    </xdr:from>
    <xdr:ext cx="200025" cy="200025"/>
    <xdr:pic>
      <xdr:nvPicPr>
        <xdr:cNvPr id="995" name="image10.png">
          <a:extLst>
            <a:ext uri="{FF2B5EF4-FFF2-40B4-BE49-F238E27FC236}">
              <a16:creationId xmlns:a16="http://schemas.microsoft.com/office/drawing/2014/main" id="{00000000-0008-0000-0200-0000E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678</xdr:row>
      <xdr:rowOff>0</xdr:rowOff>
    </xdr:from>
    <xdr:ext cx="200025" cy="200025"/>
    <xdr:pic>
      <xdr:nvPicPr>
        <xdr:cNvPr id="996" name="image12.png">
          <a:extLst>
            <a:ext uri="{FF2B5EF4-FFF2-40B4-BE49-F238E27FC236}">
              <a16:creationId xmlns:a16="http://schemas.microsoft.com/office/drawing/2014/main" id="{00000000-0008-0000-0200-0000E403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678</xdr:row>
      <xdr:rowOff>0</xdr:rowOff>
    </xdr:from>
    <xdr:ext cx="200025" cy="200025"/>
    <xdr:pic>
      <xdr:nvPicPr>
        <xdr:cNvPr id="997" name="image11.png">
          <a:extLst>
            <a:ext uri="{FF2B5EF4-FFF2-40B4-BE49-F238E27FC236}">
              <a16:creationId xmlns:a16="http://schemas.microsoft.com/office/drawing/2014/main" id="{00000000-0008-0000-0200-0000E5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678</xdr:row>
      <xdr:rowOff>0</xdr:rowOff>
    </xdr:from>
    <xdr:ext cx="200025" cy="200025"/>
    <xdr:pic>
      <xdr:nvPicPr>
        <xdr:cNvPr id="998" name="image6.png">
          <a:extLst>
            <a:ext uri="{FF2B5EF4-FFF2-40B4-BE49-F238E27FC236}">
              <a16:creationId xmlns:a16="http://schemas.microsoft.com/office/drawing/2014/main" id="{00000000-0008-0000-0200-0000E6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679</xdr:row>
      <xdr:rowOff>0</xdr:rowOff>
    </xdr:from>
    <xdr:ext cx="200025" cy="200025"/>
    <xdr:pic>
      <xdr:nvPicPr>
        <xdr:cNvPr id="999" name="image6.png">
          <a:extLst>
            <a:ext uri="{FF2B5EF4-FFF2-40B4-BE49-F238E27FC236}">
              <a16:creationId xmlns:a16="http://schemas.microsoft.com/office/drawing/2014/main" id="{00000000-0008-0000-0200-0000E7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680</xdr:row>
      <xdr:rowOff>0</xdr:rowOff>
    </xdr:from>
    <xdr:ext cx="200025" cy="200025"/>
    <xdr:pic>
      <xdr:nvPicPr>
        <xdr:cNvPr id="1000" name="image8.png">
          <a:extLst>
            <a:ext uri="{FF2B5EF4-FFF2-40B4-BE49-F238E27FC236}">
              <a16:creationId xmlns:a16="http://schemas.microsoft.com/office/drawing/2014/main" id="{00000000-0008-0000-0200-0000E8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680</xdr:row>
      <xdr:rowOff>0</xdr:rowOff>
    </xdr:from>
    <xdr:ext cx="200025" cy="200025"/>
    <xdr:pic>
      <xdr:nvPicPr>
        <xdr:cNvPr id="1001" name="image2.png">
          <a:extLst>
            <a:ext uri="{FF2B5EF4-FFF2-40B4-BE49-F238E27FC236}">
              <a16:creationId xmlns:a16="http://schemas.microsoft.com/office/drawing/2014/main" id="{00000000-0008-0000-0200-0000E9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680</xdr:row>
      <xdr:rowOff>0</xdr:rowOff>
    </xdr:from>
    <xdr:ext cx="200025" cy="200025"/>
    <xdr:pic>
      <xdr:nvPicPr>
        <xdr:cNvPr id="1002" name="image3.png">
          <a:extLst>
            <a:ext uri="{FF2B5EF4-FFF2-40B4-BE49-F238E27FC236}">
              <a16:creationId xmlns:a16="http://schemas.microsoft.com/office/drawing/2014/main" id="{00000000-0008-0000-0200-0000EA03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681</xdr:row>
      <xdr:rowOff>0</xdr:rowOff>
    </xdr:from>
    <xdr:ext cx="200025" cy="200025"/>
    <xdr:pic>
      <xdr:nvPicPr>
        <xdr:cNvPr id="1003" name="image9.png">
          <a:extLst>
            <a:ext uri="{FF2B5EF4-FFF2-40B4-BE49-F238E27FC236}">
              <a16:creationId xmlns:a16="http://schemas.microsoft.com/office/drawing/2014/main" id="{00000000-0008-0000-0200-0000E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682</xdr:row>
      <xdr:rowOff>0</xdr:rowOff>
    </xdr:from>
    <xdr:ext cx="200025" cy="200025"/>
    <xdr:pic>
      <xdr:nvPicPr>
        <xdr:cNvPr id="1004" name="image9.png">
          <a:extLst>
            <a:ext uri="{FF2B5EF4-FFF2-40B4-BE49-F238E27FC236}">
              <a16:creationId xmlns:a16="http://schemas.microsoft.com/office/drawing/2014/main" id="{00000000-0008-0000-0200-0000EC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683</xdr:row>
      <xdr:rowOff>0</xdr:rowOff>
    </xdr:from>
    <xdr:ext cx="200025" cy="200025"/>
    <xdr:pic>
      <xdr:nvPicPr>
        <xdr:cNvPr id="1005" name="image6.png">
          <a:extLst>
            <a:ext uri="{FF2B5EF4-FFF2-40B4-BE49-F238E27FC236}">
              <a16:creationId xmlns:a16="http://schemas.microsoft.com/office/drawing/2014/main" id="{00000000-0008-0000-0200-0000ED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10</xdr:col>
      <xdr:colOff>0</xdr:colOff>
      <xdr:row>683</xdr:row>
      <xdr:rowOff>0</xdr:rowOff>
    </xdr:from>
    <xdr:ext cx="200025" cy="200025"/>
    <xdr:pic>
      <xdr:nvPicPr>
        <xdr:cNvPr id="1006" name="image4.png">
          <a:extLst>
            <a:ext uri="{FF2B5EF4-FFF2-40B4-BE49-F238E27FC236}">
              <a16:creationId xmlns:a16="http://schemas.microsoft.com/office/drawing/2014/main" id="{00000000-0008-0000-0200-0000EE03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683</xdr:row>
      <xdr:rowOff>0</xdr:rowOff>
    </xdr:from>
    <xdr:ext cx="200025" cy="200025"/>
    <xdr:pic>
      <xdr:nvPicPr>
        <xdr:cNvPr id="1007" name="image7.png">
          <a:extLst>
            <a:ext uri="{FF2B5EF4-FFF2-40B4-BE49-F238E27FC236}">
              <a16:creationId xmlns:a16="http://schemas.microsoft.com/office/drawing/2014/main" id="{00000000-0008-0000-0200-0000EF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683</xdr:row>
      <xdr:rowOff>0</xdr:rowOff>
    </xdr:from>
    <xdr:ext cx="200025" cy="200025"/>
    <xdr:pic>
      <xdr:nvPicPr>
        <xdr:cNvPr id="1008" name="image9.png">
          <a:extLst>
            <a:ext uri="{FF2B5EF4-FFF2-40B4-BE49-F238E27FC236}">
              <a16:creationId xmlns:a16="http://schemas.microsoft.com/office/drawing/2014/main" id="{00000000-0008-0000-0200-0000F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684</xdr:row>
      <xdr:rowOff>0</xdr:rowOff>
    </xdr:from>
    <xdr:ext cx="200025" cy="200025"/>
    <xdr:pic>
      <xdr:nvPicPr>
        <xdr:cNvPr id="1009" name="image9.png">
          <a:extLst>
            <a:ext uri="{FF2B5EF4-FFF2-40B4-BE49-F238E27FC236}">
              <a16:creationId xmlns:a16="http://schemas.microsoft.com/office/drawing/2014/main" id="{00000000-0008-0000-0200-0000F1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685</xdr:row>
      <xdr:rowOff>0</xdr:rowOff>
    </xdr:from>
    <xdr:ext cx="200025" cy="200025"/>
    <xdr:pic>
      <xdr:nvPicPr>
        <xdr:cNvPr id="1010" name="image8.png">
          <a:extLst>
            <a:ext uri="{FF2B5EF4-FFF2-40B4-BE49-F238E27FC236}">
              <a16:creationId xmlns:a16="http://schemas.microsoft.com/office/drawing/2014/main" id="{00000000-0008-0000-0200-0000F2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685</xdr:row>
      <xdr:rowOff>0</xdr:rowOff>
    </xdr:from>
    <xdr:ext cx="200025" cy="200025"/>
    <xdr:pic>
      <xdr:nvPicPr>
        <xdr:cNvPr id="1011" name="image5.png">
          <a:extLst>
            <a:ext uri="{FF2B5EF4-FFF2-40B4-BE49-F238E27FC236}">
              <a16:creationId xmlns:a16="http://schemas.microsoft.com/office/drawing/2014/main" id="{00000000-0008-0000-0200-0000F3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685</xdr:row>
      <xdr:rowOff>0</xdr:rowOff>
    </xdr:from>
    <xdr:ext cx="200025" cy="200025"/>
    <xdr:pic>
      <xdr:nvPicPr>
        <xdr:cNvPr id="1012" name="image7.png">
          <a:extLst>
            <a:ext uri="{FF2B5EF4-FFF2-40B4-BE49-F238E27FC236}">
              <a16:creationId xmlns:a16="http://schemas.microsoft.com/office/drawing/2014/main" id="{00000000-0008-0000-0200-0000F403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686</xdr:row>
      <xdr:rowOff>0</xdr:rowOff>
    </xdr:from>
    <xdr:ext cx="200025" cy="200025"/>
    <xdr:pic>
      <xdr:nvPicPr>
        <xdr:cNvPr id="1013" name="image10.png">
          <a:extLst>
            <a:ext uri="{FF2B5EF4-FFF2-40B4-BE49-F238E27FC236}">
              <a16:creationId xmlns:a16="http://schemas.microsoft.com/office/drawing/2014/main" id="{00000000-0008-0000-0200-0000F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687</xdr:row>
      <xdr:rowOff>0</xdr:rowOff>
    </xdr:from>
    <xdr:ext cx="200025" cy="200025"/>
    <xdr:pic>
      <xdr:nvPicPr>
        <xdr:cNvPr id="1014" name="image10.png">
          <a:extLst>
            <a:ext uri="{FF2B5EF4-FFF2-40B4-BE49-F238E27FC236}">
              <a16:creationId xmlns:a16="http://schemas.microsoft.com/office/drawing/2014/main" id="{00000000-0008-0000-0200-0000F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688</xdr:row>
      <xdr:rowOff>0</xdr:rowOff>
    </xdr:from>
    <xdr:ext cx="200025" cy="200025"/>
    <xdr:pic>
      <xdr:nvPicPr>
        <xdr:cNvPr id="1015" name="image8.png">
          <a:extLst>
            <a:ext uri="{FF2B5EF4-FFF2-40B4-BE49-F238E27FC236}">
              <a16:creationId xmlns:a16="http://schemas.microsoft.com/office/drawing/2014/main" id="{00000000-0008-0000-0200-0000F703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688</xdr:row>
      <xdr:rowOff>0</xdr:rowOff>
    </xdr:from>
    <xdr:ext cx="200025" cy="200025"/>
    <xdr:pic>
      <xdr:nvPicPr>
        <xdr:cNvPr id="1016" name="image2.png">
          <a:extLst>
            <a:ext uri="{FF2B5EF4-FFF2-40B4-BE49-F238E27FC236}">
              <a16:creationId xmlns:a16="http://schemas.microsoft.com/office/drawing/2014/main" id="{00000000-0008-0000-0200-0000F8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688</xdr:row>
      <xdr:rowOff>0</xdr:rowOff>
    </xdr:from>
    <xdr:ext cx="200025" cy="200025"/>
    <xdr:pic>
      <xdr:nvPicPr>
        <xdr:cNvPr id="1017" name="image5.png">
          <a:extLst>
            <a:ext uri="{FF2B5EF4-FFF2-40B4-BE49-F238E27FC236}">
              <a16:creationId xmlns:a16="http://schemas.microsoft.com/office/drawing/2014/main" id="{00000000-0008-0000-0200-0000F903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688</xdr:row>
      <xdr:rowOff>0</xdr:rowOff>
    </xdr:from>
    <xdr:ext cx="200025" cy="200025"/>
    <xdr:pic>
      <xdr:nvPicPr>
        <xdr:cNvPr id="1018" name="image2.png">
          <a:extLst>
            <a:ext uri="{FF2B5EF4-FFF2-40B4-BE49-F238E27FC236}">
              <a16:creationId xmlns:a16="http://schemas.microsoft.com/office/drawing/2014/main" id="{00000000-0008-0000-0200-0000FA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689</xdr:row>
      <xdr:rowOff>0</xdr:rowOff>
    </xdr:from>
    <xdr:ext cx="200025" cy="200025"/>
    <xdr:pic>
      <xdr:nvPicPr>
        <xdr:cNvPr id="1019" name="image2.png">
          <a:extLst>
            <a:ext uri="{FF2B5EF4-FFF2-40B4-BE49-F238E27FC236}">
              <a16:creationId xmlns:a16="http://schemas.microsoft.com/office/drawing/2014/main" id="{00000000-0008-0000-0200-0000FB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690</xdr:row>
      <xdr:rowOff>0</xdr:rowOff>
    </xdr:from>
    <xdr:ext cx="200025" cy="200025"/>
    <xdr:pic>
      <xdr:nvPicPr>
        <xdr:cNvPr id="1020" name="image2.png">
          <a:extLst>
            <a:ext uri="{FF2B5EF4-FFF2-40B4-BE49-F238E27FC236}">
              <a16:creationId xmlns:a16="http://schemas.microsoft.com/office/drawing/2014/main" id="{00000000-0008-0000-0200-0000FC03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691</xdr:row>
      <xdr:rowOff>0</xdr:rowOff>
    </xdr:from>
    <xdr:ext cx="200025" cy="200025"/>
    <xdr:pic>
      <xdr:nvPicPr>
        <xdr:cNvPr id="1021" name="image10.png">
          <a:extLst>
            <a:ext uri="{FF2B5EF4-FFF2-40B4-BE49-F238E27FC236}">
              <a16:creationId xmlns:a16="http://schemas.microsoft.com/office/drawing/2014/main" id="{00000000-0008-0000-0200-0000F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691</xdr:row>
      <xdr:rowOff>0</xdr:rowOff>
    </xdr:from>
    <xdr:ext cx="200025" cy="200025"/>
    <xdr:pic>
      <xdr:nvPicPr>
        <xdr:cNvPr id="1022" name="image6.png">
          <a:extLst>
            <a:ext uri="{FF2B5EF4-FFF2-40B4-BE49-F238E27FC236}">
              <a16:creationId xmlns:a16="http://schemas.microsoft.com/office/drawing/2014/main" id="{00000000-0008-0000-0200-0000FE03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691</xdr:row>
      <xdr:rowOff>0</xdr:rowOff>
    </xdr:from>
    <xdr:ext cx="200025" cy="200025"/>
    <xdr:pic>
      <xdr:nvPicPr>
        <xdr:cNvPr id="1023" name="image11.png">
          <a:extLst>
            <a:ext uri="{FF2B5EF4-FFF2-40B4-BE49-F238E27FC236}">
              <a16:creationId xmlns:a16="http://schemas.microsoft.com/office/drawing/2014/main" id="{00000000-0008-0000-0200-0000FF03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692</xdr:row>
      <xdr:rowOff>0</xdr:rowOff>
    </xdr:from>
    <xdr:ext cx="200025" cy="200025"/>
    <xdr:pic>
      <xdr:nvPicPr>
        <xdr:cNvPr id="1024" name="image1.png">
          <a:extLst>
            <a:ext uri="{FF2B5EF4-FFF2-40B4-BE49-F238E27FC236}">
              <a16:creationId xmlns:a16="http://schemas.microsoft.com/office/drawing/2014/main" id="{00000000-0008-0000-0200-000000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694</xdr:row>
      <xdr:rowOff>0</xdr:rowOff>
    </xdr:from>
    <xdr:ext cx="200025" cy="200025"/>
    <xdr:pic>
      <xdr:nvPicPr>
        <xdr:cNvPr id="1025" name="image8.png">
          <a:extLst>
            <a:ext uri="{FF2B5EF4-FFF2-40B4-BE49-F238E27FC236}">
              <a16:creationId xmlns:a16="http://schemas.microsoft.com/office/drawing/2014/main" id="{00000000-0008-0000-0200-00000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694</xdr:row>
      <xdr:rowOff>0</xdr:rowOff>
    </xdr:from>
    <xdr:ext cx="200025" cy="200025"/>
    <xdr:pic>
      <xdr:nvPicPr>
        <xdr:cNvPr id="1026" name="image4.png">
          <a:extLst>
            <a:ext uri="{FF2B5EF4-FFF2-40B4-BE49-F238E27FC236}">
              <a16:creationId xmlns:a16="http://schemas.microsoft.com/office/drawing/2014/main" id="{00000000-0008-0000-0200-000002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694</xdr:row>
      <xdr:rowOff>0</xdr:rowOff>
    </xdr:from>
    <xdr:ext cx="200025" cy="200025"/>
    <xdr:pic>
      <xdr:nvPicPr>
        <xdr:cNvPr id="1027" name="image11.png">
          <a:extLst>
            <a:ext uri="{FF2B5EF4-FFF2-40B4-BE49-F238E27FC236}">
              <a16:creationId xmlns:a16="http://schemas.microsoft.com/office/drawing/2014/main" id="{00000000-0008-0000-0200-000003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695</xdr:row>
      <xdr:rowOff>0</xdr:rowOff>
    </xdr:from>
    <xdr:ext cx="200025" cy="200025"/>
    <xdr:pic>
      <xdr:nvPicPr>
        <xdr:cNvPr id="1028" name="image7.png">
          <a:extLst>
            <a:ext uri="{FF2B5EF4-FFF2-40B4-BE49-F238E27FC236}">
              <a16:creationId xmlns:a16="http://schemas.microsoft.com/office/drawing/2014/main" id="{00000000-0008-0000-0200-000004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696</xdr:row>
      <xdr:rowOff>0</xdr:rowOff>
    </xdr:from>
    <xdr:ext cx="200025" cy="200025"/>
    <xdr:pic>
      <xdr:nvPicPr>
        <xdr:cNvPr id="1029" name="image6.png">
          <a:extLst>
            <a:ext uri="{FF2B5EF4-FFF2-40B4-BE49-F238E27FC236}">
              <a16:creationId xmlns:a16="http://schemas.microsoft.com/office/drawing/2014/main" id="{00000000-0008-0000-0200-000005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697</xdr:row>
      <xdr:rowOff>0</xdr:rowOff>
    </xdr:from>
    <xdr:ext cx="200025" cy="200025"/>
    <xdr:pic>
      <xdr:nvPicPr>
        <xdr:cNvPr id="1030" name="image4.png">
          <a:extLst>
            <a:ext uri="{FF2B5EF4-FFF2-40B4-BE49-F238E27FC236}">
              <a16:creationId xmlns:a16="http://schemas.microsoft.com/office/drawing/2014/main" id="{00000000-0008-0000-0200-000006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10</xdr:col>
      <xdr:colOff>0</xdr:colOff>
      <xdr:row>697</xdr:row>
      <xdr:rowOff>0</xdr:rowOff>
    </xdr:from>
    <xdr:ext cx="200025" cy="200025"/>
    <xdr:pic>
      <xdr:nvPicPr>
        <xdr:cNvPr id="1031" name="image7.png">
          <a:extLst>
            <a:ext uri="{FF2B5EF4-FFF2-40B4-BE49-F238E27FC236}">
              <a16:creationId xmlns:a16="http://schemas.microsoft.com/office/drawing/2014/main" id="{00000000-0008-0000-0200-000007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697</xdr:row>
      <xdr:rowOff>0</xdr:rowOff>
    </xdr:from>
    <xdr:ext cx="200025" cy="200025"/>
    <xdr:pic>
      <xdr:nvPicPr>
        <xdr:cNvPr id="1032" name="image11.png">
          <a:extLst>
            <a:ext uri="{FF2B5EF4-FFF2-40B4-BE49-F238E27FC236}">
              <a16:creationId xmlns:a16="http://schemas.microsoft.com/office/drawing/2014/main" id="{00000000-0008-0000-0200-000008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698</xdr:row>
      <xdr:rowOff>0</xdr:rowOff>
    </xdr:from>
    <xdr:ext cx="200025" cy="200025"/>
    <xdr:pic>
      <xdr:nvPicPr>
        <xdr:cNvPr id="1033" name="image10.png">
          <a:extLst>
            <a:ext uri="{FF2B5EF4-FFF2-40B4-BE49-F238E27FC236}">
              <a16:creationId xmlns:a16="http://schemas.microsoft.com/office/drawing/2014/main" id="{00000000-0008-0000-0200-00000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698</xdr:row>
      <xdr:rowOff>0</xdr:rowOff>
    </xdr:from>
    <xdr:ext cx="200025" cy="200025"/>
    <xdr:pic>
      <xdr:nvPicPr>
        <xdr:cNvPr id="1034" name="image5.png">
          <a:extLst>
            <a:ext uri="{FF2B5EF4-FFF2-40B4-BE49-F238E27FC236}">
              <a16:creationId xmlns:a16="http://schemas.microsoft.com/office/drawing/2014/main" id="{00000000-0008-0000-0200-00000A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698</xdr:row>
      <xdr:rowOff>0</xdr:rowOff>
    </xdr:from>
    <xdr:ext cx="200025" cy="200025"/>
    <xdr:pic>
      <xdr:nvPicPr>
        <xdr:cNvPr id="1035" name="image11.png">
          <a:extLst>
            <a:ext uri="{FF2B5EF4-FFF2-40B4-BE49-F238E27FC236}">
              <a16:creationId xmlns:a16="http://schemas.microsoft.com/office/drawing/2014/main" id="{00000000-0008-0000-0200-00000B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700</xdr:row>
      <xdr:rowOff>0</xdr:rowOff>
    </xdr:from>
    <xdr:ext cx="200025" cy="200025"/>
    <xdr:pic>
      <xdr:nvPicPr>
        <xdr:cNvPr id="1036" name="image6.png">
          <a:extLst>
            <a:ext uri="{FF2B5EF4-FFF2-40B4-BE49-F238E27FC236}">
              <a16:creationId xmlns:a16="http://schemas.microsoft.com/office/drawing/2014/main" id="{00000000-0008-0000-0200-00000C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704</xdr:row>
      <xdr:rowOff>0</xdr:rowOff>
    </xdr:from>
    <xdr:ext cx="200025" cy="200025"/>
    <xdr:pic>
      <xdr:nvPicPr>
        <xdr:cNvPr id="1037" name="image8.png">
          <a:extLst>
            <a:ext uri="{FF2B5EF4-FFF2-40B4-BE49-F238E27FC236}">
              <a16:creationId xmlns:a16="http://schemas.microsoft.com/office/drawing/2014/main" id="{00000000-0008-0000-0200-00000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704</xdr:row>
      <xdr:rowOff>0</xdr:rowOff>
    </xdr:from>
    <xdr:ext cx="200025" cy="200025"/>
    <xdr:pic>
      <xdr:nvPicPr>
        <xdr:cNvPr id="1038" name="image5.png">
          <a:extLst>
            <a:ext uri="{FF2B5EF4-FFF2-40B4-BE49-F238E27FC236}">
              <a16:creationId xmlns:a16="http://schemas.microsoft.com/office/drawing/2014/main" id="{00000000-0008-0000-0200-00000E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704</xdr:row>
      <xdr:rowOff>0</xdr:rowOff>
    </xdr:from>
    <xdr:ext cx="200025" cy="200025"/>
    <xdr:pic>
      <xdr:nvPicPr>
        <xdr:cNvPr id="1039" name="image7.png">
          <a:extLst>
            <a:ext uri="{FF2B5EF4-FFF2-40B4-BE49-F238E27FC236}">
              <a16:creationId xmlns:a16="http://schemas.microsoft.com/office/drawing/2014/main" id="{00000000-0008-0000-0200-00000F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705</xdr:row>
      <xdr:rowOff>0</xdr:rowOff>
    </xdr:from>
    <xdr:ext cx="200025" cy="200025"/>
    <xdr:pic>
      <xdr:nvPicPr>
        <xdr:cNvPr id="1040" name="image10.png">
          <a:extLst>
            <a:ext uri="{FF2B5EF4-FFF2-40B4-BE49-F238E27FC236}">
              <a16:creationId xmlns:a16="http://schemas.microsoft.com/office/drawing/2014/main" id="{00000000-0008-0000-0200-000010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706</xdr:row>
      <xdr:rowOff>0</xdr:rowOff>
    </xdr:from>
    <xdr:ext cx="200025" cy="200025"/>
    <xdr:pic>
      <xdr:nvPicPr>
        <xdr:cNvPr id="1041" name="image10.png">
          <a:extLst>
            <a:ext uri="{FF2B5EF4-FFF2-40B4-BE49-F238E27FC236}">
              <a16:creationId xmlns:a16="http://schemas.microsoft.com/office/drawing/2014/main" id="{00000000-0008-0000-0200-000011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707</xdr:row>
      <xdr:rowOff>0</xdr:rowOff>
    </xdr:from>
    <xdr:ext cx="200025" cy="200025"/>
    <xdr:pic>
      <xdr:nvPicPr>
        <xdr:cNvPr id="1042" name="image10.png">
          <a:extLst>
            <a:ext uri="{FF2B5EF4-FFF2-40B4-BE49-F238E27FC236}">
              <a16:creationId xmlns:a16="http://schemas.microsoft.com/office/drawing/2014/main" id="{00000000-0008-0000-0200-00001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707</xdr:row>
      <xdr:rowOff>0</xdr:rowOff>
    </xdr:from>
    <xdr:ext cx="200025" cy="200025"/>
    <xdr:pic>
      <xdr:nvPicPr>
        <xdr:cNvPr id="1043" name="image2.png">
          <a:extLst>
            <a:ext uri="{FF2B5EF4-FFF2-40B4-BE49-F238E27FC236}">
              <a16:creationId xmlns:a16="http://schemas.microsoft.com/office/drawing/2014/main" id="{00000000-0008-0000-0200-00001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707</xdr:row>
      <xdr:rowOff>0</xdr:rowOff>
    </xdr:from>
    <xdr:ext cx="200025" cy="200025"/>
    <xdr:pic>
      <xdr:nvPicPr>
        <xdr:cNvPr id="1044" name="image11.png">
          <a:extLst>
            <a:ext uri="{FF2B5EF4-FFF2-40B4-BE49-F238E27FC236}">
              <a16:creationId xmlns:a16="http://schemas.microsoft.com/office/drawing/2014/main" id="{00000000-0008-0000-0200-000014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710</xdr:row>
      <xdr:rowOff>0</xdr:rowOff>
    </xdr:from>
    <xdr:ext cx="200025" cy="200025"/>
    <xdr:pic>
      <xdr:nvPicPr>
        <xdr:cNvPr id="1045" name="image10.png">
          <a:extLst>
            <a:ext uri="{FF2B5EF4-FFF2-40B4-BE49-F238E27FC236}">
              <a16:creationId xmlns:a16="http://schemas.microsoft.com/office/drawing/2014/main" id="{00000000-0008-0000-0200-000015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710</xdr:row>
      <xdr:rowOff>0</xdr:rowOff>
    </xdr:from>
    <xdr:ext cx="200025" cy="200025"/>
    <xdr:pic>
      <xdr:nvPicPr>
        <xdr:cNvPr id="1046" name="image1.png">
          <a:extLst>
            <a:ext uri="{FF2B5EF4-FFF2-40B4-BE49-F238E27FC236}">
              <a16:creationId xmlns:a16="http://schemas.microsoft.com/office/drawing/2014/main" id="{00000000-0008-0000-0200-000016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710</xdr:row>
      <xdr:rowOff>0</xdr:rowOff>
    </xdr:from>
    <xdr:ext cx="200025" cy="200025"/>
    <xdr:pic>
      <xdr:nvPicPr>
        <xdr:cNvPr id="1047" name="image5.png">
          <a:extLst>
            <a:ext uri="{FF2B5EF4-FFF2-40B4-BE49-F238E27FC236}">
              <a16:creationId xmlns:a16="http://schemas.microsoft.com/office/drawing/2014/main" id="{00000000-0008-0000-0200-000017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710</xdr:row>
      <xdr:rowOff>0</xdr:rowOff>
    </xdr:from>
    <xdr:ext cx="200025" cy="200025"/>
    <xdr:pic>
      <xdr:nvPicPr>
        <xdr:cNvPr id="1048" name="image4.png">
          <a:extLst>
            <a:ext uri="{FF2B5EF4-FFF2-40B4-BE49-F238E27FC236}">
              <a16:creationId xmlns:a16="http://schemas.microsoft.com/office/drawing/2014/main" id="{00000000-0008-0000-0200-000018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712</xdr:row>
      <xdr:rowOff>0</xdr:rowOff>
    </xdr:from>
    <xdr:ext cx="200025" cy="200025"/>
    <xdr:pic>
      <xdr:nvPicPr>
        <xdr:cNvPr id="1049" name="image10.png">
          <a:extLst>
            <a:ext uri="{FF2B5EF4-FFF2-40B4-BE49-F238E27FC236}">
              <a16:creationId xmlns:a16="http://schemas.microsoft.com/office/drawing/2014/main" id="{00000000-0008-0000-0200-00001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712</xdr:row>
      <xdr:rowOff>0</xdr:rowOff>
    </xdr:from>
    <xdr:ext cx="200025" cy="200025"/>
    <xdr:pic>
      <xdr:nvPicPr>
        <xdr:cNvPr id="1050" name="image1.png">
          <a:extLst>
            <a:ext uri="{FF2B5EF4-FFF2-40B4-BE49-F238E27FC236}">
              <a16:creationId xmlns:a16="http://schemas.microsoft.com/office/drawing/2014/main" id="{00000000-0008-0000-0200-00001A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712</xdr:row>
      <xdr:rowOff>0</xdr:rowOff>
    </xdr:from>
    <xdr:ext cx="200025" cy="200025"/>
    <xdr:pic>
      <xdr:nvPicPr>
        <xdr:cNvPr id="1051" name="image5.png">
          <a:extLst>
            <a:ext uri="{FF2B5EF4-FFF2-40B4-BE49-F238E27FC236}">
              <a16:creationId xmlns:a16="http://schemas.microsoft.com/office/drawing/2014/main" id="{00000000-0008-0000-0200-00001B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712</xdr:row>
      <xdr:rowOff>0</xdr:rowOff>
    </xdr:from>
    <xdr:ext cx="200025" cy="200025"/>
    <xdr:pic>
      <xdr:nvPicPr>
        <xdr:cNvPr id="1052" name="image4.png">
          <a:extLst>
            <a:ext uri="{FF2B5EF4-FFF2-40B4-BE49-F238E27FC236}">
              <a16:creationId xmlns:a16="http://schemas.microsoft.com/office/drawing/2014/main" id="{00000000-0008-0000-0200-00001C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713</xdr:row>
      <xdr:rowOff>0</xdr:rowOff>
    </xdr:from>
    <xdr:ext cx="200025" cy="200025"/>
    <xdr:pic>
      <xdr:nvPicPr>
        <xdr:cNvPr id="1053" name="image8.png">
          <a:extLst>
            <a:ext uri="{FF2B5EF4-FFF2-40B4-BE49-F238E27FC236}">
              <a16:creationId xmlns:a16="http://schemas.microsoft.com/office/drawing/2014/main" id="{00000000-0008-0000-0200-00001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714</xdr:row>
      <xdr:rowOff>0</xdr:rowOff>
    </xdr:from>
    <xdr:ext cx="200025" cy="200025"/>
    <xdr:pic>
      <xdr:nvPicPr>
        <xdr:cNvPr id="1054" name="image8.png">
          <a:extLst>
            <a:ext uri="{FF2B5EF4-FFF2-40B4-BE49-F238E27FC236}">
              <a16:creationId xmlns:a16="http://schemas.microsoft.com/office/drawing/2014/main" id="{00000000-0008-0000-0200-00001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726</xdr:row>
      <xdr:rowOff>0</xdr:rowOff>
    </xdr:from>
    <xdr:ext cx="200025" cy="200025"/>
    <xdr:pic>
      <xdr:nvPicPr>
        <xdr:cNvPr id="1055" name="image10.png">
          <a:extLst>
            <a:ext uri="{FF2B5EF4-FFF2-40B4-BE49-F238E27FC236}">
              <a16:creationId xmlns:a16="http://schemas.microsoft.com/office/drawing/2014/main" id="{00000000-0008-0000-0200-00001F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726</xdr:row>
      <xdr:rowOff>0</xdr:rowOff>
    </xdr:from>
    <xdr:ext cx="200025" cy="200025"/>
    <xdr:pic>
      <xdr:nvPicPr>
        <xdr:cNvPr id="1056" name="image9.png">
          <a:extLst>
            <a:ext uri="{FF2B5EF4-FFF2-40B4-BE49-F238E27FC236}">
              <a16:creationId xmlns:a16="http://schemas.microsoft.com/office/drawing/2014/main" id="{00000000-0008-0000-0200-000020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726</xdr:row>
      <xdr:rowOff>0</xdr:rowOff>
    </xdr:from>
    <xdr:ext cx="200025" cy="200025"/>
    <xdr:pic>
      <xdr:nvPicPr>
        <xdr:cNvPr id="1057" name="image5.png">
          <a:extLst>
            <a:ext uri="{FF2B5EF4-FFF2-40B4-BE49-F238E27FC236}">
              <a16:creationId xmlns:a16="http://schemas.microsoft.com/office/drawing/2014/main" id="{00000000-0008-0000-0200-000021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726</xdr:row>
      <xdr:rowOff>0</xdr:rowOff>
    </xdr:from>
    <xdr:ext cx="200025" cy="200025"/>
    <xdr:pic>
      <xdr:nvPicPr>
        <xdr:cNvPr id="1058" name="image2.png">
          <a:extLst>
            <a:ext uri="{FF2B5EF4-FFF2-40B4-BE49-F238E27FC236}">
              <a16:creationId xmlns:a16="http://schemas.microsoft.com/office/drawing/2014/main" id="{00000000-0008-0000-0200-000022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727</xdr:row>
      <xdr:rowOff>0</xdr:rowOff>
    </xdr:from>
    <xdr:ext cx="200025" cy="200025"/>
    <xdr:pic>
      <xdr:nvPicPr>
        <xdr:cNvPr id="1059" name="image2.png">
          <a:extLst>
            <a:ext uri="{FF2B5EF4-FFF2-40B4-BE49-F238E27FC236}">
              <a16:creationId xmlns:a16="http://schemas.microsoft.com/office/drawing/2014/main" id="{00000000-0008-0000-0200-00002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728</xdr:row>
      <xdr:rowOff>0</xdr:rowOff>
    </xdr:from>
    <xdr:ext cx="200025" cy="200025"/>
    <xdr:pic>
      <xdr:nvPicPr>
        <xdr:cNvPr id="1060" name="image2.png">
          <a:extLst>
            <a:ext uri="{FF2B5EF4-FFF2-40B4-BE49-F238E27FC236}">
              <a16:creationId xmlns:a16="http://schemas.microsoft.com/office/drawing/2014/main" id="{00000000-0008-0000-0200-000024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730</xdr:row>
      <xdr:rowOff>0</xdr:rowOff>
    </xdr:from>
    <xdr:ext cx="200025" cy="200025"/>
    <xdr:pic>
      <xdr:nvPicPr>
        <xdr:cNvPr id="1061" name="image8.png">
          <a:extLst>
            <a:ext uri="{FF2B5EF4-FFF2-40B4-BE49-F238E27FC236}">
              <a16:creationId xmlns:a16="http://schemas.microsoft.com/office/drawing/2014/main" id="{00000000-0008-0000-0200-000025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730</xdr:row>
      <xdr:rowOff>0</xdr:rowOff>
    </xdr:from>
    <xdr:ext cx="200025" cy="200025"/>
    <xdr:pic>
      <xdr:nvPicPr>
        <xdr:cNvPr id="1062" name="image6.png">
          <a:extLst>
            <a:ext uri="{FF2B5EF4-FFF2-40B4-BE49-F238E27FC236}">
              <a16:creationId xmlns:a16="http://schemas.microsoft.com/office/drawing/2014/main" id="{00000000-0008-0000-0200-000026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730</xdr:row>
      <xdr:rowOff>0</xdr:rowOff>
    </xdr:from>
    <xdr:ext cx="200025" cy="200025"/>
    <xdr:pic>
      <xdr:nvPicPr>
        <xdr:cNvPr id="1063" name="image11.png">
          <a:extLst>
            <a:ext uri="{FF2B5EF4-FFF2-40B4-BE49-F238E27FC236}">
              <a16:creationId xmlns:a16="http://schemas.microsoft.com/office/drawing/2014/main" id="{00000000-0008-0000-0200-000027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731</xdr:row>
      <xdr:rowOff>0</xdr:rowOff>
    </xdr:from>
    <xdr:ext cx="200025" cy="200025"/>
    <xdr:pic>
      <xdr:nvPicPr>
        <xdr:cNvPr id="1064" name="image10.png">
          <a:extLst>
            <a:ext uri="{FF2B5EF4-FFF2-40B4-BE49-F238E27FC236}">
              <a16:creationId xmlns:a16="http://schemas.microsoft.com/office/drawing/2014/main" id="{00000000-0008-0000-0200-000028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732</xdr:row>
      <xdr:rowOff>0</xdr:rowOff>
    </xdr:from>
    <xdr:ext cx="200025" cy="200025"/>
    <xdr:pic>
      <xdr:nvPicPr>
        <xdr:cNvPr id="1065" name="image10.png">
          <a:extLst>
            <a:ext uri="{FF2B5EF4-FFF2-40B4-BE49-F238E27FC236}">
              <a16:creationId xmlns:a16="http://schemas.microsoft.com/office/drawing/2014/main" id="{00000000-0008-0000-0200-00002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734</xdr:row>
      <xdr:rowOff>0</xdr:rowOff>
    </xdr:from>
    <xdr:ext cx="200025" cy="200025"/>
    <xdr:pic>
      <xdr:nvPicPr>
        <xdr:cNvPr id="1066" name="image10.png">
          <a:extLst>
            <a:ext uri="{FF2B5EF4-FFF2-40B4-BE49-F238E27FC236}">
              <a16:creationId xmlns:a16="http://schemas.microsoft.com/office/drawing/2014/main" id="{00000000-0008-0000-0200-00002A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734</xdr:row>
      <xdr:rowOff>0</xdr:rowOff>
    </xdr:from>
    <xdr:ext cx="200025" cy="200025"/>
    <xdr:pic>
      <xdr:nvPicPr>
        <xdr:cNvPr id="1067" name="image6.png">
          <a:extLst>
            <a:ext uri="{FF2B5EF4-FFF2-40B4-BE49-F238E27FC236}">
              <a16:creationId xmlns:a16="http://schemas.microsoft.com/office/drawing/2014/main" id="{00000000-0008-0000-0200-00002B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734</xdr:row>
      <xdr:rowOff>0</xdr:rowOff>
    </xdr:from>
    <xdr:ext cx="200025" cy="200025"/>
    <xdr:pic>
      <xdr:nvPicPr>
        <xdr:cNvPr id="1068" name="image12.png">
          <a:extLst>
            <a:ext uri="{FF2B5EF4-FFF2-40B4-BE49-F238E27FC236}">
              <a16:creationId xmlns:a16="http://schemas.microsoft.com/office/drawing/2014/main" id="{00000000-0008-0000-0200-00002C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735</xdr:row>
      <xdr:rowOff>0</xdr:rowOff>
    </xdr:from>
    <xdr:ext cx="200025" cy="200025"/>
    <xdr:pic>
      <xdr:nvPicPr>
        <xdr:cNvPr id="1069" name="image8.png">
          <a:extLst>
            <a:ext uri="{FF2B5EF4-FFF2-40B4-BE49-F238E27FC236}">
              <a16:creationId xmlns:a16="http://schemas.microsoft.com/office/drawing/2014/main" id="{00000000-0008-0000-0200-00002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736</xdr:row>
      <xdr:rowOff>0</xdr:rowOff>
    </xdr:from>
    <xdr:ext cx="200025" cy="200025"/>
    <xdr:pic>
      <xdr:nvPicPr>
        <xdr:cNvPr id="1070" name="image8.png">
          <a:extLst>
            <a:ext uri="{FF2B5EF4-FFF2-40B4-BE49-F238E27FC236}">
              <a16:creationId xmlns:a16="http://schemas.microsoft.com/office/drawing/2014/main" id="{00000000-0008-0000-0200-00002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737</xdr:row>
      <xdr:rowOff>0</xdr:rowOff>
    </xdr:from>
    <xdr:ext cx="200025" cy="200025"/>
    <xdr:pic>
      <xdr:nvPicPr>
        <xdr:cNvPr id="1071" name="image10.png">
          <a:extLst>
            <a:ext uri="{FF2B5EF4-FFF2-40B4-BE49-F238E27FC236}">
              <a16:creationId xmlns:a16="http://schemas.microsoft.com/office/drawing/2014/main" id="{00000000-0008-0000-0200-00002F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737</xdr:row>
      <xdr:rowOff>0</xdr:rowOff>
    </xdr:from>
    <xdr:ext cx="200025" cy="200025"/>
    <xdr:pic>
      <xdr:nvPicPr>
        <xdr:cNvPr id="1072" name="image2.png">
          <a:extLst>
            <a:ext uri="{FF2B5EF4-FFF2-40B4-BE49-F238E27FC236}">
              <a16:creationId xmlns:a16="http://schemas.microsoft.com/office/drawing/2014/main" id="{00000000-0008-0000-0200-000030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737</xdr:row>
      <xdr:rowOff>0</xdr:rowOff>
    </xdr:from>
    <xdr:ext cx="200025" cy="200025"/>
    <xdr:pic>
      <xdr:nvPicPr>
        <xdr:cNvPr id="1073" name="image4.png">
          <a:extLst>
            <a:ext uri="{FF2B5EF4-FFF2-40B4-BE49-F238E27FC236}">
              <a16:creationId xmlns:a16="http://schemas.microsoft.com/office/drawing/2014/main" id="{00000000-0008-0000-0200-000031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738</xdr:row>
      <xdr:rowOff>0</xdr:rowOff>
    </xdr:from>
    <xdr:ext cx="200025" cy="200025"/>
    <xdr:pic>
      <xdr:nvPicPr>
        <xdr:cNvPr id="1074" name="image8.png">
          <a:extLst>
            <a:ext uri="{FF2B5EF4-FFF2-40B4-BE49-F238E27FC236}">
              <a16:creationId xmlns:a16="http://schemas.microsoft.com/office/drawing/2014/main" id="{00000000-0008-0000-0200-000032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739</xdr:row>
      <xdr:rowOff>0</xdr:rowOff>
    </xdr:from>
    <xdr:ext cx="200025" cy="200025"/>
    <xdr:pic>
      <xdr:nvPicPr>
        <xdr:cNvPr id="1075" name="image8.png">
          <a:extLst>
            <a:ext uri="{FF2B5EF4-FFF2-40B4-BE49-F238E27FC236}">
              <a16:creationId xmlns:a16="http://schemas.microsoft.com/office/drawing/2014/main" id="{00000000-0008-0000-0200-000033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742</xdr:row>
      <xdr:rowOff>0</xdr:rowOff>
    </xdr:from>
    <xdr:ext cx="200025" cy="200025"/>
    <xdr:pic>
      <xdr:nvPicPr>
        <xdr:cNvPr id="1076" name="image8.png">
          <a:extLst>
            <a:ext uri="{FF2B5EF4-FFF2-40B4-BE49-F238E27FC236}">
              <a16:creationId xmlns:a16="http://schemas.microsoft.com/office/drawing/2014/main" id="{00000000-0008-0000-0200-000034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742</xdr:row>
      <xdr:rowOff>0</xdr:rowOff>
    </xdr:from>
    <xdr:ext cx="200025" cy="200025"/>
    <xdr:pic>
      <xdr:nvPicPr>
        <xdr:cNvPr id="1077" name="image1.png">
          <a:extLst>
            <a:ext uri="{FF2B5EF4-FFF2-40B4-BE49-F238E27FC236}">
              <a16:creationId xmlns:a16="http://schemas.microsoft.com/office/drawing/2014/main" id="{00000000-0008-0000-0200-000035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742</xdr:row>
      <xdr:rowOff>0</xdr:rowOff>
    </xdr:from>
    <xdr:ext cx="200025" cy="200025"/>
    <xdr:pic>
      <xdr:nvPicPr>
        <xdr:cNvPr id="1078" name="image5.png">
          <a:extLst>
            <a:ext uri="{FF2B5EF4-FFF2-40B4-BE49-F238E27FC236}">
              <a16:creationId xmlns:a16="http://schemas.microsoft.com/office/drawing/2014/main" id="{00000000-0008-0000-0200-000036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744</xdr:row>
      <xdr:rowOff>0</xdr:rowOff>
    </xdr:from>
    <xdr:ext cx="200025" cy="200025"/>
    <xdr:pic>
      <xdr:nvPicPr>
        <xdr:cNvPr id="1079" name="image6.png">
          <a:extLst>
            <a:ext uri="{FF2B5EF4-FFF2-40B4-BE49-F238E27FC236}">
              <a16:creationId xmlns:a16="http://schemas.microsoft.com/office/drawing/2014/main" id="{00000000-0008-0000-0200-000037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749</xdr:row>
      <xdr:rowOff>0</xdr:rowOff>
    </xdr:from>
    <xdr:ext cx="200025" cy="200025"/>
    <xdr:pic>
      <xdr:nvPicPr>
        <xdr:cNvPr id="1080" name="image8.png">
          <a:extLst>
            <a:ext uri="{FF2B5EF4-FFF2-40B4-BE49-F238E27FC236}">
              <a16:creationId xmlns:a16="http://schemas.microsoft.com/office/drawing/2014/main" id="{00000000-0008-0000-0200-000038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749</xdr:row>
      <xdr:rowOff>0</xdr:rowOff>
    </xdr:from>
    <xdr:ext cx="200025" cy="200025"/>
    <xdr:pic>
      <xdr:nvPicPr>
        <xdr:cNvPr id="1081" name="image9.png">
          <a:extLst>
            <a:ext uri="{FF2B5EF4-FFF2-40B4-BE49-F238E27FC236}">
              <a16:creationId xmlns:a16="http://schemas.microsoft.com/office/drawing/2014/main" id="{00000000-0008-0000-0200-000039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749</xdr:row>
      <xdr:rowOff>0</xdr:rowOff>
    </xdr:from>
    <xdr:ext cx="200025" cy="200025"/>
    <xdr:pic>
      <xdr:nvPicPr>
        <xdr:cNvPr id="1082" name="image3.png">
          <a:extLst>
            <a:ext uri="{FF2B5EF4-FFF2-40B4-BE49-F238E27FC236}">
              <a16:creationId xmlns:a16="http://schemas.microsoft.com/office/drawing/2014/main" id="{00000000-0008-0000-0200-00003A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750</xdr:row>
      <xdr:rowOff>0</xdr:rowOff>
    </xdr:from>
    <xdr:ext cx="200025" cy="200025"/>
    <xdr:pic>
      <xdr:nvPicPr>
        <xdr:cNvPr id="1083" name="image9.png">
          <a:extLst>
            <a:ext uri="{FF2B5EF4-FFF2-40B4-BE49-F238E27FC236}">
              <a16:creationId xmlns:a16="http://schemas.microsoft.com/office/drawing/2014/main" id="{00000000-0008-0000-0200-00003B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751</xdr:row>
      <xdr:rowOff>0</xdr:rowOff>
    </xdr:from>
    <xdr:ext cx="200025" cy="200025"/>
    <xdr:pic>
      <xdr:nvPicPr>
        <xdr:cNvPr id="1084" name="image9.png">
          <a:extLst>
            <a:ext uri="{FF2B5EF4-FFF2-40B4-BE49-F238E27FC236}">
              <a16:creationId xmlns:a16="http://schemas.microsoft.com/office/drawing/2014/main" id="{00000000-0008-0000-0200-00003C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754</xdr:row>
      <xdr:rowOff>0</xdr:rowOff>
    </xdr:from>
    <xdr:ext cx="200025" cy="200025"/>
    <xdr:pic>
      <xdr:nvPicPr>
        <xdr:cNvPr id="1085" name="image8.png">
          <a:extLst>
            <a:ext uri="{FF2B5EF4-FFF2-40B4-BE49-F238E27FC236}">
              <a16:creationId xmlns:a16="http://schemas.microsoft.com/office/drawing/2014/main" id="{00000000-0008-0000-0200-00003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754</xdr:row>
      <xdr:rowOff>0</xdr:rowOff>
    </xdr:from>
    <xdr:ext cx="200025" cy="200025"/>
    <xdr:pic>
      <xdr:nvPicPr>
        <xdr:cNvPr id="1086" name="image9.png">
          <a:extLst>
            <a:ext uri="{FF2B5EF4-FFF2-40B4-BE49-F238E27FC236}">
              <a16:creationId xmlns:a16="http://schemas.microsoft.com/office/drawing/2014/main" id="{00000000-0008-0000-0200-00003E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754</xdr:row>
      <xdr:rowOff>0</xdr:rowOff>
    </xdr:from>
    <xdr:ext cx="200025" cy="200025"/>
    <xdr:pic>
      <xdr:nvPicPr>
        <xdr:cNvPr id="1087" name="image12.png">
          <a:extLst>
            <a:ext uri="{FF2B5EF4-FFF2-40B4-BE49-F238E27FC236}">
              <a16:creationId xmlns:a16="http://schemas.microsoft.com/office/drawing/2014/main" id="{00000000-0008-0000-0200-00003F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754</xdr:row>
      <xdr:rowOff>0</xdr:rowOff>
    </xdr:from>
    <xdr:ext cx="200025" cy="200025"/>
    <xdr:pic>
      <xdr:nvPicPr>
        <xdr:cNvPr id="1088" name="image1.png">
          <a:extLst>
            <a:ext uri="{FF2B5EF4-FFF2-40B4-BE49-F238E27FC236}">
              <a16:creationId xmlns:a16="http://schemas.microsoft.com/office/drawing/2014/main" id="{00000000-0008-0000-0200-000040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755</xdr:row>
      <xdr:rowOff>0</xdr:rowOff>
    </xdr:from>
    <xdr:ext cx="200025" cy="200025"/>
    <xdr:pic>
      <xdr:nvPicPr>
        <xdr:cNvPr id="1089" name="image1.png">
          <a:extLst>
            <a:ext uri="{FF2B5EF4-FFF2-40B4-BE49-F238E27FC236}">
              <a16:creationId xmlns:a16="http://schemas.microsoft.com/office/drawing/2014/main" id="{00000000-0008-0000-0200-000041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756</xdr:row>
      <xdr:rowOff>0</xdr:rowOff>
    </xdr:from>
    <xdr:ext cx="200025" cy="200025"/>
    <xdr:pic>
      <xdr:nvPicPr>
        <xdr:cNvPr id="1090" name="image1.png">
          <a:extLst>
            <a:ext uri="{FF2B5EF4-FFF2-40B4-BE49-F238E27FC236}">
              <a16:creationId xmlns:a16="http://schemas.microsoft.com/office/drawing/2014/main" id="{00000000-0008-0000-0200-000042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757</xdr:row>
      <xdr:rowOff>0</xdr:rowOff>
    </xdr:from>
    <xdr:ext cx="200025" cy="200025"/>
    <xdr:pic>
      <xdr:nvPicPr>
        <xdr:cNvPr id="1091" name="image10.png">
          <a:extLst>
            <a:ext uri="{FF2B5EF4-FFF2-40B4-BE49-F238E27FC236}">
              <a16:creationId xmlns:a16="http://schemas.microsoft.com/office/drawing/2014/main" id="{00000000-0008-0000-0200-000043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757</xdr:row>
      <xdr:rowOff>0</xdr:rowOff>
    </xdr:from>
    <xdr:ext cx="200025" cy="200025"/>
    <xdr:pic>
      <xdr:nvPicPr>
        <xdr:cNvPr id="1092" name="image1.png">
          <a:extLst>
            <a:ext uri="{FF2B5EF4-FFF2-40B4-BE49-F238E27FC236}">
              <a16:creationId xmlns:a16="http://schemas.microsoft.com/office/drawing/2014/main" id="{00000000-0008-0000-0200-000044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757</xdr:row>
      <xdr:rowOff>0</xdr:rowOff>
    </xdr:from>
    <xdr:ext cx="200025" cy="200025"/>
    <xdr:pic>
      <xdr:nvPicPr>
        <xdr:cNvPr id="1093" name="image7.png">
          <a:extLst>
            <a:ext uri="{FF2B5EF4-FFF2-40B4-BE49-F238E27FC236}">
              <a16:creationId xmlns:a16="http://schemas.microsoft.com/office/drawing/2014/main" id="{00000000-0008-0000-0200-000045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760</xdr:row>
      <xdr:rowOff>0</xdr:rowOff>
    </xdr:from>
    <xdr:ext cx="200025" cy="200025"/>
    <xdr:pic>
      <xdr:nvPicPr>
        <xdr:cNvPr id="1094" name="image10.png">
          <a:extLst>
            <a:ext uri="{FF2B5EF4-FFF2-40B4-BE49-F238E27FC236}">
              <a16:creationId xmlns:a16="http://schemas.microsoft.com/office/drawing/2014/main" id="{00000000-0008-0000-0200-00004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760</xdr:row>
      <xdr:rowOff>0</xdr:rowOff>
    </xdr:from>
    <xdr:ext cx="200025" cy="200025"/>
    <xdr:pic>
      <xdr:nvPicPr>
        <xdr:cNvPr id="1095" name="image1.png">
          <a:extLst>
            <a:ext uri="{FF2B5EF4-FFF2-40B4-BE49-F238E27FC236}">
              <a16:creationId xmlns:a16="http://schemas.microsoft.com/office/drawing/2014/main" id="{00000000-0008-0000-0200-000047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760</xdr:row>
      <xdr:rowOff>0</xdr:rowOff>
    </xdr:from>
    <xdr:ext cx="200025" cy="200025"/>
    <xdr:pic>
      <xdr:nvPicPr>
        <xdr:cNvPr id="1096" name="image5.png">
          <a:extLst>
            <a:ext uri="{FF2B5EF4-FFF2-40B4-BE49-F238E27FC236}">
              <a16:creationId xmlns:a16="http://schemas.microsoft.com/office/drawing/2014/main" id="{00000000-0008-0000-0200-000048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760</xdr:row>
      <xdr:rowOff>0</xdr:rowOff>
    </xdr:from>
    <xdr:ext cx="200025" cy="200025"/>
    <xdr:pic>
      <xdr:nvPicPr>
        <xdr:cNvPr id="1097" name="image4.png">
          <a:extLst>
            <a:ext uri="{FF2B5EF4-FFF2-40B4-BE49-F238E27FC236}">
              <a16:creationId xmlns:a16="http://schemas.microsoft.com/office/drawing/2014/main" id="{00000000-0008-0000-0200-000049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761</xdr:row>
      <xdr:rowOff>0</xdr:rowOff>
    </xdr:from>
    <xdr:ext cx="200025" cy="200025"/>
    <xdr:pic>
      <xdr:nvPicPr>
        <xdr:cNvPr id="1098" name="image4.png">
          <a:extLst>
            <a:ext uri="{FF2B5EF4-FFF2-40B4-BE49-F238E27FC236}">
              <a16:creationId xmlns:a16="http://schemas.microsoft.com/office/drawing/2014/main" id="{00000000-0008-0000-0200-00004A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762</xdr:row>
      <xdr:rowOff>0</xdr:rowOff>
    </xdr:from>
    <xdr:ext cx="200025" cy="200025"/>
    <xdr:pic>
      <xdr:nvPicPr>
        <xdr:cNvPr id="1099" name="image6.png">
          <a:extLst>
            <a:ext uri="{FF2B5EF4-FFF2-40B4-BE49-F238E27FC236}">
              <a16:creationId xmlns:a16="http://schemas.microsoft.com/office/drawing/2014/main" id="{00000000-0008-0000-0200-00004B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765</xdr:row>
      <xdr:rowOff>0</xdr:rowOff>
    </xdr:from>
    <xdr:ext cx="200025" cy="200025"/>
    <xdr:pic>
      <xdr:nvPicPr>
        <xdr:cNvPr id="1100" name="image8.png">
          <a:extLst>
            <a:ext uri="{FF2B5EF4-FFF2-40B4-BE49-F238E27FC236}">
              <a16:creationId xmlns:a16="http://schemas.microsoft.com/office/drawing/2014/main" id="{00000000-0008-0000-0200-00004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765</xdr:row>
      <xdr:rowOff>0</xdr:rowOff>
    </xdr:from>
    <xdr:ext cx="200025" cy="200025"/>
    <xdr:pic>
      <xdr:nvPicPr>
        <xdr:cNvPr id="1101" name="image6.png">
          <a:extLst>
            <a:ext uri="{FF2B5EF4-FFF2-40B4-BE49-F238E27FC236}">
              <a16:creationId xmlns:a16="http://schemas.microsoft.com/office/drawing/2014/main" id="{00000000-0008-0000-0200-00004D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765</xdr:row>
      <xdr:rowOff>0</xdr:rowOff>
    </xdr:from>
    <xdr:ext cx="200025" cy="200025"/>
    <xdr:pic>
      <xdr:nvPicPr>
        <xdr:cNvPr id="1102" name="image12.png">
          <a:extLst>
            <a:ext uri="{FF2B5EF4-FFF2-40B4-BE49-F238E27FC236}">
              <a16:creationId xmlns:a16="http://schemas.microsoft.com/office/drawing/2014/main" id="{00000000-0008-0000-0200-00004E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765</xdr:row>
      <xdr:rowOff>0</xdr:rowOff>
    </xdr:from>
    <xdr:ext cx="200025" cy="200025"/>
    <xdr:pic>
      <xdr:nvPicPr>
        <xdr:cNvPr id="1103" name="image1.png">
          <a:extLst>
            <a:ext uri="{FF2B5EF4-FFF2-40B4-BE49-F238E27FC236}">
              <a16:creationId xmlns:a16="http://schemas.microsoft.com/office/drawing/2014/main" id="{00000000-0008-0000-0200-00004F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766</xdr:row>
      <xdr:rowOff>0</xdr:rowOff>
    </xdr:from>
    <xdr:ext cx="200025" cy="200025"/>
    <xdr:pic>
      <xdr:nvPicPr>
        <xdr:cNvPr id="1104" name="image1.png">
          <a:extLst>
            <a:ext uri="{FF2B5EF4-FFF2-40B4-BE49-F238E27FC236}">
              <a16:creationId xmlns:a16="http://schemas.microsoft.com/office/drawing/2014/main" id="{00000000-0008-0000-0200-000050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767</xdr:row>
      <xdr:rowOff>0</xdr:rowOff>
    </xdr:from>
    <xdr:ext cx="200025" cy="200025"/>
    <xdr:pic>
      <xdr:nvPicPr>
        <xdr:cNvPr id="1105" name="image10.png">
          <a:extLst>
            <a:ext uri="{FF2B5EF4-FFF2-40B4-BE49-F238E27FC236}">
              <a16:creationId xmlns:a16="http://schemas.microsoft.com/office/drawing/2014/main" id="{00000000-0008-0000-0200-000051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767</xdr:row>
      <xdr:rowOff>0</xdr:rowOff>
    </xdr:from>
    <xdr:ext cx="200025" cy="200025"/>
    <xdr:pic>
      <xdr:nvPicPr>
        <xdr:cNvPr id="1106" name="image9.png">
          <a:extLst>
            <a:ext uri="{FF2B5EF4-FFF2-40B4-BE49-F238E27FC236}">
              <a16:creationId xmlns:a16="http://schemas.microsoft.com/office/drawing/2014/main" id="{00000000-0008-0000-0200-000052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767</xdr:row>
      <xdr:rowOff>0</xdr:rowOff>
    </xdr:from>
    <xdr:ext cx="200025" cy="200025"/>
    <xdr:pic>
      <xdr:nvPicPr>
        <xdr:cNvPr id="1107" name="image4.png">
          <a:extLst>
            <a:ext uri="{FF2B5EF4-FFF2-40B4-BE49-F238E27FC236}">
              <a16:creationId xmlns:a16="http://schemas.microsoft.com/office/drawing/2014/main" id="{00000000-0008-0000-0200-00005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767</xdr:row>
      <xdr:rowOff>0</xdr:rowOff>
    </xdr:from>
    <xdr:ext cx="200025" cy="200025"/>
    <xdr:pic>
      <xdr:nvPicPr>
        <xdr:cNvPr id="1108" name="image2.png">
          <a:extLst>
            <a:ext uri="{FF2B5EF4-FFF2-40B4-BE49-F238E27FC236}">
              <a16:creationId xmlns:a16="http://schemas.microsoft.com/office/drawing/2014/main" id="{00000000-0008-0000-0200-000054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768</xdr:row>
      <xdr:rowOff>0</xdr:rowOff>
    </xdr:from>
    <xdr:ext cx="200025" cy="200025"/>
    <xdr:pic>
      <xdr:nvPicPr>
        <xdr:cNvPr id="1109" name="image2.png">
          <a:extLst>
            <a:ext uri="{FF2B5EF4-FFF2-40B4-BE49-F238E27FC236}">
              <a16:creationId xmlns:a16="http://schemas.microsoft.com/office/drawing/2014/main" id="{00000000-0008-0000-0200-000055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769</xdr:row>
      <xdr:rowOff>0</xdr:rowOff>
    </xdr:from>
    <xdr:ext cx="200025" cy="200025"/>
    <xdr:pic>
      <xdr:nvPicPr>
        <xdr:cNvPr id="1110" name="image2.png">
          <a:extLst>
            <a:ext uri="{FF2B5EF4-FFF2-40B4-BE49-F238E27FC236}">
              <a16:creationId xmlns:a16="http://schemas.microsoft.com/office/drawing/2014/main" id="{00000000-0008-0000-0200-000056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770</xdr:row>
      <xdr:rowOff>0</xdr:rowOff>
    </xdr:from>
    <xdr:ext cx="200025" cy="200025"/>
    <xdr:pic>
      <xdr:nvPicPr>
        <xdr:cNvPr id="1111" name="image8.png">
          <a:extLst>
            <a:ext uri="{FF2B5EF4-FFF2-40B4-BE49-F238E27FC236}">
              <a16:creationId xmlns:a16="http://schemas.microsoft.com/office/drawing/2014/main" id="{00000000-0008-0000-0200-000057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770</xdr:row>
      <xdr:rowOff>0</xdr:rowOff>
    </xdr:from>
    <xdr:ext cx="200025" cy="200025"/>
    <xdr:pic>
      <xdr:nvPicPr>
        <xdr:cNvPr id="1112" name="image2.png">
          <a:extLst>
            <a:ext uri="{FF2B5EF4-FFF2-40B4-BE49-F238E27FC236}">
              <a16:creationId xmlns:a16="http://schemas.microsoft.com/office/drawing/2014/main" id="{00000000-0008-0000-0200-000058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770</xdr:row>
      <xdr:rowOff>0</xdr:rowOff>
    </xdr:from>
    <xdr:ext cx="200025" cy="200025"/>
    <xdr:pic>
      <xdr:nvPicPr>
        <xdr:cNvPr id="1113" name="image3.png">
          <a:extLst>
            <a:ext uri="{FF2B5EF4-FFF2-40B4-BE49-F238E27FC236}">
              <a16:creationId xmlns:a16="http://schemas.microsoft.com/office/drawing/2014/main" id="{00000000-0008-0000-0200-000059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770</xdr:row>
      <xdr:rowOff>0</xdr:rowOff>
    </xdr:from>
    <xdr:ext cx="200025" cy="200025"/>
    <xdr:pic>
      <xdr:nvPicPr>
        <xdr:cNvPr id="1114" name="image9.png">
          <a:extLst>
            <a:ext uri="{FF2B5EF4-FFF2-40B4-BE49-F238E27FC236}">
              <a16:creationId xmlns:a16="http://schemas.microsoft.com/office/drawing/2014/main" id="{00000000-0008-0000-0200-00005A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772</xdr:row>
      <xdr:rowOff>0</xdr:rowOff>
    </xdr:from>
    <xdr:ext cx="200025" cy="200025"/>
    <xdr:pic>
      <xdr:nvPicPr>
        <xdr:cNvPr id="1115" name="image9.png">
          <a:extLst>
            <a:ext uri="{FF2B5EF4-FFF2-40B4-BE49-F238E27FC236}">
              <a16:creationId xmlns:a16="http://schemas.microsoft.com/office/drawing/2014/main" id="{00000000-0008-0000-0200-00005B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775</xdr:row>
      <xdr:rowOff>0</xdr:rowOff>
    </xdr:from>
    <xdr:ext cx="200025" cy="200025"/>
    <xdr:pic>
      <xdr:nvPicPr>
        <xdr:cNvPr id="1116" name="image10.png">
          <a:extLst>
            <a:ext uri="{FF2B5EF4-FFF2-40B4-BE49-F238E27FC236}">
              <a16:creationId xmlns:a16="http://schemas.microsoft.com/office/drawing/2014/main" id="{00000000-0008-0000-0200-00005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775</xdr:row>
      <xdr:rowOff>0</xdr:rowOff>
    </xdr:from>
    <xdr:ext cx="200025" cy="200025"/>
    <xdr:pic>
      <xdr:nvPicPr>
        <xdr:cNvPr id="1117" name="image9.png">
          <a:extLst>
            <a:ext uri="{FF2B5EF4-FFF2-40B4-BE49-F238E27FC236}">
              <a16:creationId xmlns:a16="http://schemas.microsoft.com/office/drawing/2014/main" id="{00000000-0008-0000-0200-00005D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775</xdr:row>
      <xdr:rowOff>0</xdr:rowOff>
    </xdr:from>
    <xdr:ext cx="200025" cy="200025"/>
    <xdr:pic>
      <xdr:nvPicPr>
        <xdr:cNvPr id="1118" name="image4.png">
          <a:extLst>
            <a:ext uri="{FF2B5EF4-FFF2-40B4-BE49-F238E27FC236}">
              <a16:creationId xmlns:a16="http://schemas.microsoft.com/office/drawing/2014/main" id="{00000000-0008-0000-0200-00005E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775</xdr:row>
      <xdr:rowOff>0</xdr:rowOff>
    </xdr:from>
    <xdr:ext cx="200025" cy="200025"/>
    <xdr:pic>
      <xdr:nvPicPr>
        <xdr:cNvPr id="1119" name="image8.png">
          <a:extLst>
            <a:ext uri="{FF2B5EF4-FFF2-40B4-BE49-F238E27FC236}">
              <a16:creationId xmlns:a16="http://schemas.microsoft.com/office/drawing/2014/main" id="{00000000-0008-0000-0200-00005F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776</xdr:row>
      <xdr:rowOff>0</xdr:rowOff>
    </xdr:from>
    <xdr:ext cx="200025" cy="200025"/>
    <xdr:pic>
      <xdr:nvPicPr>
        <xdr:cNvPr id="1120" name="image8.png">
          <a:extLst>
            <a:ext uri="{FF2B5EF4-FFF2-40B4-BE49-F238E27FC236}">
              <a16:creationId xmlns:a16="http://schemas.microsoft.com/office/drawing/2014/main" id="{00000000-0008-0000-0200-00006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777</xdr:row>
      <xdr:rowOff>0</xdr:rowOff>
    </xdr:from>
    <xdr:ext cx="200025" cy="200025"/>
    <xdr:pic>
      <xdr:nvPicPr>
        <xdr:cNvPr id="1121" name="image8.png">
          <a:extLst>
            <a:ext uri="{FF2B5EF4-FFF2-40B4-BE49-F238E27FC236}">
              <a16:creationId xmlns:a16="http://schemas.microsoft.com/office/drawing/2014/main" id="{00000000-0008-0000-0200-00006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778</xdr:row>
      <xdr:rowOff>0</xdr:rowOff>
    </xdr:from>
    <xdr:ext cx="200025" cy="200025"/>
    <xdr:pic>
      <xdr:nvPicPr>
        <xdr:cNvPr id="1122" name="image8.png">
          <a:extLst>
            <a:ext uri="{FF2B5EF4-FFF2-40B4-BE49-F238E27FC236}">
              <a16:creationId xmlns:a16="http://schemas.microsoft.com/office/drawing/2014/main" id="{00000000-0008-0000-0200-000062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778</xdr:row>
      <xdr:rowOff>0</xdr:rowOff>
    </xdr:from>
    <xdr:ext cx="200025" cy="200025"/>
    <xdr:pic>
      <xdr:nvPicPr>
        <xdr:cNvPr id="1123" name="image2.png">
          <a:extLst>
            <a:ext uri="{FF2B5EF4-FFF2-40B4-BE49-F238E27FC236}">
              <a16:creationId xmlns:a16="http://schemas.microsoft.com/office/drawing/2014/main" id="{00000000-0008-0000-0200-00006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778</xdr:row>
      <xdr:rowOff>0</xdr:rowOff>
    </xdr:from>
    <xdr:ext cx="200025" cy="200025"/>
    <xdr:pic>
      <xdr:nvPicPr>
        <xdr:cNvPr id="1124" name="image12.png">
          <a:extLst>
            <a:ext uri="{FF2B5EF4-FFF2-40B4-BE49-F238E27FC236}">
              <a16:creationId xmlns:a16="http://schemas.microsoft.com/office/drawing/2014/main" id="{00000000-0008-0000-0200-000064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778</xdr:row>
      <xdr:rowOff>0</xdr:rowOff>
    </xdr:from>
    <xdr:ext cx="200025" cy="200025"/>
    <xdr:pic>
      <xdr:nvPicPr>
        <xdr:cNvPr id="1125" name="image10.png">
          <a:extLst>
            <a:ext uri="{FF2B5EF4-FFF2-40B4-BE49-F238E27FC236}">
              <a16:creationId xmlns:a16="http://schemas.microsoft.com/office/drawing/2014/main" id="{00000000-0008-0000-0200-000065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779</xdr:row>
      <xdr:rowOff>0</xdr:rowOff>
    </xdr:from>
    <xdr:ext cx="200025" cy="200025"/>
    <xdr:pic>
      <xdr:nvPicPr>
        <xdr:cNvPr id="1126" name="image10.png">
          <a:extLst>
            <a:ext uri="{FF2B5EF4-FFF2-40B4-BE49-F238E27FC236}">
              <a16:creationId xmlns:a16="http://schemas.microsoft.com/office/drawing/2014/main" id="{00000000-0008-0000-0200-00006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781</xdr:row>
      <xdr:rowOff>0</xdr:rowOff>
    </xdr:from>
    <xdr:ext cx="200025" cy="200025"/>
    <xdr:pic>
      <xdr:nvPicPr>
        <xdr:cNvPr id="1127" name="image10.png">
          <a:extLst>
            <a:ext uri="{FF2B5EF4-FFF2-40B4-BE49-F238E27FC236}">
              <a16:creationId xmlns:a16="http://schemas.microsoft.com/office/drawing/2014/main" id="{00000000-0008-0000-0200-000067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781</xdr:row>
      <xdr:rowOff>0</xdr:rowOff>
    </xdr:from>
    <xdr:ext cx="200025" cy="200025"/>
    <xdr:pic>
      <xdr:nvPicPr>
        <xdr:cNvPr id="1128" name="image6.png">
          <a:extLst>
            <a:ext uri="{FF2B5EF4-FFF2-40B4-BE49-F238E27FC236}">
              <a16:creationId xmlns:a16="http://schemas.microsoft.com/office/drawing/2014/main" id="{00000000-0008-0000-0200-000068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781</xdr:row>
      <xdr:rowOff>0</xdr:rowOff>
    </xdr:from>
    <xdr:ext cx="200025" cy="200025"/>
    <xdr:pic>
      <xdr:nvPicPr>
        <xdr:cNvPr id="1129" name="image7.png">
          <a:extLst>
            <a:ext uri="{FF2B5EF4-FFF2-40B4-BE49-F238E27FC236}">
              <a16:creationId xmlns:a16="http://schemas.microsoft.com/office/drawing/2014/main" id="{00000000-0008-0000-0200-000069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782</xdr:row>
      <xdr:rowOff>0</xdr:rowOff>
    </xdr:from>
    <xdr:ext cx="200025" cy="200025"/>
    <xdr:pic>
      <xdr:nvPicPr>
        <xdr:cNvPr id="1130" name="image1.png">
          <a:extLst>
            <a:ext uri="{FF2B5EF4-FFF2-40B4-BE49-F238E27FC236}">
              <a16:creationId xmlns:a16="http://schemas.microsoft.com/office/drawing/2014/main" id="{00000000-0008-0000-0200-00006A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783</xdr:row>
      <xdr:rowOff>0</xdr:rowOff>
    </xdr:from>
    <xdr:ext cx="200025" cy="200025"/>
    <xdr:pic>
      <xdr:nvPicPr>
        <xdr:cNvPr id="1131" name="image1.png">
          <a:extLst>
            <a:ext uri="{FF2B5EF4-FFF2-40B4-BE49-F238E27FC236}">
              <a16:creationId xmlns:a16="http://schemas.microsoft.com/office/drawing/2014/main" id="{00000000-0008-0000-0200-00006B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784</xdr:row>
      <xdr:rowOff>0</xdr:rowOff>
    </xdr:from>
    <xdr:ext cx="200025" cy="200025"/>
    <xdr:pic>
      <xdr:nvPicPr>
        <xdr:cNvPr id="1132" name="image10.png">
          <a:extLst>
            <a:ext uri="{FF2B5EF4-FFF2-40B4-BE49-F238E27FC236}">
              <a16:creationId xmlns:a16="http://schemas.microsoft.com/office/drawing/2014/main" id="{00000000-0008-0000-0200-00006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784</xdr:row>
      <xdr:rowOff>0</xdr:rowOff>
    </xdr:from>
    <xdr:ext cx="200025" cy="200025"/>
    <xdr:pic>
      <xdr:nvPicPr>
        <xdr:cNvPr id="1133" name="image2.png">
          <a:extLst>
            <a:ext uri="{FF2B5EF4-FFF2-40B4-BE49-F238E27FC236}">
              <a16:creationId xmlns:a16="http://schemas.microsoft.com/office/drawing/2014/main" id="{00000000-0008-0000-0200-00006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784</xdr:row>
      <xdr:rowOff>0</xdr:rowOff>
    </xdr:from>
    <xdr:ext cx="200025" cy="200025"/>
    <xdr:pic>
      <xdr:nvPicPr>
        <xdr:cNvPr id="1134" name="image11.png">
          <a:extLst>
            <a:ext uri="{FF2B5EF4-FFF2-40B4-BE49-F238E27FC236}">
              <a16:creationId xmlns:a16="http://schemas.microsoft.com/office/drawing/2014/main" id="{00000000-0008-0000-0200-00006E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784</xdr:row>
      <xdr:rowOff>0</xdr:rowOff>
    </xdr:from>
    <xdr:ext cx="200025" cy="200025"/>
    <xdr:pic>
      <xdr:nvPicPr>
        <xdr:cNvPr id="1135" name="image8.png">
          <a:extLst>
            <a:ext uri="{FF2B5EF4-FFF2-40B4-BE49-F238E27FC236}">
              <a16:creationId xmlns:a16="http://schemas.microsoft.com/office/drawing/2014/main" id="{00000000-0008-0000-0200-00006F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786</xdr:row>
      <xdr:rowOff>0</xdr:rowOff>
    </xdr:from>
    <xdr:ext cx="200025" cy="200025"/>
    <xdr:pic>
      <xdr:nvPicPr>
        <xdr:cNvPr id="1136" name="image8.png">
          <a:extLst>
            <a:ext uri="{FF2B5EF4-FFF2-40B4-BE49-F238E27FC236}">
              <a16:creationId xmlns:a16="http://schemas.microsoft.com/office/drawing/2014/main" id="{00000000-0008-0000-0200-00007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789</xdr:row>
      <xdr:rowOff>0</xdr:rowOff>
    </xdr:from>
    <xdr:ext cx="200025" cy="200025"/>
    <xdr:pic>
      <xdr:nvPicPr>
        <xdr:cNvPr id="1137" name="image8.png">
          <a:extLst>
            <a:ext uri="{FF2B5EF4-FFF2-40B4-BE49-F238E27FC236}">
              <a16:creationId xmlns:a16="http://schemas.microsoft.com/office/drawing/2014/main" id="{00000000-0008-0000-0200-00007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789</xdr:row>
      <xdr:rowOff>0</xdr:rowOff>
    </xdr:from>
    <xdr:ext cx="200025" cy="200025"/>
    <xdr:pic>
      <xdr:nvPicPr>
        <xdr:cNvPr id="1138" name="image1.png">
          <a:extLst>
            <a:ext uri="{FF2B5EF4-FFF2-40B4-BE49-F238E27FC236}">
              <a16:creationId xmlns:a16="http://schemas.microsoft.com/office/drawing/2014/main" id="{00000000-0008-0000-0200-000072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789</xdr:row>
      <xdr:rowOff>0</xdr:rowOff>
    </xdr:from>
    <xdr:ext cx="200025" cy="200025"/>
    <xdr:pic>
      <xdr:nvPicPr>
        <xdr:cNvPr id="1139" name="image4.png">
          <a:extLst>
            <a:ext uri="{FF2B5EF4-FFF2-40B4-BE49-F238E27FC236}">
              <a16:creationId xmlns:a16="http://schemas.microsoft.com/office/drawing/2014/main" id="{00000000-0008-0000-0200-000073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790</xdr:row>
      <xdr:rowOff>0</xdr:rowOff>
    </xdr:from>
    <xdr:ext cx="200025" cy="200025"/>
    <xdr:pic>
      <xdr:nvPicPr>
        <xdr:cNvPr id="1140" name="image9.png">
          <a:extLst>
            <a:ext uri="{FF2B5EF4-FFF2-40B4-BE49-F238E27FC236}">
              <a16:creationId xmlns:a16="http://schemas.microsoft.com/office/drawing/2014/main" id="{00000000-0008-0000-0200-000074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791</xdr:row>
      <xdr:rowOff>0</xdr:rowOff>
    </xdr:from>
    <xdr:ext cx="200025" cy="200025"/>
    <xdr:pic>
      <xdr:nvPicPr>
        <xdr:cNvPr id="1141" name="image9.png">
          <a:extLst>
            <a:ext uri="{FF2B5EF4-FFF2-40B4-BE49-F238E27FC236}">
              <a16:creationId xmlns:a16="http://schemas.microsoft.com/office/drawing/2014/main" id="{00000000-0008-0000-0200-000075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794</xdr:row>
      <xdr:rowOff>0</xdr:rowOff>
    </xdr:from>
    <xdr:ext cx="200025" cy="200025"/>
    <xdr:pic>
      <xdr:nvPicPr>
        <xdr:cNvPr id="1142" name="image10.png">
          <a:extLst>
            <a:ext uri="{FF2B5EF4-FFF2-40B4-BE49-F238E27FC236}">
              <a16:creationId xmlns:a16="http://schemas.microsoft.com/office/drawing/2014/main" id="{00000000-0008-0000-0200-00007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794</xdr:row>
      <xdr:rowOff>0</xdr:rowOff>
    </xdr:from>
    <xdr:ext cx="200025" cy="200025"/>
    <xdr:pic>
      <xdr:nvPicPr>
        <xdr:cNvPr id="1143" name="image9.png">
          <a:extLst>
            <a:ext uri="{FF2B5EF4-FFF2-40B4-BE49-F238E27FC236}">
              <a16:creationId xmlns:a16="http://schemas.microsoft.com/office/drawing/2014/main" id="{00000000-0008-0000-0200-000077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794</xdr:row>
      <xdr:rowOff>0</xdr:rowOff>
    </xdr:from>
    <xdr:ext cx="200025" cy="200025"/>
    <xdr:pic>
      <xdr:nvPicPr>
        <xdr:cNvPr id="1144" name="image7.png">
          <a:extLst>
            <a:ext uri="{FF2B5EF4-FFF2-40B4-BE49-F238E27FC236}">
              <a16:creationId xmlns:a16="http://schemas.microsoft.com/office/drawing/2014/main" id="{00000000-0008-0000-0200-000078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795</xdr:row>
      <xdr:rowOff>0</xdr:rowOff>
    </xdr:from>
    <xdr:ext cx="200025" cy="200025"/>
    <xdr:pic>
      <xdr:nvPicPr>
        <xdr:cNvPr id="1145" name="image1.png">
          <a:extLst>
            <a:ext uri="{FF2B5EF4-FFF2-40B4-BE49-F238E27FC236}">
              <a16:creationId xmlns:a16="http://schemas.microsoft.com/office/drawing/2014/main" id="{00000000-0008-0000-0200-000079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796</xdr:row>
      <xdr:rowOff>0</xdr:rowOff>
    </xdr:from>
    <xdr:ext cx="200025" cy="200025"/>
    <xdr:pic>
      <xdr:nvPicPr>
        <xdr:cNvPr id="1146" name="image1.png">
          <a:extLst>
            <a:ext uri="{FF2B5EF4-FFF2-40B4-BE49-F238E27FC236}">
              <a16:creationId xmlns:a16="http://schemas.microsoft.com/office/drawing/2014/main" id="{00000000-0008-0000-0200-00007A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798</xdr:row>
      <xdr:rowOff>0</xdr:rowOff>
    </xdr:from>
    <xdr:ext cx="200025" cy="200025"/>
    <xdr:pic>
      <xdr:nvPicPr>
        <xdr:cNvPr id="1147" name="image10.png">
          <a:extLst>
            <a:ext uri="{FF2B5EF4-FFF2-40B4-BE49-F238E27FC236}">
              <a16:creationId xmlns:a16="http://schemas.microsoft.com/office/drawing/2014/main" id="{00000000-0008-0000-0200-00007B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798</xdr:row>
      <xdr:rowOff>0</xdr:rowOff>
    </xdr:from>
    <xdr:ext cx="200025" cy="200025"/>
    <xdr:pic>
      <xdr:nvPicPr>
        <xdr:cNvPr id="1148" name="image9.png">
          <a:extLst>
            <a:ext uri="{FF2B5EF4-FFF2-40B4-BE49-F238E27FC236}">
              <a16:creationId xmlns:a16="http://schemas.microsoft.com/office/drawing/2014/main" id="{00000000-0008-0000-0200-00007C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798</xdr:row>
      <xdr:rowOff>0</xdr:rowOff>
    </xdr:from>
    <xdr:ext cx="200025" cy="200025"/>
    <xdr:pic>
      <xdr:nvPicPr>
        <xdr:cNvPr id="1149" name="image5.png">
          <a:extLst>
            <a:ext uri="{FF2B5EF4-FFF2-40B4-BE49-F238E27FC236}">
              <a16:creationId xmlns:a16="http://schemas.microsoft.com/office/drawing/2014/main" id="{00000000-0008-0000-0200-00007D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798</xdr:row>
      <xdr:rowOff>0</xdr:rowOff>
    </xdr:from>
    <xdr:ext cx="200025" cy="200025"/>
    <xdr:pic>
      <xdr:nvPicPr>
        <xdr:cNvPr id="1150" name="image9.png">
          <a:extLst>
            <a:ext uri="{FF2B5EF4-FFF2-40B4-BE49-F238E27FC236}">
              <a16:creationId xmlns:a16="http://schemas.microsoft.com/office/drawing/2014/main" id="{00000000-0008-0000-0200-00007E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799</xdr:row>
      <xdr:rowOff>0</xdr:rowOff>
    </xdr:from>
    <xdr:ext cx="200025" cy="200025"/>
    <xdr:pic>
      <xdr:nvPicPr>
        <xdr:cNvPr id="1151" name="image9.png">
          <a:extLst>
            <a:ext uri="{FF2B5EF4-FFF2-40B4-BE49-F238E27FC236}">
              <a16:creationId xmlns:a16="http://schemas.microsoft.com/office/drawing/2014/main" id="{00000000-0008-0000-0200-00007F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801</xdr:row>
      <xdr:rowOff>0</xdr:rowOff>
    </xdr:from>
    <xdr:ext cx="200025" cy="200025"/>
    <xdr:pic>
      <xdr:nvPicPr>
        <xdr:cNvPr id="1152" name="image8.png">
          <a:extLst>
            <a:ext uri="{FF2B5EF4-FFF2-40B4-BE49-F238E27FC236}">
              <a16:creationId xmlns:a16="http://schemas.microsoft.com/office/drawing/2014/main" id="{00000000-0008-0000-0200-00008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801</xdr:row>
      <xdr:rowOff>0</xdr:rowOff>
    </xdr:from>
    <xdr:ext cx="200025" cy="200025"/>
    <xdr:pic>
      <xdr:nvPicPr>
        <xdr:cNvPr id="1153" name="image1.png">
          <a:extLst>
            <a:ext uri="{FF2B5EF4-FFF2-40B4-BE49-F238E27FC236}">
              <a16:creationId xmlns:a16="http://schemas.microsoft.com/office/drawing/2014/main" id="{00000000-0008-0000-0200-000081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801</xdr:row>
      <xdr:rowOff>0</xdr:rowOff>
    </xdr:from>
    <xdr:ext cx="200025" cy="200025"/>
    <xdr:pic>
      <xdr:nvPicPr>
        <xdr:cNvPr id="1154" name="image11.png">
          <a:extLst>
            <a:ext uri="{FF2B5EF4-FFF2-40B4-BE49-F238E27FC236}">
              <a16:creationId xmlns:a16="http://schemas.microsoft.com/office/drawing/2014/main" id="{00000000-0008-0000-0200-000082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801</xdr:row>
      <xdr:rowOff>0</xdr:rowOff>
    </xdr:from>
    <xdr:ext cx="200025" cy="200025"/>
    <xdr:pic>
      <xdr:nvPicPr>
        <xdr:cNvPr id="1155" name="image2.png">
          <a:extLst>
            <a:ext uri="{FF2B5EF4-FFF2-40B4-BE49-F238E27FC236}">
              <a16:creationId xmlns:a16="http://schemas.microsoft.com/office/drawing/2014/main" id="{00000000-0008-0000-0200-00008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802</xdr:row>
      <xdr:rowOff>0</xdr:rowOff>
    </xdr:from>
    <xdr:ext cx="200025" cy="200025"/>
    <xdr:pic>
      <xdr:nvPicPr>
        <xdr:cNvPr id="1156" name="image2.png">
          <a:extLst>
            <a:ext uri="{FF2B5EF4-FFF2-40B4-BE49-F238E27FC236}">
              <a16:creationId xmlns:a16="http://schemas.microsoft.com/office/drawing/2014/main" id="{00000000-0008-0000-0200-000084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803</xdr:row>
      <xdr:rowOff>0</xdr:rowOff>
    </xdr:from>
    <xdr:ext cx="200025" cy="200025"/>
    <xdr:pic>
      <xdr:nvPicPr>
        <xdr:cNvPr id="1157" name="image2.png">
          <a:extLst>
            <a:ext uri="{FF2B5EF4-FFF2-40B4-BE49-F238E27FC236}">
              <a16:creationId xmlns:a16="http://schemas.microsoft.com/office/drawing/2014/main" id="{00000000-0008-0000-0200-000085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804</xdr:row>
      <xdr:rowOff>0</xdr:rowOff>
    </xdr:from>
    <xdr:ext cx="200025" cy="200025"/>
    <xdr:pic>
      <xdr:nvPicPr>
        <xdr:cNvPr id="1158" name="image8.png">
          <a:extLst>
            <a:ext uri="{FF2B5EF4-FFF2-40B4-BE49-F238E27FC236}">
              <a16:creationId xmlns:a16="http://schemas.microsoft.com/office/drawing/2014/main" id="{00000000-0008-0000-0200-00008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804</xdr:row>
      <xdr:rowOff>0</xdr:rowOff>
    </xdr:from>
    <xdr:ext cx="200025" cy="200025"/>
    <xdr:pic>
      <xdr:nvPicPr>
        <xdr:cNvPr id="1159" name="image1.png">
          <a:extLst>
            <a:ext uri="{FF2B5EF4-FFF2-40B4-BE49-F238E27FC236}">
              <a16:creationId xmlns:a16="http://schemas.microsoft.com/office/drawing/2014/main" id="{00000000-0008-0000-0200-000087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804</xdr:row>
      <xdr:rowOff>0</xdr:rowOff>
    </xdr:from>
    <xdr:ext cx="200025" cy="200025"/>
    <xdr:pic>
      <xdr:nvPicPr>
        <xdr:cNvPr id="1160" name="image5.png">
          <a:extLst>
            <a:ext uri="{FF2B5EF4-FFF2-40B4-BE49-F238E27FC236}">
              <a16:creationId xmlns:a16="http://schemas.microsoft.com/office/drawing/2014/main" id="{00000000-0008-0000-0200-000088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805</xdr:row>
      <xdr:rowOff>0</xdr:rowOff>
    </xdr:from>
    <xdr:ext cx="200025" cy="200025"/>
    <xdr:pic>
      <xdr:nvPicPr>
        <xdr:cNvPr id="1161" name="image10.png">
          <a:extLst>
            <a:ext uri="{FF2B5EF4-FFF2-40B4-BE49-F238E27FC236}">
              <a16:creationId xmlns:a16="http://schemas.microsoft.com/office/drawing/2014/main" id="{00000000-0008-0000-0200-000089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806</xdr:row>
      <xdr:rowOff>0</xdr:rowOff>
    </xdr:from>
    <xdr:ext cx="200025" cy="200025"/>
    <xdr:pic>
      <xdr:nvPicPr>
        <xdr:cNvPr id="1162" name="image10.png">
          <a:extLst>
            <a:ext uri="{FF2B5EF4-FFF2-40B4-BE49-F238E27FC236}">
              <a16:creationId xmlns:a16="http://schemas.microsoft.com/office/drawing/2014/main" id="{00000000-0008-0000-0200-00008A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809</xdr:row>
      <xdr:rowOff>0</xdr:rowOff>
    </xdr:from>
    <xdr:ext cx="200025" cy="200025"/>
    <xdr:pic>
      <xdr:nvPicPr>
        <xdr:cNvPr id="1163" name="image10.png">
          <a:extLst>
            <a:ext uri="{FF2B5EF4-FFF2-40B4-BE49-F238E27FC236}">
              <a16:creationId xmlns:a16="http://schemas.microsoft.com/office/drawing/2014/main" id="{00000000-0008-0000-0200-00008B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809</xdr:row>
      <xdr:rowOff>0</xdr:rowOff>
    </xdr:from>
    <xdr:ext cx="200025" cy="200025"/>
    <xdr:pic>
      <xdr:nvPicPr>
        <xdr:cNvPr id="1164" name="image6.png">
          <a:extLst>
            <a:ext uri="{FF2B5EF4-FFF2-40B4-BE49-F238E27FC236}">
              <a16:creationId xmlns:a16="http://schemas.microsoft.com/office/drawing/2014/main" id="{00000000-0008-0000-0200-00008C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809</xdr:row>
      <xdr:rowOff>0</xdr:rowOff>
    </xdr:from>
    <xdr:ext cx="200025" cy="200025"/>
    <xdr:pic>
      <xdr:nvPicPr>
        <xdr:cNvPr id="1165" name="image12.png">
          <a:extLst>
            <a:ext uri="{FF2B5EF4-FFF2-40B4-BE49-F238E27FC236}">
              <a16:creationId xmlns:a16="http://schemas.microsoft.com/office/drawing/2014/main" id="{00000000-0008-0000-0200-00008D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809</xdr:row>
      <xdr:rowOff>0</xdr:rowOff>
    </xdr:from>
    <xdr:ext cx="200025" cy="200025"/>
    <xdr:pic>
      <xdr:nvPicPr>
        <xdr:cNvPr id="1166" name="image8.png">
          <a:extLst>
            <a:ext uri="{FF2B5EF4-FFF2-40B4-BE49-F238E27FC236}">
              <a16:creationId xmlns:a16="http://schemas.microsoft.com/office/drawing/2014/main" id="{00000000-0008-0000-0200-00008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811</xdr:row>
      <xdr:rowOff>0</xdr:rowOff>
    </xdr:from>
    <xdr:ext cx="200025" cy="200025"/>
    <xdr:pic>
      <xdr:nvPicPr>
        <xdr:cNvPr id="1167" name="image8.png">
          <a:extLst>
            <a:ext uri="{FF2B5EF4-FFF2-40B4-BE49-F238E27FC236}">
              <a16:creationId xmlns:a16="http://schemas.microsoft.com/office/drawing/2014/main" id="{00000000-0008-0000-0200-00008F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814</xdr:row>
      <xdr:rowOff>0</xdr:rowOff>
    </xdr:from>
    <xdr:ext cx="200025" cy="200025"/>
    <xdr:pic>
      <xdr:nvPicPr>
        <xdr:cNvPr id="1168" name="image8.png">
          <a:extLst>
            <a:ext uri="{FF2B5EF4-FFF2-40B4-BE49-F238E27FC236}">
              <a16:creationId xmlns:a16="http://schemas.microsoft.com/office/drawing/2014/main" id="{00000000-0008-0000-0200-000090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814</xdr:row>
      <xdr:rowOff>0</xdr:rowOff>
    </xdr:from>
    <xdr:ext cx="200025" cy="200025"/>
    <xdr:pic>
      <xdr:nvPicPr>
        <xdr:cNvPr id="1169" name="image2.png">
          <a:extLst>
            <a:ext uri="{FF2B5EF4-FFF2-40B4-BE49-F238E27FC236}">
              <a16:creationId xmlns:a16="http://schemas.microsoft.com/office/drawing/2014/main" id="{00000000-0008-0000-0200-000091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814</xdr:row>
      <xdr:rowOff>0</xdr:rowOff>
    </xdr:from>
    <xdr:ext cx="200025" cy="200025"/>
    <xdr:pic>
      <xdr:nvPicPr>
        <xdr:cNvPr id="1170" name="image4.png">
          <a:extLst>
            <a:ext uri="{FF2B5EF4-FFF2-40B4-BE49-F238E27FC236}">
              <a16:creationId xmlns:a16="http://schemas.microsoft.com/office/drawing/2014/main" id="{00000000-0008-0000-0200-000092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814</xdr:row>
      <xdr:rowOff>0</xdr:rowOff>
    </xdr:from>
    <xdr:ext cx="200025" cy="200025"/>
    <xdr:pic>
      <xdr:nvPicPr>
        <xdr:cNvPr id="1171" name="image2.png">
          <a:extLst>
            <a:ext uri="{FF2B5EF4-FFF2-40B4-BE49-F238E27FC236}">
              <a16:creationId xmlns:a16="http://schemas.microsoft.com/office/drawing/2014/main" id="{00000000-0008-0000-0200-000093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815</xdr:row>
      <xdr:rowOff>0</xdr:rowOff>
    </xdr:from>
    <xdr:ext cx="200025" cy="200025"/>
    <xdr:pic>
      <xdr:nvPicPr>
        <xdr:cNvPr id="1172" name="image2.png">
          <a:extLst>
            <a:ext uri="{FF2B5EF4-FFF2-40B4-BE49-F238E27FC236}">
              <a16:creationId xmlns:a16="http://schemas.microsoft.com/office/drawing/2014/main" id="{00000000-0008-0000-0200-000094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816</xdr:row>
      <xdr:rowOff>0</xdr:rowOff>
    </xdr:from>
    <xdr:ext cx="200025" cy="200025"/>
    <xdr:pic>
      <xdr:nvPicPr>
        <xdr:cNvPr id="1173" name="image2.png">
          <a:extLst>
            <a:ext uri="{FF2B5EF4-FFF2-40B4-BE49-F238E27FC236}">
              <a16:creationId xmlns:a16="http://schemas.microsoft.com/office/drawing/2014/main" id="{00000000-0008-0000-0200-000095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818</xdr:row>
      <xdr:rowOff>0</xdr:rowOff>
    </xdr:from>
    <xdr:ext cx="200025" cy="200025"/>
    <xdr:pic>
      <xdr:nvPicPr>
        <xdr:cNvPr id="1174" name="image10.png">
          <a:extLst>
            <a:ext uri="{FF2B5EF4-FFF2-40B4-BE49-F238E27FC236}">
              <a16:creationId xmlns:a16="http://schemas.microsoft.com/office/drawing/2014/main" id="{00000000-0008-0000-0200-000096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818</xdr:row>
      <xdr:rowOff>0</xdr:rowOff>
    </xdr:from>
    <xdr:ext cx="200025" cy="200025"/>
    <xdr:pic>
      <xdr:nvPicPr>
        <xdr:cNvPr id="1175" name="image6.png">
          <a:extLst>
            <a:ext uri="{FF2B5EF4-FFF2-40B4-BE49-F238E27FC236}">
              <a16:creationId xmlns:a16="http://schemas.microsoft.com/office/drawing/2014/main" id="{00000000-0008-0000-0200-000097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818</xdr:row>
      <xdr:rowOff>0</xdr:rowOff>
    </xdr:from>
    <xdr:ext cx="200025" cy="200025"/>
    <xdr:pic>
      <xdr:nvPicPr>
        <xdr:cNvPr id="1176" name="image7.png">
          <a:extLst>
            <a:ext uri="{FF2B5EF4-FFF2-40B4-BE49-F238E27FC236}">
              <a16:creationId xmlns:a16="http://schemas.microsoft.com/office/drawing/2014/main" id="{00000000-0008-0000-0200-000098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818</xdr:row>
      <xdr:rowOff>0</xdr:rowOff>
    </xdr:from>
    <xdr:ext cx="200025" cy="200025"/>
    <xdr:pic>
      <xdr:nvPicPr>
        <xdr:cNvPr id="1177" name="image4.png">
          <a:extLst>
            <a:ext uri="{FF2B5EF4-FFF2-40B4-BE49-F238E27FC236}">
              <a16:creationId xmlns:a16="http://schemas.microsoft.com/office/drawing/2014/main" id="{00000000-0008-0000-0200-000099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819</xdr:row>
      <xdr:rowOff>0</xdr:rowOff>
    </xdr:from>
    <xdr:ext cx="200025" cy="200025"/>
    <xdr:pic>
      <xdr:nvPicPr>
        <xdr:cNvPr id="1178" name="image4.png">
          <a:extLst>
            <a:ext uri="{FF2B5EF4-FFF2-40B4-BE49-F238E27FC236}">
              <a16:creationId xmlns:a16="http://schemas.microsoft.com/office/drawing/2014/main" id="{00000000-0008-0000-0200-00009A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820</xdr:row>
      <xdr:rowOff>0</xdr:rowOff>
    </xdr:from>
    <xdr:ext cx="200025" cy="200025"/>
    <xdr:pic>
      <xdr:nvPicPr>
        <xdr:cNvPr id="1179" name="image6.png">
          <a:extLst>
            <a:ext uri="{FF2B5EF4-FFF2-40B4-BE49-F238E27FC236}">
              <a16:creationId xmlns:a16="http://schemas.microsoft.com/office/drawing/2014/main" id="{00000000-0008-0000-0200-00009B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821</xdr:row>
      <xdr:rowOff>0</xdr:rowOff>
    </xdr:from>
    <xdr:ext cx="200025" cy="200025"/>
    <xdr:pic>
      <xdr:nvPicPr>
        <xdr:cNvPr id="1180" name="image8.png">
          <a:extLst>
            <a:ext uri="{FF2B5EF4-FFF2-40B4-BE49-F238E27FC236}">
              <a16:creationId xmlns:a16="http://schemas.microsoft.com/office/drawing/2014/main" id="{00000000-0008-0000-0200-00009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821</xdr:row>
      <xdr:rowOff>0</xdr:rowOff>
    </xdr:from>
    <xdr:ext cx="200025" cy="200025"/>
    <xdr:pic>
      <xdr:nvPicPr>
        <xdr:cNvPr id="1181" name="image6.png">
          <a:extLst>
            <a:ext uri="{FF2B5EF4-FFF2-40B4-BE49-F238E27FC236}">
              <a16:creationId xmlns:a16="http://schemas.microsoft.com/office/drawing/2014/main" id="{00000000-0008-0000-0200-00009D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821</xdr:row>
      <xdr:rowOff>0</xdr:rowOff>
    </xdr:from>
    <xdr:ext cx="200025" cy="200025"/>
    <xdr:pic>
      <xdr:nvPicPr>
        <xdr:cNvPr id="1182" name="image3.png">
          <a:extLst>
            <a:ext uri="{FF2B5EF4-FFF2-40B4-BE49-F238E27FC236}">
              <a16:creationId xmlns:a16="http://schemas.microsoft.com/office/drawing/2014/main" id="{00000000-0008-0000-0200-00009E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822</xdr:row>
      <xdr:rowOff>0</xdr:rowOff>
    </xdr:from>
    <xdr:ext cx="200025" cy="200025"/>
    <xdr:pic>
      <xdr:nvPicPr>
        <xdr:cNvPr id="1183" name="image9.png">
          <a:extLst>
            <a:ext uri="{FF2B5EF4-FFF2-40B4-BE49-F238E27FC236}">
              <a16:creationId xmlns:a16="http://schemas.microsoft.com/office/drawing/2014/main" id="{00000000-0008-0000-0200-00009F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823</xdr:row>
      <xdr:rowOff>0</xdr:rowOff>
    </xdr:from>
    <xdr:ext cx="200025" cy="200025"/>
    <xdr:pic>
      <xdr:nvPicPr>
        <xdr:cNvPr id="1184" name="image9.png">
          <a:extLst>
            <a:ext uri="{FF2B5EF4-FFF2-40B4-BE49-F238E27FC236}">
              <a16:creationId xmlns:a16="http://schemas.microsoft.com/office/drawing/2014/main" id="{00000000-0008-0000-0200-0000A0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824</xdr:row>
      <xdr:rowOff>0</xdr:rowOff>
    </xdr:from>
    <xdr:ext cx="200025" cy="200025"/>
    <xdr:pic>
      <xdr:nvPicPr>
        <xdr:cNvPr id="1185" name="image8.png">
          <a:extLst>
            <a:ext uri="{FF2B5EF4-FFF2-40B4-BE49-F238E27FC236}">
              <a16:creationId xmlns:a16="http://schemas.microsoft.com/office/drawing/2014/main" id="{00000000-0008-0000-0200-0000A1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824</xdr:row>
      <xdr:rowOff>0</xdr:rowOff>
    </xdr:from>
    <xdr:ext cx="200025" cy="200025"/>
    <xdr:pic>
      <xdr:nvPicPr>
        <xdr:cNvPr id="1186" name="image9.png">
          <a:extLst>
            <a:ext uri="{FF2B5EF4-FFF2-40B4-BE49-F238E27FC236}">
              <a16:creationId xmlns:a16="http://schemas.microsoft.com/office/drawing/2014/main" id="{00000000-0008-0000-0200-0000A2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824</xdr:row>
      <xdr:rowOff>0</xdr:rowOff>
    </xdr:from>
    <xdr:ext cx="200025" cy="200025"/>
    <xdr:pic>
      <xdr:nvPicPr>
        <xdr:cNvPr id="1187" name="image7.png">
          <a:extLst>
            <a:ext uri="{FF2B5EF4-FFF2-40B4-BE49-F238E27FC236}">
              <a16:creationId xmlns:a16="http://schemas.microsoft.com/office/drawing/2014/main" id="{00000000-0008-0000-0200-0000A3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824</xdr:row>
      <xdr:rowOff>0</xdr:rowOff>
    </xdr:from>
    <xdr:ext cx="200025" cy="200025"/>
    <xdr:pic>
      <xdr:nvPicPr>
        <xdr:cNvPr id="1188" name="image10.png">
          <a:extLst>
            <a:ext uri="{FF2B5EF4-FFF2-40B4-BE49-F238E27FC236}">
              <a16:creationId xmlns:a16="http://schemas.microsoft.com/office/drawing/2014/main" id="{00000000-0008-0000-0200-0000A4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826</xdr:row>
      <xdr:rowOff>0</xdr:rowOff>
    </xdr:from>
    <xdr:ext cx="200025" cy="200025"/>
    <xdr:pic>
      <xdr:nvPicPr>
        <xdr:cNvPr id="1189" name="image10.png">
          <a:extLst>
            <a:ext uri="{FF2B5EF4-FFF2-40B4-BE49-F238E27FC236}">
              <a16:creationId xmlns:a16="http://schemas.microsoft.com/office/drawing/2014/main" id="{00000000-0008-0000-0200-0000A5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829</xdr:row>
      <xdr:rowOff>0</xdr:rowOff>
    </xdr:from>
    <xdr:ext cx="200025" cy="200025"/>
    <xdr:pic>
      <xdr:nvPicPr>
        <xdr:cNvPr id="1190" name="image8.png">
          <a:extLst>
            <a:ext uri="{FF2B5EF4-FFF2-40B4-BE49-F238E27FC236}">
              <a16:creationId xmlns:a16="http://schemas.microsoft.com/office/drawing/2014/main" id="{00000000-0008-0000-0200-0000A6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829</xdr:row>
      <xdr:rowOff>0</xdr:rowOff>
    </xdr:from>
    <xdr:ext cx="200025" cy="200025"/>
    <xdr:pic>
      <xdr:nvPicPr>
        <xdr:cNvPr id="1191" name="image1.png">
          <a:extLst>
            <a:ext uri="{FF2B5EF4-FFF2-40B4-BE49-F238E27FC236}">
              <a16:creationId xmlns:a16="http://schemas.microsoft.com/office/drawing/2014/main" id="{00000000-0008-0000-0200-0000A7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829</xdr:row>
      <xdr:rowOff>0</xdr:rowOff>
    </xdr:from>
    <xdr:ext cx="200025" cy="200025"/>
    <xdr:pic>
      <xdr:nvPicPr>
        <xdr:cNvPr id="1192" name="image11.png">
          <a:extLst>
            <a:ext uri="{FF2B5EF4-FFF2-40B4-BE49-F238E27FC236}">
              <a16:creationId xmlns:a16="http://schemas.microsoft.com/office/drawing/2014/main" id="{00000000-0008-0000-0200-0000A8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830</xdr:row>
      <xdr:rowOff>0</xdr:rowOff>
    </xdr:from>
    <xdr:ext cx="200025" cy="200025"/>
    <xdr:pic>
      <xdr:nvPicPr>
        <xdr:cNvPr id="1193" name="image2.png">
          <a:extLst>
            <a:ext uri="{FF2B5EF4-FFF2-40B4-BE49-F238E27FC236}">
              <a16:creationId xmlns:a16="http://schemas.microsoft.com/office/drawing/2014/main" id="{00000000-0008-0000-0200-0000A9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831</xdr:row>
      <xdr:rowOff>0</xdr:rowOff>
    </xdr:from>
    <xdr:ext cx="200025" cy="200025"/>
    <xdr:pic>
      <xdr:nvPicPr>
        <xdr:cNvPr id="1194" name="image2.png">
          <a:extLst>
            <a:ext uri="{FF2B5EF4-FFF2-40B4-BE49-F238E27FC236}">
              <a16:creationId xmlns:a16="http://schemas.microsoft.com/office/drawing/2014/main" id="{00000000-0008-0000-0200-0000AA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832</xdr:row>
      <xdr:rowOff>0</xdr:rowOff>
    </xdr:from>
    <xdr:ext cx="200025" cy="200025"/>
    <xdr:pic>
      <xdr:nvPicPr>
        <xdr:cNvPr id="1195" name="image2.png">
          <a:extLst>
            <a:ext uri="{FF2B5EF4-FFF2-40B4-BE49-F238E27FC236}">
              <a16:creationId xmlns:a16="http://schemas.microsoft.com/office/drawing/2014/main" id="{00000000-0008-0000-0200-0000AB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833</xdr:row>
      <xdr:rowOff>0</xdr:rowOff>
    </xdr:from>
    <xdr:ext cx="200025" cy="200025"/>
    <xdr:pic>
      <xdr:nvPicPr>
        <xdr:cNvPr id="1196" name="image10.png">
          <a:extLst>
            <a:ext uri="{FF2B5EF4-FFF2-40B4-BE49-F238E27FC236}">
              <a16:creationId xmlns:a16="http://schemas.microsoft.com/office/drawing/2014/main" id="{00000000-0008-0000-0200-0000A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833</xdr:row>
      <xdr:rowOff>0</xdr:rowOff>
    </xdr:from>
    <xdr:ext cx="200025" cy="200025"/>
    <xdr:pic>
      <xdr:nvPicPr>
        <xdr:cNvPr id="1197" name="image2.png">
          <a:extLst>
            <a:ext uri="{FF2B5EF4-FFF2-40B4-BE49-F238E27FC236}">
              <a16:creationId xmlns:a16="http://schemas.microsoft.com/office/drawing/2014/main" id="{00000000-0008-0000-0200-0000A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833</xdr:row>
      <xdr:rowOff>0</xdr:rowOff>
    </xdr:from>
    <xdr:ext cx="200025" cy="200025"/>
    <xdr:pic>
      <xdr:nvPicPr>
        <xdr:cNvPr id="1198" name="image5.png">
          <a:extLst>
            <a:ext uri="{FF2B5EF4-FFF2-40B4-BE49-F238E27FC236}">
              <a16:creationId xmlns:a16="http://schemas.microsoft.com/office/drawing/2014/main" id="{00000000-0008-0000-0200-0000AE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833</xdr:row>
      <xdr:rowOff>0</xdr:rowOff>
    </xdr:from>
    <xdr:ext cx="200025" cy="200025"/>
    <xdr:pic>
      <xdr:nvPicPr>
        <xdr:cNvPr id="1199" name="image2.png">
          <a:extLst>
            <a:ext uri="{FF2B5EF4-FFF2-40B4-BE49-F238E27FC236}">
              <a16:creationId xmlns:a16="http://schemas.microsoft.com/office/drawing/2014/main" id="{00000000-0008-0000-0200-0000A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834</xdr:row>
      <xdr:rowOff>0</xdr:rowOff>
    </xdr:from>
    <xdr:ext cx="200025" cy="200025"/>
    <xdr:pic>
      <xdr:nvPicPr>
        <xdr:cNvPr id="1200" name="image2.png">
          <a:extLst>
            <a:ext uri="{FF2B5EF4-FFF2-40B4-BE49-F238E27FC236}">
              <a16:creationId xmlns:a16="http://schemas.microsoft.com/office/drawing/2014/main" id="{00000000-0008-0000-0200-0000B0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835</xdr:row>
      <xdr:rowOff>0</xdr:rowOff>
    </xdr:from>
    <xdr:ext cx="200025" cy="200025"/>
    <xdr:pic>
      <xdr:nvPicPr>
        <xdr:cNvPr id="1201" name="image2.png">
          <a:extLst>
            <a:ext uri="{FF2B5EF4-FFF2-40B4-BE49-F238E27FC236}">
              <a16:creationId xmlns:a16="http://schemas.microsoft.com/office/drawing/2014/main" id="{00000000-0008-0000-0200-0000B1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836</xdr:row>
      <xdr:rowOff>0</xdr:rowOff>
    </xdr:from>
    <xdr:ext cx="200025" cy="200025"/>
    <xdr:pic>
      <xdr:nvPicPr>
        <xdr:cNvPr id="1202" name="image10.png">
          <a:extLst>
            <a:ext uri="{FF2B5EF4-FFF2-40B4-BE49-F238E27FC236}">
              <a16:creationId xmlns:a16="http://schemas.microsoft.com/office/drawing/2014/main" id="{00000000-0008-0000-0200-0000B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836</xdr:row>
      <xdr:rowOff>0</xdr:rowOff>
    </xdr:from>
    <xdr:ext cx="200025" cy="200025"/>
    <xdr:pic>
      <xdr:nvPicPr>
        <xdr:cNvPr id="1203" name="image6.png">
          <a:extLst>
            <a:ext uri="{FF2B5EF4-FFF2-40B4-BE49-F238E27FC236}">
              <a16:creationId xmlns:a16="http://schemas.microsoft.com/office/drawing/2014/main" id="{00000000-0008-0000-0200-0000B3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836</xdr:row>
      <xdr:rowOff>0</xdr:rowOff>
    </xdr:from>
    <xdr:ext cx="200025" cy="200025"/>
    <xdr:pic>
      <xdr:nvPicPr>
        <xdr:cNvPr id="1204" name="image3.png">
          <a:extLst>
            <a:ext uri="{FF2B5EF4-FFF2-40B4-BE49-F238E27FC236}">
              <a16:creationId xmlns:a16="http://schemas.microsoft.com/office/drawing/2014/main" id="{00000000-0008-0000-0200-0000B4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836</xdr:row>
      <xdr:rowOff>0</xdr:rowOff>
    </xdr:from>
    <xdr:ext cx="200025" cy="200025"/>
    <xdr:pic>
      <xdr:nvPicPr>
        <xdr:cNvPr id="1205" name="image2.png">
          <a:extLst>
            <a:ext uri="{FF2B5EF4-FFF2-40B4-BE49-F238E27FC236}">
              <a16:creationId xmlns:a16="http://schemas.microsoft.com/office/drawing/2014/main" id="{00000000-0008-0000-0200-0000B5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837</xdr:row>
      <xdr:rowOff>0</xdr:rowOff>
    </xdr:from>
    <xdr:ext cx="200025" cy="200025"/>
    <xdr:pic>
      <xdr:nvPicPr>
        <xdr:cNvPr id="1206" name="image2.png">
          <a:extLst>
            <a:ext uri="{FF2B5EF4-FFF2-40B4-BE49-F238E27FC236}">
              <a16:creationId xmlns:a16="http://schemas.microsoft.com/office/drawing/2014/main" id="{00000000-0008-0000-0200-0000B6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838</xdr:row>
      <xdr:rowOff>0</xdr:rowOff>
    </xdr:from>
    <xdr:ext cx="200025" cy="200025"/>
    <xdr:pic>
      <xdr:nvPicPr>
        <xdr:cNvPr id="1207" name="image10.png">
          <a:extLst>
            <a:ext uri="{FF2B5EF4-FFF2-40B4-BE49-F238E27FC236}">
              <a16:creationId xmlns:a16="http://schemas.microsoft.com/office/drawing/2014/main" id="{00000000-0008-0000-0200-0000B7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838</xdr:row>
      <xdr:rowOff>0</xdr:rowOff>
    </xdr:from>
    <xdr:ext cx="200025" cy="200025"/>
    <xdr:pic>
      <xdr:nvPicPr>
        <xdr:cNvPr id="1208" name="image1.png">
          <a:extLst>
            <a:ext uri="{FF2B5EF4-FFF2-40B4-BE49-F238E27FC236}">
              <a16:creationId xmlns:a16="http://schemas.microsoft.com/office/drawing/2014/main" id="{00000000-0008-0000-0200-0000B8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838</xdr:row>
      <xdr:rowOff>0</xdr:rowOff>
    </xdr:from>
    <xdr:ext cx="200025" cy="200025"/>
    <xdr:pic>
      <xdr:nvPicPr>
        <xdr:cNvPr id="1209" name="image4.png">
          <a:extLst>
            <a:ext uri="{FF2B5EF4-FFF2-40B4-BE49-F238E27FC236}">
              <a16:creationId xmlns:a16="http://schemas.microsoft.com/office/drawing/2014/main" id="{00000000-0008-0000-0200-0000B9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838</xdr:row>
      <xdr:rowOff>0</xdr:rowOff>
    </xdr:from>
    <xdr:ext cx="200025" cy="200025"/>
    <xdr:pic>
      <xdr:nvPicPr>
        <xdr:cNvPr id="1210" name="image5.png">
          <a:extLst>
            <a:ext uri="{FF2B5EF4-FFF2-40B4-BE49-F238E27FC236}">
              <a16:creationId xmlns:a16="http://schemas.microsoft.com/office/drawing/2014/main" id="{00000000-0008-0000-0200-0000BA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839</xdr:row>
      <xdr:rowOff>0</xdr:rowOff>
    </xdr:from>
    <xdr:ext cx="200025" cy="200025"/>
    <xdr:pic>
      <xdr:nvPicPr>
        <xdr:cNvPr id="1211" name="image5.png">
          <a:extLst>
            <a:ext uri="{FF2B5EF4-FFF2-40B4-BE49-F238E27FC236}">
              <a16:creationId xmlns:a16="http://schemas.microsoft.com/office/drawing/2014/main" id="{00000000-0008-0000-0200-0000BB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840</xdr:row>
      <xdr:rowOff>0</xdr:rowOff>
    </xdr:from>
    <xdr:ext cx="200025" cy="200025"/>
    <xdr:pic>
      <xdr:nvPicPr>
        <xdr:cNvPr id="1212" name="image6.png">
          <a:extLst>
            <a:ext uri="{FF2B5EF4-FFF2-40B4-BE49-F238E27FC236}">
              <a16:creationId xmlns:a16="http://schemas.microsoft.com/office/drawing/2014/main" id="{00000000-0008-0000-0200-0000BC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841</xdr:row>
      <xdr:rowOff>0</xdr:rowOff>
    </xdr:from>
    <xdr:ext cx="200025" cy="200025"/>
    <xdr:pic>
      <xdr:nvPicPr>
        <xdr:cNvPr id="1213" name="image8.png">
          <a:extLst>
            <a:ext uri="{FF2B5EF4-FFF2-40B4-BE49-F238E27FC236}">
              <a16:creationId xmlns:a16="http://schemas.microsoft.com/office/drawing/2014/main" id="{00000000-0008-0000-0200-0000B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841</xdr:row>
      <xdr:rowOff>0</xdr:rowOff>
    </xdr:from>
    <xdr:ext cx="200025" cy="200025"/>
    <xdr:pic>
      <xdr:nvPicPr>
        <xdr:cNvPr id="1214" name="image2.png">
          <a:extLst>
            <a:ext uri="{FF2B5EF4-FFF2-40B4-BE49-F238E27FC236}">
              <a16:creationId xmlns:a16="http://schemas.microsoft.com/office/drawing/2014/main" id="{00000000-0008-0000-0200-0000BE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841</xdr:row>
      <xdr:rowOff>0</xdr:rowOff>
    </xdr:from>
    <xdr:ext cx="200025" cy="200025"/>
    <xdr:pic>
      <xdr:nvPicPr>
        <xdr:cNvPr id="1215" name="image11.png">
          <a:extLst>
            <a:ext uri="{FF2B5EF4-FFF2-40B4-BE49-F238E27FC236}">
              <a16:creationId xmlns:a16="http://schemas.microsoft.com/office/drawing/2014/main" id="{00000000-0008-0000-0200-0000BF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842</xdr:row>
      <xdr:rowOff>0</xdr:rowOff>
    </xdr:from>
    <xdr:ext cx="200025" cy="200025"/>
    <xdr:pic>
      <xdr:nvPicPr>
        <xdr:cNvPr id="1216" name="image2.png">
          <a:extLst>
            <a:ext uri="{FF2B5EF4-FFF2-40B4-BE49-F238E27FC236}">
              <a16:creationId xmlns:a16="http://schemas.microsoft.com/office/drawing/2014/main" id="{00000000-0008-0000-0200-0000C0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843</xdr:row>
      <xdr:rowOff>0</xdr:rowOff>
    </xdr:from>
    <xdr:ext cx="200025" cy="200025"/>
    <xdr:pic>
      <xdr:nvPicPr>
        <xdr:cNvPr id="1217" name="image2.png">
          <a:extLst>
            <a:ext uri="{FF2B5EF4-FFF2-40B4-BE49-F238E27FC236}">
              <a16:creationId xmlns:a16="http://schemas.microsoft.com/office/drawing/2014/main" id="{00000000-0008-0000-0200-0000C1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849</xdr:row>
      <xdr:rowOff>0</xdr:rowOff>
    </xdr:from>
    <xdr:ext cx="200025" cy="200025"/>
    <xdr:pic>
      <xdr:nvPicPr>
        <xdr:cNvPr id="1218" name="image10.png">
          <a:extLst>
            <a:ext uri="{FF2B5EF4-FFF2-40B4-BE49-F238E27FC236}">
              <a16:creationId xmlns:a16="http://schemas.microsoft.com/office/drawing/2014/main" id="{00000000-0008-0000-0200-0000C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849</xdr:row>
      <xdr:rowOff>0</xdr:rowOff>
    </xdr:from>
    <xdr:ext cx="200025" cy="200025"/>
    <xdr:pic>
      <xdr:nvPicPr>
        <xdr:cNvPr id="1219" name="image6.png">
          <a:extLst>
            <a:ext uri="{FF2B5EF4-FFF2-40B4-BE49-F238E27FC236}">
              <a16:creationId xmlns:a16="http://schemas.microsoft.com/office/drawing/2014/main" id="{00000000-0008-0000-0200-0000C3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849</xdr:row>
      <xdr:rowOff>0</xdr:rowOff>
    </xdr:from>
    <xdr:ext cx="200025" cy="200025"/>
    <xdr:pic>
      <xdr:nvPicPr>
        <xdr:cNvPr id="1220" name="image4.png">
          <a:extLst>
            <a:ext uri="{FF2B5EF4-FFF2-40B4-BE49-F238E27FC236}">
              <a16:creationId xmlns:a16="http://schemas.microsoft.com/office/drawing/2014/main" id="{00000000-0008-0000-0200-0000C4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849</xdr:row>
      <xdr:rowOff>0</xdr:rowOff>
    </xdr:from>
    <xdr:ext cx="200025" cy="200025"/>
    <xdr:pic>
      <xdr:nvPicPr>
        <xdr:cNvPr id="1221" name="image9.png">
          <a:extLst>
            <a:ext uri="{FF2B5EF4-FFF2-40B4-BE49-F238E27FC236}">
              <a16:creationId xmlns:a16="http://schemas.microsoft.com/office/drawing/2014/main" id="{00000000-0008-0000-0200-0000C5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850</xdr:row>
      <xdr:rowOff>0</xdr:rowOff>
    </xdr:from>
    <xdr:ext cx="200025" cy="200025"/>
    <xdr:pic>
      <xdr:nvPicPr>
        <xdr:cNvPr id="1222" name="image9.png">
          <a:extLst>
            <a:ext uri="{FF2B5EF4-FFF2-40B4-BE49-F238E27FC236}">
              <a16:creationId xmlns:a16="http://schemas.microsoft.com/office/drawing/2014/main" id="{00000000-0008-0000-0200-0000C6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851</xdr:row>
      <xdr:rowOff>0</xdr:rowOff>
    </xdr:from>
    <xdr:ext cx="200025" cy="200025"/>
    <xdr:pic>
      <xdr:nvPicPr>
        <xdr:cNvPr id="1223" name="image8.png">
          <a:extLst>
            <a:ext uri="{FF2B5EF4-FFF2-40B4-BE49-F238E27FC236}">
              <a16:creationId xmlns:a16="http://schemas.microsoft.com/office/drawing/2014/main" id="{00000000-0008-0000-0200-0000C7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851</xdr:row>
      <xdr:rowOff>0</xdr:rowOff>
    </xdr:from>
    <xdr:ext cx="200025" cy="200025"/>
    <xdr:pic>
      <xdr:nvPicPr>
        <xdr:cNvPr id="1224" name="image9.png">
          <a:extLst>
            <a:ext uri="{FF2B5EF4-FFF2-40B4-BE49-F238E27FC236}">
              <a16:creationId xmlns:a16="http://schemas.microsoft.com/office/drawing/2014/main" id="{00000000-0008-0000-0200-0000C8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851</xdr:row>
      <xdr:rowOff>0</xdr:rowOff>
    </xdr:from>
    <xdr:ext cx="200025" cy="200025"/>
    <xdr:pic>
      <xdr:nvPicPr>
        <xdr:cNvPr id="1225" name="image5.png">
          <a:extLst>
            <a:ext uri="{FF2B5EF4-FFF2-40B4-BE49-F238E27FC236}">
              <a16:creationId xmlns:a16="http://schemas.microsoft.com/office/drawing/2014/main" id="{00000000-0008-0000-0200-0000C9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851</xdr:row>
      <xdr:rowOff>0</xdr:rowOff>
    </xdr:from>
    <xdr:ext cx="200025" cy="200025"/>
    <xdr:pic>
      <xdr:nvPicPr>
        <xdr:cNvPr id="1226" name="image9.png">
          <a:extLst>
            <a:ext uri="{FF2B5EF4-FFF2-40B4-BE49-F238E27FC236}">
              <a16:creationId xmlns:a16="http://schemas.microsoft.com/office/drawing/2014/main" id="{00000000-0008-0000-0200-0000CA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852</xdr:row>
      <xdr:rowOff>0</xdr:rowOff>
    </xdr:from>
    <xdr:ext cx="200025" cy="200025"/>
    <xdr:pic>
      <xdr:nvPicPr>
        <xdr:cNvPr id="1227" name="image9.png">
          <a:extLst>
            <a:ext uri="{FF2B5EF4-FFF2-40B4-BE49-F238E27FC236}">
              <a16:creationId xmlns:a16="http://schemas.microsoft.com/office/drawing/2014/main" id="{00000000-0008-0000-0200-0000CB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853</xdr:row>
      <xdr:rowOff>0</xdr:rowOff>
    </xdr:from>
    <xdr:ext cx="200025" cy="200025"/>
    <xdr:pic>
      <xdr:nvPicPr>
        <xdr:cNvPr id="1228" name="image8.png">
          <a:extLst>
            <a:ext uri="{FF2B5EF4-FFF2-40B4-BE49-F238E27FC236}">
              <a16:creationId xmlns:a16="http://schemas.microsoft.com/office/drawing/2014/main" id="{00000000-0008-0000-0200-0000C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853</xdr:row>
      <xdr:rowOff>0</xdr:rowOff>
    </xdr:from>
    <xdr:ext cx="200025" cy="200025"/>
    <xdr:pic>
      <xdr:nvPicPr>
        <xdr:cNvPr id="1229" name="image1.png">
          <a:extLst>
            <a:ext uri="{FF2B5EF4-FFF2-40B4-BE49-F238E27FC236}">
              <a16:creationId xmlns:a16="http://schemas.microsoft.com/office/drawing/2014/main" id="{00000000-0008-0000-0200-0000CD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853</xdr:row>
      <xdr:rowOff>0</xdr:rowOff>
    </xdr:from>
    <xdr:ext cx="200025" cy="200025"/>
    <xdr:pic>
      <xdr:nvPicPr>
        <xdr:cNvPr id="1230" name="image11.png">
          <a:extLst>
            <a:ext uri="{FF2B5EF4-FFF2-40B4-BE49-F238E27FC236}">
              <a16:creationId xmlns:a16="http://schemas.microsoft.com/office/drawing/2014/main" id="{00000000-0008-0000-0200-0000CE04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853</xdr:row>
      <xdr:rowOff>0</xdr:rowOff>
    </xdr:from>
    <xdr:ext cx="200025" cy="200025"/>
    <xdr:pic>
      <xdr:nvPicPr>
        <xdr:cNvPr id="1231" name="image12.png">
          <a:extLst>
            <a:ext uri="{FF2B5EF4-FFF2-40B4-BE49-F238E27FC236}">
              <a16:creationId xmlns:a16="http://schemas.microsoft.com/office/drawing/2014/main" id="{00000000-0008-0000-0200-0000CF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854</xdr:row>
      <xdr:rowOff>0</xdr:rowOff>
    </xdr:from>
    <xdr:ext cx="200025" cy="200025"/>
    <xdr:pic>
      <xdr:nvPicPr>
        <xdr:cNvPr id="1232" name="image12.png">
          <a:extLst>
            <a:ext uri="{FF2B5EF4-FFF2-40B4-BE49-F238E27FC236}">
              <a16:creationId xmlns:a16="http://schemas.microsoft.com/office/drawing/2014/main" id="{00000000-0008-0000-0200-0000D0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855</xdr:row>
      <xdr:rowOff>0</xdr:rowOff>
    </xdr:from>
    <xdr:ext cx="200025" cy="200025"/>
    <xdr:pic>
      <xdr:nvPicPr>
        <xdr:cNvPr id="1233" name="image6.png">
          <a:extLst>
            <a:ext uri="{FF2B5EF4-FFF2-40B4-BE49-F238E27FC236}">
              <a16:creationId xmlns:a16="http://schemas.microsoft.com/office/drawing/2014/main" id="{00000000-0008-0000-0200-0000D1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856</xdr:row>
      <xdr:rowOff>0</xdr:rowOff>
    </xdr:from>
    <xdr:ext cx="200025" cy="200025"/>
    <xdr:pic>
      <xdr:nvPicPr>
        <xdr:cNvPr id="1234" name="image10.png">
          <a:extLst>
            <a:ext uri="{FF2B5EF4-FFF2-40B4-BE49-F238E27FC236}">
              <a16:creationId xmlns:a16="http://schemas.microsoft.com/office/drawing/2014/main" id="{00000000-0008-0000-0200-0000D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856</xdr:row>
      <xdr:rowOff>0</xdr:rowOff>
    </xdr:from>
    <xdr:ext cx="200025" cy="200025"/>
    <xdr:pic>
      <xdr:nvPicPr>
        <xdr:cNvPr id="1235" name="image9.png">
          <a:extLst>
            <a:ext uri="{FF2B5EF4-FFF2-40B4-BE49-F238E27FC236}">
              <a16:creationId xmlns:a16="http://schemas.microsoft.com/office/drawing/2014/main" id="{00000000-0008-0000-0200-0000D3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856</xdr:row>
      <xdr:rowOff>0</xdr:rowOff>
    </xdr:from>
    <xdr:ext cx="200025" cy="200025"/>
    <xdr:pic>
      <xdr:nvPicPr>
        <xdr:cNvPr id="1236" name="image3.png">
          <a:extLst>
            <a:ext uri="{FF2B5EF4-FFF2-40B4-BE49-F238E27FC236}">
              <a16:creationId xmlns:a16="http://schemas.microsoft.com/office/drawing/2014/main" id="{00000000-0008-0000-0200-0000D404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856</xdr:row>
      <xdr:rowOff>0</xdr:rowOff>
    </xdr:from>
    <xdr:ext cx="200025" cy="200025"/>
    <xdr:pic>
      <xdr:nvPicPr>
        <xdr:cNvPr id="1237" name="image1.png">
          <a:extLst>
            <a:ext uri="{FF2B5EF4-FFF2-40B4-BE49-F238E27FC236}">
              <a16:creationId xmlns:a16="http://schemas.microsoft.com/office/drawing/2014/main" id="{00000000-0008-0000-0200-0000D5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857</xdr:row>
      <xdr:rowOff>0</xdr:rowOff>
    </xdr:from>
    <xdr:ext cx="200025" cy="200025"/>
    <xdr:pic>
      <xdr:nvPicPr>
        <xdr:cNvPr id="1238" name="image1.png">
          <a:extLst>
            <a:ext uri="{FF2B5EF4-FFF2-40B4-BE49-F238E27FC236}">
              <a16:creationId xmlns:a16="http://schemas.microsoft.com/office/drawing/2014/main" id="{00000000-0008-0000-0200-0000D6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858</xdr:row>
      <xdr:rowOff>0</xdr:rowOff>
    </xdr:from>
    <xdr:ext cx="200025" cy="200025"/>
    <xdr:pic>
      <xdr:nvPicPr>
        <xdr:cNvPr id="1239" name="image1.png">
          <a:extLst>
            <a:ext uri="{FF2B5EF4-FFF2-40B4-BE49-F238E27FC236}">
              <a16:creationId xmlns:a16="http://schemas.microsoft.com/office/drawing/2014/main" id="{00000000-0008-0000-0200-0000D7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861</xdr:row>
      <xdr:rowOff>0</xdr:rowOff>
    </xdr:from>
    <xdr:ext cx="200025" cy="200025"/>
    <xdr:pic>
      <xdr:nvPicPr>
        <xdr:cNvPr id="1240" name="image10.png">
          <a:extLst>
            <a:ext uri="{FF2B5EF4-FFF2-40B4-BE49-F238E27FC236}">
              <a16:creationId xmlns:a16="http://schemas.microsoft.com/office/drawing/2014/main" id="{00000000-0008-0000-0200-0000D8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861</xdr:row>
      <xdr:rowOff>0</xdr:rowOff>
    </xdr:from>
    <xdr:ext cx="200025" cy="200025"/>
    <xdr:pic>
      <xdr:nvPicPr>
        <xdr:cNvPr id="1241" name="image1.png">
          <a:extLst>
            <a:ext uri="{FF2B5EF4-FFF2-40B4-BE49-F238E27FC236}">
              <a16:creationId xmlns:a16="http://schemas.microsoft.com/office/drawing/2014/main" id="{00000000-0008-0000-0200-0000D9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861</xdr:row>
      <xdr:rowOff>0</xdr:rowOff>
    </xdr:from>
    <xdr:ext cx="200025" cy="200025"/>
    <xdr:pic>
      <xdr:nvPicPr>
        <xdr:cNvPr id="1242" name="image7.png">
          <a:extLst>
            <a:ext uri="{FF2B5EF4-FFF2-40B4-BE49-F238E27FC236}">
              <a16:creationId xmlns:a16="http://schemas.microsoft.com/office/drawing/2014/main" id="{00000000-0008-0000-0200-0000DA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862</xdr:row>
      <xdr:rowOff>0</xdr:rowOff>
    </xdr:from>
    <xdr:ext cx="200025" cy="200025"/>
    <xdr:pic>
      <xdr:nvPicPr>
        <xdr:cNvPr id="1243" name="image8.png">
          <a:extLst>
            <a:ext uri="{FF2B5EF4-FFF2-40B4-BE49-F238E27FC236}">
              <a16:creationId xmlns:a16="http://schemas.microsoft.com/office/drawing/2014/main" id="{00000000-0008-0000-0200-0000DB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863</xdr:row>
      <xdr:rowOff>0</xdr:rowOff>
    </xdr:from>
    <xdr:ext cx="200025" cy="200025"/>
    <xdr:pic>
      <xdr:nvPicPr>
        <xdr:cNvPr id="1244" name="image8.png">
          <a:extLst>
            <a:ext uri="{FF2B5EF4-FFF2-40B4-BE49-F238E27FC236}">
              <a16:creationId xmlns:a16="http://schemas.microsoft.com/office/drawing/2014/main" id="{00000000-0008-0000-0200-0000DC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864</xdr:row>
      <xdr:rowOff>0</xdr:rowOff>
    </xdr:from>
    <xdr:ext cx="200025" cy="200025"/>
    <xdr:pic>
      <xdr:nvPicPr>
        <xdr:cNvPr id="1245" name="image8.png">
          <a:extLst>
            <a:ext uri="{FF2B5EF4-FFF2-40B4-BE49-F238E27FC236}">
              <a16:creationId xmlns:a16="http://schemas.microsoft.com/office/drawing/2014/main" id="{00000000-0008-0000-0200-0000DD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865</xdr:row>
      <xdr:rowOff>0</xdr:rowOff>
    </xdr:from>
    <xdr:ext cx="200025" cy="200025"/>
    <xdr:pic>
      <xdr:nvPicPr>
        <xdr:cNvPr id="1246" name="image10.png">
          <a:extLst>
            <a:ext uri="{FF2B5EF4-FFF2-40B4-BE49-F238E27FC236}">
              <a16:creationId xmlns:a16="http://schemas.microsoft.com/office/drawing/2014/main" id="{00000000-0008-0000-0200-0000DE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865</xdr:row>
      <xdr:rowOff>0</xdr:rowOff>
    </xdr:from>
    <xdr:ext cx="200025" cy="200025"/>
    <xdr:pic>
      <xdr:nvPicPr>
        <xdr:cNvPr id="1247" name="image2.png">
          <a:extLst>
            <a:ext uri="{FF2B5EF4-FFF2-40B4-BE49-F238E27FC236}">
              <a16:creationId xmlns:a16="http://schemas.microsoft.com/office/drawing/2014/main" id="{00000000-0008-0000-0200-0000D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865</xdr:row>
      <xdr:rowOff>0</xdr:rowOff>
    </xdr:from>
    <xdr:ext cx="200025" cy="200025"/>
    <xdr:pic>
      <xdr:nvPicPr>
        <xdr:cNvPr id="1248" name="image5.png">
          <a:extLst>
            <a:ext uri="{FF2B5EF4-FFF2-40B4-BE49-F238E27FC236}">
              <a16:creationId xmlns:a16="http://schemas.microsoft.com/office/drawing/2014/main" id="{00000000-0008-0000-0200-0000E0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867</xdr:row>
      <xdr:rowOff>0</xdr:rowOff>
    </xdr:from>
    <xdr:ext cx="200025" cy="200025"/>
    <xdr:pic>
      <xdr:nvPicPr>
        <xdr:cNvPr id="1249" name="image10.png">
          <a:extLst>
            <a:ext uri="{FF2B5EF4-FFF2-40B4-BE49-F238E27FC236}">
              <a16:creationId xmlns:a16="http://schemas.microsoft.com/office/drawing/2014/main" id="{00000000-0008-0000-0200-0000E1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868</xdr:row>
      <xdr:rowOff>0</xdr:rowOff>
    </xdr:from>
    <xdr:ext cx="200025" cy="200025"/>
    <xdr:pic>
      <xdr:nvPicPr>
        <xdr:cNvPr id="1250" name="image8.png">
          <a:extLst>
            <a:ext uri="{FF2B5EF4-FFF2-40B4-BE49-F238E27FC236}">
              <a16:creationId xmlns:a16="http://schemas.microsoft.com/office/drawing/2014/main" id="{00000000-0008-0000-0200-0000E2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868</xdr:row>
      <xdr:rowOff>0</xdr:rowOff>
    </xdr:from>
    <xdr:ext cx="200025" cy="200025"/>
    <xdr:pic>
      <xdr:nvPicPr>
        <xdr:cNvPr id="1251" name="image9.png">
          <a:extLst>
            <a:ext uri="{FF2B5EF4-FFF2-40B4-BE49-F238E27FC236}">
              <a16:creationId xmlns:a16="http://schemas.microsoft.com/office/drawing/2014/main" id="{00000000-0008-0000-0200-0000E3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868</xdr:row>
      <xdr:rowOff>0</xdr:rowOff>
    </xdr:from>
    <xdr:ext cx="200025" cy="200025"/>
    <xdr:pic>
      <xdr:nvPicPr>
        <xdr:cNvPr id="1252" name="image12.png">
          <a:extLst>
            <a:ext uri="{FF2B5EF4-FFF2-40B4-BE49-F238E27FC236}">
              <a16:creationId xmlns:a16="http://schemas.microsoft.com/office/drawing/2014/main" id="{00000000-0008-0000-0200-0000E4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869</xdr:row>
      <xdr:rowOff>0</xdr:rowOff>
    </xdr:from>
    <xdr:ext cx="200025" cy="200025"/>
    <xdr:pic>
      <xdr:nvPicPr>
        <xdr:cNvPr id="1253" name="image8.png">
          <a:extLst>
            <a:ext uri="{FF2B5EF4-FFF2-40B4-BE49-F238E27FC236}">
              <a16:creationId xmlns:a16="http://schemas.microsoft.com/office/drawing/2014/main" id="{00000000-0008-0000-0200-0000E5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869</xdr:row>
      <xdr:rowOff>0</xdr:rowOff>
    </xdr:from>
    <xdr:ext cx="200025" cy="200025"/>
    <xdr:pic>
      <xdr:nvPicPr>
        <xdr:cNvPr id="1254" name="image9.png">
          <a:extLst>
            <a:ext uri="{FF2B5EF4-FFF2-40B4-BE49-F238E27FC236}">
              <a16:creationId xmlns:a16="http://schemas.microsoft.com/office/drawing/2014/main" id="{00000000-0008-0000-0200-0000E6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869</xdr:row>
      <xdr:rowOff>0</xdr:rowOff>
    </xdr:from>
    <xdr:ext cx="200025" cy="200025"/>
    <xdr:pic>
      <xdr:nvPicPr>
        <xdr:cNvPr id="1255" name="image12.png">
          <a:extLst>
            <a:ext uri="{FF2B5EF4-FFF2-40B4-BE49-F238E27FC236}">
              <a16:creationId xmlns:a16="http://schemas.microsoft.com/office/drawing/2014/main" id="{00000000-0008-0000-0200-0000E7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871</xdr:row>
      <xdr:rowOff>0</xdr:rowOff>
    </xdr:from>
    <xdr:ext cx="200025" cy="200025"/>
    <xdr:pic>
      <xdr:nvPicPr>
        <xdr:cNvPr id="1256" name="image6.png">
          <a:extLst>
            <a:ext uri="{FF2B5EF4-FFF2-40B4-BE49-F238E27FC236}">
              <a16:creationId xmlns:a16="http://schemas.microsoft.com/office/drawing/2014/main" id="{00000000-0008-0000-0200-0000E804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872</xdr:row>
      <xdr:rowOff>0</xdr:rowOff>
    </xdr:from>
    <xdr:ext cx="200025" cy="200025"/>
    <xdr:pic>
      <xdr:nvPicPr>
        <xdr:cNvPr id="1257" name="image8.png">
          <a:extLst>
            <a:ext uri="{FF2B5EF4-FFF2-40B4-BE49-F238E27FC236}">
              <a16:creationId xmlns:a16="http://schemas.microsoft.com/office/drawing/2014/main" id="{00000000-0008-0000-0200-0000E9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872</xdr:row>
      <xdr:rowOff>0</xdr:rowOff>
    </xdr:from>
    <xdr:ext cx="200025" cy="200025"/>
    <xdr:pic>
      <xdr:nvPicPr>
        <xdr:cNvPr id="1258" name="image9.png">
          <a:extLst>
            <a:ext uri="{FF2B5EF4-FFF2-40B4-BE49-F238E27FC236}">
              <a16:creationId xmlns:a16="http://schemas.microsoft.com/office/drawing/2014/main" id="{00000000-0008-0000-0200-0000EA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872</xdr:row>
      <xdr:rowOff>0</xdr:rowOff>
    </xdr:from>
    <xdr:ext cx="200025" cy="200025"/>
    <xdr:pic>
      <xdr:nvPicPr>
        <xdr:cNvPr id="1259" name="image5.png">
          <a:extLst>
            <a:ext uri="{FF2B5EF4-FFF2-40B4-BE49-F238E27FC236}">
              <a16:creationId xmlns:a16="http://schemas.microsoft.com/office/drawing/2014/main" id="{00000000-0008-0000-0200-0000EB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873</xdr:row>
      <xdr:rowOff>0</xdr:rowOff>
    </xdr:from>
    <xdr:ext cx="200025" cy="200025"/>
    <xdr:pic>
      <xdr:nvPicPr>
        <xdr:cNvPr id="1260" name="image10.png">
          <a:extLst>
            <a:ext uri="{FF2B5EF4-FFF2-40B4-BE49-F238E27FC236}">
              <a16:creationId xmlns:a16="http://schemas.microsoft.com/office/drawing/2014/main" id="{00000000-0008-0000-0200-0000E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874</xdr:row>
      <xdr:rowOff>0</xdr:rowOff>
    </xdr:from>
    <xdr:ext cx="200025" cy="200025"/>
    <xdr:pic>
      <xdr:nvPicPr>
        <xdr:cNvPr id="1261" name="image10.png">
          <a:extLst>
            <a:ext uri="{FF2B5EF4-FFF2-40B4-BE49-F238E27FC236}">
              <a16:creationId xmlns:a16="http://schemas.microsoft.com/office/drawing/2014/main" id="{00000000-0008-0000-0200-0000ED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875</xdr:row>
      <xdr:rowOff>0</xdr:rowOff>
    </xdr:from>
    <xdr:ext cx="200025" cy="200025"/>
    <xdr:pic>
      <xdr:nvPicPr>
        <xdr:cNvPr id="1262" name="image8.png">
          <a:extLst>
            <a:ext uri="{FF2B5EF4-FFF2-40B4-BE49-F238E27FC236}">
              <a16:creationId xmlns:a16="http://schemas.microsoft.com/office/drawing/2014/main" id="{00000000-0008-0000-0200-0000EE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875</xdr:row>
      <xdr:rowOff>0</xdr:rowOff>
    </xdr:from>
    <xdr:ext cx="200025" cy="200025"/>
    <xdr:pic>
      <xdr:nvPicPr>
        <xdr:cNvPr id="1263" name="image2.png">
          <a:extLst>
            <a:ext uri="{FF2B5EF4-FFF2-40B4-BE49-F238E27FC236}">
              <a16:creationId xmlns:a16="http://schemas.microsoft.com/office/drawing/2014/main" id="{00000000-0008-0000-0200-0000EF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875</xdr:row>
      <xdr:rowOff>0</xdr:rowOff>
    </xdr:from>
    <xdr:ext cx="200025" cy="200025"/>
    <xdr:pic>
      <xdr:nvPicPr>
        <xdr:cNvPr id="1264" name="image12.png">
          <a:extLst>
            <a:ext uri="{FF2B5EF4-FFF2-40B4-BE49-F238E27FC236}">
              <a16:creationId xmlns:a16="http://schemas.microsoft.com/office/drawing/2014/main" id="{00000000-0008-0000-0200-0000F0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875</xdr:row>
      <xdr:rowOff>0</xdr:rowOff>
    </xdr:from>
    <xdr:ext cx="200025" cy="200025"/>
    <xdr:pic>
      <xdr:nvPicPr>
        <xdr:cNvPr id="1265" name="image10.png">
          <a:extLst>
            <a:ext uri="{FF2B5EF4-FFF2-40B4-BE49-F238E27FC236}">
              <a16:creationId xmlns:a16="http://schemas.microsoft.com/office/drawing/2014/main" id="{00000000-0008-0000-0200-0000F1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877</xdr:row>
      <xdr:rowOff>0</xdr:rowOff>
    </xdr:from>
    <xdr:ext cx="200025" cy="200025"/>
    <xdr:pic>
      <xdr:nvPicPr>
        <xdr:cNvPr id="1266" name="image10.png">
          <a:extLst>
            <a:ext uri="{FF2B5EF4-FFF2-40B4-BE49-F238E27FC236}">
              <a16:creationId xmlns:a16="http://schemas.microsoft.com/office/drawing/2014/main" id="{00000000-0008-0000-0200-0000F2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878</xdr:row>
      <xdr:rowOff>0</xdr:rowOff>
    </xdr:from>
    <xdr:ext cx="200025" cy="200025"/>
    <xdr:pic>
      <xdr:nvPicPr>
        <xdr:cNvPr id="1267" name="image10.png">
          <a:extLst>
            <a:ext uri="{FF2B5EF4-FFF2-40B4-BE49-F238E27FC236}">
              <a16:creationId xmlns:a16="http://schemas.microsoft.com/office/drawing/2014/main" id="{00000000-0008-0000-0200-0000F3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879</xdr:row>
      <xdr:rowOff>0</xdr:rowOff>
    </xdr:from>
    <xdr:ext cx="200025" cy="200025"/>
    <xdr:pic>
      <xdr:nvPicPr>
        <xdr:cNvPr id="1268" name="image10.png">
          <a:extLst>
            <a:ext uri="{FF2B5EF4-FFF2-40B4-BE49-F238E27FC236}">
              <a16:creationId xmlns:a16="http://schemas.microsoft.com/office/drawing/2014/main" id="{00000000-0008-0000-0200-0000F4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879</xdr:row>
      <xdr:rowOff>0</xdr:rowOff>
    </xdr:from>
    <xdr:ext cx="200025" cy="200025"/>
    <xdr:pic>
      <xdr:nvPicPr>
        <xdr:cNvPr id="1269" name="image9.png">
          <a:extLst>
            <a:ext uri="{FF2B5EF4-FFF2-40B4-BE49-F238E27FC236}">
              <a16:creationId xmlns:a16="http://schemas.microsoft.com/office/drawing/2014/main" id="{00000000-0008-0000-0200-0000F504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879</xdr:row>
      <xdr:rowOff>0</xdr:rowOff>
    </xdr:from>
    <xdr:ext cx="200025" cy="200025"/>
    <xdr:pic>
      <xdr:nvPicPr>
        <xdr:cNvPr id="1270" name="image1.png">
          <a:extLst>
            <a:ext uri="{FF2B5EF4-FFF2-40B4-BE49-F238E27FC236}">
              <a16:creationId xmlns:a16="http://schemas.microsoft.com/office/drawing/2014/main" id="{00000000-0008-0000-0200-0000F604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879</xdr:row>
      <xdr:rowOff>0</xdr:rowOff>
    </xdr:from>
    <xdr:ext cx="200025" cy="200025"/>
    <xdr:pic>
      <xdr:nvPicPr>
        <xdr:cNvPr id="1271" name="image4.png">
          <a:extLst>
            <a:ext uri="{FF2B5EF4-FFF2-40B4-BE49-F238E27FC236}">
              <a16:creationId xmlns:a16="http://schemas.microsoft.com/office/drawing/2014/main" id="{00000000-0008-0000-0200-0000F704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13</xdr:col>
      <xdr:colOff>0</xdr:colOff>
      <xdr:row>879</xdr:row>
      <xdr:rowOff>0</xdr:rowOff>
    </xdr:from>
    <xdr:ext cx="200025" cy="200025"/>
    <xdr:pic>
      <xdr:nvPicPr>
        <xdr:cNvPr id="1272" name="image7.png">
          <a:extLst>
            <a:ext uri="{FF2B5EF4-FFF2-40B4-BE49-F238E27FC236}">
              <a16:creationId xmlns:a16="http://schemas.microsoft.com/office/drawing/2014/main" id="{00000000-0008-0000-0200-0000F804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879</xdr:row>
      <xdr:rowOff>0</xdr:rowOff>
    </xdr:from>
    <xdr:ext cx="200025" cy="200025"/>
    <xdr:pic>
      <xdr:nvPicPr>
        <xdr:cNvPr id="1273" name="image5.png">
          <a:extLst>
            <a:ext uri="{FF2B5EF4-FFF2-40B4-BE49-F238E27FC236}">
              <a16:creationId xmlns:a16="http://schemas.microsoft.com/office/drawing/2014/main" id="{00000000-0008-0000-0200-0000F904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880</xdr:row>
      <xdr:rowOff>0</xdr:rowOff>
    </xdr:from>
    <xdr:ext cx="200025" cy="200025"/>
    <xdr:pic>
      <xdr:nvPicPr>
        <xdr:cNvPr id="1274" name="image8.png">
          <a:extLst>
            <a:ext uri="{FF2B5EF4-FFF2-40B4-BE49-F238E27FC236}">
              <a16:creationId xmlns:a16="http://schemas.microsoft.com/office/drawing/2014/main" id="{00000000-0008-0000-0200-0000FA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881</xdr:row>
      <xdr:rowOff>0</xdr:rowOff>
    </xdr:from>
    <xdr:ext cx="200025" cy="200025"/>
    <xdr:pic>
      <xdr:nvPicPr>
        <xdr:cNvPr id="1275" name="image8.png">
          <a:extLst>
            <a:ext uri="{FF2B5EF4-FFF2-40B4-BE49-F238E27FC236}">
              <a16:creationId xmlns:a16="http://schemas.microsoft.com/office/drawing/2014/main" id="{00000000-0008-0000-0200-0000FB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882</xdr:row>
      <xdr:rowOff>0</xdr:rowOff>
    </xdr:from>
    <xdr:ext cx="200025" cy="200025"/>
    <xdr:pic>
      <xdr:nvPicPr>
        <xdr:cNvPr id="1276" name="image10.png">
          <a:extLst>
            <a:ext uri="{FF2B5EF4-FFF2-40B4-BE49-F238E27FC236}">
              <a16:creationId xmlns:a16="http://schemas.microsoft.com/office/drawing/2014/main" id="{00000000-0008-0000-0200-0000FC04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882</xdr:row>
      <xdr:rowOff>0</xdr:rowOff>
    </xdr:from>
    <xdr:ext cx="200025" cy="200025"/>
    <xdr:pic>
      <xdr:nvPicPr>
        <xdr:cNvPr id="1277" name="image2.png">
          <a:extLst>
            <a:ext uri="{FF2B5EF4-FFF2-40B4-BE49-F238E27FC236}">
              <a16:creationId xmlns:a16="http://schemas.microsoft.com/office/drawing/2014/main" id="{00000000-0008-0000-0200-0000FD04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882</xdr:row>
      <xdr:rowOff>0</xdr:rowOff>
    </xdr:from>
    <xdr:ext cx="200025" cy="200025"/>
    <xdr:pic>
      <xdr:nvPicPr>
        <xdr:cNvPr id="1278" name="image12.png">
          <a:extLst>
            <a:ext uri="{FF2B5EF4-FFF2-40B4-BE49-F238E27FC236}">
              <a16:creationId xmlns:a16="http://schemas.microsoft.com/office/drawing/2014/main" id="{00000000-0008-0000-0200-0000FE04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882</xdr:row>
      <xdr:rowOff>0</xdr:rowOff>
    </xdr:from>
    <xdr:ext cx="200025" cy="200025"/>
    <xdr:pic>
      <xdr:nvPicPr>
        <xdr:cNvPr id="1279" name="image8.png">
          <a:extLst>
            <a:ext uri="{FF2B5EF4-FFF2-40B4-BE49-F238E27FC236}">
              <a16:creationId xmlns:a16="http://schemas.microsoft.com/office/drawing/2014/main" id="{00000000-0008-0000-0200-0000FF04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883</xdr:row>
      <xdr:rowOff>0</xdr:rowOff>
    </xdr:from>
    <xdr:ext cx="200025" cy="200025"/>
    <xdr:pic>
      <xdr:nvPicPr>
        <xdr:cNvPr id="1280" name="image8.png">
          <a:extLst>
            <a:ext uri="{FF2B5EF4-FFF2-40B4-BE49-F238E27FC236}">
              <a16:creationId xmlns:a16="http://schemas.microsoft.com/office/drawing/2014/main" id="{00000000-0008-0000-0200-00000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884</xdr:row>
      <xdr:rowOff>0</xdr:rowOff>
    </xdr:from>
    <xdr:ext cx="200025" cy="200025"/>
    <xdr:pic>
      <xdr:nvPicPr>
        <xdr:cNvPr id="1281" name="image8.png">
          <a:extLst>
            <a:ext uri="{FF2B5EF4-FFF2-40B4-BE49-F238E27FC236}">
              <a16:creationId xmlns:a16="http://schemas.microsoft.com/office/drawing/2014/main" id="{00000000-0008-0000-0200-00000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887</xdr:row>
      <xdr:rowOff>0</xdr:rowOff>
    </xdr:from>
    <xdr:ext cx="200025" cy="200025"/>
    <xdr:pic>
      <xdr:nvPicPr>
        <xdr:cNvPr id="1282" name="image10.png">
          <a:extLst>
            <a:ext uri="{FF2B5EF4-FFF2-40B4-BE49-F238E27FC236}">
              <a16:creationId xmlns:a16="http://schemas.microsoft.com/office/drawing/2014/main" id="{00000000-0008-0000-0200-00000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887</xdr:row>
      <xdr:rowOff>0</xdr:rowOff>
    </xdr:from>
    <xdr:ext cx="200025" cy="200025"/>
    <xdr:pic>
      <xdr:nvPicPr>
        <xdr:cNvPr id="1283" name="image9.png">
          <a:extLst>
            <a:ext uri="{FF2B5EF4-FFF2-40B4-BE49-F238E27FC236}">
              <a16:creationId xmlns:a16="http://schemas.microsoft.com/office/drawing/2014/main" id="{00000000-0008-0000-0200-000003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887</xdr:row>
      <xdr:rowOff>0</xdr:rowOff>
    </xdr:from>
    <xdr:ext cx="200025" cy="200025"/>
    <xdr:pic>
      <xdr:nvPicPr>
        <xdr:cNvPr id="1284" name="image7.png">
          <a:extLst>
            <a:ext uri="{FF2B5EF4-FFF2-40B4-BE49-F238E27FC236}">
              <a16:creationId xmlns:a16="http://schemas.microsoft.com/office/drawing/2014/main" id="{00000000-0008-0000-0200-000004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887</xdr:row>
      <xdr:rowOff>0</xdr:rowOff>
    </xdr:from>
    <xdr:ext cx="200025" cy="200025"/>
    <xdr:pic>
      <xdr:nvPicPr>
        <xdr:cNvPr id="1285" name="image8.png">
          <a:extLst>
            <a:ext uri="{FF2B5EF4-FFF2-40B4-BE49-F238E27FC236}">
              <a16:creationId xmlns:a16="http://schemas.microsoft.com/office/drawing/2014/main" id="{00000000-0008-0000-0200-000005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888</xdr:row>
      <xdr:rowOff>0</xdr:rowOff>
    </xdr:from>
    <xdr:ext cx="200025" cy="200025"/>
    <xdr:pic>
      <xdr:nvPicPr>
        <xdr:cNvPr id="1286" name="image8.png">
          <a:extLst>
            <a:ext uri="{FF2B5EF4-FFF2-40B4-BE49-F238E27FC236}">
              <a16:creationId xmlns:a16="http://schemas.microsoft.com/office/drawing/2014/main" id="{00000000-0008-0000-0200-00000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889</xdr:row>
      <xdr:rowOff>0</xdr:rowOff>
    </xdr:from>
    <xdr:ext cx="200025" cy="200025"/>
    <xdr:pic>
      <xdr:nvPicPr>
        <xdr:cNvPr id="1287" name="image8.png">
          <a:extLst>
            <a:ext uri="{FF2B5EF4-FFF2-40B4-BE49-F238E27FC236}">
              <a16:creationId xmlns:a16="http://schemas.microsoft.com/office/drawing/2014/main" id="{00000000-0008-0000-0200-000007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891</xdr:row>
      <xdr:rowOff>0</xdr:rowOff>
    </xdr:from>
    <xdr:ext cx="200025" cy="200025"/>
    <xdr:pic>
      <xdr:nvPicPr>
        <xdr:cNvPr id="1288" name="image8.png">
          <a:extLst>
            <a:ext uri="{FF2B5EF4-FFF2-40B4-BE49-F238E27FC236}">
              <a16:creationId xmlns:a16="http://schemas.microsoft.com/office/drawing/2014/main" id="{00000000-0008-0000-0200-000008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891</xdr:row>
      <xdr:rowOff>0</xdr:rowOff>
    </xdr:from>
    <xdr:ext cx="200025" cy="200025"/>
    <xdr:pic>
      <xdr:nvPicPr>
        <xdr:cNvPr id="1289" name="image2.png">
          <a:extLst>
            <a:ext uri="{FF2B5EF4-FFF2-40B4-BE49-F238E27FC236}">
              <a16:creationId xmlns:a16="http://schemas.microsoft.com/office/drawing/2014/main" id="{00000000-0008-0000-0200-000009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891</xdr:row>
      <xdr:rowOff>0</xdr:rowOff>
    </xdr:from>
    <xdr:ext cx="200025" cy="200025"/>
    <xdr:pic>
      <xdr:nvPicPr>
        <xdr:cNvPr id="1290" name="image3.png">
          <a:extLst>
            <a:ext uri="{FF2B5EF4-FFF2-40B4-BE49-F238E27FC236}">
              <a16:creationId xmlns:a16="http://schemas.microsoft.com/office/drawing/2014/main" id="{00000000-0008-0000-0200-00000A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892</xdr:row>
      <xdr:rowOff>0</xdr:rowOff>
    </xdr:from>
    <xdr:ext cx="200025" cy="200025"/>
    <xdr:pic>
      <xdr:nvPicPr>
        <xdr:cNvPr id="1291" name="image9.png">
          <a:extLst>
            <a:ext uri="{FF2B5EF4-FFF2-40B4-BE49-F238E27FC236}">
              <a16:creationId xmlns:a16="http://schemas.microsoft.com/office/drawing/2014/main" id="{00000000-0008-0000-0200-00000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893</xdr:row>
      <xdr:rowOff>0</xdr:rowOff>
    </xdr:from>
    <xdr:ext cx="200025" cy="200025"/>
    <xdr:pic>
      <xdr:nvPicPr>
        <xdr:cNvPr id="1292" name="image9.png">
          <a:extLst>
            <a:ext uri="{FF2B5EF4-FFF2-40B4-BE49-F238E27FC236}">
              <a16:creationId xmlns:a16="http://schemas.microsoft.com/office/drawing/2014/main" id="{00000000-0008-0000-0200-00000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894</xdr:row>
      <xdr:rowOff>0</xdr:rowOff>
    </xdr:from>
    <xdr:ext cx="200025" cy="200025"/>
    <xdr:pic>
      <xdr:nvPicPr>
        <xdr:cNvPr id="1293" name="image10.png">
          <a:extLst>
            <a:ext uri="{FF2B5EF4-FFF2-40B4-BE49-F238E27FC236}">
              <a16:creationId xmlns:a16="http://schemas.microsoft.com/office/drawing/2014/main" id="{00000000-0008-0000-0200-00000D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894</xdr:row>
      <xdr:rowOff>0</xdr:rowOff>
    </xdr:from>
    <xdr:ext cx="200025" cy="200025"/>
    <xdr:pic>
      <xdr:nvPicPr>
        <xdr:cNvPr id="1294" name="image9.png">
          <a:extLst>
            <a:ext uri="{FF2B5EF4-FFF2-40B4-BE49-F238E27FC236}">
              <a16:creationId xmlns:a16="http://schemas.microsoft.com/office/drawing/2014/main" id="{00000000-0008-0000-0200-00000E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894</xdr:row>
      <xdr:rowOff>0</xdr:rowOff>
    </xdr:from>
    <xdr:ext cx="200025" cy="200025"/>
    <xdr:pic>
      <xdr:nvPicPr>
        <xdr:cNvPr id="1295" name="image4.png">
          <a:extLst>
            <a:ext uri="{FF2B5EF4-FFF2-40B4-BE49-F238E27FC236}">
              <a16:creationId xmlns:a16="http://schemas.microsoft.com/office/drawing/2014/main" id="{00000000-0008-0000-0200-00000F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895</xdr:row>
      <xdr:rowOff>0</xdr:rowOff>
    </xdr:from>
    <xdr:ext cx="200025" cy="200025"/>
    <xdr:pic>
      <xdr:nvPicPr>
        <xdr:cNvPr id="1296" name="image9.png">
          <a:extLst>
            <a:ext uri="{FF2B5EF4-FFF2-40B4-BE49-F238E27FC236}">
              <a16:creationId xmlns:a16="http://schemas.microsoft.com/office/drawing/2014/main" id="{00000000-0008-0000-0200-000010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896</xdr:row>
      <xdr:rowOff>0</xdr:rowOff>
    </xdr:from>
    <xdr:ext cx="200025" cy="200025"/>
    <xdr:pic>
      <xdr:nvPicPr>
        <xdr:cNvPr id="1297" name="image9.png">
          <a:extLst>
            <a:ext uri="{FF2B5EF4-FFF2-40B4-BE49-F238E27FC236}">
              <a16:creationId xmlns:a16="http://schemas.microsoft.com/office/drawing/2014/main" id="{00000000-0008-0000-0200-000011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898</xdr:row>
      <xdr:rowOff>0</xdr:rowOff>
    </xdr:from>
    <xdr:ext cx="200025" cy="200025"/>
    <xdr:pic>
      <xdr:nvPicPr>
        <xdr:cNvPr id="1298" name="image8.png">
          <a:extLst>
            <a:ext uri="{FF2B5EF4-FFF2-40B4-BE49-F238E27FC236}">
              <a16:creationId xmlns:a16="http://schemas.microsoft.com/office/drawing/2014/main" id="{00000000-0008-0000-0200-00001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898</xdr:row>
      <xdr:rowOff>0</xdr:rowOff>
    </xdr:from>
    <xdr:ext cx="200025" cy="200025"/>
    <xdr:pic>
      <xdr:nvPicPr>
        <xdr:cNvPr id="1299" name="image1.png">
          <a:extLst>
            <a:ext uri="{FF2B5EF4-FFF2-40B4-BE49-F238E27FC236}">
              <a16:creationId xmlns:a16="http://schemas.microsoft.com/office/drawing/2014/main" id="{00000000-0008-0000-0200-000013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898</xdr:row>
      <xdr:rowOff>0</xdr:rowOff>
    </xdr:from>
    <xdr:ext cx="200025" cy="200025"/>
    <xdr:pic>
      <xdr:nvPicPr>
        <xdr:cNvPr id="1300" name="image6.png">
          <a:extLst>
            <a:ext uri="{FF2B5EF4-FFF2-40B4-BE49-F238E27FC236}">
              <a16:creationId xmlns:a16="http://schemas.microsoft.com/office/drawing/2014/main" id="{00000000-0008-0000-0200-00001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898</xdr:row>
      <xdr:rowOff>0</xdr:rowOff>
    </xdr:from>
    <xdr:ext cx="200025" cy="200025"/>
    <xdr:pic>
      <xdr:nvPicPr>
        <xdr:cNvPr id="1301" name="image5.png">
          <a:extLst>
            <a:ext uri="{FF2B5EF4-FFF2-40B4-BE49-F238E27FC236}">
              <a16:creationId xmlns:a16="http://schemas.microsoft.com/office/drawing/2014/main" id="{00000000-0008-0000-0200-000015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898</xdr:row>
      <xdr:rowOff>0</xdr:rowOff>
    </xdr:from>
    <xdr:ext cx="200025" cy="200025"/>
    <xdr:pic>
      <xdr:nvPicPr>
        <xdr:cNvPr id="1302" name="image4.png">
          <a:extLst>
            <a:ext uri="{FF2B5EF4-FFF2-40B4-BE49-F238E27FC236}">
              <a16:creationId xmlns:a16="http://schemas.microsoft.com/office/drawing/2014/main" id="{00000000-0008-0000-0200-000016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898</xdr:row>
      <xdr:rowOff>0</xdr:rowOff>
    </xdr:from>
    <xdr:ext cx="200025" cy="200025"/>
    <xdr:pic>
      <xdr:nvPicPr>
        <xdr:cNvPr id="1303" name="image9.png">
          <a:extLst>
            <a:ext uri="{FF2B5EF4-FFF2-40B4-BE49-F238E27FC236}">
              <a16:creationId xmlns:a16="http://schemas.microsoft.com/office/drawing/2014/main" id="{00000000-0008-0000-0200-00001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899</xdr:row>
      <xdr:rowOff>0</xdr:rowOff>
    </xdr:from>
    <xdr:ext cx="200025" cy="200025"/>
    <xdr:pic>
      <xdr:nvPicPr>
        <xdr:cNvPr id="1304" name="image9.png">
          <a:extLst>
            <a:ext uri="{FF2B5EF4-FFF2-40B4-BE49-F238E27FC236}">
              <a16:creationId xmlns:a16="http://schemas.microsoft.com/office/drawing/2014/main" id="{00000000-0008-0000-0200-000018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900</xdr:row>
      <xdr:rowOff>0</xdr:rowOff>
    </xdr:from>
    <xdr:ext cx="200025" cy="200025"/>
    <xdr:pic>
      <xdr:nvPicPr>
        <xdr:cNvPr id="1305" name="image9.png">
          <a:extLst>
            <a:ext uri="{FF2B5EF4-FFF2-40B4-BE49-F238E27FC236}">
              <a16:creationId xmlns:a16="http://schemas.microsoft.com/office/drawing/2014/main" id="{00000000-0008-0000-0200-000019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901</xdr:row>
      <xdr:rowOff>0</xdr:rowOff>
    </xdr:from>
    <xdr:ext cx="200025" cy="200025"/>
    <xdr:pic>
      <xdr:nvPicPr>
        <xdr:cNvPr id="1306" name="image10.png">
          <a:extLst>
            <a:ext uri="{FF2B5EF4-FFF2-40B4-BE49-F238E27FC236}">
              <a16:creationId xmlns:a16="http://schemas.microsoft.com/office/drawing/2014/main" id="{00000000-0008-0000-0200-00001A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901</xdr:row>
      <xdr:rowOff>0</xdr:rowOff>
    </xdr:from>
    <xdr:ext cx="200025" cy="200025"/>
    <xdr:pic>
      <xdr:nvPicPr>
        <xdr:cNvPr id="1307" name="image9.png">
          <a:extLst>
            <a:ext uri="{FF2B5EF4-FFF2-40B4-BE49-F238E27FC236}">
              <a16:creationId xmlns:a16="http://schemas.microsoft.com/office/drawing/2014/main" id="{00000000-0008-0000-0200-00001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901</xdr:row>
      <xdr:rowOff>0</xdr:rowOff>
    </xdr:from>
    <xdr:ext cx="200025" cy="200025"/>
    <xdr:pic>
      <xdr:nvPicPr>
        <xdr:cNvPr id="1308" name="image2.png">
          <a:extLst>
            <a:ext uri="{FF2B5EF4-FFF2-40B4-BE49-F238E27FC236}">
              <a16:creationId xmlns:a16="http://schemas.microsoft.com/office/drawing/2014/main" id="{00000000-0008-0000-0200-00001C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901</xdr:row>
      <xdr:rowOff>0</xdr:rowOff>
    </xdr:from>
    <xdr:ext cx="200025" cy="200025"/>
    <xdr:pic>
      <xdr:nvPicPr>
        <xdr:cNvPr id="1309" name="image3.png">
          <a:extLst>
            <a:ext uri="{FF2B5EF4-FFF2-40B4-BE49-F238E27FC236}">
              <a16:creationId xmlns:a16="http://schemas.microsoft.com/office/drawing/2014/main" id="{00000000-0008-0000-0200-00001D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901</xdr:row>
      <xdr:rowOff>0</xdr:rowOff>
    </xdr:from>
    <xdr:ext cx="200025" cy="200025"/>
    <xdr:pic>
      <xdr:nvPicPr>
        <xdr:cNvPr id="1310" name="image7.png">
          <a:extLst>
            <a:ext uri="{FF2B5EF4-FFF2-40B4-BE49-F238E27FC236}">
              <a16:creationId xmlns:a16="http://schemas.microsoft.com/office/drawing/2014/main" id="{00000000-0008-0000-0200-00001E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908</xdr:row>
      <xdr:rowOff>0</xdr:rowOff>
    </xdr:from>
    <xdr:ext cx="200025" cy="200025"/>
    <xdr:pic>
      <xdr:nvPicPr>
        <xdr:cNvPr id="1311" name="image8.png">
          <a:extLst>
            <a:ext uri="{FF2B5EF4-FFF2-40B4-BE49-F238E27FC236}">
              <a16:creationId xmlns:a16="http://schemas.microsoft.com/office/drawing/2014/main" id="{00000000-0008-0000-0200-00001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908</xdr:row>
      <xdr:rowOff>0</xdr:rowOff>
    </xdr:from>
    <xdr:ext cx="200025" cy="200025"/>
    <xdr:pic>
      <xdr:nvPicPr>
        <xdr:cNvPr id="1312" name="image1.png">
          <a:extLst>
            <a:ext uri="{FF2B5EF4-FFF2-40B4-BE49-F238E27FC236}">
              <a16:creationId xmlns:a16="http://schemas.microsoft.com/office/drawing/2014/main" id="{00000000-0008-0000-0200-000020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908</xdr:row>
      <xdr:rowOff>0</xdr:rowOff>
    </xdr:from>
    <xdr:ext cx="200025" cy="200025"/>
    <xdr:pic>
      <xdr:nvPicPr>
        <xdr:cNvPr id="1313" name="image3.png">
          <a:extLst>
            <a:ext uri="{FF2B5EF4-FFF2-40B4-BE49-F238E27FC236}">
              <a16:creationId xmlns:a16="http://schemas.microsoft.com/office/drawing/2014/main" id="{00000000-0008-0000-0200-000021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909</xdr:row>
      <xdr:rowOff>0</xdr:rowOff>
    </xdr:from>
    <xdr:ext cx="200025" cy="200025"/>
    <xdr:pic>
      <xdr:nvPicPr>
        <xdr:cNvPr id="1314" name="image8.png">
          <a:extLst>
            <a:ext uri="{FF2B5EF4-FFF2-40B4-BE49-F238E27FC236}">
              <a16:creationId xmlns:a16="http://schemas.microsoft.com/office/drawing/2014/main" id="{00000000-0008-0000-0200-00002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910</xdr:row>
      <xdr:rowOff>0</xdr:rowOff>
    </xdr:from>
    <xdr:ext cx="200025" cy="200025"/>
    <xdr:pic>
      <xdr:nvPicPr>
        <xdr:cNvPr id="1315" name="image8.png">
          <a:extLst>
            <a:ext uri="{FF2B5EF4-FFF2-40B4-BE49-F238E27FC236}">
              <a16:creationId xmlns:a16="http://schemas.microsoft.com/office/drawing/2014/main" id="{00000000-0008-0000-0200-000023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913</xdr:row>
      <xdr:rowOff>0</xdr:rowOff>
    </xdr:from>
    <xdr:ext cx="200025" cy="200025"/>
    <xdr:pic>
      <xdr:nvPicPr>
        <xdr:cNvPr id="1316" name="image10.png">
          <a:extLst>
            <a:ext uri="{FF2B5EF4-FFF2-40B4-BE49-F238E27FC236}">
              <a16:creationId xmlns:a16="http://schemas.microsoft.com/office/drawing/2014/main" id="{00000000-0008-0000-0200-000024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913</xdr:row>
      <xdr:rowOff>0</xdr:rowOff>
    </xdr:from>
    <xdr:ext cx="200025" cy="200025"/>
    <xdr:pic>
      <xdr:nvPicPr>
        <xdr:cNvPr id="1317" name="image1.png">
          <a:extLst>
            <a:ext uri="{FF2B5EF4-FFF2-40B4-BE49-F238E27FC236}">
              <a16:creationId xmlns:a16="http://schemas.microsoft.com/office/drawing/2014/main" id="{00000000-0008-0000-0200-000025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913</xdr:row>
      <xdr:rowOff>0</xdr:rowOff>
    </xdr:from>
    <xdr:ext cx="200025" cy="200025"/>
    <xdr:pic>
      <xdr:nvPicPr>
        <xdr:cNvPr id="1318" name="image12.png">
          <a:extLst>
            <a:ext uri="{FF2B5EF4-FFF2-40B4-BE49-F238E27FC236}">
              <a16:creationId xmlns:a16="http://schemas.microsoft.com/office/drawing/2014/main" id="{00000000-0008-0000-0200-000026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913</xdr:row>
      <xdr:rowOff>0</xdr:rowOff>
    </xdr:from>
    <xdr:ext cx="200025" cy="200025"/>
    <xdr:pic>
      <xdr:nvPicPr>
        <xdr:cNvPr id="1319" name="image9.png">
          <a:extLst>
            <a:ext uri="{FF2B5EF4-FFF2-40B4-BE49-F238E27FC236}">
              <a16:creationId xmlns:a16="http://schemas.microsoft.com/office/drawing/2014/main" id="{00000000-0008-0000-0200-00002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914</xdr:row>
      <xdr:rowOff>0</xdr:rowOff>
    </xdr:from>
    <xdr:ext cx="200025" cy="200025"/>
    <xdr:pic>
      <xdr:nvPicPr>
        <xdr:cNvPr id="1320" name="image9.png">
          <a:extLst>
            <a:ext uri="{FF2B5EF4-FFF2-40B4-BE49-F238E27FC236}">
              <a16:creationId xmlns:a16="http://schemas.microsoft.com/office/drawing/2014/main" id="{00000000-0008-0000-0200-000028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915</xdr:row>
      <xdr:rowOff>0</xdr:rowOff>
    </xdr:from>
    <xdr:ext cx="200025" cy="200025"/>
    <xdr:pic>
      <xdr:nvPicPr>
        <xdr:cNvPr id="1321" name="image10.png">
          <a:extLst>
            <a:ext uri="{FF2B5EF4-FFF2-40B4-BE49-F238E27FC236}">
              <a16:creationId xmlns:a16="http://schemas.microsoft.com/office/drawing/2014/main" id="{00000000-0008-0000-0200-000029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915</xdr:row>
      <xdr:rowOff>0</xdr:rowOff>
    </xdr:from>
    <xdr:ext cx="200025" cy="200025"/>
    <xdr:pic>
      <xdr:nvPicPr>
        <xdr:cNvPr id="1322" name="image8.png">
          <a:extLst>
            <a:ext uri="{FF2B5EF4-FFF2-40B4-BE49-F238E27FC236}">
              <a16:creationId xmlns:a16="http://schemas.microsoft.com/office/drawing/2014/main" id="{00000000-0008-0000-0200-00002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915</xdr:row>
      <xdr:rowOff>0</xdr:rowOff>
    </xdr:from>
    <xdr:ext cx="200025" cy="200025"/>
    <xdr:pic>
      <xdr:nvPicPr>
        <xdr:cNvPr id="1323" name="image1.png">
          <a:extLst>
            <a:ext uri="{FF2B5EF4-FFF2-40B4-BE49-F238E27FC236}">
              <a16:creationId xmlns:a16="http://schemas.microsoft.com/office/drawing/2014/main" id="{00000000-0008-0000-0200-00002B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915</xdr:row>
      <xdr:rowOff>0</xdr:rowOff>
    </xdr:from>
    <xdr:ext cx="200025" cy="200025"/>
    <xdr:pic>
      <xdr:nvPicPr>
        <xdr:cNvPr id="1324" name="image12.png">
          <a:extLst>
            <a:ext uri="{FF2B5EF4-FFF2-40B4-BE49-F238E27FC236}">
              <a16:creationId xmlns:a16="http://schemas.microsoft.com/office/drawing/2014/main" id="{00000000-0008-0000-0200-00002C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915</xdr:row>
      <xdr:rowOff>0</xdr:rowOff>
    </xdr:from>
    <xdr:ext cx="200025" cy="200025"/>
    <xdr:pic>
      <xdr:nvPicPr>
        <xdr:cNvPr id="1325" name="image10.png">
          <a:extLst>
            <a:ext uri="{FF2B5EF4-FFF2-40B4-BE49-F238E27FC236}">
              <a16:creationId xmlns:a16="http://schemas.microsoft.com/office/drawing/2014/main" id="{00000000-0008-0000-0200-00002D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916</xdr:row>
      <xdr:rowOff>0</xdr:rowOff>
    </xdr:from>
    <xdr:ext cx="200025" cy="200025"/>
    <xdr:pic>
      <xdr:nvPicPr>
        <xdr:cNvPr id="1326" name="image10.png">
          <a:extLst>
            <a:ext uri="{FF2B5EF4-FFF2-40B4-BE49-F238E27FC236}">
              <a16:creationId xmlns:a16="http://schemas.microsoft.com/office/drawing/2014/main" id="{00000000-0008-0000-0200-00002E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917</xdr:row>
      <xdr:rowOff>0</xdr:rowOff>
    </xdr:from>
    <xdr:ext cx="200025" cy="200025"/>
    <xdr:pic>
      <xdr:nvPicPr>
        <xdr:cNvPr id="1327" name="image10.png">
          <a:extLst>
            <a:ext uri="{FF2B5EF4-FFF2-40B4-BE49-F238E27FC236}">
              <a16:creationId xmlns:a16="http://schemas.microsoft.com/office/drawing/2014/main" id="{00000000-0008-0000-0200-00002F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917</xdr:row>
      <xdr:rowOff>0</xdr:rowOff>
    </xdr:from>
    <xdr:ext cx="200025" cy="200025"/>
    <xdr:pic>
      <xdr:nvPicPr>
        <xdr:cNvPr id="1328" name="image9.png">
          <a:extLst>
            <a:ext uri="{FF2B5EF4-FFF2-40B4-BE49-F238E27FC236}">
              <a16:creationId xmlns:a16="http://schemas.microsoft.com/office/drawing/2014/main" id="{00000000-0008-0000-0200-000030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917</xdr:row>
      <xdr:rowOff>0</xdr:rowOff>
    </xdr:from>
    <xdr:ext cx="200025" cy="200025"/>
    <xdr:pic>
      <xdr:nvPicPr>
        <xdr:cNvPr id="1329" name="image5.png">
          <a:extLst>
            <a:ext uri="{FF2B5EF4-FFF2-40B4-BE49-F238E27FC236}">
              <a16:creationId xmlns:a16="http://schemas.microsoft.com/office/drawing/2014/main" id="{00000000-0008-0000-0200-000031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918</xdr:row>
      <xdr:rowOff>0</xdr:rowOff>
    </xdr:from>
    <xdr:ext cx="200025" cy="200025"/>
    <xdr:pic>
      <xdr:nvPicPr>
        <xdr:cNvPr id="1330" name="image8.png">
          <a:extLst>
            <a:ext uri="{FF2B5EF4-FFF2-40B4-BE49-F238E27FC236}">
              <a16:creationId xmlns:a16="http://schemas.microsoft.com/office/drawing/2014/main" id="{00000000-0008-0000-0200-00003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918</xdr:row>
      <xdr:rowOff>0</xdr:rowOff>
    </xdr:from>
    <xdr:ext cx="200025" cy="200025"/>
    <xdr:pic>
      <xdr:nvPicPr>
        <xdr:cNvPr id="1331" name="image9.png">
          <a:extLst>
            <a:ext uri="{FF2B5EF4-FFF2-40B4-BE49-F238E27FC236}">
              <a16:creationId xmlns:a16="http://schemas.microsoft.com/office/drawing/2014/main" id="{00000000-0008-0000-0200-000033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918</xdr:row>
      <xdr:rowOff>0</xdr:rowOff>
    </xdr:from>
    <xdr:ext cx="200025" cy="200025"/>
    <xdr:pic>
      <xdr:nvPicPr>
        <xdr:cNvPr id="1332" name="image6.png">
          <a:extLst>
            <a:ext uri="{FF2B5EF4-FFF2-40B4-BE49-F238E27FC236}">
              <a16:creationId xmlns:a16="http://schemas.microsoft.com/office/drawing/2014/main" id="{00000000-0008-0000-0200-00003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918</xdr:row>
      <xdr:rowOff>0</xdr:rowOff>
    </xdr:from>
    <xdr:ext cx="200025" cy="200025"/>
    <xdr:pic>
      <xdr:nvPicPr>
        <xdr:cNvPr id="1333" name="image12.png">
          <a:extLst>
            <a:ext uri="{FF2B5EF4-FFF2-40B4-BE49-F238E27FC236}">
              <a16:creationId xmlns:a16="http://schemas.microsoft.com/office/drawing/2014/main" id="{00000000-0008-0000-0200-000035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918</xdr:row>
      <xdr:rowOff>0</xdr:rowOff>
    </xdr:from>
    <xdr:ext cx="200025" cy="200025"/>
    <xdr:pic>
      <xdr:nvPicPr>
        <xdr:cNvPr id="1334" name="image4.png">
          <a:extLst>
            <a:ext uri="{FF2B5EF4-FFF2-40B4-BE49-F238E27FC236}">
              <a16:creationId xmlns:a16="http://schemas.microsoft.com/office/drawing/2014/main" id="{00000000-0008-0000-0200-000036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918</xdr:row>
      <xdr:rowOff>0</xdr:rowOff>
    </xdr:from>
    <xdr:ext cx="200025" cy="200025"/>
    <xdr:pic>
      <xdr:nvPicPr>
        <xdr:cNvPr id="1335" name="image10.png">
          <a:extLst>
            <a:ext uri="{FF2B5EF4-FFF2-40B4-BE49-F238E27FC236}">
              <a16:creationId xmlns:a16="http://schemas.microsoft.com/office/drawing/2014/main" id="{00000000-0008-0000-0200-00003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919</xdr:row>
      <xdr:rowOff>0</xdr:rowOff>
    </xdr:from>
    <xdr:ext cx="200025" cy="200025"/>
    <xdr:pic>
      <xdr:nvPicPr>
        <xdr:cNvPr id="1336" name="image10.png">
          <a:extLst>
            <a:ext uri="{FF2B5EF4-FFF2-40B4-BE49-F238E27FC236}">
              <a16:creationId xmlns:a16="http://schemas.microsoft.com/office/drawing/2014/main" id="{00000000-0008-0000-0200-00003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920</xdr:row>
      <xdr:rowOff>0</xdr:rowOff>
    </xdr:from>
    <xdr:ext cx="200025" cy="200025"/>
    <xdr:pic>
      <xdr:nvPicPr>
        <xdr:cNvPr id="1337" name="image10.png">
          <a:extLst>
            <a:ext uri="{FF2B5EF4-FFF2-40B4-BE49-F238E27FC236}">
              <a16:creationId xmlns:a16="http://schemas.microsoft.com/office/drawing/2014/main" id="{00000000-0008-0000-0200-000039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921</xdr:row>
      <xdr:rowOff>0</xdr:rowOff>
    </xdr:from>
    <xdr:ext cx="200025" cy="200025"/>
    <xdr:pic>
      <xdr:nvPicPr>
        <xdr:cNvPr id="1338" name="image8.png">
          <a:extLst>
            <a:ext uri="{FF2B5EF4-FFF2-40B4-BE49-F238E27FC236}">
              <a16:creationId xmlns:a16="http://schemas.microsoft.com/office/drawing/2014/main" id="{00000000-0008-0000-0200-00003A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921</xdr:row>
      <xdr:rowOff>0</xdr:rowOff>
    </xdr:from>
    <xdr:ext cx="200025" cy="200025"/>
    <xdr:pic>
      <xdr:nvPicPr>
        <xdr:cNvPr id="1339" name="image9.png">
          <a:extLst>
            <a:ext uri="{FF2B5EF4-FFF2-40B4-BE49-F238E27FC236}">
              <a16:creationId xmlns:a16="http://schemas.microsoft.com/office/drawing/2014/main" id="{00000000-0008-0000-0200-00003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921</xdr:row>
      <xdr:rowOff>0</xdr:rowOff>
    </xdr:from>
    <xdr:ext cx="200025" cy="200025"/>
    <xdr:pic>
      <xdr:nvPicPr>
        <xdr:cNvPr id="1340" name="image12.png">
          <a:extLst>
            <a:ext uri="{FF2B5EF4-FFF2-40B4-BE49-F238E27FC236}">
              <a16:creationId xmlns:a16="http://schemas.microsoft.com/office/drawing/2014/main" id="{00000000-0008-0000-0200-00003C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921</xdr:row>
      <xdr:rowOff>0</xdr:rowOff>
    </xdr:from>
    <xdr:ext cx="200025" cy="200025"/>
    <xdr:pic>
      <xdr:nvPicPr>
        <xdr:cNvPr id="1341" name="image6.png">
          <a:extLst>
            <a:ext uri="{FF2B5EF4-FFF2-40B4-BE49-F238E27FC236}">
              <a16:creationId xmlns:a16="http://schemas.microsoft.com/office/drawing/2014/main" id="{00000000-0008-0000-0200-00003D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923</xdr:row>
      <xdr:rowOff>0</xdr:rowOff>
    </xdr:from>
    <xdr:ext cx="200025" cy="200025"/>
    <xdr:pic>
      <xdr:nvPicPr>
        <xdr:cNvPr id="1342" name="image6.png">
          <a:extLst>
            <a:ext uri="{FF2B5EF4-FFF2-40B4-BE49-F238E27FC236}">
              <a16:creationId xmlns:a16="http://schemas.microsoft.com/office/drawing/2014/main" id="{00000000-0008-0000-0200-00003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924</xdr:row>
      <xdr:rowOff>0</xdr:rowOff>
    </xdr:from>
    <xdr:ext cx="200025" cy="200025"/>
    <xdr:pic>
      <xdr:nvPicPr>
        <xdr:cNvPr id="1343" name="image10.png">
          <a:extLst>
            <a:ext uri="{FF2B5EF4-FFF2-40B4-BE49-F238E27FC236}">
              <a16:creationId xmlns:a16="http://schemas.microsoft.com/office/drawing/2014/main" id="{00000000-0008-0000-0200-00003F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924</xdr:row>
      <xdr:rowOff>0</xdr:rowOff>
    </xdr:from>
    <xdr:ext cx="200025" cy="200025"/>
    <xdr:pic>
      <xdr:nvPicPr>
        <xdr:cNvPr id="1344" name="image9.png">
          <a:extLst>
            <a:ext uri="{FF2B5EF4-FFF2-40B4-BE49-F238E27FC236}">
              <a16:creationId xmlns:a16="http://schemas.microsoft.com/office/drawing/2014/main" id="{00000000-0008-0000-0200-000040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924</xdr:row>
      <xdr:rowOff>0</xdr:rowOff>
    </xdr:from>
    <xdr:ext cx="200025" cy="200025"/>
    <xdr:pic>
      <xdr:nvPicPr>
        <xdr:cNvPr id="1345" name="image5.png">
          <a:extLst>
            <a:ext uri="{FF2B5EF4-FFF2-40B4-BE49-F238E27FC236}">
              <a16:creationId xmlns:a16="http://schemas.microsoft.com/office/drawing/2014/main" id="{00000000-0008-0000-0200-000041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925</xdr:row>
      <xdr:rowOff>0</xdr:rowOff>
    </xdr:from>
    <xdr:ext cx="200025" cy="200025"/>
    <xdr:pic>
      <xdr:nvPicPr>
        <xdr:cNvPr id="1346" name="image8.png">
          <a:extLst>
            <a:ext uri="{FF2B5EF4-FFF2-40B4-BE49-F238E27FC236}">
              <a16:creationId xmlns:a16="http://schemas.microsoft.com/office/drawing/2014/main" id="{00000000-0008-0000-0200-00004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926</xdr:row>
      <xdr:rowOff>0</xdr:rowOff>
    </xdr:from>
    <xdr:ext cx="200025" cy="200025"/>
    <xdr:pic>
      <xdr:nvPicPr>
        <xdr:cNvPr id="1347" name="image8.png">
          <a:extLst>
            <a:ext uri="{FF2B5EF4-FFF2-40B4-BE49-F238E27FC236}">
              <a16:creationId xmlns:a16="http://schemas.microsoft.com/office/drawing/2014/main" id="{00000000-0008-0000-0200-000043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927</xdr:row>
      <xdr:rowOff>0</xdr:rowOff>
    </xdr:from>
    <xdr:ext cx="200025" cy="200025"/>
    <xdr:pic>
      <xdr:nvPicPr>
        <xdr:cNvPr id="1348" name="image5.png">
          <a:extLst>
            <a:ext uri="{FF2B5EF4-FFF2-40B4-BE49-F238E27FC236}">
              <a16:creationId xmlns:a16="http://schemas.microsoft.com/office/drawing/2014/main" id="{00000000-0008-0000-0200-000044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927</xdr:row>
      <xdr:rowOff>0</xdr:rowOff>
    </xdr:from>
    <xdr:ext cx="200025" cy="200025"/>
    <xdr:pic>
      <xdr:nvPicPr>
        <xdr:cNvPr id="1349" name="image12.png">
          <a:extLst>
            <a:ext uri="{FF2B5EF4-FFF2-40B4-BE49-F238E27FC236}">
              <a16:creationId xmlns:a16="http://schemas.microsoft.com/office/drawing/2014/main" id="{00000000-0008-0000-0200-000045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927</xdr:row>
      <xdr:rowOff>0</xdr:rowOff>
    </xdr:from>
    <xdr:ext cx="200025" cy="200025"/>
    <xdr:pic>
      <xdr:nvPicPr>
        <xdr:cNvPr id="1350" name="image11.png">
          <a:extLst>
            <a:ext uri="{FF2B5EF4-FFF2-40B4-BE49-F238E27FC236}">
              <a16:creationId xmlns:a16="http://schemas.microsoft.com/office/drawing/2014/main" id="{00000000-0008-0000-0200-000046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927</xdr:row>
      <xdr:rowOff>0</xdr:rowOff>
    </xdr:from>
    <xdr:ext cx="200025" cy="200025"/>
    <xdr:pic>
      <xdr:nvPicPr>
        <xdr:cNvPr id="1351" name="image1.png">
          <a:extLst>
            <a:ext uri="{FF2B5EF4-FFF2-40B4-BE49-F238E27FC236}">
              <a16:creationId xmlns:a16="http://schemas.microsoft.com/office/drawing/2014/main" id="{00000000-0008-0000-0200-000047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928</xdr:row>
      <xdr:rowOff>0</xdr:rowOff>
    </xdr:from>
    <xdr:ext cx="200025" cy="200025"/>
    <xdr:pic>
      <xdr:nvPicPr>
        <xdr:cNvPr id="1352" name="image1.png">
          <a:extLst>
            <a:ext uri="{FF2B5EF4-FFF2-40B4-BE49-F238E27FC236}">
              <a16:creationId xmlns:a16="http://schemas.microsoft.com/office/drawing/2014/main" id="{00000000-0008-0000-0200-000048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929</xdr:row>
      <xdr:rowOff>0</xdr:rowOff>
    </xdr:from>
    <xdr:ext cx="200025" cy="200025"/>
    <xdr:pic>
      <xdr:nvPicPr>
        <xdr:cNvPr id="1353" name="image1.png">
          <a:extLst>
            <a:ext uri="{FF2B5EF4-FFF2-40B4-BE49-F238E27FC236}">
              <a16:creationId xmlns:a16="http://schemas.microsoft.com/office/drawing/2014/main" id="{00000000-0008-0000-0200-000049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930</xdr:row>
      <xdr:rowOff>0</xdr:rowOff>
    </xdr:from>
    <xdr:ext cx="200025" cy="200025"/>
    <xdr:pic>
      <xdr:nvPicPr>
        <xdr:cNvPr id="1354" name="image10.png">
          <a:extLst>
            <a:ext uri="{FF2B5EF4-FFF2-40B4-BE49-F238E27FC236}">
              <a16:creationId xmlns:a16="http://schemas.microsoft.com/office/drawing/2014/main" id="{00000000-0008-0000-0200-00004A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930</xdr:row>
      <xdr:rowOff>0</xdr:rowOff>
    </xdr:from>
    <xdr:ext cx="200025" cy="200025"/>
    <xdr:pic>
      <xdr:nvPicPr>
        <xdr:cNvPr id="1355" name="image9.png">
          <a:extLst>
            <a:ext uri="{FF2B5EF4-FFF2-40B4-BE49-F238E27FC236}">
              <a16:creationId xmlns:a16="http://schemas.microsoft.com/office/drawing/2014/main" id="{00000000-0008-0000-0200-00004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930</xdr:row>
      <xdr:rowOff>0</xdr:rowOff>
    </xdr:from>
    <xdr:ext cx="200025" cy="200025"/>
    <xdr:pic>
      <xdr:nvPicPr>
        <xdr:cNvPr id="1356" name="image7.png">
          <a:extLst>
            <a:ext uri="{FF2B5EF4-FFF2-40B4-BE49-F238E27FC236}">
              <a16:creationId xmlns:a16="http://schemas.microsoft.com/office/drawing/2014/main" id="{00000000-0008-0000-0200-00004C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932</xdr:row>
      <xdr:rowOff>0</xdr:rowOff>
    </xdr:from>
    <xdr:ext cx="200025" cy="200025"/>
    <xdr:pic>
      <xdr:nvPicPr>
        <xdr:cNvPr id="1357" name="image8.png">
          <a:extLst>
            <a:ext uri="{FF2B5EF4-FFF2-40B4-BE49-F238E27FC236}">
              <a16:creationId xmlns:a16="http://schemas.microsoft.com/office/drawing/2014/main" id="{00000000-0008-0000-0200-00004D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932</xdr:row>
      <xdr:rowOff>0</xdr:rowOff>
    </xdr:from>
    <xdr:ext cx="200025" cy="200025"/>
    <xdr:pic>
      <xdr:nvPicPr>
        <xdr:cNvPr id="1358" name="image6.png">
          <a:extLst>
            <a:ext uri="{FF2B5EF4-FFF2-40B4-BE49-F238E27FC236}">
              <a16:creationId xmlns:a16="http://schemas.microsoft.com/office/drawing/2014/main" id="{00000000-0008-0000-0200-00004E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932</xdr:row>
      <xdr:rowOff>0</xdr:rowOff>
    </xdr:from>
    <xdr:ext cx="200025" cy="200025"/>
    <xdr:pic>
      <xdr:nvPicPr>
        <xdr:cNvPr id="1359" name="image7.png">
          <a:extLst>
            <a:ext uri="{FF2B5EF4-FFF2-40B4-BE49-F238E27FC236}">
              <a16:creationId xmlns:a16="http://schemas.microsoft.com/office/drawing/2014/main" id="{00000000-0008-0000-0200-00004F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932</xdr:row>
      <xdr:rowOff>0</xdr:rowOff>
    </xdr:from>
    <xdr:ext cx="200025" cy="200025"/>
    <xdr:pic>
      <xdr:nvPicPr>
        <xdr:cNvPr id="1360" name="image2.png">
          <a:extLst>
            <a:ext uri="{FF2B5EF4-FFF2-40B4-BE49-F238E27FC236}">
              <a16:creationId xmlns:a16="http://schemas.microsoft.com/office/drawing/2014/main" id="{00000000-0008-0000-0200-000050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933</xdr:row>
      <xdr:rowOff>0</xdr:rowOff>
    </xdr:from>
    <xdr:ext cx="200025" cy="200025"/>
    <xdr:pic>
      <xdr:nvPicPr>
        <xdr:cNvPr id="1361" name="image2.png">
          <a:extLst>
            <a:ext uri="{FF2B5EF4-FFF2-40B4-BE49-F238E27FC236}">
              <a16:creationId xmlns:a16="http://schemas.microsoft.com/office/drawing/2014/main" id="{00000000-0008-0000-0200-000051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934</xdr:row>
      <xdr:rowOff>0</xdr:rowOff>
    </xdr:from>
    <xdr:ext cx="200025" cy="200025"/>
    <xdr:pic>
      <xdr:nvPicPr>
        <xdr:cNvPr id="1362" name="image8.png">
          <a:extLst>
            <a:ext uri="{FF2B5EF4-FFF2-40B4-BE49-F238E27FC236}">
              <a16:creationId xmlns:a16="http://schemas.microsoft.com/office/drawing/2014/main" id="{00000000-0008-0000-0200-00005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934</xdr:row>
      <xdr:rowOff>0</xdr:rowOff>
    </xdr:from>
    <xdr:ext cx="200025" cy="200025"/>
    <xdr:pic>
      <xdr:nvPicPr>
        <xdr:cNvPr id="1363" name="image6.png">
          <a:extLst>
            <a:ext uri="{FF2B5EF4-FFF2-40B4-BE49-F238E27FC236}">
              <a16:creationId xmlns:a16="http://schemas.microsoft.com/office/drawing/2014/main" id="{00000000-0008-0000-0200-000053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934</xdr:row>
      <xdr:rowOff>0</xdr:rowOff>
    </xdr:from>
    <xdr:ext cx="200025" cy="200025"/>
    <xdr:pic>
      <xdr:nvPicPr>
        <xdr:cNvPr id="1364" name="image4.png">
          <a:extLst>
            <a:ext uri="{FF2B5EF4-FFF2-40B4-BE49-F238E27FC236}">
              <a16:creationId xmlns:a16="http://schemas.microsoft.com/office/drawing/2014/main" id="{00000000-0008-0000-0200-000054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935</xdr:row>
      <xdr:rowOff>0</xdr:rowOff>
    </xdr:from>
    <xdr:ext cx="200025" cy="200025"/>
    <xdr:pic>
      <xdr:nvPicPr>
        <xdr:cNvPr id="1365" name="image9.png">
          <a:extLst>
            <a:ext uri="{FF2B5EF4-FFF2-40B4-BE49-F238E27FC236}">
              <a16:creationId xmlns:a16="http://schemas.microsoft.com/office/drawing/2014/main" id="{00000000-0008-0000-0200-000055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936</xdr:row>
      <xdr:rowOff>0</xdr:rowOff>
    </xdr:from>
    <xdr:ext cx="200025" cy="200025"/>
    <xdr:pic>
      <xdr:nvPicPr>
        <xdr:cNvPr id="1366" name="image9.png">
          <a:extLst>
            <a:ext uri="{FF2B5EF4-FFF2-40B4-BE49-F238E27FC236}">
              <a16:creationId xmlns:a16="http://schemas.microsoft.com/office/drawing/2014/main" id="{00000000-0008-0000-0200-000056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937</xdr:row>
      <xdr:rowOff>0</xdr:rowOff>
    </xdr:from>
    <xdr:ext cx="200025" cy="200025"/>
    <xdr:pic>
      <xdr:nvPicPr>
        <xdr:cNvPr id="1367" name="image10.png">
          <a:extLst>
            <a:ext uri="{FF2B5EF4-FFF2-40B4-BE49-F238E27FC236}">
              <a16:creationId xmlns:a16="http://schemas.microsoft.com/office/drawing/2014/main" id="{00000000-0008-0000-0200-00005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937</xdr:row>
      <xdr:rowOff>0</xdr:rowOff>
    </xdr:from>
    <xdr:ext cx="200025" cy="200025"/>
    <xdr:pic>
      <xdr:nvPicPr>
        <xdr:cNvPr id="1368" name="image8.png">
          <a:extLst>
            <a:ext uri="{FF2B5EF4-FFF2-40B4-BE49-F238E27FC236}">
              <a16:creationId xmlns:a16="http://schemas.microsoft.com/office/drawing/2014/main" id="{00000000-0008-0000-0200-000058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937</xdr:row>
      <xdr:rowOff>0</xdr:rowOff>
    </xdr:from>
    <xdr:ext cx="200025" cy="200025"/>
    <xdr:pic>
      <xdr:nvPicPr>
        <xdr:cNvPr id="1369" name="image9.png">
          <a:extLst>
            <a:ext uri="{FF2B5EF4-FFF2-40B4-BE49-F238E27FC236}">
              <a16:creationId xmlns:a16="http://schemas.microsoft.com/office/drawing/2014/main" id="{00000000-0008-0000-0200-000059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937</xdr:row>
      <xdr:rowOff>0</xdr:rowOff>
    </xdr:from>
    <xdr:ext cx="200025" cy="200025"/>
    <xdr:pic>
      <xdr:nvPicPr>
        <xdr:cNvPr id="1370" name="image5.png">
          <a:extLst>
            <a:ext uri="{FF2B5EF4-FFF2-40B4-BE49-F238E27FC236}">
              <a16:creationId xmlns:a16="http://schemas.microsoft.com/office/drawing/2014/main" id="{00000000-0008-0000-0200-00005A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937</xdr:row>
      <xdr:rowOff>0</xdr:rowOff>
    </xdr:from>
    <xdr:ext cx="200025" cy="200025"/>
    <xdr:pic>
      <xdr:nvPicPr>
        <xdr:cNvPr id="1371" name="image10.png">
          <a:extLst>
            <a:ext uri="{FF2B5EF4-FFF2-40B4-BE49-F238E27FC236}">
              <a16:creationId xmlns:a16="http://schemas.microsoft.com/office/drawing/2014/main" id="{00000000-0008-0000-0200-00005B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938</xdr:row>
      <xdr:rowOff>0</xdr:rowOff>
    </xdr:from>
    <xdr:ext cx="200025" cy="200025"/>
    <xdr:pic>
      <xdr:nvPicPr>
        <xdr:cNvPr id="1372" name="image10.png">
          <a:extLst>
            <a:ext uri="{FF2B5EF4-FFF2-40B4-BE49-F238E27FC236}">
              <a16:creationId xmlns:a16="http://schemas.microsoft.com/office/drawing/2014/main" id="{00000000-0008-0000-0200-00005C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939</xdr:row>
      <xdr:rowOff>0</xdr:rowOff>
    </xdr:from>
    <xdr:ext cx="200025" cy="200025"/>
    <xdr:pic>
      <xdr:nvPicPr>
        <xdr:cNvPr id="1373" name="image10.png">
          <a:extLst>
            <a:ext uri="{FF2B5EF4-FFF2-40B4-BE49-F238E27FC236}">
              <a16:creationId xmlns:a16="http://schemas.microsoft.com/office/drawing/2014/main" id="{00000000-0008-0000-0200-00005D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940</xdr:row>
      <xdr:rowOff>0</xdr:rowOff>
    </xdr:from>
    <xdr:ext cx="200025" cy="200025"/>
    <xdr:pic>
      <xdr:nvPicPr>
        <xdr:cNvPr id="1374" name="image10.png">
          <a:extLst>
            <a:ext uri="{FF2B5EF4-FFF2-40B4-BE49-F238E27FC236}">
              <a16:creationId xmlns:a16="http://schemas.microsoft.com/office/drawing/2014/main" id="{00000000-0008-0000-0200-00005E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940</xdr:row>
      <xdr:rowOff>0</xdr:rowOff>
    </xdr:from>
    <xdr:ext cx="200025" cy="200025"/>
    <xdr:pic>
      <xdr:nvPicPr>
        <xdr:cNvPr id="1375" name="image2.png">
          <a:extLst>
            <a:ext uri="{FF2B5EF4-FFF2-40B4-BE49-F238E27FC236}">
              <a16:creationId xmlns:a16="http://schemas.microsoft.com/office/drawing/2014/main" id="{00000000-0008-0000-0200-00005F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940</xdr:row>
      <xdr:rowOff>0</xdr:rowOff>
    </xdr:from>
    <xdr:ext cx="200025" cy="200025"/>
    <xdr:pic>
      <xdr:nvPicPr>
        <xdr:cNvPr id="1376" name="image11.png">
          <a:extLst>
            <a:ext uri="{FF2B5EF4-FFF2-40B4-BE49-F238E27FC236}">
              <a16:creationId xmlns:a16="http://schemas.microsoft.com/office/drawing/2014/main" id="{00000000-0008-0000-0200-000060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940</xdr:row>
      <xdr:rowOff>0</xdr:rowOff>
    </xdr:from>
    <xdr:ext cx="200025" cy="200025"/>
    <xdr:pic>
      <xdr:nvPicPr>
        <xdr:cNvPr id="1377" name="image8.png">
          <a:extLst>
            <a:ext uri="{FF2B5EF4-FFF2-40B4-BE49-F238E27FC236}">
              <a16:creationId xmlns:a16="http://schemas.microsoft.com/office/drawing/2014/main" id="{00000000-0008-0000-0200-00006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942</xdr:row>
      <xdr:rowOff>0</xdr:rowOff>
    </xdr:from>
    <xdr:ext cx="200025" cy="200025"/>
    <xdr:pic>
      <xdr:nvPicPr>
        <xdr:cNvPr id="1378" name="image8.png">
          <a:extLst>
            <a:ext uri="{FF2B5EF4-FFF2-40B4-BE49-F238E27FC236}">
              <a16:creationId xmlns:a16="http://schemas.microsoft.com/office/drawing/2014/main" id="{00000000-0008-0000-0200-00006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944</xdr:row>
      <xdr:rowOff>0</xdr:rowOff>
    </xdr:from>
    <xdr:ext cx="200025" cy="200025"/>
    <xdr:pic>
      <xdr:nvPicPr>
        <xdr:cNvPr id="1379" name="image10.png">
          <a:extLst>
            <a:ext uri="{FF2B5EF4-FFF2-40B4-BE49-F238E27FC236}">
              <a16:creationId xmlns:a16="http://schemas.microsoft.com/office/drawing/2014/main" id="{00000000-0008-0000-0200-000063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944</xdr:row>
      <xdr:rowOff>0</xdr:rowOff>
    </xdr:from>
    <xdr:ext cx="200025" cy="200025"/>
    <xdr:pic>
      <xdr:nvPicPr>
        <xdr:cNvPr id="1380" name="image1.png">
          <a:extLst>
            <a:ext uri="{FF2B5EF4-FFF2-40B4-BE49-F238E27FC236}">
              <a16:creationId xmlns:a16="http://schemas.microsoft.com/office/drawing/2014/main" id="{00000000-0008-0000-0200-000064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944</xdr:row>
      <xdr:rowOff>0</xdr:rowOff>
    </xdr:from>
    <xdr:ext cx="200025" cy="200025"/>
    <xdr:pic>
      <xdr:nvPicPr>
        <xdr:cNvPr id="1381" name="image4.png">
          <a:extLst>
            <a:ext uri="{FF2B5EF4-FFF2-40B4-BE49-F238E27FC236}">
              <a16:creationId xmlns:a16="http://schemas.microsoft.com/office/drawing/2014/main" id="{00000000-0008-0000-0200-000065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944</xdr:row>
      <xdr:rowOff>0</xdr:rowOff>
    </xdr:from>
    <xdr:ext cx="200025" cy="200025"/>
    <xdr:pic>
      <xdr:nvPicPr>
        <xdr:cNvPr id="1382" name="image8.png">
          <a:extLst>
            <a:ext uri="{FF2B5EF4-FFF2-40B4-BE49-F238E27FC236}">
              <a16:creationId xmlns:a16="http://schemas.microsoft.com/office/drawing/2014/main" id="{00000000-0008-0000-0200-000066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945</xdr:row>
      <xdr:rowOff>0</xdr:rowOff>
    </xdr:from>
    <xdr:ext cx="200025" cy="200025"/>
    <xdr:pic>
      <xdr:nvPicPr>
        <xdr:cNvPr id="1383" name="image8.png">
          <a:extLst>
            <a:ext uri="{FF2B5EF4-FFF2-40B4-BE49-F238E27FC236}">
              <a16:creationId xmlns:a16="http://schemas.microsoft.com/office/drawing/2014/main" id="{00000000-0008-0000-0200-000067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946</xdr:row>
      <xdr:rowOff>0</xdr:rowOff>
    </xdr:from>
    <xdr:ext cx="200025" cy="200025"/>
    <xdr:pic>
      <xdr:nvPicPr>
        <xdr:cNvPr id="1384" name="image8.png">
          <a:extLst>
            <a:ext uri="{FF2B5EF4-FFF2-40B4-BE49-F238E27FC236}">
              <a16:creationId xmlns:a16="http://schemas.microsoft.com/office/drawing/2014/main" id="{00000000-0008-0000-0200-000068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949</xdr:row>
      <xdr:rowOff>0</xdr:rowOff>
    </xdr:from>
    <xdr:ext cx="200025" cy="200025"/>
    <xdr:pic>
      <xdr:nvPicPr>
        <xdr:cNvPr id="1385" name="image10.png">
          <a:extLst>
            <a:ext uri="{FF2B5EF4-FFF2-40B4-BE49-F238E27FC236}">
              <a16:creationId xmlns:a16="http://schemas.microsoft.com/office/drawing/2014/main" id="{00000000-0008-0000-0200-000069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949</xdr:row>
      <xdr:rowOff>0</xdr:rowOff>
    </xdr:from>
    <xdr:ext cx="200025" cy="200025"/>
    <xdr:pic>
      <xdr:nvPicPr>
        <xdr:cNvPr id="1386" name="image4.png">
          <a:extLst>
            <a:ext uri="{FF2B5EF4-FFF2-40B4-BE49-F238E27FC236}">
              <a16:creationId xmlns:a16="http://schemas.microsoft.com/office/drawing/2014/main" id="{00000000-0008-0000-0200-00006A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949</xdr:row>
      <xdr:rowOff>0</xdr:rowOff>
    </xdr:from>
    <xdr:ext cx="200025" cy="200025"/>
    <xdr:pic>
      <xdr:nvPicPr>
        <xdr:cNvPr id="1387" name="image11.png">
          <a:extLst>
            <a:ext uri="{FF2B5EF4-FFF2-40B4-BE49-F238E27FC236}">
              <a16:creationId xmlns:a16="http://schemas.microsoft.com/office/drawing/2014/main" id="{00000000-0008-0000-0200-00006B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951</xdr:row>
      <xdr:rowOff>0</xdr:rowOff>
    </xdr:from>
    <xdr:ext cx="200025" cy="200025"/>
    <xdr:pic>
      <xdr:nvPicPr>
        <xdr:cNvPr id="1388" name="image6.png">
          <a:extLst>
            <a:ext uri="{FF2B5EF4-FFF2-40B4-BE49-F238E27FC236}">
              <a16:creationId xmlns:a16="http://schemas.microsoft.com/office/drawing/2014/main" id="{00000000-0008-0000-0200-00006C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952</xdr:row>
      <xdr:rowOff>0</xdr:rowOff>
    </xdr:from>
    <xdr:ext cx="200025" cy="200025"/>
    <xdr:pic>
      <xdr:nvPicPr>
        <xdr:cNvPr id="1389" name="image8.png">
          <a:extLst>
            <a:ext uri="{FF2B5EF4-FFF2-40B4-BE49-F238E27FC236}">
              <a16:creationId xmlns:a16="http://schemas.microsoft.com/office/drawing/2014/main" id="{00000000-0008-0000-0200-00006D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952</xdr:row>
      <xdr:rowOff>0</xdr:rowOff>
    </xdr:from>
    <xdr:ext cx="200025" cy="200025"/>
    <xdr:pic>
      <xdr:nvPicPr>
        <xdr:cNvPr id="1390" name="image9.png">
          <a:extLst>
            <a:ext uri="{FF2B5EF4-FFF2-40B4-BE49-F238E27FC236}">
              <a16:creationId xmlns:a16="http://schemas.microsoft.com/office/drawing/2014/main" id="{00000000-0008-0000-0200-00006E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952</xdr:row>
      <xdr:rowOff>0</xdr:rowOff>
    </xdr:from>
    <xdr:ext cx="200025" cy="200025"/>
    <xdr:pic>
      <xdr:nvPicPr>
        <xdr:cNvPr id="1391" name="image5.png">
          <a:extLst>
            <a:ext uri="{FF2B5EF4-FFF2-40B4-BE49-F238E27FC236}">
              <a16:creationId xmlns:a16="http://schemas.microsoft.com/office/drawing/2014/main" id="{00000000-0008-0000-0200-00006F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952</xdr:row>
      <xdr:rowOff>0</xdr:rowOff>
    </xdr:from>
    <xdr:ext cx="200025" cy="200025"/>
    <xdr:pic>
      <xdr:nvPicPr>
        <xdr:cNvPr id="1392" name="image8.png">
          <a:extLst>
            <a:ext uri="{FF2B5EF4-FFF2-40B4-BE49-F238E27FC236}">
              <a16:creationId xmlns:a16="http://schemas.microsoft.com/office/drawing/2014/main" id="{00000000-0008-0000-0200-00007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953</xdr:row>
      <xdr:rowOff>0</xdr:rowOff>
    </xdr:from>
    <xdr:ext cx="200025" cy="200025"/>
    <xdr:pic>
      <xdr:nvPicPr>
        <xdr:cNvPr id="1393" name="image8.png">
          <a:extLst>
            <a:ext uri="{FF2B5EF4-FFF2-40B4-BE49-F238E27FC236}">
              <a16:creationId xmlns:a16="http://schemas.microsoft.com/office/drawing/2014/main" id="{00000000-0008-0000-0200-00007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954</xdr:row>
      <xdr:rowOff>0</xdr:rowOff>
    </xdr:from>
    <xdr:ext cx="200025" cy="200025"/>
    <xdr:pic>
      <xdr:nvPicPr>
        <xdr:cNvPr id="1394" name="image8.png">
          <a:extLst>
            <a:ext uri="{FF2B5EF4-FFF2-40B4-BE49-F238E27FC236}">
              <a16:creationId xmlns:a16="http://schemas.microsoft.com/office/drawing/2014/main" id="{00000000-0008-0000-0200-000072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954</xdr:row>
      <xdr:rowOff>0</xdr:rowOff>
    </xdr:from>
    <xdr:ext cx="200025" cy="200025"/>
    <xdr:pic>
      <xdr:nvPicPr>
        <xdr:cNvPr id="1395" name="image2.png">
          <a:extLst>
            <a:ext uri="{FF2B5EF4-FFF2-40B4-BE49-F238E27FC236}">
              <a16:creationId xmlns:a16="http://schemas.microsoft.com/office/drawing/2014/main" id="{00000000-0008-0000-0200-00007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954</xdr:row>
      <xdr:rowOff>0</xdr:rowOff>
    </xdr:from>
    <xdr:ext cx="200025" cy="200025"/>
    <xdr:pic>
      <xdr:nvPicPr>
        <xdr:cNvPr id="1396" name="image4.png">
          <a:extLst>
            <a:ext uri="{FF2B5EF4-FFF2-40B4-BE49-F238E27FC236}">
              <a16:creationId xmlns:a16="http://schemas.microsoft.com/office/drawing/2014/main" id="{00000000-0008-0000-0200-000074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954</xdr:row>
      <xdr:rowOff>0</xdr:rowOff>
    </xdr:from>
    <xdr:ext cx="200025" cy="200025"/>
    <xdr:pic>
      <xdr:nvPicPr>
        <xdr:cNvPr id="1397" name="image9.png">
          <a:extLst>
            <a:ext uri="{FF2B5EF4-FFF2-40B4-BE49-F238E27FC236}">
              <a16:creationId xmlns:a16="http://schemas.microsoft.com/office/drawing/2014/main" id="{00000000-0008-0000-0200-000075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955</xdr:row>
      <xdr:rowOff>0</xdr:rowOff>
    </xdr:from>
    <xdr:ext cx="200025" cy="200025"/>
    <xdr:pic>
      <xdr:nvPicPr>
        <xdr:cNvPr id="1398" name="image9.png">
          <a:extLst>
            <a:ext uri="{FF2B5EF4-FFF2-40B4-BE49-F238E27FC236}">
              <a16:creationId xmlns:a16="http://schemas.microsoft.com/office/drawing/2014/main" id="{00000000-0008-0000-0200-000076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956</xdr:row>
      <xdr:rowOff>0</xdr:rowOff>
    </xdr:from>
    <xdr:ext cx="200025" cy="200025"/>
    <xdr:pic>
      <xdr:nvPicPr>
        <xdr:cNvPr id="1399" name="image9.png">
          <a:extLst>
            <a:ext uri="{FF2B5EF4-FFF2-40B4-BE49-F238E27FC236}">
              <a16:creationId xmlns:a16="http://schemas.microsoft.com/office/drawing/2014/main" id="{00000000-0008-0000-0200-00007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957</xdr:row>
      <xdr:rowOff>0</xdr:rowOff>
    </xdr:from>
    <xdr:ext cx="200025" cy="200025"/>
    <xdr:pic>
      <xdr:nvPicPr>
        <xdr:cNvPr id="1400" name="image8.png">
          <a:extLst>
            <a:ext uri="{FF2B5EF4-FFF2-40B4-BE49-F238E27FC236}">
              <a16:creationId xmlns:a16="http://schemas.microsoft.com/office/drawing/2014/main" id="{00000000-0008-0000-0200-000078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957</xdr:row>
      <xdr:rowOff>0</xdr:rowOff>
    </xdr:from>
    <xdr:ext cx="200025" cy="200025"/>
    <xdr:pic>
      <xdr:nvPicPr>
        <xdr:cNvPr id="1401" name="image1.png">
          <a:extLst>
            <a:ext uri="{FF2B5EF4-FFF2-40B4-BE49-F238E27FC236}">
              <a16:creationId xmlns:a16="http://schemas.microsoft.com/office/drawing/2014/main" id="{00000000-0008-0000-0200-000079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957</xdr:row>
      <xdr:rowOff>0</xdr:rowOff>
    </xdr:from>
    <xdr:ext cx="200025" cy="200025"/>
    <xdr:pic>
      <xdr:nvPicPr>
        <xdr:cNvPr id="1402" name="image5.png">
          <a:extLst>
            <a:ext uri="{FF2B5EF4-FFF2-40B4-BE49-F238E27FC236}">
              <a16:creationId xmlns:a16="http://schemas.microsoft.com/office/drawing/2014/main" id="{00000000-0008-0000-0200-00007A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957</xdr:row>
      <xdr:rowOff>0</xdr:rowOff>
    </xdr:from>
    <xdr:ext cx="200025" cy="200025"/>
    <xdr:pic>
      <xdr:nvPicPr>
        <xdr:cNvPr id="1403" name="image2.png">
          <a:extLst>
            <a:ext uri="{FF2B5EF4-FFF2-40B4-BE49-F238E27FC236}">
              <a16:creationId xmlns:a16="http://schemas.microsoft.com/office/drawing/2014/main" id="{00000000-0008-0000-0200-00007B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958</xdr:row>
      <xdr:rowOff>0</xdr:rowOff>
    </xdr:from>
    <xdr:ext cx="200025" cy="200025"/>
    <xdr:pic>
      <xdr:nvPicPr>
        <xdr:cNvPr id="1404" name="image2.png">
          <a:extLst>
            <a:ext uri="{FF2B5EF4-FFF2-40B4-BE49-F238E27FC236}">
              <a16:creationId xmlns:a16="http://schemas.microsoft.com/office/drawing/2014/main" id="{00000000-0008-0000-0200-00007C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959</xdr:row>
      <xdr:rowOff>0</xdr:rowOff>
    </xdr:from>
    <xdr:ext cx="200025" cy="200025"/>
    <xdr:pic>
      <xdr:nvPicPr>
        <xdr:cNvPr id="1405" name="image2.png">
          <a:extLst>
            <a:ext uri="{FF2B5EF4-FFF2-40B4-BE49-F238E27FC236}">
              <a16:creationId xmlns:a16="http://schemas.microsoft.com/office/drawing/2014/main" id="{00000000-0008-0000-0200-00007D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960</xdr:row>
      <xdr:rowOff>0</xdr:rowOff>
    </xdr:from>
    <xdr:ext cx="200025" cy="200025"/>
    <xdr:pic>
      <xdr:nvPicPr>
        <xdr:cNvPr id="1406" name="image8.png">
          <a:extLst>
            <a:ext uri="{FF2B5EF4-FFF2-40B4-BE49-F238E27FC236}">
              <a16:creationId xmlns:a16="http://schemas.microsoft.com/office/drawing/2014/main" id="{00000000-0008-0000-0200-00007E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960</xdr:row>
      <xdr:rowOff>0</xdr:rowOff>
    </xdr:from>
    <xdr:ext cx="200025" cy="200025"/>
    <xdr:pic>
      <xdr:nvPicPr>
        <xdr:cNvPr id="1407" name="image9.png">
          <a:extLst>
            <a:ext uri="{FF2B5EF4-FFF2-40B4-BE49-F238E27FC236}">
              <a16:creationId xmlns:a16="http://schemas.microsoft.com/office/drawing/2014/main" id="{00000000-0008-0000-0200-00007F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960</xdr:row>
      <xdr:rowOff>0</xdr:rowOff>
    </xdr:from>
    <xdr:ext cx="200025" cy="200025"/>
    <xdr:pic>
      <xdr:nvPicPr>
        <xdr:cNvPr id="1408" name="image5.png">
          <a:extLst>
            <a:ext uri="{FF2B5EF4-FFF2-40B4-BE49-F238E27FC236}">
              <a16:creationId xmlns:a16="http://schemas.microsoft.com/office/drawing/2014/main" id="{00000000-0008-0000-0200-000080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960</xdr:row>
      <xdr:rowOff>0</xdr:rowOff>
    </xdr:from>
    <xdr:ext cx="200025" cy="200025"/>
    <xdr:pic>
      <xdr:nvPicPr>
        <xdr:cNvPr id="1409" name="image10.png">
          <a:extLst>
            <a:ext uri="{FF2B5EF4-FFF2-40B4-BE49-F238E27FC236}">
              <a16:creationId xmlns:a16="http://schemas.microsoft.com/office/drawing/2014/main" id="{00000000-0008-0000-0200-000081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961</xdr:row>
      <xdr:rowOff>0</xdr:rowOff>
    </xdr:from>
    <xdr:ext cx="200025" cy="200025"/>
    <xdr:pic>
      <xdr:nvPicPr>
        <xdr:cNvPr id="1410" name="image10.png">
          <a:extLst>
            <a:ext uri="{FF2B5EF4-FFF2-40B4-BE49-F238E27FC236}">
              <a16:creationId xmlns:a16="http://schemas.microsoft.com/office/drawing/2014/main" id="{00000000-0008-0000-0200-00008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963</xdr:row>
      <xdr:rowOff>0</xdr:rowOff>
    </xdr:from>
    <xdr:ext cx="200025" cy="200025"/>
    <xdr:pic>
      <xdr:nvPicPr>
        <xdr:cNvPr id="1411" name="image8.png">
          <a:extLst>
            <a:ext uri="{FF2B5EF4-FFF2-40B4-BE49-F238E27FC236}">
              <a16:creationId xmlns:a16="http://schemas.microsoft.com/office/drawing/2014/main" id="{00000000-0008-0000-0200-000083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963</xdr:row>
      <xdr:rowOff>0</xdr:rowOff>
    </xdr:from>
    <xdr:ext cx="200025" cy="200025"/>
    <xdr:pic>
      <xdr:nvPicPr>
        <xdr:cNvPr id="1412" name="image2.png">
          <a:extLst>
            <a:ext uri="{FF2B5EF4-FFF2-40B4-BE49-F238E27FC236}">
              <a16:creationId xmlns:a16="http://schemas.microsoft.com/office/drawing/2014/main" id="{00000000-0008-0000-0200-000084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963</xdr:row>
      <xdr:rowOff>0</xdr:rowOff>
    </xdr:from>
    <xdr:ext cx="200025" cy="200025"/>
    <xdr:pic>
      <xdr:nvPicPr>
        <xdr:cNvPr id="1413" name="image4.png">
          <a:extLst>
            <a:ext uri="{FF2B5EF4-FFF2-40B4-BE49-F238E27FC236}">
              <a16:creationId xmlns:a16="http://schemas.microsoft.com/office/drawing/2014/main" id="{00000000-0008-0000-0200-000085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964</xdr:row>
      <xdr:rowOff>0</xdr:rowOff>
    </xdr:from>
    <xdr:ext cx="200025" cy="200025"/>
    <xdr:pic>
      <xdr:nvPicPr>
        <xdr:cNvPr id="1414" name="image10.png">
          <a:extLst>
            <a:ext uri="{FF2B5EF4-FFF2-40B4-BE49-F238E27FC236}">
              <a16:creationId xmlns:a16="http://schemas.microsoft.com/office/drawing/2014/main" id="{00000000-0008-0000-0200-00008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965</xdr:row>
      <xdr:rowOff>0</xdr:rowOff>
    </xdr:from>
    <xdr:ext cx="200025" cy="200025"/>
    <xdr:pic>
      <xdr:nvPicPr>
        <xdr:cNvPr id="1415" name="image10.png">
          <a:extLst>
            <a:ext uri="{FF2B5EF4-FFF2-40B4-BE49-F238E27FC236}">
              <a16:creationId xmlns:a16="http://schemas.microsoft.com/office/drawing/2014/main" id="{00000000-0008-0000-0200-00008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966</xdr:row>
      <xdr:rowOff>0</xdr:rowOff>
    </xdr:from>
    <xdr:ext cx="200025" cy="200025"/>
    <xdr:pic>
      <xdr:nvPicPr>
        <xdr:cNvPr id="1416" name="image10.png">
          <a:extLst>
            <a:ext uri="{FF2B5EF4-FFF2-40B4-BE49-F238E27FC236}">
              <a16:creationId xmlns:a16="http://schemas.microsoft.com/office/drawing/2014/main" id="{00000000-0008-0000-0200-00008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966</xdr:row>
      <xdr:rowOff>0</xdr:rowOff>
    </xdr:from>
    <xdr:ext cx="200025" cy="200025"/>
    <xdr:pic>
      <xdr:nvPicPr>
        <xdr:cNvPr id="1417" name="image6.png">
          <a:extLst>
            <a:ext uri="{FF2B5EF4-FFF2-40B4-BE49-F238E27FC236}">
              <a16:creationId xmlns:a16="http://schemas.microsoft.com/office/drawing/2014/main" id="{00000000-0008-0000-0200-00008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966</xdr:row>
      <xdr:rowOff>0</xdr:rowOff>
    </xdr:from>
    <xdr:ext cx="200025" cy="200025"/>
    <xdr:pic>
      <xdr:nvPicPr>
        <xdr:cNvPr id="1418" name="image12.png">
          <a:extLst>
            <a:ext uri="{FF2B5EF4-FFF2-40B4-BE49-F238E27FC236}">
              <a16:creationId xmlns:a16="http://schemas.microsoft.com/office/drawing/2014/main" id="{00000000-0008-0000-0200-00008A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967</xdr:row>
      <xdr:rowOff>0</xdr:rowOff>
    </xdr:from>
    <xdr:ext cx="200025" cy="200025"/>
    <xdr:pic>
      <xdr:nvPicPr>
        <xdr:cNvPr id="1419" name="image9.png">
          <a:extLst>
            <a:ext uri="{FF2B5EF4-FFF2-40B4-BE49-F238E27FC236}">
              <a16:creationId xmlns:a16="http://schemas.microsoft.com/office/drawing/2014/main" id="{00000000-0008-0000-0200-00008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968</xdr:row>
      <xdr:rowOff>0</xdr:rowOff>
    </xdr:from>
    <xdr:ext cx="200025" cy="200025"/>
    <xdr:pic>
      <xdr:nvPicPr>
        <xdr:cNvPr id="1420" name="image10.png">
          <a:extLst>
            <a:ext uri="{FF2B5EF4-FFF2-40B4-BE49-F238E27FC236}">
              <a16:creationId xmlns:a16="http://schemas.microsoft.com/office/drawing/2014/main" id="{00000000-0008-0000-0200-00008C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968</xdr:row>
      <xdr:rowOff>0</xdr:rowOff>
    </xdr:from>
    <xdr:ext cx="200025" cy="200025"/>
    <xdr:pic>
      <xdr:nvPicPr>
        <xdr:cNvPr id="1421" name="image2.png">
          <a:extLst>
            <a:ext uri="{FF2B5EF4-FFF2-40B4-BE49-F238E27FC236}">
              <a16:creationId xmlns:a16="http://schemas.microsoft.com/office/drawing/2014/main" id="{00000000-0008-0000-0200-00008D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968</xdr:row>
      <xdr:rowOff>0</xdr:rowOff>
    </xdr:from>
    <xdr:ext cx="200025" cy="200025"/>
    <xdr:pic>
      <xdr:nvPicPr>
        <xdr:cNvPr id="1422" name="image12.png">
          <a:extLst>
            <a:ext uri="{FF2B5EF4-FFF2-40B4-BE49-F238E27FC236}">
              <a16:creationId xmlns:a16="http://schemas.microsoft.com/office/drawing/2014/main" id="{00000000-0008-0000-0200-00008E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968</xdr:row>
      <xdr:rowOff>0</xdr:rowOff>
    </xdr:from>
    <xdr:ext cx="200025" cy="200025"/>
    <xdr:pic>
      <xdr:nvPicPr>
        <xdr:cNvPr id="1423" name="image8.png">
          <a:extLst>
            <a:ext uri="{FF2B5EF4-FFF2-40B4-BE49-F238E27FC236}">
              <a16:creationId xmlns:a16="http://schemas.microsoft.com/office/drawing/2014/main" id="{00000000-0008-0000-0200-00008F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969</xdr:row>
      <xdr:rowOff>0</xdr:rowOff>
    </xdr:from>
    <xdr:ext cx="200025" cy="200025"/>
    <xdr:pic>
      <xdr:nvPicPr>
        <xdr:cNvPr id="1424" name="image8.png">
          <a:extLst>
            <a:ext uri="{FF2B5EF4-FFF2-40B4-BE49-F238E27FC236}">
              <a16:creationId xmlns:a16="http://schemas.microsoft.com/office/drawing/2014/main" id="{00000000-0008-0000-0200-000090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971</xdr:row>
      <xdr:rowOff>0</xdr:rowOff>
    </xdr:from>
    <xdr:ext cx="200025" cy="200025"/>
    <xdr:pic>
      <xdr:nvPicPr>
        <xdr:cNvPr id="1425" name="image10.png">
          <a:extLst>
            <a:ext uri="{FF2B5EF4-FFF2-40B4-BE49-F238E27FC236}">
              <a16:creationId xmlns:a16="http://schemas.microsoft.com/office/drawing/2014/main" id="{00000000-0008-0000-0200-000091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971</xdr:row>
      <xdr:rowOff>0</xdr:rowOff>
    </xdr:from>
    <xdr:ext cx="200025" cy="200025"/>
    <xdr:pic>
      <xdr:nvPicPr>
        <xdr:cNvPr id="1426" name="image1.png">
          <a:extLst>
            <a:ext uri="{FF2B5EF4-FFF2-40B4-BE49-F238E27FC236}">
              <a16:creationId xmlns:a16="http://schemas.microsoft.com/office/drawing/2014/main" id="{00000000-0008-0000-0200-000092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971</xdr:row>
      <xdr:rowOff>0</xdr:rowOff>
    </xdr:from>
    <xdr:ext cx="200025" cy="200025"/>
    <xdr:pic>
      <xdr:nvPicPr>
        <xdr:cNvPr id="1427" name="image12.png">
          <a:extLst>
            <a:ext uri="{FF2B5EF4-FFF2-40B4-BE49-F238E27FC236}">
              <a16:creationId xmlns:a16="http://schemas.microsoft.com/office/drawing/2014/main" id="{00000000-0008-0000-0200-000093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972</xdr:row>
      <xdr:rowOff>0</xdr:rowOff>
    </xdr:from>
    <xdr:ext cx="200025" cy="200025"/>
    <xdr:pic>
      <xdr:nvPicPr>
        <xdr:cNvPr id="1428" name="image9.png">
          <a:extLst>
            <a:ext uri="{FF2B5EF4-FFF2-40B4-BE49-F238E27FC236}">
              <a16:creationId xmlns:a16="http://schemas.microsoft.com/office/drawing/2014/main" id="{00000000-0008-0000-0200-000094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973</xdr:row>
      <xdr:rowOff>0</xdr:rowOff>
    </xdr:from>
    <xdr:ext cx="200025" cy="200025"/>
    <xdr:pic>
      <xdr:nvPicPr>
        <xdr:cNvPr id="1429" name="image9.png">
          <a:extLst>
            <a:ext uri="{FF2B5EF4-FFF2-40B4-BE49-F238E27FC236}">
              <a16:creationId xmlns:a16="http://schemas.microsoft.com/office/drawing/2014/main" id="{00000000-0008-0000-0200-000095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974</xdr:row>
      <xdr:rowOff>0</xdr:rowOff>
    </xdr:from>
    <xdr:ext cx="200025" cy="200025"/>
    <xdr:pic>
      <xdr:nvPicPr>
        <xdr:cNvPr id="1430" name="image10.png">
          <a:extLst>
            <a:ext uri="{FF2B5EF4-FFF2-40B4-BE49-F238E27FC236}">
              <a16:creationId xmlns:a16="http://schemas.microsoft.com/office/drawing/2014/main" id="{00000000-0008-0000-0200-00009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974</xdr:row>
      <xdr:rowOff>0</xdr:rowOff>
    </xdr:from>
    <xdr:ext cx="200025" cy="200025"/>
    <xdr:pic>
      <xdr:nvPicPr>
        <xdr:cNvPr id="1431" name="image2.png">
          <a:extLst>
            <a:ext uri="{FF2B5EF4-FFF2-40B4-BE49-F238E27FC236}">
              <a16:creationId xmlns:a16="http://schemas.microsoft.com/office/drawing/2014/main" id="{00000000-0008-0000-0200-000097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974</xdr:row>
      <xdr:rowOff>0</xdr:rowOff>
    </xdr:from>
    <xdr:ext cx="200025" cy="200025"/>
    <xdr:pic>
      <xdr:nvPicPr>
        <xdr:cNvPr id="1432" name="image5.png">
          <a:extLst>
            <a:ext uri="{FF2B5EF4-FFF2-40B4-BE49-F238E27FC236}">
              <a16:creationId xmlns:a16="http://schemas.microsoft.com/office/drawing/2014/main" id="{00000000-0008-0000-0200-000098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974</xdr:row>
      <xdr:rowOff>0</xdr:rowOff>
    </xdr:from>
    <xdr:ext cx="200025" cy="200025"/>
    <xdr:pic>
      <xdr:nvPicPr>
        <xdr:cNvPr id="1433" name="image3.png">
          <a:extLst>
            <a:ext uri="{FF2B5EF4-FFF2-40B4-BE49-F238E27FC236}">
              <a16:creationId xmlns:a16="http://schemas.microsoft.com/office/drawing/2014/main" id="{00000000-0008-0000-0200-000099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974</xdr:row>
      <xdr:rowOff>0</xdr:rowOff>
    </xdr:from>
    <xdr:ext cx="200025" cy="200025"/>
    <xdr:pic>
      <xdr:nvPicPr>
        <xdr:cNvPr id="1434" name="image9.png">
          <a:extLst>
            <a:ext uri="{FF2B5EF4-FFF2-40B4-BE49-F238E27FC236}">
              <a16:creationId xmlns:a16="http://schemas.microsoft.com/office/drawing/2014/main" id="{00000000-0008-0000-0200-00009A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975</xdr:row>
      <xdr:rowOff>0</xdr:rowOff>
    </xdr:from>
    <xdr:ext cx="200025" cy="200025"/>
    <xdr:pic>
      <xdr:nvPicPr>
        <xdr:cNvPr id="1435" name="image9.png">
          <a:extLst>
            <a:ext uri="{FF2B5EF4-FFF2-40B4-BE49-F238E27FC236}">
              <a16:creationId xmlns:a16="http://schemas.microsoft.com/office/drawing/2014/main" id="{00000000-0008-0000-0200-00009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976</xdr:row>
      <xdr:rowOff>0</xdr:rowOff>
    </xdr:from>
    <xdr:ext cx="200025" cy="200025"/>
    <xdr:pic>
      <xdr:nvPicPr>
        <xdr:cNvPr id="1436" name="image10.png">
          <a:extLst>
            <a:ext uri="{FF2B5EF4-FFF2-40B4-BE49-F238E27FC236}">
              <a16:creationId xmlns:a16="http://schemas.microsoft.com/office/drawing/2014/main" id="{00000000-0008-0000-0200-00009C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976</xdr:row>
      <xdr:rowOff>0</xdr:rowOff>
    </xdr:from>
    <xdr:ext cx="200025" cy="200025"/>
    <xdr:pic>
      <xdr:nvPicPr>
        <xdr:cNvPr id="1437" name="image9.png">
          <a:extLst>
            <a:ext uri="{FF2B5EF4-FFF2-40B4-BE49-F238E27FC236}">
              <a16:creationId xmlns:a16="http://schemas.microsoft.com/office/drawing/2014/main" id="{00000000-0008-0000-0200-00009D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976</xdr:row>
      <xdr:rowOff>0</xdr:rowOff>
    </xdr:from>
    <xdr:ext cx="200025" cy="200025"/>
    <xdr:pic>
      <xdr:nvPicPr>
        <xdr:cNvPr id="1438" name="image3.png">
          <a:extLst>
            <a:ext uri="{FF2B5EF4-FFF2-40B4-BE49-F238E27FC236}">
              <a16:creationId xmlns:a16="http://schemas.microsoft.com/office/drawing/2014/main" id="{00000000-0008-0000-0200-00009E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976</xdr:row>
      <xdr:rowOff>0</xdr:rowOff>
    </xdr:from>
    <xdr:ext cx="200025" cy="200025"/>
    <xdr:pic>
      <xdr:nvPicPr>
        <xdr:cNvPr id="1439" name="image7.png">
          <a:extLst>
            <a:ext uri="{FF2B5EF4-FFF2-40B4-BE49-F238E27FC236}">
              <a16:creationId xmlns:a16="http://schemas.microsoft.com/office/drawing/2014/main" id="{00000000-0008-0000-0200-00009F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976</xdr:row>
      <xdr:rowOff>0</xdr:rowOff>
    </xdr:from>
    <xdr:ext cx="200025" cy="200025"/>
    <xdr:pic>
      <xdr:nvPicPr>
        <xdr:cNvPr id="1440" name="image5.png">
          <a:extLst>
            <a:ext uri="{FF2B5EF4-FFF2-40B4-BE49-F238E27FC236}">
              <a16:creationId xmlns:a16="http://schemas.microsoft.com/office/drawing/2014/main" id="{00000000-0008-0000-0200-0000A0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977</xdr:row>
      <xdr:rowOff>0</xdr:rowOff>
    </xdr:from>
    <xdr:ext cx="200025" cy="200025"/>
    <xdr:pic>
      <xdr:nvPicPr>
        <xdr:cNvPr id="1441" name="image5.png">
          <a:extLst>
            <a:ext uri="{FF2B5EF4-FFF2-40B4-BE49-F238E27FC236}">
              <a16:creationId xmlns:a16="http://schemas.microsoft.com/office/drawing/2014/main" id="{00000000-0008-0000-0200-0000A1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978</xdr:row>
      <xdr:rowOff>0</xdr:rowOff>
    </xdr:from>
    <xdr:ext cx="200025" cy="200025"/>
    <xdr:pic>
      <xdr:nvPicPr>
        <xdr:cNvPr id="1442" name="image6.png">
          <a:extLst>
            <a:ext uri="{FF2B5EF4-FFF2-40B4-BE49-F238E27FC236}">
              <a16:creationId xmlns:a16="http://schemas.microsoft.com/office/drawing/2014/main" id="{00000000-0008-0000-0200-0000A2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979</xdr:row>
      <xdr:rowOff>0</xdr:rowOff>
    </xdr:from>
    <xdr:ext cx="200025" cy="200025"/>
    <xdr:pic>
      <xdr:nvPicPr>
        <xdr:cNvPr id="1443" name="image8.png">
          <a:extLst>
            <a:ext uri="{FF2B5EF4-FFF2-40B4-BE49-F238E27FC236}">
              <a16:creationId xmlns:a16="http://schemas.microsoft.com/office/drawing/2014/main" id="{00000000-0008-0000-0200-0000A3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979</xdr:row>
      <xdr:rowOff>0</xdr:rowOff>
    </xdr:from>
    <xdr:ext cx="200025" cy="200025"/>
    <xdr:pic>
      <xdr:nvPicPr>
        <xdr:cNvPr id="1444" name="image6.png">
          <a:extLst>
            <a:ext uri="{FF2B5EF4-FFF2-40B4-BE49-F238E27FC236}">
              <a16:creationId xmlns:a16="http://schemas.microsoft.com/office/drawing/2014/main" id="{00000000-0008-0000-0200-0000A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979</xdr:row>
      <xdr:rowOff>0</xdr:rowOff>
    </xdr:from>
    <xdr:ext cx="200025" cy="200025"/>
    <xdr:pic>
      <xdr:nvPicPr>
        <xdr:cNvPr id="1445" name="image3.png">
          <a:extLst>
            <a:ext uri="{FF2B5EF4-FFF2-40B4-BE49-F238E27FC236}">
              <a16:creationId xmlns:a16="http://schemas.microsoft.com/office/drawing/2014/main" id="{00000000-0008-0000-0200-0000A5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979</xdr:row>
      <xdr:rowOff>0</xdr:rowOff>
    </xdr:from>
    <xdr:ext cx="200025" cy="200025"/>
    <xdr:pic>
      <xdr:nvPicPr>
        <xdr:cNvPr id="1446" name="image5.png">
          <a:extLst>
            <a:ext uri="{FF2B5EF4-FFF2-40B4-BE49-F238E27FC236}">
              <a16:creationId xmlns:a16="http://schemas.microsoft.com/office/drawing/2014/main" id="{00000000-0008-0000-0200-0000A6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980</xdr:row>
      <xdr:rowOff>0</xdr:rowOff>
    </xdr:from>
    <xdr:ext cx="200025" cy="200025"/>
    <xdr:pic>
      <xdr:nvPicPr>
        <xdr:cNvPr id="1447" name="image5.png">
          <a:extLst>
            <a:ext uri="{FF2B5EF4-FFF2-40B4-BE49-F238E27FC236}">
              <a16:creationId xmlns:a16="http://schemas.microsoft.com/office/drawing/2014/main" id="{00000000-0008-0000-0200-0000A7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981</xdr:row>
      <xdr:rowOff>0</xdr:rowOff>
    </xdr:from>
    <xdr:ext cx="200025" cy="200025"/>
    <xdr:pic>
      <xdr:nvPicPr>
        <xdr:cNvPr id="1448" name="image6.png">
          <a:extLst>
            <a:ext uri="{FF2B5EF4-FFF2-40B4-BE49-F238E27FC236}">
              <a16:creationId xmlns:a16="http://schemas.microsoft.com/office/drawing/2014/main" id="{00000000-0008-0000-0200-0000A8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983</xdr:row>
      <xdr:rowOff>0</xdr:rowOff>
    </xdr:from>
    <xdr:ext cx="200025" cy="200025"/>
    <xdr:pic>
      <xdr:nvPicPr>
        <xdr:cNvPr id="1449" name="image10.png">
          <a:extLst>
            <a:ext uri="{FF2B5EF4-FFF2-40B4-BE49-F238E27FC236}">
              <a16:creationId xmlns:a16="http://schemas.microsoft.com/office/drawing/2014/main" id="{00000000-0008-0000-0200-0000A9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983</xdr:row>
      <xdr:rowOff>0</xdr:rowOff>
    </xdr:from>
    <xdr:ext cx="200025" cy="200025"/>
    <xdr:pic>
      <xdr:nvPicPr>
        <xdr:cNvPr id="1450" name="image6.png">
          <a:extLst>
            <a:ext uri="{FF2B5EF4-FFF2-40B4-BE49-F238E27FC236}">
              <a16:creationId xmlns:a16="http://schemas.microsoft.com/office/drawing/2014/main" id="{00000000-0008-0000-0200-0000AA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983</xdr:row>
      <xdr:rowOff>0</xdr:rowOff>
    </xdr:from>
    <xdr:ext cx="200025" cy="200025"/>
    <xdr:pic>
      <xdr:nvPicPr>
        <xdr:cNvPr id="1451" name="image3.png">
          <a:extLst>
            <a:ext uri="{FF2B5EF4-FFF2-40B4-BE49-F238E27FC236}">
              <a16:creationId xmlns:a16="http://schemas.microsoft.com/office/drawing/2014/main" id="{00000000-0008-0000-0200-0000AB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983</xdr:row>
      <xdr:rowOff>0</xdr:rowOff>
    </xdr:from>
    <xdr:ext cx="200025" cy="200025"/>
    <xdr:pic>
      <xdr:nvPicPr>
        <xdr:cNvPr id="1452" name="image1.png">
          <a:extLst>
            <a:ext uri="{FF2B5EF4-FFF2-40B4-BE49-F238E27FC236}">
              <a16:creationId xmlns:a16="http://schemas.microsoft.com/office/drawing/2014/main" id="{00000000-0008-0000-0200-0000AC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984</xdr:row>
      <xdr:rowOff>0</xdr:rowOff>
    </xdr:from>
    <xdr:ext cx="200025" cy="200025"/>
    <xdr:pic>
      <xdr:nvPicPr>
        <xdr:cNvPr id="1453" name="image1.png">
          <a:extLst>
            <a:ext uri="{FF2B5EF4-FFF2-40B4-BE49-F238E27FC236}">
              <a16:creationId xmlns:a16="http://schemas.microsoft.com/office/drawing/2014/main" id="{00000000-0008-0000-0200-0000AD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985</xdr:row>
      <xdr:rowOff>0</xdr:rowOff>
    </xdr:from>
    <xdr:ext cx="200025" cy="200025"/>
    <xdr:pic>
      <xdr:nvPicPr>
        <xdr:cNvPr id="1454" name="image8.png">
          <a:extLst>
            <a:ext uri="{FF2B5EF4-FFF2-40B4-BE49-F238E27FC236}">
              <a16:creationId xmlns:a16="http://schemas.microsoft.com/office/drawing/2014/main" id="{00000000-0008-0000-0200-0000AE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985</xdr:row>
      <xdr:rowOff>0</xdr:rowOff>
    </xdr:from>
    <xdr:ext cx="200025" cy="200025"/>
    <xdr:pic>
      <xdr:nvPicPr>
        <xdr:cNvPr id="1455" name="image9.png">
          <a:extLst>
            <a:ext uri="{FF2B5EF4-FFF2-40B4-BE49-F238E27FC236}">
              <a16:creationId xmlns:a16="http://schemas.microsoft.com/office/drawing/2014/main" id="{00000000-0008-0000-0200-0000AF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985</xdr:row>
      <xdr:rowOff>0</xdr:rowOff>
    </xdr:from>
    <xdr:ext cx="200025" cy="200025"/>
    <xdr:pic>
      <xdr:nvPicPr>
        <xdr:cNvPr id="1456" name="image2.png">
          <a:extLst>
            <a:ext uri="{FF2B5EF4-FFF2-40B4-BE49-F238E27FC236}">
              <a16:creationId xmlns:a16="http://schemas.microsoft.com/office/drawing/2014/main" id="{00000000-0008-0000-0200-0000B0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987</xdr:row>
      <xdr:rowOff>0</xdr:rowOff>
    </xdr:from>
    <xdr:ext cx="200025" cy="200025"/>
    <xdr:pic>
      <xdr:nvPicPr>
        <xdr:cNvPr id="1457" name="image8.png">
          <a:extLst>
            <a:ext uri="{FF2B5EF4-FFF2-40B4-BE49-F238E27FC236}">
              <a16:creationId xmlns:a16="http://schemas.microsoft.com/office/drawing/2014/main" id="{00000000-0008-0000-0200-0000B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987</xdr:row>
      <xdr:rowOff>0</xdr:rowOff>
    </xdr:from>
    <xdr:ext cx="200025" cy="200025"/>
    <xdr:pic>
      <xdr:nvPicPr>
        <xdr:cNvPr id="1458" name="image9.png">
          <a:extLst>
            <a:ext uri="{FF2B5EF4-FFF2-40B4-BE49-F238E27FC236}">
              <a16:creationId xmlns:a16="http://schemas.microsoft.com/office/drawing/2014/main" id="{00000000-0008-0000-0200-0000B2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987</xdr:row>
      <xdr:rowOff>0</xdr:rowOff>
    </xdr:from>
    <xdr:ext cx="200025" cy="200025"/>
    <xdr:pic>
      <xdr:nvPicPr>
        <xdr:cNvPr id="1459" name="image12.png">
          <a:extLst>
            <a:ext uri="{FF2B5EF4-FFF2-40B4-BE49-F238E27FC236}">
              <a16:creationId xmlns:a16="http://schemas.microsoft.com/office/drawing/2014/main" id="{00000000-0008-0000-0200-0000B3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988</xdr:row>
      <xdr:rowOff>0</xdr:rowOff>
    </xdr:from>
    <xdr:ext cx="200025" cy="200025"/>
    <xdr:pic>
      <xdr:nvPicPr>
        <xdr:cNvPr id="1460" name="image2.png">
          <a:extLst>
            <a:ext uri="{FF2B5EF4-FFF2-40B4-BE49-F238E27FC236}">
              <a16:creationId xmlns:a16="http://schemas.microsoft.com/office/drawing/2014/main" id="{00000000-0008-0000-0200-0000B4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989</xdr:row>
      <xdr:rowOff>0</xdr:rowOff>
    </xdr:from>
    <xdr:ext cx="200025" cy="200025"/>
    <xdr:pic>
      <xdr:nvPicPr>
        <xdr:cNvPr id="1461" name="image2.png">
          <a:extLst>
            <a:ext uri="{FF2B5EF4-FFF2-40B4-BE49-F238E27FC236}">
              <a16:creationId xmlns:a16="http://schemas.microsoft.com/office/drawing/2014/main" id="{00000000-0008-0000-0200-0000B5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990</xdr:row>
      <xdr:rowOff>0</xdr:rowOff>
    </xdr:from>
    <xdr:ext cx="200025" cy="200025"/>
    <xdr:pic>
      <xdr:nvPicPr>
        <xdr:cNvPr id="1462" name="image10.png">
          <a:extLst>
            <a:ext uri="{FF2B5EF4-FFF2-40B4-BE49-F238E27FC236}">
              <a16:creationId xmlns:a16="http://schemas.microsoft.com/office/drawing/2014/main" id="{00000000-0008-0000-0200-0000B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990</xdr:row>
      <xdr:rowOff>0</xdr:rowOff>
    </xdr:from>
    <xdr:ext cx="200025" cy="200025"/>
    <xdr:pic>
      <xdr:nvPicPr>
        <xdr:cNvPr id="1463" name="image1.png">
          <a:extLst>
            <a:ext uri="{FF2B5EF4-FFF2-40B4-BE49-F238E27FC236}">
              <a16:creationId xmlns:a16="http://schemas.microsoft.com/office/drawing/2014/main" id="{00000000-0008-0000-0200-0000B7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990</xdr:row>
      <xdr:rowOff>0</xdr:rowOff>
    </xdr:from>
    <xdr:ext cx="200025" cy="200025"/>
    <xdr:pic>
      <xdr:nvPicPr>
        <xdr:cNvPr id="1464" name="image5.png">
          <a:extLst>
            <a:ext uri="{FF2B5EF4-FFF2-40B4-BE49-F238E27FC236}">
              <a16:creationId xmlns:a16="http://schemas.microsoft.com/office/drawing/2014/main" id="{00000000-0008-0000-0200-0000B8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990</xdr:row>
      <xdr:rowOff>0</xdr:rowOff>
    </xdr:from>
    <xdr:ext cx="200025" cy="200025"/>
    <xdr:pic>
      <xdr:nvPicPr>
        <xdr:cNvPr id="1465" name="image9.png">
          <a:extLst>
            <a:ext uri="{FF2B5EF4-FFF2-40B4-BE49-F238E27FC236}">
              <a16:creationId xmlns:a16="http://schemas.microsoft.com/office/drawing/2014/main" id="{00000000-0008-0000-0200-0000B9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991</xdr:row>
      <xdr:rowOff>0</xdr:rowOff>
    </xdr:from>
    <xdr:ext cx="200025" cy="200025"/>
    <xdr:pic>
      <xdr:nvPicPr>
        <xdr:cNvPr id="1466" name="image9.png">
          <a:extLst>
            <a:ext uri="{FF2B5EF4-FFF2-40B4-BE49-F238E27FC236}">
              <a16:creationId xmlns:a16="http://schemas.microsoft.com/office/drawing/2014/main" id="{00000000-0008-0000-0200-0000BA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992</xdr:row>
      <xdr:rowOff>0</xdr:rowOff>
    </xdr:from>
    <xdr:ext cx="200025" cy="200025"/>
    <xdr:pic>
      <xdr:nvPicPr>
        <xdr:cNvPr id="1467" name="image10.png">
          <a:extLst>
            <a:ext uri="{FF2B5EF4-FFF2-40B4-BE49-F238E27FC236}">
              <a16:creationId xmlns:a16="http://schemas.microsoft.com/office/drawing/2014/main" id="{00000000-0008-0000-0200-0000BB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992</xdr:row>
      <xdr:rowOff>0</xdr:rowOff>
    </xdr:from>
    <xdr:ext cx="200025" cy="200025"/>
    <xdr:pic>
      <xdr:nvPicPr>
        <xdr:cNvPr id="1468" name="image9.png">
          <a:extLst>
            <a:ext uri="{FF2B5EF4-FFF2-40B4-BE49-F238E27FC236}">
              <a16:creationId xmlns:a16="http://schemas.microsoft.com/office/drawing/2014/main" id="{00000000-0008-0000-0200-0000B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992</xdr:row>
      <xdr:rowOff>0</xdr:rowOff>
    </xdr:from>
    <xdr:ext cx="200025" cy="200025"/>
    <xdr:pic>
      <xdr:nvPicPr>
        <xdr:cNvPr id="1469" name="image5.png">
          <a:extLst>
            <a:ext uri="{FF2B5EF4-FFF2-40B4-BE49-F238E27FC236}">
              <a16:creationId xmlns:a16="http://schemas.microsoft.com/office/drawing/2014/main" id="{00000000-0008-0000-0200-0000BD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992</xdr:row>
      <xdr:rowOff>0</xdr:rowOff>
    </xdr:from>
    <xdr:ext cx="200025" cy="200025"/>
    <xdr:pic>
      <xdr:nvPicPr>
        <xdr:cNvPr id="1470" name="image3.png">
          <a:extLst>
            <a:ext uri="{FF2B5EF4-FFF2-40B4-BE49-F238E27FC236}">
              <a16:creationId xmlns:a16="http://schemas.microsoft.com/office/drawing/2014/main" id="{00000000-0008-0000-0200-0000BE05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993</xdr:row>
      <xdr:rowOff>0</xdr:rowOff>
    </xdr:from>
    <xdr:ext cx="200025" cy="200025"/>
    <xdr:pic>
      <xdr:nvPicPr>
        <xdr:cNvPr id="1471" name="image10.png">
          <a:extLst>
            <a:ext uri="{FF2B5EF4-FFF2-40B4-BE49-F238E27FC236}">
              <a16:creationId xmlns:a16="http://schemas.microsoft.com/office/drawing/2014/main" id="{00000000-0008-0000-0200-0000BF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994</xdr:row>
      <xdr:rowOff>0</xdr:rowOff>
    </xdr:from>
    <xdr:ext cx="200025" cy="200025"/>
    <xdr:pic>
      <xdr:nvPicPr>
        <xdr:cNvPr id="1472" name="image10.png">
          <a:extLst>
            <a:ext uri="{FF2B5EF4-FFF2-40B4-BE49-F238E27FC236}">
              <a16:creationId xmlns:a16="http://schemas.microsoft.com/office/drawing/2014/main" id="{00000000-0008-0000-0200-0000C0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995</xdr:row>
      <xdr:rowOff>0</xdr:rowOff>
    </xdr:from>
    <xdr:ext cx="200025" cy="200025"/>
    <xdr:pic>
      <xdr:nvPicPr>
        <xdr:cNvPr id="1473" name="image10.png">
          <a:extLst>
            <a:ext uri="{FF2B5EF4-FFF2-40B4-BE49-F238E27FC236}">
              <a16:creationId xmlns:a16="http://schemas.microsoft.com/office/drawing/2014/main" id="{00000000-0008-0000-0200-0000C1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995</xdr:row>
      <xdr:rowOff>0</xdr:rowOff>
    </xdr:from>
    <xdr:ext cx="200025" cy="200025"/>
    <xdr:pic>
      <xdr:nvPicPr>
        <xdr:cNvPr id="1474" name="image9.png">
          <a:extLst>
            <a:ext uri="{FF2B5EF4-FFF2-40B4-BE49-F238E27FC236}">
              <a16:creationId xmlns:a16="http://schemas.microsoft.com/office/drawing/2014/main" id="{00000000-0008-0000-0200-0000C2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995</xdr:row>
      <xdr:rowOff>0</xdr:rowOff>
    </xdr:from>
    <xdr:ext cx="200025" cy="200025"/>
    <xdr:pic>
      <xdr:nvPicPr>
        <xdr:cNvPr id="1475" name="image5.png">
          <a:extLst>
            <a:ext uri="{FF2B5EF4-FFF2-40B4-BE49-F238E27FC236}">
              <a16:creationId xmlns:a16="http://schemas.microsoft.com/office/drawing/2014/main" id="{00000000-0008-0000-0200-0000C3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995</xdr:row>
      <xdr:rowOff>0</xdr:rowOff>
    </xdr:from>
    <xdr:ext cx="200025" cy="200025"/>
    <xdr:pic>
      <xdr:nvPicPr>
        <xdr:cNvPr id="1476" name="image9.png">
          <a:extLst>
            <a:ext uri="{FF2B5EF4-FFF2-40B4-BE49-F238E27FC236}">
              <a16:creationId xmlns:a16="http://schemas.microsoft.com/office/drawing/2014/main" id="{00000000-0008-0000-0200-0000C4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996</xdr:row>
      <xdr:rowOff>0</xdr:rowOff>
    </xdr:from>
    <xdr:ext cx="200025" cy="200025"/>
    <xdr:pic>
      <xdr:nvPicPr>
        <xdr:cNvPr id="1477" name="image9.png">
          <a:extLst>
            <a:ext uri="{FF2B5EF4-FFF2-40B4-BE49-F238E27FC236}">
              <a16:creationId xmlns:a16="http://schemas.microsoft.com/office/drawing/2014/main" id="{00000000-0008-0000-0200-0000C5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998</xdr:row>
      <xdr:rowOff>0</xdr:rowOff>
    </xdr:from>
    <xdr:ext cx="200025" cy="200025"/>
    <xdr:pic>
      <xdr:nvPicPr>
        <xdr:cNvPr id="1478" name="image10.png">
          <a:extLst>
            <a:ext uri="{FF2B5EF4-FFF2-40B4-BE49-F238E27FC236}">
              <a16:creationId xmlns:a16="http://schemas.microsoft.com/office/drawing/2014/main" id="{00000000-0008-0000-0200-0000C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998</xdr:row>
      <xdr:rowOff>0</xdr:rowOff>
    </xdr:from>
    <xdr:ext cx="200025" cy="200025"/>
    <xdr:pic>
      <xdr:nvPicPr>
        <xdr:cNvPr id="1479" name="image9.png">
          <a:extLst>
            <a:ext uri="{FF2B5EF4-FFF2-40B4-BE49-F238E27FC236}">
              <a16:creationId xmlns:a16="http://schemas.microsoft.com/office/drawing/2014/main" id="{00000000-0008-0000-0200-0000C7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998</xdr:row>
      <xdr:rowOff>0</xdr:rowOff>
    </xdr:from>
    <xdr:ext cx="200025" cy="200025"/>
    <xdr:pic>
      <xdr:nvPicPr>
        <xdr:cNvPr id="1480" name="image4.png">
          <a:extLst>
            <a:ext uri="{FF2B5EF4-FFF2-40B4-BE49-F238E27FC236}">
              <a16:creationId xmlns:a16="http://schemas.microsoft.com/office/drawing/2014/main" id="{00000000-0008-0000-0200-0000C8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999</xdr:row>
      <xdr:rowOff>0</xdr:rowOff>
    </xdr:from>
    <xdr:ext cx="200025" cy="200025"/>
    <xdr:pic>
      <xdr:nvPicPr>
        <xdr:cNvPr id="1481" name="image10.png">
          <a:extLst>
            <a:ext uri="{FF2B5EF4-FFF2-40B4-BE49-F238E27FC236}">
              <a16:creationId xmlns:a16="http://schemas.microsoft.com/office/drawing/2014/main" id="{00000000-0008-0000-0200-0000C9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1000</xdr:row>
      <xdr:rowOff>0</xdr:rowOff>
    </xdr:from>
    <xdr:ext cx="200025" cy="200025"/>
    <xdr:pic>
      <xdr:nvPicPr>
        <xdr:cNvPr id="1482" name="image10.png">
          <a:extLst>
            <a:ext uri="{FF2B5EF4-FFF2-40B4-BE49-F238E27FC236}">
              <a16:creationId xmlns:a16="http://schemas.microsoft.com/office/drawing/2014/main" id="{00000000-0008-0000-0200-0000CA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1001</xdr:row>
      <xdr:rowOff>0</xdr:rowOff>
    </xdr:from>
    <xdr:ext cx="200025" cy="200025"/>
    <xdr:pic>
      <xdr:nvPicPr>
        <xdr:cNvPr id="1483" name="image10.png">
          <a:extLst>
            <a:ext uri="{FF2B5EF4-FFF2-40B4-BE49-F238E27FC236}">
              <a16:creationId xmlns:a16="http://schemas.microsoft.com/office/drawing/2014/main" id="{00000000-0008-0000-0200-0000CB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1001</xdr:row>
      <xdr:rowOff>0</xdr:rowOff>
    </xdr:from>
    <xdr:ext cx="200025" cy="200025"/>
    <xdr:pic>
      <xdr:nvPicPr>
        <xdr:cNvPr id="1484" name="image9.png">
          <a:extLst>
            <a:ext uri="{FF2B5EF4-FFF2-40B4-BE49-F238E27FC236}">
              <a16:creationId xmlns:a16="http://schemas.microsoft.com/office/drawing/2014/main" id="{00000000-0008-0000-0200-0000C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1001</xdr:row>
      <xdr:rowOff>0</xdr:rowOff>
    </xdr:from>
    <xdr:ext cx="200025" cy="200025"/>
    <xdr:pic>
      <xdr:nvPicPr>
        <xdr:cNvPr id="1485" name="image6.png">
          <a:extLst>
            <a:ext uri="{FF2B5EF4-FFF2-40B4-BE49-F238E27FC236}">
              <a16:creationId xmlns:a16="http://schemas.microsoft.com/office/drawing/2014/main" id="{00000000-0008-0000-0200-0000CD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1001</xdr:row>
      <xdr:rowOff>0</xdr:rowOff>
    </xdr:from>
    <xdr:ext cx="200025" cy="200025"/>
    <xdr:pic>
      <xdr:nvPicPr>
        <xdr:cNvPr id="1486" name="image12.png">
          <a:extLst>
            <a:ext uri="{FF2B5EF4-FFF2-40B4-BE49-F238E27FC236}">
              <a16:creationId xmlns:a16="http://schemas.microsoft.com/office/drawing/2014/main" id="{00000000-0008-0000-0200-0000CE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1001</xdr:row>
      <xdr:rowOff>0</xdr:rowOff>
    </xdr:from>
    <xdr:ext cx="200025" cy="200025"/>
    <xdr:pic>
      <xdr:nvPicPr>
        <xdr:cNvPr id="1487" name="image4.png">
          <a:extLst>
            <a:ext uri="{FF2B5EF4-FFF2-40B4-BE49-F238E27FC236}">
              <a16:creationId xmlns:a16="http://schemas.microsoft.com/office/drawing/2014/main" id="{00000000-0008-0000-0200-0000CF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1001</xdr:row>
      <xdr:rowOff>0</xdr:rowOff>
    </xdr:from>
    <xdr:ext cx="200025" cy="200025"/>
    <xdr:pic>
      <xdr:nvPicPr>
        <xdr:cNvPr id="1488" name="image10.png">
          <a:extLst>
            <a:ext uri="{FF2B5EF4-FFF2-40B4-BE49-F238E27FC236}">
              <a16:creationId xmlns:a16="http://schemas.microsoft.com/office/drawing/2014/main" id="{00000000-0008-0000-0200-0000D0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1002</xdr:row>
      <xdr:rowOff>0</xdr:rowOff>
    </xdr:from>
    <xdr:ext cx="200025" cy="200025"/>
    <xdr:pic>
      <xdr:nvPicPr>
        <xdr:cNvPr id="1489" name="image10.png">
          <a:extLst>
            <a:ext uri="{FF2B5EF4-FFF2-40B4-BE49-F238E27FC236}">
              <a16:creationId xmlns:a16="http://schemas.microsoft.com/office/drawing/2014/main" id="{00000000-0008-0000-0200-0000D1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1003</xdr:row>
      <xdr:rowOff>0</xdr:rowOff>
    </xdr:from>
    <xdr:ext cx="200025" cy="200025"/>
    <xdr:pic>
      <xdr:nvPicPr>
        <xdr:cNvPr id="1490" name="image10.png">
          <a:extLst>
            <a:ext uri="{FF2B5EF4-FFF2-40B4-BE49-F238E27FC236}">
              <a16:creationId xmlns:a16="http://schemas.microsoft.com/office/drawing/2014/main" id="{00000000-0008-0000-0200-0000D2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1003</xdr:row>
      <xdr:rowOff>0</xdr:rowOff>
    </xdr:from>
    <xdr:ext cx="200025" cy="200025"/>
    <xdr:pic>
      <xdr:nvPicPr>
        <xdr:cNvPr id="1491" name="image9.png">
          <a:extLst>
            <a:ext uri="{FF2B5EF4-FFF2-40B4-BE49-F238E27FC236}">
              <a16:creationId xmlns:a16="http://schemas.microsoft.com/office/drawing/2014/main" id="{00000000-0008-0000-0200-0000D3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1003</xdr:row>
      <xdr:rowOff>0</xdr:rowOff>
    </xdr:from>
    <xdr:ext cx="200025" cy="200025"/>
    <xdr:pic>
      <xdr:nvPicPr>
        <xdr:cNvPr id="1492" name="image6.png">
          <a:extLst>
            <a:ext uri="{FF2B5EF4-FFF2-40B4-BE49-F238E27FC236}">
              <a16:creationId xmlns:a16="http://schemas.microsoft.com/office/drawing/2014/main" id="{00000000-0008-0000-0200-0000D4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1003</xdr:row>
      <xdr:rowOff>0</xdr:rowOff>
    </xdr:from>
    <xdr:ext cx="200025" cy="200025"/>
    <xdr:pic>
      <xdr:nvPicPr>
        <xdr:cNvPr id="1493" name="image5.png">
          <a:extLst>
            <a:ext uri="{FF2B5EF4-FFF2-40B4-BE49-F238E27FC236}">
              <a16:creationId xmlns:a16="http://schemas.microsoft.com/office/drawing/2014/main" id="{00000000-0008-0000-0200-0000D5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1003</xdr:row>
      <xdr:rowOff>0</xdr:rowOff>
    </xdr:from>
    <xdr:ext cx="200025" cy="200025"/>
    <xdr:pic>
      <xdr:nvPicPr>
        <xdr:cNvPr id="1494" name="image10.png">
          <a:extLst>
            <a:ext uri="{FF2B5EF4-FFF2-40B4-BE49-F238E27FC236}">
              <a16:creationId xmlns:a16="http://schemas.microsoft.com/office/drawing/2014/main" id="{00000000-0008-0000-0200-0000D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1004</xdr:row>
      <xdr:rowOff>0</xdr:rowOff>
    </xdr:from>
    <xdr:ext cx="200025" cy="200025"/>
    <xdr:pic>
      <xdr:nvPicPr>
        <xdr:cNvPr id="1495" name="image10.png">
          <a:extLst>
            <a:ext uri="{FF2B5EF4-FFF2-40B4-BE49-F238E27FC236}">
              <a16:creationId xmlns:a16="http://schemas.microsoft.com/office/drawing/2014/main" id="{00000000-0008-0000-0200-0000D7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1005</xdr:row>
      <xdr:rowOff>0</xdr:rowOff>
    </xdr:from>
    <xdr:ext cx="200025" cy="200025"/>
    <xdr:pic>
      <xdr:nvPicPr>
        <xdr:cNvPr id="1496" name="image10.png">
          <a:extLst>
            <a:ext uri="{FF2B5EF4-FFF2-40B4-BE49-F238E27FC236}">
              <a16:creationId xmlns:a16="http://schemas.microsoft.com/office/drawing/2014/main" id="{00000000-0008-0000-0200-0000D8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1005</xdr:row>
      <xdr:rowOff>0</xdr:rowOff>
    </xdr:from>
    <xdr:ext cx="200025" cy="200025"/>
    <xdr:pic>
      <xdr:nvPicPr>
        <xdr:cNvPr id="1497" name="image2.png">
          <a:extLst>
            <a:ext uri="{FF2B5EF4-FFF2-40B4-BE49-F238E27FC236}">
              <a16:creationId xmlns:a16="http://schemas.microsoft.com/office/drawing/2014/main" id="{00000000-0008-0000-0200-0000D9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1005</xdr:row>
      <xdr:rowOff>0</xdr:rowOff>
    </xdr:from>
    <xdr:ext cx="200025" cy="200025"/>
    <xdr:pic>
      <xdr:nvPicPr>
        <xdr:cNvPr id="1498" name="image6.png">
          <a:extLst>
            <a:ext uri="{FF2B5EF4-FFF2-40B4-BE49-F238E27FC236}">
              <a16:creationId xmlns:a16="http://schemas.microsoft.com/office/drawing/2014/main" id="{00000000-0008-0000-0200-0000DA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1005</xdr:row>
      <xdr:rowOff>0</xdr:rowOff>
    </xdr:from>
    <xdr:ext cx="200025" cy="200025"/>
    <xdr:pic>
      <xdr:nvPicPr>
        <xdr:cNvPr id="1499" name="image11.png">
          <a:extLst>
            <a:ext uri="{FF2B5EF4-FFF2-40B4-BE49-F238E27FC236}">
              <a16:creationId xmlns:a16="http://schemas.microsoft.com/office/drawing/2014/main" id="{00000000-0008-0000-0200-0000DB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1005</xdr:row>
      <xdr:rowOff>0</xdr:rowOff>
    </xdr:from>
    <xdr:ext cx="200025" cy="200025"/>
    <xdr:pic>
      <xdr:nvPicPr>
        <xdr:cNvPr id="1500" name="image9.png">
          <a:extLst>
            <a:ext uri="{FF2B5EF4-FFF2-40B4-BE49-F238E27FC236}">
              <a16:creationId xmlns:a16="http://schemas.microsoft.com/office/drawing/2014/main" id="{00000000-0008-0000-0200-0000DC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1006</xdr:row>
      <xdr:rowOff>0</xdr:rowOff>
    </xdr:from>
    <xdr:ext cx="200025" cy="200025"/>
    <xdr:pic>
      <xdr:nvPicPr>
        <xdr:cNvPr id="1501" name="image9.png">
          <a:extLst>
            <a:ext uri="{FF2B5EF4-FFF2-40B4-BE49-F238E27FC236}">
              <a16:creationId xmlns:a16="http://schemas.microsoft.com/office/drawing/2014/main" id="{00000000-0008-0000-0200-0000DD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1007</xdr:row>
      <xdr:rowOff>0</xdr:rowOff>
    </xdr:from>
    <xdr:ext cx="200025" cy="200025"/>
    <xdr:pic>
      <xdr:nvPicPr>
        <xdr:cNvPr id="1502" name="image9.png">
          <a:extLst>
            <a:ext uri="{FF2B5EF4-FFF2-40B4-BE49-F238E27FC236}">
              <a16:creationId xmlns:a16="http://schemas.microsoft.com/office/drawing/2014/main" id="{00000000-0008-0000-0200-0000DE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1008</xdr:row>
      <xdr:rowOff>0</xdr:rowOff>
    </xdr:from>
    <xdr:ext cx="200025" cy="200025"/>
    <xdr:pic>
      <xdr:nvPicPr>
        <xdr:cNvPr id="1503" name="image9.png">
          <a:extLst>
            <a:ext uri="{FF2B5EF4-FFF2-40B4-BE49-F238E27FC236}">
              <a16:creationId xmlns:a16="http://schemas.microsoft.com/office/drawing/2014/main" id="{00000000-0008-0000-0200-0000DF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1008</xdr:row>
      <xdr:rowOff>0</xdr:rowOff>
    </xdr:from>
    <xdr:ext cx="200025" cy="200025"/>
    <xdr:pic>
      <xdr:nvPicPr>
        <xdr:cNvPr id="1504" name="image1.png">
          <a:extLst>
            <a:ext uri="{FF2B5EF4-FFF2-40B4-BE49-F238E27FC236}">
              <a16:creationId xmlns:a16="http://schemas.microsoft.com/office/drawing/2014/main" id="{00000000-0008-0000-0200-0000E0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1008</xdr:row>
      <xdr:rowOff>0</xdr:rowOff>
    </xdr:from>
    <xdr:ext cx="200025" cy="200025"/>
    <xdr:pic>
      <xdr:nvPicPr>
        <xdr:cNvPr id="1505" name="image12.png">
          <a:extLst>
            <a:ext uri="{FF2B5EF4-FFF2-40B4-BE49-F238E27FC236}">
              <a16:creationId xmlns:a16="http://schemas.microsoft.com/office/drawing/2014/main" id="{00000000-0008-0000-0200-0000E1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1008</xdr:row>
      <xdr:rowOff>0</xdr:rowOff>
    </xdr:from>
    <xdr:ext cx="200025" cy="200025"/>
    <xdr:pic>
      <xdr:nvPicPr>
        <xdr:cNvPr id="1506" name="image11.png">
          <a:extLst>
            <a:ext uri="{FF2B5EF4-FFF2-40B4-BE49-F238E27FC236}">
              <a16:creationId xmlns:a16="http://schemas.microsoft.com/office/drawing/2014/main" id="{00000000-0008-0000-0200-0000E2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1008</xdr:row>
      <xdr:rowOff>0</xdr:rowOff>
    </xdr:from>
    <xdr:ext cx="200025" cy="200025"/>
    <xdr:pic>
      <xdr:nvPicPr>
        <xdr:cNvPr id="1507" name="image2.png">
          <a:extLst>
            <a:ext uri="{FF2B5EF4-FFF2-40B4-BE49-F238E27FC236}">
              <a16:creationId xmlns:a16="http://schemas.microsoft.com/office/drawing/2014/main" id="{00000000-0008-0000-0200-0000E3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1009</xdr:row>
      <xdr:rowOff>0</xdr:rowOff>
    </xdr:from>
    <xdr:ext cx="200025" cy="200025"/>
    <xdr:pic>
      <xdr:nvPicPr>
        <xdr:cNvPr id="1508" name="image2.png">
          <a:extLst>
            <a:ext uri="{FF2B5EF4-FFF2-40B4-BE49-F238E27FC236}">
              <a16:creationId xmlns:a16="http://schemas.microsoft.com/office/drawing/2014/main" id="{00000000-0008-0000-0200-0000E4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1010</xdr:row>
      <xdr:rowOff>0</xdr:rowOff>
    </xdr:from>
    <xdr:ext cx="200025" cy="200025"/>
    <xdr:pic>
      <xdr:nvPicPr>
        <xdr:cNvPr id="1509" name="image2.png">
          <a:extLst>
            <a:ext uri="{FF2B5EF4-FFF2-40B4-BE49-F238E27FC236}">
              <a16:creationId xmlns:a16="http://schemas.microsoft.com/office/drawing/2014/main" id="{00000000-0008-0000-0200-0000E5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1011</xdr:row>
      <xdr:rowOff>0</xdr:rowOff>
    </xdr:from>
    <xdr:ext cx="200025" cy="200025"/>
    <xdr:pic>
      <xdr:nvPicPr>
        <xdr:cNvPr id="1510" name="image10.png">
          <a:extLst>
            <a:ext uri="{FF2B5EF4-FFF2-40B4-BE49-F238E27FC236}">
              <a16:creationId xmlns:a16="http://schemas.microsoft.com/office/drawing/2014/main" id="{00000000-0008-0000-0200-0000E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1011</xdr:row>
      <xdr:rowOff>0</xdr:rowOff>
    </xdr:from>
    <xdr:ext cx="200025" cy="200025"/>
    <xdr:pic>
      <xdr:nvPicPr>
        <xdr:cNvPr id="1511" name="image2.png">
          <a:extLst>
            <a:ext uri="{FF2B5EF4-FFF2-40B4-BE49-F238E27FC236}">
              <a16:creationId xmlns:a16="http://schemas.microsoft.com/office/drawing/2014/main" id="{00000000-0008-0000-0200-0000E7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1011</xdr:row>
      <xdr:rowOff>0</xdr:rowOff>
    </xdr:from>
    <xdr:ext cx="200025" cy="200025"/>
    <xdr:pic>
      <xdr:nvPicPr>
        <xdr:cNvPr id="1512" name="image7.png">
          <a:extLst>
            <a:ext uri="{FF2B5EF4-FFF2-40B4-BE49-F238E27FC236}">
              <a16:creationId xmlns:a16="http://schemas.microsoft.com/office/drawing/2014/main" id="{00000000-0008-0000-0200-0000E8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1013</xdr:row>
      <xdr:rowOff>0</xdr:rowOff>
    </xdr:from>
    <xdr:ext cx="200025" cy="200025"/>
    <xdr:pic>
      <xdr:nvPicPr>
        <xdr:cNvPr id="1513" name="image6.png">
          <a:extLst>
            <a:ext uri="{FF2B5EF4-FFF2-40B4-BE49-F238E27FC236}">
              <a16:creationId xmlns:a16="http://schemas.microsoft.com/office/drawing/2014/main" id="{00000000-0008-0000-0200-0000E905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1014</xdr:row>
      <xdr:rowOff>0</xdr:rowOff>
    </xdr:from>
    <xdr:ext cx="200025" cy="200025"/>
    <xdr:pic>
      <xdr:nvPicPr>
        <xdr:cNvPr id="1514" name="image10.png">
          <a:extLst>
            <a:ext uri="{FF2B5EF4-FFF2-40B4-BE49-F238E27FC236}">
              <a16:creationId xmlns:a16="http://schemas.microsoft.com/office/drawing/2014/main" id="{00000000-0008-0000-0200-0000EA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1014</xdr:row>
      <xdr:rowOff>0</xdr:rowOff>
    </xdr:from>
    <xdr:ext cx="200025" cy="200025"/>
    <xdr:pic>
      <xdr:nvPicPr>
        <xdr:cNvPr id="1515" name="image9.png">
          <a:extLst>
            <a:ext uri="{FF2B5EF4-FFF2-40B4-BE49-F238E27FC236}">
              <a16:creationId xmlns:a16="http://schemas.microsoft.com/office/drawing/2014/main" id="{00000000-0008-0000-0200-0000EB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1014</xdr:row>
      <xdr:rowOff>0</xdr:rowOff>
    </xdr:from>
    <xdr:ext cx="200025" cy="200025"/>
    <xdr:pic>
      <xdr:nvPicPr>
        <xdr:cNvPr id="1516" name="image7.png">
          <a:extLst>
            <a:ext uri="{FF2B5EF4-FFF2-40B4-BE49-F238E27FC236}">
              <a16:creationId xmlns:a16="http://schemas.microsoft.com/office/drawing/2014/main" id="{00000000-0008-0000-0200-0000EC05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1016</xdr:row>
      <xdr:rowOff>0</xdr:rowOff>
    </xdr:from>
    <xdr:ext cx="200025" cy="200025"/>
    <xdr:pic>
      <xdr:nvPicPr>
        <xdr:cNvPr id="1517" name="image10.png">
          <a:extLst>
            <a:ext uri="{FF2B5EF4-FFF2-40B4-BE49-F238E27FC236}">
              <a16:creationId xmlns:a16="http://schemas.microsoft.com/office/drawing/2014/main" id="{00000000-0008-0000-0200-0000ED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1016</xdr:row>
      <xdr:rowOff>0</xdr:rowOff>
    </xdr:from>
    <xdr:ext cx="200025" cy="200025"/>
    <xdr:pic>
      <xdr:nvPicPr>
        <xdr:cNvPr id="1518" name="image2.png">
          <a:extLst>
            <a:ext uri="{FF2B5EF4-FFF2-40B4-BE49-F238E27FC236}">
              <a16:creationId xmlns:a16="http://schemas.microsoft.com/office/drawing/2014/main" id="{00000000-0008-0000-0200-0000EE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1016</xdr:row>
      <xdr:rowOff>0</xdr:rowOff>
    </xdr:from>
    <xdr:ext cx="200025" cy="200025"/>
    <xdr:pic>
      <xdr:nvPicPr>
        <xdr:cNvPr id="1519" name="image1.png">
          <a:extLst>
            <a:ext uri="{FF2B5EF4-FFF2-40B4-BE49-F238E27FC236}">
              <a16:creationId xmlns:a16="http://schemas.microsoft.com/office/drawing/2014/main" id="{00000000-0008-0000-0200-0000EF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1016</xdr:row>
      <xdr:rowOff>0</xdr:rowOff>
    </xdr:from>
    <xdr:ext cx="200025" cy="200025"/>
    <xdr:pic>
      <xdr:nvPicPr>
        <xdr:cNvPr id="1520" name="image12.png">
          <a:extLst>
            <a:ext uri="{FF2B5EF4-FFF2-40B4-BE49-F238E27FC236}">
              <a16:creationId xmlns:a16="http://schemas.microsoft.com/office/drawing/2014/main" id="{00000000-0008-0000-0200-0000F005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1019</xdr:row>
      <xdr:rowOff>0</xdr:rowOff>
    </xdr:from>
    <xdr:ext cx="200025" cy="200025"/>
    <xdr:pic>
      <xdr:nvPicPr>
        <xdr:cNvPr id="1521" name="image8.png">
          <a:extLst>
            <a:ext uri="{FF2B5EF4-FFF2-40B4-BE49-F238E27FC236}">
              <a16:creationId xmlns:a16="http://schemas.microsoft.com/office/drawing/2014/main" id="{00000000-0008-0000-0200-0000F1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1019</xdr:row>
      <xdr:rowOff>0</xdr:rowOff>
    </xdr:from>
    <xdr:ext cx="200025" cy="200025"/>
    <xdr:pic>
      <xdr:nvPicPr>
        <xdr:cNvPr id="1522" name="image2.png">
          <a:extLst>
            <a:ext uri="{FF2B5EF4-FFF2-40B4-BE49-F238E27FC236}">
              <a16:creationId xmlns:a16="http://schemas.microsoft.com/office/drawing/2014/main" id="{00000000-0008-0000-0200-0000F2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1019</xdr:row>
      <xdr:rowOff>0</xdr:rowOff>
    </xdr:from>
    <xdr:ext cx="200025" cy="200025"/>
    <xdr:pic>
      <xdr:nvPicPr>
        <xdr:cNvPr id="1523" name="image1.png">
          <a:extLst>
            <a:ext uri="{FF2B5EF4-FFF2-40B4-BE49-F238E27FC236}">
              <a16:creationId xmlns:a16="http://schemas.microsoft.com/office/drawing/2014/main" id="{00000000-0008-0000-0200-0000F305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1019</xdr:row>
      <xdr:rowOff>0</xdr:rowOff>
    </xdr:from>
    <xdr:ext cx="200025" cy="200025"/>
    <xdr:pic>
      <xdr:nvPicPr>
        <xdr:cNvPr id="1524" name="image5.png">
          <a:extLst>
            <a:ext uri="{FF2B5EF4-FFF2-40B4-BE49-F238E27FC236}">
              <a16:creationId xmlns:a16="http://schemas.microsoft.com/office/drawing/2014/main" id="{00000000-0008-0000-0200-0000F405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1020</xdr:row>
      <xdr:rowOff>0</xdr:rowOff>
    </xdr:from>
    <xdr:ext cx="200025" cy="200025"/>
    <xdr:pic>
      <xdr:nvPicPr>
        <xdr:cNvPr id="1525" name="image10.png">
          <a:extLst>
            <a:ext uri="{FF2B5EF4-FFF2-40B4-BE49-F238E27FC236}">
              <a16:creationId xmlns:a16="http://schemas.microsoft.com/office/drawing/2014/main" id="{00000000-0008-0000-0200-0000F5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1022</xdr:row>
      <xdr:rowOff>0</xdr:rowOff>
    </xdr:from>
    <xdr:ext cx="200025" cy="200025"/>
    <xdr:pic>
      <xdr:nvPicPr>
        <xdr:cNvPr id="1526" name="image10.png">
          <a:extLst>
            <a:ext uri="{FF2B5EF4-FFF2-40B4-BE49-F238E27FC236}">
              <a16:creationId xmlns:a16="http://schemas.microsoft.com/office/drawing/2014/main" id="{00000000-0008-0000-0200-0000F605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1022</xdr:row>
      <xdr:rowOff>0</xdr:rowOff>
    </xdr:from>
    <xdr:ext cx="200025" cy="200025"/>
    <xdr:pic>
      <xdr:nvPicPr>
        <xdr:cNvPr id="1527" name="image4.png">
          <a:extLst>
            <a:ext uri="{FF2B5EF4-FFF2-40B4-BE49-F238E27FC236}">
              <a16:creationId xmlns:a16="http://schemas.microsoft.com/office/drawing/2014/main" id="{00000000-0008-0000-0200-0000F7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1022</xdr:row>
      <xdr:rowOff>0</xdr:rowOff>
    </xdr:from>
    <xdr:ext cx="200025" cy="200025"/>
    <xdr:pic>
      <xdr:nvPicPr>
        <xdr:cNvPr id="1528" name="image11.png">
          <a:extLst>
            <a:ext uri="{FF2B5EF4-FFF2-40B4-BE49-F238E27FC236}">
              <a16:creationId xmlns:a16="http://schemas.microsoft.com/office/drawing/2014/main" id="{00000000-0008-0000-0200-0000F805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1022</xdr:row>
      <xdr:rowOff>0</xdr:rowOff>
    </xdr:from>
    <xdr:ext cx="200025" cy="200025"/>
    <xdr:pic>
      <xdr:nvPicPr>
        <xdr:cNvPr id="1529" name="image9.png">
          <a:extLst>
            <a:ext uri="{FF2B5EF4-FFF2-40B4-BE49-F238E27FC236}">
              <a16:creationId xmlns:a16="http://schemas.microsoft.com/office/drawing/2014/main" id="{00000000-0008-0000-0200-0000F9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1023</xdr:row>
      <xdr:rowOff>0</xdr:rowOff>
    </xdr:from>
    <xdr:ext cx="200025" cy="200025"/>
    <xdr:pic>
      <xdr:nvPicPr>
        <xdr:cNvPr id="1530" name="image9.png">
          <a:extLst>
            <a:ext uri="{FF2B5EF4-FFF2-40B4-BE49-F238E27FC236}">
              <a16:creationId xmlns:a16="http://schemas.microsoft.com/office/drawing/2014/main" id="{00000000-0008-0000-0200-0000FA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1024</xdr:row>
      <xdr:rowOff>0</xdr:rowOff>
    </xdr:from>
    <xdr:ext cx="200025" cy="200025"/>
    <xdr:pic>
      <xdr:nvPicPr>
        <xdr:cNvPr id="1531" name="image8.png">
          <a:extLst>
            <a:ext uri="{FF2B5EF4-FFF2-40B4-BE49-F238E27FC236}">
              <a16:creationId xmlns:a16="http://schemas.microsoft.com/office/drawing/2014/main" id="{00000000-0008-0000-0200-0000FB05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1024</xdr:row>
      <xdr:rowOff>0</xdr:rowOff>
    </xdr:from>
    <xdr:ext cx="200025" cy="200025"/>
    <xdr:pic>
      <xdr:nvPicPr>
        <xdr:cNvPr id="1532" name="image2.png">
          <a:extLst>
            <a:ext uri="{FF2B5EF4-FFF2-40B4-BE49-F238E27FC236}">
              <a16:creationId xmlns:a16="http://schemas.microsoft.com/office/drawing/2014/main" id="{00000000-0008-0000-0200-0000FC05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1024</xdr:row>
      <xdr:rowOff>0</xdr:rowOff>
    </xdr:from>
    <xdr:ext cx="200025" cy="200025"/>
    <xdr:pic>
      <xdr:nvPicPr>
        <xdr:cNvPr id="1533" name="image4.png">
          <a:extLst>
            <a:ext uri="{FF2B5EF4-FFF2-40B4-BE49-F238E27FC236}">
              <a16:creationId xmlns:a16="http://schemas.microsoft.com/office/drawing/2014/main" id="{00000000-0008-0000-0200-0000FD05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1024</xdr:row>
      <xdr:rowOff>0</xdr:rowOff>
    </xdr:from>
    <xdr:ext cx="200025" cy="200025"/>
    <xdr:pic>
      <xdr:nvPicPr>
        <xdr:cNvPr id="1534" name="image9.png">
          <a:extLst>
            <a:ext uri="{FF2B5EF4-FFF2-40B4-BE49-F238E27FC236}">
              <a16:creationId xmlns:a16="http://schemas.microsoft.com/office/drawing/2014/main" id="{00000000-0008-0000-0200-0000FE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1025</xdr:row>
      <xdr:rowOff>0</xdr:rowOff>
    </xdr:from>
    <xdr:ext cx="200025" cy="200025"/>
    <xdr:pic>
      <xdr:nvPicPr>
        <xdr:cNvPr id="1535" name="image9.png">
          <a:extLst>
            <a:ext uri="{FF2B5EF4-FFF2-40B4-BE49-F238E27FC236}">
              <a16:creationId xmlns:a16="http://schemas.microsoft.com/office/drawing/2014/main" id="{00000000-0008-0000-0200-0000FF05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1026</xdr:row>
      <xdr:rowOff>0</xdr:rowOff>
    </xdr:from>
    <xdr:ext cx="200025" cy="200025"/>
    <xdr:pic>
      <xdr:nvPicPr>
        <xdr:cNvPr id="1536" name="image9.png">
          <a:extLst>
            <a:ext uri="{FF2B5EF4-FFF2-40B4-BE49-F238E27FC236}">
              <a16:creationId xmlns:a16="http://schemas.microsoft.com/office/drawing/2014/main" id="{00000000-0008-0000-0200-00000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1027</xdr:row>
      <xdr:rowOff>0</xdr:rowOff>
    </xdr:from>
    <xdr:ext cx="200025" cy="200025"/>
    <xdr:pic>
      <xdr:nvPicPr>
        <xdr:cNvPr id="1537" name="image8.png">
          <a:extLst>
            <a:ext uri="{FF2B5EF4-FFF2-40B4-BE49-F238E27FC236}">
              <a16:creationId xmlns:a16="http://schemas.microsoft.com/office/drawing/2014/main" id="{00000000-0008-0000-0200-000001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1027</xdr:row>
      <xdr:rowOff>0</xdr:rowOff>
    </xdr:from>
    <xdr:ext cx="200025" cy="200025"/>
    <xdr:pic>
      <xdr:nvPicPr>
        <xdr:cNvPr id="1538" name="image1.png">
          <a:extLst>
            <a:ext uri="{FF2B5EF4-FFF2-40B4-BE49-F238E27FC236}">
              <a16:creationId xmlns:a16="http://schemas.microsoft.com/office/drawing/2014/main" id="{00000000-0008-0000-0200-000002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1027</xdr:row>
      <xdr:rowOff>0</xdr:rowOff>
    </xdr:from>
    <xdr:ext cx="200025" cy="200025"/>
    <xdr:pic>
      <xdr:nvPicPr>
        <xdr:cNvPr id="1539" name="image5.png">
          <a:extLst>
            <a:ext uri="{FF2B5EF4-FFF2-40B4-BE49-F238E27FC236}">
              <a16:creationId xmlns:a16="http://schemas.microsoft.com/office/drawing/2014/main" id="{00000000-0008-0000-0200-000003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1033</xdr:row>
      <xdr:rowOff>0</xdr:rowOff>
    </xdr:from>
    <xdr:ext cx="200025" cy="200025"/>
    <xdr:pic>
      <xdr:nvPicPr>
        <xdr:cNvPr id="1540" name="image9.png">
          <a:extLst>
            <a:ext uri="{FF2B5EF4-FFF2-40B4-BE49-F238E27FC236}">
              <a16:creationId xmlns:a16="http://schemas.microsoft.com/office/drawing/2014/main" id="{00000000-0008-0000-0200-000004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1033</xdr:row>
      <xdr:rowOff>0</xdr:rowOff>
    </xdr:from>
    <xdr:ext cx="200025" cy="200025"/>
    <xdr:pic>
      <xdr:nvPicPr>
        <xdr:cNvPr id="1541" name="image2.png">
          <a:extLst>
            <a:ext uri="{FF2B5EF4-FFF2-40B4-BE49-F238E27FC236}">
              <a16:creationId xmlns:a16="http://schemas.microsoft.com/office/drawing/2014/main" id="{00000000-0008-0000-0200-000005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1033</xdr:row>
      <xdr:rowOff>0</xdr:rowOff>
    </xdr:from>
    <xdr:ext cx="200025" cy="200025"/>
    <xdr:pic>
      <xdr:nvPicPr>
        <xdr:cNvPr id="1542" name="image5.png">
          <a:extLst>
            <a:ext uri="{FF2B5EF4-FFF2-40B4-BE49-F238E27FC236}">
              <a16:creationId xmlns:a16="http://schemas.microsoft.com/office/drawing/2014/main" id="{00000000-0008-0000-0200-000006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1034</xdr:row>
      <xdr:rowOff>0</xdr:rowOff>
    </xdr:from>
    <xdr:ext cx="200025" cy="200025"/>
    <xdr:pic>
      <xdr:nvPicPr>
        <xdr:cNvPr id="1543" name="image1.png">
          <a:extLst>
            <a:ext uri="{FF2B5EF4-FFF2-40B4-BE49-F238E27FC236}">
              <a16:creationId xmlns:a16="http://schemas.microsoft.com/office/drawing/2014/main" id="{00000000-0008-0000-0200-000007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1035</xdr:row>
      <xdr:rowOff>0</xdr:rowOff>
    </xdr:from>
    <xdr:ext cx="200025" cy="200025"/>
    <xdr:pic>
      <xdr:nvPicPr>
        <xdr:cNvPr id="1544" name="image1.png">
          <a:extLst>
            <a:ext uri="{FF2B5EF4-FFF2-40B4-BE49-F238E27FC236}">
              <a16:creationId xmlns:a16="http://schemas.microsoft.com/office/drawing/2014/main" id="{00000000-0008-0000-0200-000008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1036</xdr:row>
      <xdr:rowOff>0</xdr:rowOff>
    </xdr:from>
    <xdr:ext cx="200025" cy="200025"/>
    <xdr:pic>
      <xdr:nvPicPr>
        <xdr:cNvPr id="1545" name="image8.png">
          <a:extLst>
            <a:ext uri="{FF2B5EF4-FFF2-40B4-BE49-F238E27FC236}">
              <a16:creationId xmlns:a16="http://schemas.microsoft.com/office/drawing/2014/main" id="{00000000-0008-0000-0200-000009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1036</xdr:row>
      <xdr:rowOff>0</xdr:rowOff>
    </xdr:from>
    <xdr:ext cx="200025" cy="200025"/>
    <xdr:pic>
      <xdr:nvPicPr>
        <xdr:cNvPr id="1546" name="image6.png">
          <a:extLst>
            <a:ext uri="{FF2B5EF4-FFF2-40B4-BE49-F238E27FC236}">
              <a16:creationId xmlns:a16="http://schemas.microsoft.com/office/drawing/2014/main" id="{00000000-0008-0000-0200-00000A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1036</xdr:row>
      <xdr:rowOff>0</xdr:rowOff>
    </xdr:from>
    <xdr:ext cx="200025" cy="200025"/>
    <xdr:pic>
      <xdr:nvPicPr>
        <xdr:cNvPr id="1547" name="image4.png">
          <a:extLst>
            <a:ext uri="{FF2B5EF4-FFF2-40B4-BE49-F238E27FC236}">
              <a16:creationId xmlns:a16="http://schemas.microsoft.com/office/drawing/2014/main" id="{00000000-0008-0000-0200-00000B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1037</xdr:row>
      <xdr:rowOff>0</xdr:rowOff>
    </xdr:from>
    <xdr:ext cx="200025" cy="200025"/>
    <xdr:pic>
      <xdr:nvPicPr>
        <xdr:cNvPr id="1548" name="image9.png">
          <a:extLst>
            <a:ext uri="{FF2B5EF4-FFF2-40B4-BE49-F238E27FC236}">
              <a16:creationId xmlns:a16="http://schemas.microsoft.com/office/drawing/2014/main" id="{00000000-0008-0000-0200-00000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1038</xdr:row>
      <xdr:rowOff>0</xdr:rowOff>
    </xdr:from>
    <xdr:ext cx="200025" cy="200025"/>
    <xdr:pic>
      <xdr:nvPicPr>
        <xdr:cNvPr id="1549" name="image9.png">
          <a:extLst>
            <a:ext uri="{FF2B5EF4-FFF2-40B4-BE49-F238E27FC236}">
              <a16:creationId xmlns:a16="http://schemas.microsoft.com/office/drawing/2014/main" id="{00000000-0008-0000-0200-00000D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1039</xdr:row>
      <xdr:rowOff>0</xdr:rowOff>
    </xdr:from>
    <xdr:ext cx="200025" cy="200025"/>
    <xdr:pic>
      <xdr:nvPicPr>
        <xdr:cNvPr id="1550" name="image10.png">
          <a:extLst>
            <a:ext uri="{FF2B5EF4-FFF2-40B4-BE49-F238E27FC236}">
              <a16:creationId xmlns:a16="http://schemas.microsoft.com/office/drawing/2014/main" id="{00000000-0008-0000-0200-00000E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1039</xdr:row>
      <xdr:rowOff>0</xdr:rowOff>
    </xdr:from>
    <xdr:ext cx="200025" cy="200025"/>
    <xdr:pic>
      <xdr:nvPicPr>
        <xdr:cNvPr id="1551" name="image4.png">
          <a:extLst>
            <a:ext uri="{FF2B5EF4-FFF2-40B4-BE49-F238E27FC236}">
              <a16:creationId xmlns:a16="http://schemas.microsoft.com/office/drawing/2014/main" id="{00000000-0008-0000-0200-00000F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1039</xdr:row>
      <xdr:rowOff>0</xdr:rowOff>
    </xdr:from>
    <xdr:ext cx="200025" cy="200025"/>
    <xdr:pic>
      <xdr:nvPicPr>
        <xdr:cNvPr id="1552" name="image11.png">
          <a:extLst>
            <a:ext uri="{FF2B5EF4-FFF2-40B4-BE49-F238E27FC236}">
              <a16:creationId xmlns:a16="http://schemas.microsoft.com/office/drawing/2014/main" id="{00000000-0008-0000-0200-000010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1041</xdr:row>
      <xdr:rowOff>0</xdr:rowOff>
    </xdr:from>
    <xdr:ext cx="200025" cy="200025"/>
    <xdr:pic>
      <xdr:nvPicPr>
        <xdr:cNvPr id="1553" name="image8.png">
          <a:extLst>
            <a:ext uri="{FF2B5EF4-FFF2-40B4-BE49-F238E27FC236}">
              <a16:creationId xmlns:a16="http://schemas.microsoft.com/office/drawing/2014/main" id="{00000000-0008-0000-0200-000011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1041</xdr:row>
      <xdr:rowOff>0</xdr:rowOff>
    </xdr:from>
    <xdr:ext cx="200025" cy="200025"/>
    <xdr:pic>
      <xdr:nvPicPr>
        <xdr:cNvPr id="1554" name="image9.png">
          <a:extLst>
            <a:ext uri="{FF2B5EF4-FFF2-40B4-BE49-F238E27FC236}">
              <a16:creationId xmlns:a16="http://schemas.microsoft.com/office/drawing/2014/main" id="{00000000-0008-0000-0200-000012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1041</xdr:row>
      <xdr:rowOff>0</xdr:rowOff>
    </xdr:from>
    <xdr:ext cx="200025" cy="200025"/>
    <xdr:pic>
      <xdr:nvPicPr>
        <xdr:cNvPr id="1555" name="image5.png">
          <a:extLst>
            <a:ext uri="{FF2B5EF4-FFF2-40B4-BE49-F238E27FC236}">
              <a16:creationId xmlns:a16="http://schemas.microsoft.com/office/drawing/2014/main" id="{00000000-0008-0000-0200-000013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1043</xdr:row>
      <xdr:rowOff>0</xdr:rowOff>
    </xdr:from>
    <xdr:ext cx="200025" cy="200025"/>
    <xdr:pic>
      <xdr:nvPicPr>
        <xdr:cNvPr id="1556" name="image10.png">
          <a:extLst>
            <a:ext uri="{FF2B5EF4-FFF2-40B4-BE49-F238E27FC236}">
              <a16:creationId xmlns:a16="http://schemas.microsoft.com/office/drawing/2014/main" id="{00000000-0008-0000-0200-000014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1045</xdr:row>
      <xdr:rowOff>0</xdr:rowOff>
    </xdr:from>
    <xdr:ext cx="200025" cy="200025"/>
    <xdr:pic>
      <xdr:nvPicPr>
        <xdr:cNvPr id="1557" name="image10.png">
          <a:extLst>
            <a:ext uri="{FF2B5EF4-FFF2-40B4-BE49-F238E27FC236}">
              <a16:creationId xmlns:a16="http://schemas.microsoft.com/office/drawing/2014/main" id="{00000000-0008-0000-0200-000015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1045</xdr:row>
      <xdr:rowOff>0</xdr:rowOff>
    </xdr:from>
    <xdr:ext cx="200025" cy="200025"/>
    <xdr:pic>
      <xdr:nvPicPr>
        <xdr:cNvPr id="1558" name="image1.png">
          <a:extLst>
            <a:ext uri="{FF2B5EF4-FFF2-40B4-BE49-F238E27FC236}">
              <a16:creationId xmlns:a16="http://schemas.microsoft.com/office/drawing/2014/main" id="{00000000-0008-0000-0200-000016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1045</xdr:row>
      <xdr:rowOff>0</xdr:rowOff>
    </xdr:from>
    <xdr:ext cx="200025" cy="200025"/>
    <xdr:pic>
      <xdr:nvPicPr>
        <xdr:cNvPr id="1559" name="image7.png">
          <a:extLst>
            <a:ext uri="{FF2B5EF4-FFF2-40B4-BE49-F238E27FC236}">
              <a16:creationId xmlns:a16="http://schemas.microsoft.com/office/drawing/2014/main" id="{00000000-0008-0000-0200-000017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1046</xdr:row>
      <xdr:rowOff>0</xdr:rowOff>
    </xdr:from>
    <xdr:ext cx="200025" cy="200025"/>
    <xdr:pic>
      <xdr:nvPicPr>
        <xdr:cNvPr id="1560" name="image9.png">
          <a:extLst>
            <a:ext uri="{FF2B5EF4-FFF2-40B4-BE49-F238E27FC236}">
              <a16:creationId xmlns:a16="http://schemas.microsoft.com/office/drawing/2014/main" id="{00000000-0008-0000-0200-000018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1047</xdr:row>
      <xdr:rowOff>0</xdr:rowOff>
    </xdr:from>
    <xdr:ext cx="200025" cy="200025"/>
    <xdr:pic>
      <xdr:nvPicPr>
        <xdr:cNvPr id="1561" name="image9.png">
          <a:extLst>
            <a:ext uri="{FF2B5EF4-FFF2-40B4-BE49-F238E27FC236}">
              <a16:creationId xmlns:a16="http://schemas.microsoft.com/office/drawing/2014/main" id="{00000000-0008-0000-0200-000019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1049</xdr:row>
      <xdr:rowOff>0</xdr:rowOff>
    </xdr:from>
    <xdr:ext cx="200025" cy="200025"/>
    <xdr:pic>
      <xdr:nvPicPr>
        <xdr:cNvPr id="1562" name="image8.png">
          <a:extLst>
            <a:ext uri="{FF2B5EF4-FFF2-40B4-BE49-F238E27FC236}">
              <a16:creationId xmlns:a16="http://schemas.microsoft.com/office/drawing/2014/main" id="{00000000-0008-0000-0200-00001A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1049</xdr:row>
      <xdr:rowOff>0</xdr:rowOff>
    </xdr:from>
    <xdr:ext cx="200025" cy="200025"/>
    <xdr:pic>
      <xdr:nvPicPr>
        <xdr:cNvPr id="1563" name="image1.png">
          <a:extLst>
            <a:ext uri="{FF2B5EF4-FFF2-40B4-BE49-F238E27FC236}">
              <a16:creationId xmlns:a16="http://schemas.microsoft.com/office/drawing/2014/main" id="{00000000-0008-0000-0200-00001B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1049</xdr:row>
      <xdr:rowOff>0</xdr:rowOff>
    </xdr:from>
    <xdr:ext cx="200025" cy="200025"/>
    <xdr:pic>
      <xdr:nvPicPr>
        <xdr:cNvPr id="1564" name="image11.png">
          <a:extLst>
            <a:ext uri="{FF2B5EF4-FFF2-40B4-BE49-F238E27FC236}">
              <a16:creationId xmlns:a16="http://schemas.microsoft.com/office/drawing/2014/main" id="{00000000-0008-0000-0200-00001C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1049</xdr:row>
      <xdr:rowOff>0</xdr:rowOff>
    </xdr:from>
    <xdr:ext cx="200025" cy="200025"/>
    <xdr:pic>
      <xdr:nvPicPr>
        <xdr:cNvPr id="1565" name="image9.png">
          <a:extLst>
            <a:ext uri="{FF2B5EF4-FFF2-40B4-BE49-F238E27FC236}">
              <a16:creationId xmlns:a16="http://schemas.microsoft.com/office/drawing/2014/main" id="{00000000-0008-0000-0200-00001D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1050</xdr:row>
      <xdr:rowOff>0</xdr:rowOff>
    </xdr:from>
    <xdr:ext cx="200025" cy="200025"/>
    <xdr:pic>
      <xdr:nvPicPr>
        <xdr:cNvPr id="1566" name="image9.png">
          <a:extLst>
            <a:ext uri="{FF2B5EF4-FFF2-40B4-BE49-F238E27FC236}">
              <a16:creationId xmlns:a16="http://schemas.microsoft.com/office/drawing/2014/main" id="{00000000-0008-0000-0200-00001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1051</xdr:row>
      <xdr:rowOff>0</xdr:rowOff>
    </xdr:from>
    <xdr:ext cx="200025" cy="200025"/>
    <xdr:pic>
      <xdr:nvPicPr>
        <xdr:cNvPr id="1567" name="image10.png">
          <a:extLst>
            <a:ext uri="{FF2B5EF4-FFF2-40B4-BE49-F238E27FC236}">
              <a16:creationId xmlns:a16="http://schemas.microsoft.com/office/drawing/2014/main" id="{00000000-0008-0000-0200-00001F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1051</xdr:row>
      <xdr:rowOff>0</xdr:rowOff>
    </xdr:from>
    <xdr:ext cx="200025" cy="200025"/>
    <xdr:pic>
      <xdr:nvPicPr>
        <xdr:cNvPr id="1568" name="image9.png">
          <a:extLst>
            <a:ext uri="{FF2B5EF4-FFF2-40B4-BE49-F238E27FC236}">
              <a16:creationId xmlns:a16="http://schemas.microsoft.com/office/drawing/2014/main" id="{00000000-0008-0000-0200-00002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1051</xdr:row>
      <xdr:rowOff>0</xdr:rowOff>
    </xdr:from>
    <xdr:ext cx="200025" cy="200025"/>
    <xdr:pic>
      <xdr:nvPicPr>
        <xdr:cNvPr id="1569" name="image2.png">
          <a:extLst>
            <a:ext uri="{FF2B5EF4-FFF2-40B4-BE49-F238E27FC236}">
              <a16:creationId xmlns:a16="http://schemas.microsoft.com/office/drawing/2014/main" id="{00000000-0008-0000-0200-000021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1052</xdr:row>
      <xdr:rowOff>0</xdr:rowOff>
    </xdr:from>
    <xdr:ext cx="200025" cy="200025"/>
    <xdr:pic>
      <xdr:nvPicPr>
        <xdr:cNvPr id="1570" name="image8.png">
          <a:extLst>
            <a:ext uri="{FF2B5EF4-FFF2-40B4-BE49-F238E27FC236}">
              <a16:creationId xmlns:a16="http://schemas.microsoft.com/office/drawing/2014/main" id="{00000000-0008-0000-0200-00002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1053</xdr:row>
      <xdr:rowOff>0</xdr:rowOff>
    </xdr:from>
    <xdr:ext cx="200025" cy="200025"/>
    <xdr:pic>
      <xdr:nvPicPr>
        <xdr:cNvPr id="1571" name="image8.png">
          <a:extLst>
            <a:ext uri="{FF2B5EF4-FFF2-40B4-BE49-F238E27FC236}">
              <a16:creationId xmlns:a16="http://schemas.microsoft.com/office/drawing/2014/main" id="{00000000-0008-0000-0200-000023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1054</xdr:row>
      <xdr:rowOff>0</xdr:rowOff>
    </xdr:from>
    <xdr:ext cx="200025" cy="200025"/>
    <xdr:pic>
      <xdr:nvPicPr>
        <xdr:cNvPr id="1572" name="image8.png">
          <a:extLst>
            <a:ext uri="{FF2B5EF4-FFF2-40B4-BE49-F238E27FC236}">
              <a16:creationId xmlns:a16="http://schemas.microsoft.com/office/drawing/2014/main" id="{00000000-0008-0000-0200-000024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1054</xdr:row>
      <xdr:rowOff>0</xdr:rowOff>
    </xdr:from>
    <xdr:ext cx="200025" cy="200025"/>
    <xdr:pic>
      <xdr:nvPicPr>
        <xdr:cNvPr id="1573" name="image9.png">
          <a:extLst>
            <a:ext uri="{FF2B5EF4-FFF2-40B4-BE49-F238E27FC236}">
              <a16:creationId xmlns:a16="http://schemas.microsoft.com/office/drawing/2014/main" id="{00000000-0008-0000-0200-000025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1054</xdr:row>
      <xdr:rowOff>0</xdr:rowOff>
    </xdr:from>
    <xdr:ext cx="200025" cy="200025"/>
    <xdr:pic>
      <xdr:nvPicPr>
        <xdr:cNvPr id="1574" name="image3.png">
          <a:extLst>
            <a:ext uri="{FF2B5EF4-FFF2-40B4-BE49-F238E27FC236}">
              <a16:creationId xmlns:a16="http://schemas.microsoft.com/office/drawing/2014/main" id="{00000000-0008-0000-0200-000026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1054</xdr:row>
      <xdr:rowOff>0</xdr:rowOff>
    </xdr:from>
    <xdr:ext cx="200025" cy="200025"/>
    <xdr:pic>
      <xdr:nvPicPr>
        <xdr:cNvPr id="1575" name="image11.png">
          <a:extLst>
            <a:ext uri="{FF2B5EF4-FFF2-40B4-BE49-F238E27FC236}">
              <a16:creationId xmlns:a16="http://schemas.microsoft.com/office/drawing/2014/main" id="{00000000-0008-0000-0200-000027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1054</xdr:row>
      <xdr:rowOff>0</xdr:rowOff>
    </xdr:from>
    <xdr:ext cx="200025" cy="200025"/>
    <xdr:pic>
      <xdr:nvPicPr>
        <xdr:cNvPr id="1576" name="image12.png">
          <a:extLst>
            <a:ext uri="{FF2B5EF4-FFF2-40B4-BE49-F238E27FC236}">
              <a16:creationId xmlns:a16="http://schemas.microsoft.com/office/drawing/2014/main" id="{00000000-0008-0000-0200-000028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1055</xdr:row>
      <xdr:rowOff>0</xdr:rowOff>
    </xdr:from>
    <xdr:ext cx="200025" cy="200025"/>
    <xdr:pic>
      <xdr:nvPicPr>
        <xdr:cNvPr id="1577" name="image7.png">
          <a:extLst>
            <a:ext uri="{FF2B5EF4-FFF2-40B4-BE49-F238E27FC236}">
              <a16:creationId xmlns:a16="http://schemas.microsoft.com/office/drawing/2014/main" id="{00000000-0008-0000-0200-000029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1056</xdr:row>
      <xdr:rowOff>0</xdr:rowOff>
    </xdr:from>
    <xdr:ext cx="200025" cy="200025"/>
    <xdr:pic>
      <xdr:nvPicPr>
        <xdr:cNvPr id="1578" name="image6.png">
          <a:extLst>
            <a:ext uri="{FF2B5EF4-FFF2-40B4-BE49-F238E27FC236}">
              <a16:creationId xmlns:a16="http://schemas.microsoft.com/office/drawing/2014/main" id="{00000000-0008-0000-0200-00002A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1057</xdr:row>
      <xdr:rowOff>0</xdr:rowOff>
    </xdr:from>
    <xdr:ext cx="200025" cy="200025"/>
    <xdr:pic>
      <xdr:nvPicPr>
        <xdr:cNvPr id="1579" name="image10.png">
          <a:extLst>
            <a:ext uri="{FF2B5EF4-FFF2-40B4-BE49-F238E27FC236}">
              <a16:creationId xmlns:a16="http://schemas.microsoft.com/office/drawing/2014/main" id="{00000000-0008-0000-0200-00002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1057</xdr:row>
      <xdr:rowOff>0</xdr:rowOff>
    </xdr:from>
    <xdr:ext cx="200025" cy="200025"/>
    <xdr:pic>
      <xdr:nvPicPr>
        <xdr:cNvPr id="1580" name="image2.png">
          <a:extLst>
            <a:ext uri="{FF2B5EF4-FFF2-40B4-BE49-F238E27FC236}">
              <a16:creationId xmlns:a16="http://schemas.microsoft.com/office/drawing/2014/main" id="{00000000-0008-0000-0200-00002C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1057</xdr:row>
      <xdr:rowOff>0</xdr:rowOff>
    </xdr:from>
    <xdr:ext cx="200025" cy="200025"/>
    <xdr:pic>
      <xdr:nvPicPr>
        <xdr:cNvPr id="1581" name="image6.png">
          <a:extLst>
            <a:ext uri="{FF2B5EF4-FFF2-40B4-BE49-F238E27FC236}">
              <a16:creationId xmlns:a16="http://schemas.microsoft.com/office/drawing/2014/main" id="{00000000-0008-0000-0200-00002D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1057</xdr:row>
      <xdr:rowOff>0</xdr:rowOff>
    </xdr:from>
    <xdr:ext cx="200025" cy="200025"/>
    <xdr:pic>
      <xdr:nvPicPr>
        <xdr:cNvPr id="1582" name="image11.png">
          <a:extLst>
            <a:ext uri="{FF2B5EF4-FFF2-40B4-BE49-F238E27FC236}">
              <a16:creationId xmlns:a16="http://schemas.microsoft.com/office/drawing/2014/main" id="{00000000-0008-0000-0200-00002E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1057</xdr:row>
      <xdr:rowOff>0</xdr:rowOff>
    </xdr:from>
    <xdr:ext cx="200025" cy="200025"/>
    <xdr:pic>
      <xdr:nvPicPr>
        <xdr:cNvPr id="1583" name="image9.png">
          <a:extLst>
            <a:ext uri="{FF2B5EF4-FFF2-40B4-BE49-F238E27FC236}">
              <a16:creationId xmlns:a16="http://schemas.microsoft.com/office/drawing/2014/main" id="{00000000-0008-0000-0200-00002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1058</xdr:row>
      <xdr:rowOff>0</xdr:rowOff>
    </xdr:from>
    <xdr:ext cx="200025" cy="200025"/>
    <xdr:pic>
      <xdr:nvPicPr>
        <xdr:cNvPr id="1584" name="image9.png">
          <a:extLst>
            <a:ext uri="{FF2B5EF4-FFF2-40B4-BE49-F238E27FC236}">
              <a16:creationId xmlns:a16="http://schemas.microsoft.com/office/drawing/2014/main" id="{00000000-0008-0000-0200-00003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1059</xdr:row>
      <xdr:rowOff>0</xdr:rowOff>
    </xdr:from>
    <xdr:ext cx="200025" cy="200025"/>
    <xdr:pic>
      <xdr:nvPicPr>
        <xdr:cNvPr id="1585" name="image9.png">
          <a:extLst>
            <a:ext uri="{FF2B5EF4-FFF2-40B4-BE49-F238E27FC236}">
              <a16:creationId xmlns:a16="http://schemas.microsoft.com/office/drawing/2014/main" id="{00000000-0008-0000-0200-000031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1060</xdr:row>
      <xdr:rowOff>0</xdr:rowOff>
    </xdr:from>
    <xdr:ext cx="200025" cy="200025"/>
    <xdr:pic>
      <xdr:nvPicPr>
        <xdr:cNvPr id="1586" name="image8.png">
          <a:extLst>
            <a:ext uri="{FF2B5EF4-FFF2-40B4-BE49-F238E27FC236}">
              <a16:creationId xmlns:a16="http://schemas.microsoft.com/office/drawing/2014/main" id="{00000000-0008-0000-0200-00003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1060</xdr:row>
      <xdr:rowOff>0</xdr:rowOff>
    </xdr:from>
    <xdr:ext cx="200025" cy="200025"/>
    <xdr:pic>
      <xdr:nvPicPr>
        <xdr:cNvPr id="1587" name="image1.png">
          <a:extLst>
            <a:ext uri="{FF2B5EF4-FFF2-40B4-BE49-F238E27FC236}">
              <a16:creationId xmlns:a16="http://schemas.microsoft.com/office/drawing/2014/main" id="{00000000-0008-0000-0200-000033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1060</xdr:row>
      <xdr:rowOff>0</xdr:rowOff>
    </xdr:from>
    <xdr:ext cx="200025" cy="200025"/>
    <xdr:pic>
      <xdr:nvPicPr>
        <xdr:cNvPr id="1588" name="image5.png">
          <a:extLst>
            <a:ext uri="{FF2B5EF4-FFF2-40B4-BE49-F238E27FC236}">
              <a16:creationId xmlns:a16="http://schemas.microsoft.com/office/drawing/2014/main" id="{00000000-0008-0000-0200-000034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1062</xdr:row>
      <xdr:rowOff>0</xdr:rowOff>
    </xdr:from>
    <xdr:ext cx="200025" cy="200025"/>
    <xdr:pic>
      <xdr:nvPicPr>
        <xdr:cNvPr id="1589" name="image8.png">
          <a:extLst>
            <a:ext uri="{FF2B5EF4-FFF2-40B4-BE49-F238E27FC236}">
              <a16:creationId xmlns:a16="http://schemas.microsoft.com/office/drawing/2014/main" id="{00000000-0008-0000-0200-00003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1062</xdr:row>
      <xdr:rowOff>0</xdr:rowOff>
    </xdr:from>
    <xdr:ext cx="200025" cy="200025"/>
    <xdr:pic>
      <xdr:nvPicPr>
        <xdr:cNvPr id="1590" name="image9.png">
          <a:extLst>
            <a:ext uri="{FF2B5EF4-FFF2-40B4-BE49-F238E27FC236}">
              <a16:creationId xmlns:a16="http://schemas.microsoft.com/office/drawing/2014/main" id="{00000000-0008-0000-0200-000036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1062</xdr:row>
      <xdr:rowOff>0</xdr:rowOff>
    </xdr:from>
    <xdr:ext cx="200025" cy="200025"/>
    <xdr:pic>
      <xdr:nvPicPr>
        <xdr:cNvPr id="1591" name="image1.png">
          <a:extLst>
            <a:ext uri="{FF2B5EF4-FFF2-40B4-BE49-F238E27FC236}">
              <a16:creationId xmlns:a16="http://schemas.microsoft.com/office/drawing/2014/main" id="{00000000-0008-0000-0200-000037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1062</xdr:row>
      <xdr:rowOff>0</xdr:rowOff>
    </xdr:from>
    <xdr:ext cx="200025" cy="200025"/>
    <xdr:pic>
      <xdr:nvPicPr>
        <xdr:cNvPr id="1592" name="image12.png">
          <a:extLst>
            <a:ext uri="{FF2B5EF4-FFF2-40B4-BE49-F238E27FC236}">
              <a16:creationId xmlns:a16="http://schemas.microsoft.com/office/drawing/2014/main" id="{00000000-0008-0000-0200-000038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1062</xdr:row>
      <xdr:rowOff>0</xdr:rowOff>
    </xdr:from>
    <xdr:ext cx="200025" cy="200025"/>
    <xdr:pic>
      <xdr:nvPicPr>
        <xdr:cNvPr id="1593" name="image5.png">
          <a:extLst>
            <a:ext uri="{FF2B5EF4-FFF2-40B4-BE49-F238E27FC236}">
              <a16:creationId xmlns:a16="http://schemas.microsoft.com/office/drawing/2014/main" id="{00000000-0008-0000-0200-000039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1063</xdr:row>
      <xdr:rowOff>0</xdr:rowOff>
    </xdr:from>
    <xdr:ext cx="200025" cy="200025"/>
    <xdr:pic>
      <xdr:nvPicPr>
        <xdr:cNvPr id="1594" name="image5.png">
          <a:extLst>
            <a:ext uri="{FF2B5EF4-FFF2-40B4-BE49-F238E27FC236}">
              <a16:creationId xmlns:a16="http://schemas.microsoft.com/office/drawing/2014/main" id="{00000000-0008-0000-0200-00003A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1064</xdr:row>
      <xdr:rowOff>0</xdr:rowOff>
    </xdr:from>
    <xdr:ext cx="200025" cy="200025"/>
    <xdr:pic>
      <xdr:nvPicPr>
        <xdr:cNvPr id="1595" name="image6.png">
          <a:extLst>
            <a:ext uri="{FF2B5EF4-FFF2-40B4-BE49-F238E27FC236}">
              <a16:creationId xmlns:a16="http://schemas.microsoft.com/office/drawing/2014/main" id="{00000000-0008-0000-0200-00003B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1067</xdr:row>
      <xdr:rowOff>0</xdr:rowOff>
    </xdr:from>
    <xdr:ext cx="200025" cy="200025"/>
    <xdr:pic>
      <xdr:nvPicPr>
        <xdr:cNvPr id="1596" name="image8.png">
          <a:extLst>
            <a:ext uri="{FF2B5EF4-FFF2-40B4-BE49-F238E27FC236}">
              <a16:creationId xmlns:a16="http://schemas.microsoft.com/office/drawing/2014/main" id="{00000000-0008-0000-0200-00003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1067</xdr:row>
      <xdr:rowOff>0</xdr:rowOff>
    </xdr:from>
    <xdr:ext cx="200025" cy="200025"/>
    <xdr:pic>
      <xdr:nvPicPr>
        <xdr:cNvPr id="1597" name="image9.png">
          <a:extLst>
            <a:ext uri="{FF2B5EF4-FFF2-40B4-BE49-F238E27FC236}">
              <a16:creationId xmlns:a16="http://schemas.microsoft.com/office/drawing/2014/main" id="{00000000-0008-0000-0200-00003D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1067</xdr:row>
      <xdr:rowOff>0</xdr:rowOff>
    </xdr:from>
    <xdr:ext cx="200025" cy="200025"/>
    <xdr:pic>
      <xdr:nvPicPr>
        <xdr:cNvPr id="1598" name="image5.png">
          <a:extLst>
            <a:ext uri="{FF2B5EF4-FFF2-40B4-BE49-F238E27FC236}">
              <a16:creationId xmlns:a16="http://schemas.microsoft.com/office/drawing/2014/main" id="{00000000-0008-0000-0200-00003E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1067</xdr:row>
      <xdr:rowOff>0</xdr:rowOff>
    </xdr:from>
    <xdr:ext cx="200025" cy="200025"/>
    <xdr:pic>
      <xdr:nvPicPr>
        <xdr:cNvPr id="1599" name="image10.png">
          <a:extLst>
            <a:ext uri="{FF2B5EF4-FFF2-40B4-BE49-F238E27FC236}">
              <a16:creationId xmlns:a16="http://schemas.microsoft.com/office/drawing/2014/main" id="{00000000-0008-0000-0200-00003F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1068</xdr:row>
      <xdr:rowOff>0</xdr:rowOff>
    </xdr:from>
    <xdr:ext cx="200025" cy="200025"/>
    <xdr:pic>
      <xdr:nvPicPr>
        <xdr:cNvPr id="1600" name="image10.png">
          <a:extLst>
            <a:ext uri="{FF2B5EF4-FFF2-40B4-BE49-F238E27FC236}">
              <a16:creationId xmlns:a16="http://schemas.microsoft.com/office/drawing/2014/main" id="{00000000-0008-0000-0200-000040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1069</xdr:row>
      <xdr:rowOff>0</xdr:rowOff>
    </xdr:from>
    <xdr:ext cx="200025" cy="200025"/>
    <xdr:pic>
      <xdr:nvPicPr>
        <xdr:cNvPr id="1601" name="image10.png">
          <a:extLst>
            <a:ext uri="{FF2B5EF4-FFF2-40B4-BE49-F238E27FC236}">
              <a16:creationId xmlns:a16="http://schemas.microsoft.com/office/drawing/2014/main" id="{00000000-0008-0000-0200-00004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1070</xdr:row>
      <xdr:rowOff>0</xdr:rowOff>
    </xdr:from>
    <xdr:ext cx="200025" cy="200025"/>
    <xdr:pic>
      <xdr:nvPicPr>
        <xdr:cNvPr id="1602" name="image8.png">
          <a:extLst>
            <a:ext uri="{FF2B5EF4-FFF2-40B4-BE49-F238E27FC236}">
              <a16:creationId xmlns:a16="http://schemas.microsoft.com/office/drawing/2014/main" id="{00000000-0008-0000-0200-00004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1070</xdr:row>
      <xdr:rowOff>0</xdr:rowOff>
    </xdr:from>
    <xdr:ext cx="200025" cy="200025"/>
    <xdr:pic>
      <xdr:nvPicPr>
        <xdr:cNvPr id="1603" name="image1.png">
          <a:extLst>
            <a:ext uri="{FF2B5EF4-FFF2-40B4-BE49-F238E27FC236}">
              <a16:creationId xmlns:a16="http://schemas.microsoft.com/office/drawing/2014/main" id="{00000000-0008-0000-0200-000043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1070</xdr:row>
      <xdr:rowOff>0</xdr:rowOff>
    </xdr:from>
    <xdr:ext cx="200025" cy="200025"/>
    <xdr:pic>
      <xdr:nvPicPr>
        <xdr:cNvPr id="1604" name="image5.png">
          <a:extLst>
            <a:ext uri="{FF2B5EF4-FFF2-40B4-BE49-F238E27FC236}">
              <a16:creationId xmlns:a16="http://schemas.microsoft.com/office/drawing/2014/main" id="{00000000-0008-0000-0200-000044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1070</xdr:row>
      <xdr:rowOff>0</xdr:rowOff>
    </xdr:from>
    <xdr:ext cx="200025" cy="200025"/>
    <xdr:pic>
      <xdr:nvPicPr>
        <xdr:cNvPr id="1605" name="image10.png">
          <a:extLst>
            <a:ext uri="{FF2B5EF4-FFF2-40B4-BE49-F238E27FC236}">
              <a16:creationId xmlns:a16="http://schemas.microsoft.com/office/drawing/2014/main" id="{00000000-0008-0000-0200-000045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1071</xdr:row>
      <xdr:rowOff>0</xdr:rowOff>
    </xdr:from>
    <xdr:ext cx="200025" cy="200025"/>
    <xdr:pic>
      <xdr:nvPicPr>
        <xdr:cNvPr id="1606" name="image10.png">
          <a:extLst>
            <a:ext uri="{FF2B5EF4-FFF2-40B4-BE49-F238E27FC236}">
              <a16:creationId xmlns:a16="http://schemas.microsoft.com/office/drawing/2014/main" id="{00000000-0008-0000-0200-000046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1072</xdr:row>
      <xdr:rowOff>0</xdr:rowOff>
    </xdr:from>
    <xdr:ext cx="200025" cy="200025"/>
    <xdr:pic>
      <xdr:nvPicPr>
        <xdr:cNvPr id="1607" name="image8.png">
          <a:extLst>
            <a:ext uri="{FF2B5EF4-FFF2-40B4-BE49-F238E27FC236}">
              <a16:creationId xmlns:a16="http://schemas.microsoft.com/office/drawing/2014/main" id="{00000000-0008-0000-0200-000047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1072</xdr:row>
      <xdr:rowOff>0</xdr:rowOff>
    </xdr:from>
    <xdr:ext cx="200025" cy="200025"/>
    <xdr:pic>
      <xdr:nvPicPr>
        <xdr:cNvPr id="1608" name="image2.png">
          <a:extLst>
            <a:ext uri="{FF2B5EF4-FFF2-40B4-BE49-F238E27FC236}">
              <a16:creationId xmlns:a16="http://schemas.microsoft.com/office/drawing/2014/main" id="{00000000-0008-0000-0200-000048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1072</xdr:row>
      <xdr:rowOff>0</xdr:rowOff>
    </xdr:from>
    <xdr:ext cx="200025" cy="200025"/>
    <xdr:pic>
      <xdr:nvPicPr>
        <xdr:cNvPr id="1609" name="image12.png">
          <a:extLst>
            <a:ext uri="{FF2B5EF4-FFF2-40B4-BE49-F238E27FC236}">
              <a16:creationId xmlns:a16="http://schemas.microsoft.com/office/drawing/2014/main" id="{00000000-0008-0000-0200-000049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1072</xdr:row>
      <xdr:rowOff>0</xdr:rowOff>
    </xdr:from>
    <xdr:ext cx="200025" cy="200025"/>
    <xdr:pic>
      <xdr:nvPicPr>
        <xdr:cNvPr id="1610" name="image1.png">
          <a:extLst>
            <a:ext uri="{FF2B5EF4-FFF2-40B4-BE49-F238E27FC236}">
              <a16:creationId xmlns:a16="http://schemas.microsoft.com/office/drawing/2014/main" id="{00000000-0008-0000-0200-00004A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1073</xdr:row>
      <xdr:rowOff>0</xdr:rowOff>
    </xdr:from>
    <xdr:ext cx="200025" cy="200025"/>
    <xdr:pic>
      <xdr:nvPicPr>
        <xdr:cNvPr id="1611" name="image1.png">
          <a:extLst>
            <a:ext uri="{FF2B5EF4-FFF2-40B4-BE49-F238E27FC236}">
              <a16:creationId xmlns:a16="http://schemas.microsoft.com/office/drawing/2014/main" id="{00000000-0008-0000-0200-00004B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1074</xdr:row>
      <xdr:rowOff>0</xdr:rowOff>
    </xdr:from>
    <xdr:ext cx="200025" cy="200025"/>
    <xdr:pic>
      <xdr:nvPicPr>
        <xdr:cNvPr id="1612" name="image1.png">
          <a:extLst>
            <a:ext uri="{FF2B5EF4-FFF2-40B4-BE49-F238E27FC236}">
              <a16:creationId xmlns:a16="http://schemas.microsoft.com/office/drawing/2014/main" id="{00000000-0008-0000-0200-00004C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1075</xdr:row>
      <xdr:rowOff>0</xdr:rowOff>
    </xdr:from>
    <xdr:ext cx="200025" cy="200025"/>
    <xdr:pic>
      <xdr:nvPicPr>
        <xdr:cNvPr id="1613" name="image8.png">
          <a:extLst>
            <a:ext uri="{FF2B5EF4-FFF2-40B4-BE49-F238E27FC236}">
              <a16:creationId xmlns:a16="http://schemas.microsoft.com/office/drawing/2014/main" id="{00000000-0008-0000-0200-00004D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1075</xdr:row>
      <xdr:rowOff>0</xdr:rowOff>
    </xdr:from>
    <xdr:ext cx="200025" cy="200025"/>
    <xdr:pic>
      <xdr:nvPicPr>
        <xdr:cNvPr id="1614" name="image9.png">
          <a:extLst>
            <a:ext uri="{FF2B5EF4-FFF2-40B4-BE49-F238E27FC236}">
              <a16:creationId xmlns:a16="http://schemas.microsoft.com/office/drawing/2014/main" id="{00000000-0008-0000-0200-00004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1075</xdr:row>
      <xdr:rowOff>0</xdr:rowOff>
    </xdr:from>
    <xdr:ext cx="200025" cy="200025"/>
    <xdr:pic>
      <xdr:nvPicPr>
        <xdr:cNvPr id="1615" name="image3.png">
          <a:extLst>
            <a:ext uri="{FF2B5EF4-FFF2-40B4-BE49-F238E27FC236}">
              <a16:creationId xmlns:a16="http://schemas.microsoft.com/office/drawing/2014/main" id="{00000000-0008-0000-0200-00004F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1075</xdr:row>
      <xdr:rowOff>0</xdr:rowOff>
    </xdr:from>
    <xdr:ext cx="200025" cy="200025"/>
    <xdr:pic>
      <xdr:nvPicPr>
        <xdr:cNvPr id="1616" name="image2.png">
          <a:extLst>
            <a:ext uri="{FF2B5EF4-FFF2-40B4-BE49-F238E27FC236}">
              <a16:creationId xmlns:a16="http://schemas.microsoft.com/office/drawing/2014/main" id="{00000000-0008-0000-0200-000050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1076</xdr:row>
      <xdr:rowOff>0</xdr:rowOff>
    </xdr:from>
    <xdr:ext cx="200025" cy="200025"/>
    <xdr:pic>
      <xdr:nvPicPr>
        <xdr:cNvPr id="1617" name="image2.png">
          <a:extLst>
            <a:ext uri="{FF2B5EF4-FFF2-40B4-BE49-F238E27FC236}">
              <a16:creationId xmlns:a16="http://schemas.microsoft.com/office/drawing/2014/main" id="{00000000-0008-0000-0200-000051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1078</xdr:row>
      <xdr:rowOff>0</xdr:rowOff>
    </xdr:from>
    <xdr:ext cx="200025" cy="200025"/>
    <xdr:pic>
      <xdr:nvPicPr>
        <xdr:cNvPr id="1618" name="image8.png">
          <a:extLst>
            <a:ext uri="{FF2B5EF4-FFF2-40B4-BE49-F238E27FC236}">
              <a16:creationId xmlns:a16="http://schemas.microsoft.com/office/drawing/2014/main" id="{00000000-0008-0000-0200-00005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1078</xdr:row>
      <xdr:rowOff>0</xdr:rowOff>
    </xdr:from>
    <xdr:ext cx="200025" cy="200025"/>
    <xdr:pic>
      <xdr:nvPicPr>
        <xdr:cNvPr id="1619" name="image1.png">
          <a:extLst>
            <a:ext uri="{FF2B5EF4-FFF2-40B4-BE49-F238E27FC236}">
              <a16:creationId xmlns:a16="http://schemas.microsoft.com/office/drawing/2014/main" id="{00000000-0008-0000-0200-000053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1078</xdr:row>
      <xdr:rowOff>0</xdr:rowOff>
    </xdr:from>
    <xdr:ext cx="200025" cy="200025"/>
    <xdr:pic>
      <xdr:nvPicPr>
        <xdr:cNvPr id="1620" name="image5.png">
          <a:extLst>
            <a:ext uri="{FF2B5EF4-FFF2-40B4-BE49-F238E27FC236}">
              <a16:creationId xmlns:a16="http://schemas.microsoft.com/office/drawing/2014/main" id="{00000000-0008-0000-0200-000054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1078</xdr:row>
      <xdr:rowOff>0</xdr:rowOff>
    </xdr:from>
    <xdr:ext cx="200025" cy="200025"/>
    <xdr:pic>
      <xdr:nvPicPr>
        <xdr:cNvPr id="1621" name="image3.png">
          <a:extLst>
            <a:ext uri="{FF2B5EF4-FFF2-40B4-BE49-F238E27FC236}">
              <a16:creationId xmlns:a16="http://schemas.microsoft.com/office/drawing/2014/main" id="{00000000-0008-0000-0200-000055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1082</xdr:row>
      <xdr:rowOff>0</xdr:rowOff>
    </xdr:from>
    <xdr:ext cx="200025" cy="200025"/>
    <xdr:pic>
      <xdr:nvPicPr>
        <xdr:cNvPr id="1622" name="image10.png">
          <a:extLst>
            <a:ext uri="{FF2B5EF4-FFF2-40B4-BE49-F238E27FC236}">
              <a16:creationId xmlns:a16="http://schemas.microsoft.com/office/drawing/2014/main" id="{00000000-0008-0000-0200-000056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1082</xdr:row>
      <xdr:rowOff>0</xdr:rowOff>
    </xdr:from>
    <xdr:ext cx="200025" cy="200025"/>
    <xdr:pic>
      <xdr:nvPicPr>
        <xdr:cNvPr id="1623" name="image6.png">
          <a:extLst>
            <a:ext uri="{FF2B5EF4-FFF2-40B4-BE49-F238E27FC236}">
              <a16:creationId xmlns:a16="http://schemas.microsoft.com/office/drawing/2014/main" id="{00000000-0008-0000-0200-000057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1082</xdr:row>
      <xdr:rowOff>0</xdr:rowOff>
    </xdr:from>
    <xdr:ext cx="200025" cy="200025"/>
    <xdr:pic>
      <xdr:nvPicPr>
        <xdr:cNvPr id="1624" name="image5.png">
          <a:extLst>
            <a:ext uri="{FF2B5EF4-FFF2-40B4-BE49-F238E27FC236}">
              <a16:creationId xmlns:a16="http://schemas.microsoft.com/office/drawing/2014/main" id="{00000000-0008-0000-0200-000058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1082</xdr:row>
      <xdr:rowOff>0</xdr:rowOff>
    </xdr:from>
    <xdr:ext cx="200025" cy="200025"/>
    <xdr:pic>
      <xdr:nvPicPr>
        <xdr:cNvPr id="1625" name="image9.png">
          <a:extLst>
            <a:ext uri="{FF2B5EF4-FFF2-40B4-BE49-F238E27FC236}">
              <a16:creationId xmlns:a16="http://schemas.microsoft.com/office/drawing/2014/main" id="{00000000-0008-0000-0200-000059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1083</xdr:row>
      <xdr:rowOff>0</xdr:rowOff>
    </xdr:from>
    <xdr:ext cx="200025" cy="200025"/>
    <xdr:pic>
      <xdr:nvPicPr>
        <xdr:cNvPr id="1626" name="image9.png">
          <a:extLst>
            <a:ext uri="{FF2B5EF4-FFF2-40B4-BE49-F238E27FC236}">
              <a16:creationId xmlns:a16="http://schemas.microsoft.com/office/drawing/2014/main" id="{00000000-0008-0000-0200-00005A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1084</xdr:row>
      <xdr:rowOff>0</xdr:rowOff>
    </xdr:from>
    <xdr:ext cx="200025" cy="200025"/>
    <xdr:pic>
      <xdr:nvPicPr>
        <xdr:cNvPr id="1627" name="image9.png">
          <a:extLst>
            <a:ext uri="{FF2B5EF4-FFF2-40B4-BE49-F238E27FC236}">
              <a16:creationId xmlns:a16="http://schemas.microsoft.com/office/drawing/2014/main" id="{00000000-0008-0000-0200-00005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1085</xdr:row>
      <xdr:rowOff>0</xdr:rowOff>
    </xdr:from>
    <xdr:ext cx="200025" cy="200025"/>
    <xdr:pic>
      <xdr:nvPicPr>
        <xdr:cNvPr id="1628" name="image8.png">
          <a:extLst>
            <a:ext uri="{FF2B5EF4-FFF2-40B4-BE49-F238E27FC236}">
              <a16:creationId xmlns:a16="http://schemas.microsoft.com/office/drawing/2014/main" id="{00000000-0008-0000-0200-00005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1085</xdr:row>
      <xdr:rowOff>0</xdr:rowOff>
    </xdr:from>
    <xdr:ext cx="200025" cy="200025"/>
    <xdr:pic>
      <xdr:nvPicPr>
        <xdr:cNvPr id="1629" name="image9.png">
          <a:extLst>
            <a:ext uri="{FF2B5EF4-FFF2-40B4-BE49-F238E27FC236}">
              <a16:creationId xmlns:a16="http://schemas.microsoft.com/office/drawing/2014/main" id="{00000000-0008-0000-0200-00005D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1085</xdr:row>
      <xdr:rowOff>0</xdr:rowOff>
    </xdr:from>
    <xdr:ext cx="200025" cy="200025"/>
    <xdr:pic>
      <xdr:nvPicPr>
        <xdr:cNvPr id="1630" name="image11.png">
          <a:extLst>
            <a:ext uri="{FF2B5EF4-FFF2-40B4-BE49-F238E27FC236}">
              <a16:creationId xmlns:a16="http://schemas.microsoft.com/office/drawing/2014/main" id="{00000000-0008-0000-0200-00005E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1085</xdr:row>
      <xdr:rowOff>0</xdr:rowOff>
    </xdr:from>
    <xdr:ext cx="200025" cy="200025"/>
    <xdr:pic>
      <xdr:nvPicPr>
        <xdr:cNvPr id="1631" name="image5.png">
          <a:extLst>
            <a:ext uri="{FF2B5EF4-FFF2-40B4-BE49-F238E27FC236}">
              <a16:creationId xmlns:a16="http://schemas.microsoft.com/office/drawing/2014/main" id="{00000000-0008-0000-0200-00005F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1086</xdr:row>
      <xdr:rowOff>0</xdr:rowOff>
    </xdr:from>
    <xdr:ext cx="200025" cy="200025"/>
    <xdr:pic>
      <xdr:nvPicPr>
        <xdr:cNvPr id="1632" name="image12.png">
          <a:extLst>
            <a:ext uri="{FF2B5EF4-FFF2-40B4-BE49-F238E27FC236}">
              <a16:creationId xmlns:a16="http://schemas.microsoft.com/office/drawing/2014/main" id="{00000000-0008-0000-0200-000060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1087</xdr:row>
      <xdr:rowOff>0</xdr:rowOff>
    </xdr:from>
    <xdr:ext cx="200025" cy="200025"/>
    <xdr:pic>
      <xdr:nvPicPr>
        <xdr:cNvPr id="1633" name="image4.png">
          <a:extLst>
            <a:ext uri="{FF2B5EF4-FFF2-40B4-BE49-F238E27FC236}">
              <a16:creationId xmlns:a16="http://schemas.microsoft.com/office/drawing/2014/main" id="{00000000-0008-0000-0200-000061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1088</xdr:row>
      <xdr:rowOff>0</xdr:rowOff>
    </xdr:from>
    <xdr:ext cx="200025" cy="200025"/>
    <xdr:pic>
      <xdr:nvPicPr>
        <xdr:cNvPr id="1634" name="image6.png">
          <a:extLst>
            <a:ext uri="{FF2B5EF4-FFF2-40B4-BE49-F238E27FC236}">
              <a16:creationId xmlns:a16="http://schemas.microsoft.com/office/drawing/2014/main" id="{00000000-0008-0000-0200-000062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1089</xdr:row>
      <xdr:rowOff>0</xdr:rowOff>
    </xdr:from>
    <xdr:ext cx="200025" cy="200025"/>
    <xdr:pic>
      <xdr:nvPicPr>
        <xdr:cNvPr id="1635" name="image10.png">
          <a:extLst>
            <a:ext uri="{FF2B5EF4-FFF2-40B4-BE49-F238E27FC236}">
              <a16:creationId xmlns:a16="http://schemas.microsoft.com/office/drawing/2014/main" id="{00000000-0008-0000-0200-00006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1089</xdr:row>
      <xdr:rowOff>0</xdr:rowOff>
    </xdr:from>
    <xdr:ext cx="200025" cy="200025"/>
    <xdr:pic>
      <xdr:nvPicPr>
        <xdr:cNvPr id="1636" name="image9.png">
          <a:extLst>
            <a:ext uri="{FF2B5EF4-FFF2-40B4-BE49-F238E27FC236}">
              <a16:creationId xmlns:a16="http://schemas.microsoft.com/office/drawing/2014/main" id="{00000000-0008-0000-0200-000064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1089</xdr:row>
      <xdr:rowOff>0</xdr:rowOff>
    </xdr:from>
    <xdr:ext cx="200025" cy="200025"/>
    <xdr:pic>
      <xdr:nvPicPr>
        <xdr:cNvPr id="1637" name="image3.png">
          <a:extLst>
            <a:ext uri="{FF2B5EF4-FFF2-40B4-BE49-F238E27FC236}">
              <a16:creationId xmlns:a16="http://schemas.microsoft.com/office/drawing/2014/main" id="{00000000-0008-0000-0200-000065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1090</xdr:row>
      <xdr:rowOff>0</xdr:rowOff>
    </xdr:from>
    <xdr:ext cx="200025" cy="200025"/>
    <xdr:pic>
      <xdr:nvPicPr>
        <xdr:cNvPr id="1638" name="image9.png">
          <a:extLst>
            <a:ext uri="{FF2B5EF4-FFF2-40B4-BE49-F238E27FC236}">
              <a16:creationId xmlns:a16="http://schemas.microsoft.com/office/drawing/2014/main" id="{00000000-0008-0000-0200-000066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1091</xdr:row>
      <xdr:rowOff>0</xdr:rowOff>
    </xdr:from>
    <xdr:ext cx="200025" cy="200025"/>
    <xdr:pic>
      <xdr:nvPicPr>
        <xdr:cNvPr id="1639" name="image9.png">
          <a:extLst>
            <a:ext uri="{FF2B5EF4-FFF2-40B4-BE49-F238E27FC236}">
              <a16:creationId xmlns:a16="http://schemas.microsoft.com/office/drawing/2014/main" id="{00000000-0008-0000-0200-000067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1094</xdr:row>
      <xdr:rowOff>0</xdr:rowOff>
    </xdr:from>
    <xdr:ext cx="200025" cy="200025"/>
    <xdr:pic>
      <xdr:nvPicPr>
        <xdr:cNvPr id="1640" name="image8.png">
          <a:extLst>
            <a:ext uri="{FF2B5EF4-FFF2-40B4-BE49-F238E27FC236}">
              <a16:creationId xmlns:a16="http://schemas.microsoft.com/office/drawing/2014/main" id="{00000000-0008-0000-0200-000068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1094</xdr:row>
      <xdr:rowOff>0</xdr:rowOff>
    </xdr:from>
    <xdr:ext cx="200025" cy="200025"/>
    <xdr:pic>
      <xdr:nvPicPr>
        <xdr:cNvPr id="1641" name="image1.png">
          <a:extLst>
            <a:ext uri="{FF2B5EF4-FFF2-40B4-BE49-F238E27FC236}">
              <a16:creationId xmlns:a16="http://schemas.microsoft.com/office/drawing/2014/main" id="{00000000-0008-0000-0200-000069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1094</xdr:row>
      <xdr:rowOff>0</xdr:rowOff>
    </xdr:from>
    <xdr:ext cx="200025" cy="200025"/>
    <xdr:pic>
      <xdr:nvPicPr>
        <xdr:cNvPr id="1642" name="image3.png">
          <a:extLst>
            <a:ext uri="{FF2B5EF4-FFF2-40B4-BE49-F238E27FC236}">
              <a16:creationId xmlns:a16="http://schemas.microsoft.com/office/drawing/2014/main" id="{00000000-0008-0000-0200-00006A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1094</xdr:row>
      <xdr:rowOff>0</xdr:rowOff>
    </xdr:from>
    <xdr:ext cx="200025" cy="200025"/>
    <xdr:pic>
      <xdr:nvPicPr>
        <xdr:cNvPr id="1643" name="image1.png">
          <a:extLst>
            <a:ext uri="{FF2B5EF4-FFF2-40B4-BE49-F238E27FC236}">
              <a16:creationId xmlns:a16="http://schemas.microsoft.com/office/drawing/2014/main" id="{00000000-0008-0000-0200-00006B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1095</xdr:row>
      <xdr:rowOff>0</xdr:rowOff>
    </xdr:from>
    <xdr:ext cx="200025" cy="200025"/>
    <xdr:pic>
      <xdr:nvPicPr>
        <xdr:cNvPr id="1644" name="image1.png">
          <a:extLst>
            <a:ext uri="{FF2B5EF4-FFF2-40B4-BE49-F238E27FC236}">
              <a16:creationId xmlns:a16="http://schemas.microsoft.com/office/drawing/2014/main" id="{00000000-0008-0000-0200-00006C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1096</xdr:row>
      <xdr:rowOff>0</xdr:rowOff>
    </xdr:from>
    <xdr:ext cx="200025" cy="200025"/>
    <xdr:pic>
      <xdr:nvPicPr>
        <xdr:cNvPr id="1645" name="image1.png">
          <a:extLst>
            <a:ext uri="{FF2B5EF4-FFF2-40B4-BE49-F238E27FC236}">
              <a16:creationId xmlns:a16="http://schemas.microsoft.com/office/drawing/2014/main" id="{00000000-0008-0000-0200-00006D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1097</xdr:row>
      <xdr:rowOff>0</xdr:rowOff>
    </xdr:from>
    <xdr:ext cx="200025" cy="200025"/>
    <xdr:pic>
      <xdr:nvPicPr>
        <xdr:cNvPr id="1646" name="image10.png">
          <a:extLst>
            <a:ext uri="{FF2B5EF4-FFF2-40B4-BE49-F238E27FC236}">
              <a16:creationId xmlns:a16="http://schemas.microsoft.com/office/drawing/2014/main" id="{00000000-0008-0000-0200-00006E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1097</xdr:row>
      <xdr:rowOff>0</xdr:rowOff>
    </xdr:from>
    <xdr:ext cx="200025" cy="200025"/>
    <xdr:pic>
      <xdr:nvPicPr>
        <xdr:cNvPr id="1647" name="image2.png">
          <a:extLst>
            <a:ext uri="{FF2B5EF4-FFF2-40B4-BE49-F238E27FC236}">
              <a16:creationId xmlns:a16="http://schemas.microsoft.com/office/drawing/2014/main" id="{00000000-0008-0000-0200-00006F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1097</xdr:row>
      <xdr:rowOff>0</xdr:rowOff>
    </xdr:from>
    <xdr:ext cx="200025" cy="200025"/>
    <xdr:pic>
      <xdr:nvPicPr>
        <xdr:cNvPr id="1648" name="image7.png">
          <a:extLst>
            <a:ext uri="{FF2B5EF4-FFF2-40B4-BE49-F238E27FC236}">
              <a16:creationId xmlns:a16="http://schemas.microsoft.com/office/drawing/2014/main" id="{00000000-0008-0000-0200-000070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1099</xdr:row>
      <xdr:rowOff>0</xdr:rowOff>
    </xdr:from>
    <xdr:ext cx="200025" cy="200025"/>
    <xdr:pic>
      <xdr:nvPicPr>
        <xdr:cNvPr id="1649" name="image8.png">
          <a:extLst>
            <a:ext uri="{FF2B5EF4-FFF2-40B4-BE49-F238E27FC236}">
              <a16:creationId xmlns:a16="http://schemas.microsoft.com/office/drawing/2014/main" id="{00000000-0008-0000-0200-000071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1099</xdr:row>
      <xdr:rowOff>0</xdr:rowOff>
    </xdr:from>
    <xdr:ext cx="200025" cy="200025"/>
    <xdr:pic>
      <xdr:nvPicPr>
        <xdr:cNvPr id="1650" name="image2.png">
          <a:extLst>
            <a:ext uri="{FF2B5EF4-FFF2-40B4-BE49-F238E27FC236}">
              <a16:creationId xmlns:a16="http://schemas.microsoft.com/office/drawing/2014/main" id="{00000000-0008-0000-0200-000072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1099</xdr:row>
      <xdr:rowOff>0</xdr:rowOff>
    </xdr:from>
    <xdr:ext cx="200025" cy="200025"/>
    <xdr:pic>
      <xdr:nvPicPr>
        <xdr:cNvPr id="1651" name="image11.png">
          <a:extLst>
            <a:ext uri="{FF2B5EF4-FFF2-40B4-BE49-F238E27FC236}">
              <a16:creationId xmlns:a16="http://schemas.microsoft.com/office/drawing/2014/main" id="{00000000-0008-0000-0200-000073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1100</xdr:row>
      <xdr:rowOff>0</xdr:rowOff>
    </xdr:from>
    <xdr:ext cx="200025" cy="200025"/>
    <xdr:pic>
      <xdr:nvPicPr>
        <xdr:cNvPr id="1652" name="image2.png">
          <a:extLst>
            <a:ext uri="{FF2B5EF4-FFF2-40B4-BE49-F238E27FC236}">
              <a16:creationId xmlns:a16="http://schemas.microsoft.com/office/drawing/2014/main" id="{00000000-0008-0000-0200-000074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1101</xdr:row>
      <xdr:rowOff>0</xdr:rowOff>
    </xdr:from>
    <xdr:ext cx="200025" cy="200025"/>
    <xdr:pic>
      <xdr:nvPicPr>
        <xdr:cNvPr id="1653" name="image2.png">
          <a:extLst>
            <a:ext uri="{FF2B5EF4-FFF2-40B4-BE49-F238E27FC236}">
              <a16:creationId xmlns:a16="http://schemas.microsoft.com/office/drawing/2014/main" id="{00000000-0008-0000-0200-000075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1102</xdr:row>
      <xdr:rowOff>0</xdr:rowOff>
    </xdr:from>
    <xdr:ext cx="200025" cy="200025"/>
    <xdr:pic>
      <xdr:nvPicPr>
        <xdr:cNvPr id="1654" name="image8.png">
          <a:extLst>
            <a:ext uri="{FF2B5EF4-FFF2-40B4-BE49-F238E27FC236}">
              <a16:creationId xmlns:a16="http://schemas.microsoft.com/office/drawing/2014/main" id="{00000000-0008-0000-0200-00007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1102</xdr:row>
      <xdr:rowOff>0</xdr:rowOff>
    </xdr:from>
    <xdr:ext cx="200025" cy="200025"/>
    <xdr:pic>
      <xdr:nvPicPr>
        <xdr:cNvPr id="1655" name="image6.png">
          <a:extLst>
            <a:ext uri="{FF2B5EF4-FFF2-40B4-BE49-F238E27FC236}">
              <a16:creationId xmlns:a16="http://schemas.microsoft.com/office/drawing/2014/main" id="{00000000-0008-0000-0200-000077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1102</xdr:row>
      <xdr:rowOff>0</xdr:rowOff>
    </xdr:from>
    <xdr:ext cx="200025" cy="200025"/>
    <xdr:pic>
      <xdr:nvPicPr>
        <xdr:cNvPr id="1656" name="image4.png">
          <a:extLst>
            <a:ext uri="{FF2B5EF4-FFF2-40B4-BE49-F238E27FC236}">
              <a16:creationId xmlns:a16="http://schemas.microsoft.com/office/drawing/2014/main" id="{00000000-0008-0000-0200-000078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1103</xdr:row>
      <xdr:rowOff>0</xdr:rowOff>
    </xdr:from>
    <xdr:ext cx="200025" cy="200025"/>
    <xdr:pic>
      <xdr:nvPicPr>
        <xdr:cNvPr id="1657" name="image9.png">
          <a:extLst>
            <a:ext uri="{FF2B5EF4-FFF2-40B4-BE49-F238E27FC236}">
              <a16:creationId xmlns:a16="http://schemas.microsoft.com/office/drawing/2014/main" id="{00000000-0008-0000-0200-000079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1104</xdr:row>
      <xdr:rowOff>0</xdr:rowOff>
    </xdr:from>
    <xdr:ext cx="200025" cy="200025"/>
    <xdr:pic>
      <xdr:nvPicPr>
        <xdr:cNvPr id="1658" name="image9.png">
          <a:extLst>
            <a:ext uri="{FF2B5EF4-FFF2-40B4-BE49-F238E27FC236}">
              <a16:creationId xmlns:a16="http://schemas.microsoft.com/office/drawing/2014/main" id="{00000000-0008-0000-0200-00007A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1107</xdr:row>
      <xdr:rowOff>0</xdr:rowOff>
    </xdr:from>
    <xdr:ext cx="200025" cy="200025"/>
    <xdr:pic>
      <xdr:nvPicPr>
        <xdr:cNvPr id="1659" name="image10.png">
          <a:extLst>
            <a:ext uri="{FF2B5EF4-FFF2-40B4-BE49-F238E27FC236}">
              <a16:creationId xmlns:a16="http://schemas.microsoft.com/office/drawing/2014/main" id="{00000000-0008-0000-0200-00007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1107</xdr:row>
      <xdr:rowOff>0</xdr:rowOff>
    </xdr:from>
    <xdr:ext cx="200025" cy="200025"/>
    <xdr:pic>
      <xdr:nvPicPr>
        <xdr:cNvPr id="1660" name="image9.png">
          <a:extLst>
            <a:ext uri="{FF2B5EF4-FFF2-40B4-BE49-F238E27FC236}">
              <a16:creationId xmlns:a16="http://schemas.microsoft.com/office/drawing/2014/main" id="{00000000-0008-0000-0200-00007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1107</xdr:row>
      <xdr:rowOff>0</xdr:rowOff>
    </xdr:from>
    <xdr:ext cx="200025" cy="200025"/>
    <xdr:pic>
      <xdr:nvPicPr>
        <xdr:cNvPr id="1661" name="image7.png">
          <a:extLst>
            <a:ext uri="{FF2B5EF4-FFF2-40B4-BE49-F238E27FC236}">
              <a16:creationId xmlns:a16="http://schemas.microsoft.com/office/drawing/2014/main" id="{00000000-0008-0000-0200-00007D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1107</xdr:row>
      <xdr:rowOff>0</xdr:rowOff>
    </xdr:from>
    <xdr:ext cx="200025" cy="200025"/>
    <xdr:pic>
      <xdr:nvPicPr>
        <xdr:cNvPr id="1662" name="image8.png">
          <a:extLst>
            <a:ext uri="{FF2B5EF4-FFF2-40B4-BE49-F238E27FC236}">
              <a16:creationId xmlns:a16="http://schemas.microsoft.com/office/drawing/2014/main" id="{00000000-0008-0000-0200-00007E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1108</xdr:row>
      <xdr:rowOff>0</xdr:rowOff>
    </xdr:from>
    <xdr:ext cx="200025" cy="200025"/>
    <xdr:pic>
      <xdr:nvPicPr>
        <xdr:cNvPr id="1663" name="image8.png">
          <a:extLst>
            <a:ext uri="{FF2B5EF4-FFF2-40B4-BE49-F238E27FC236}">
              <a16:creationId xmlns:a16="http://schemas.microsoft.com/office/drawing/2014/main" id="{00000000-0008-0000-0200-00007F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1109</xdr:row>
      <xdr:rowOff>0</xdr:rowOff>
    </xdr:from>
    <xdr:ext cx="200025" cy="200025"/>
    <xdr:pic>
      <xdr:nvPicPr>
        <xdr:cNvPr id="1664" name="image8.png">
          <a:extLst>
            <a:ext uri="{FF2B5EF4-FFF2-40B4-BE49-F238E27FC236}">
              <a16:creationId xmlns:a16="http://schemas.microsoft.com/office/drawing/2014/main" id="{00000000-0008-0000-0200-00008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1110</xdr:row>
      <xdr:rowOff>0</xdr:rowOff>
    </xdr:from>
    <xdr:ext cx="200025" cy="200025"/>
    <xdr:pic>
      <xdr:nvPicPr>
        <xdr:cNvPr id="1665" name="image10.png">
          <a:extLst>
            <a:ext uri="{FF2B5EF4-FFF2-40B4-BE49-F238E27FC236}">
              <a16:creationId xmlns:a16="http://schemas.microsoft.com/office/drawing/2014/main" id="{00000000-0008-0000-0200-00008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1110</xdr:row>
      <xdr:rowOff>0</xdr:rowOff>
    </xdr:from>
    <xdr:ext cx="200025" cy="200025"/>
    <xdr:pic>
      <xdr:nvPicPr>
        <xdr:cNvPr id="1666" name="image2.png">
          <a:extLst>
            <a:ext uri="{FF2B5EF4-FFF2-40B4-BE49-F238E27FC236}">
              <a16:creationId xmlns:a16="http://schemas.microsoft.com/office/drawing/2014/main" id="{00000000-0008-0000-0200-000082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1110</xdr:row>
      <xdr:rowOff>0</xdr:rowOff>
    </xdr:from>
    <xdr:ext cx="200025" cy="200025"/>
    <xdr:pic>
      <xdr:nvPicPr>
        <xdr:cNvPr id="1667" name="image12.png">
          <a:extLst>
            <a:ext uri="{FF2B5EF4-FFF2-40B4-BE49-F238E27FC236}">
              <a16:creationId xmlns:a16="http://schemas.microsoft.com/office/drawing/2014/main" id="{00000000-0008-0000-0200-000083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1110</xdr:row>
      <xdr:rowOff>0</xdr:rowOff>
    </xdr:from>
    <xdr:ext cx="200025" cy="200025"/>
    <xdr:pic>
      <xdr:nvPicPr>
        <xdr:cNvPr id="1668" name="image8.png">
          <a:extLst>
            <a:ext uri="{FF2B5EF4-FFF2-40B4-BE49-F238E27FC236}">
              <a16:creationId xmlns:a16="http://schemas.microsoft.com/office/drawing/2014/main" id="{00000000-0008-0000-0200-000084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1111</xdr:row>
      <xdr:rowOff>0</xdr:rowOff>
    </xdr:from>
    <xdr:ext cx="200025" cy="200025"/>
    <xdr:pic>
      <xdr:nvPicPr>
        <xdr:cNvPr id="1669" name="image8.png">
          <a:extLst>
            <a:ext uri="{FF2B5EF4-FFF2-40B4-BE49-F238E27FC236}">
              <a16:creationId xmlns:a16="http://schemas.microsoft.com/office/drawing/2014/main" id="{00000000-0008-0000-0200-00008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1112</xdr:row>
      <xdr:rowOff>0</xdr:rowOff>
    </xdr:from>
    <xdr:ext cx="200025" cy="200025"/>
    <xdr:pic>
      <xdr:nvPicPr>
        <xdr:cNvPr id="1670" name="image8.png">
          <a:extLst>
            <a:ext uri="{FF2B5EF4-FFF2-40B4-BE49-F238E27FC236}">
              <a16:creationId xmlns:a16="http://schemas.microsoft.com/office/drawing/2014/main" id="{00000000-0008-0000-0200-00008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1114</xdr:row>
      <xdr:rowOff>0</xdr:rowOff>
    </xdr:from>
    <xdr:ext cx="200025" cy="200025"/>
    <xdr:pic>
      <xdr:nvPicPr>
        <xdr:cNvPr id="1671" name="image10.png">
          <a:extLst>
            <a:ext uri="{FF2B5EF4-FFF2-40B4-BE49-F238E27FC236}">
              <a16:creationId xmlns:a16="http://schemas.microsoft.com/office/drawing/2014/main" id="{00000000-0008-0000-0200-000087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1114</xdr:row>
      <xdr:rowOff>0</xdr:rowOff>
    </xdr:from>
    <xdr:ext cx="200025" cy="200025"/>
    <xdr:pic>
      <xdr:nvPicPr>
        <xdr:cNvPr id="1672" name="image6.png">
          <a:extLst>
            <a:ext uri="{FF2B5EF4-FFF2-40B4-BE49-F238E27FC236}">
              <a16:creationId xmlns:a16="http://schemas.microsoft.com/office/drawing/2014/main" id="{00000000-0008-0000-0200-000088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1114</xdr:row>
      <xdr:rowOff>0</xdr:rowOff>
    </xdr:from>
    <xdr:ext cx="200025" cy="200025"/>
    <xdr:pic>
      <xdr:nvPicPr>
        <xdr:cNvPr id="1673" name="image5.png">
          <a:extLst>
            <a:ext uri="{FF2B5EF4-FFF2-40B4-BE49-F238E27FC236}">
              <a16:creationId xmlns:a16="http://schemas.microsoft.com/office/drawing/2014/main" id="{00000000-0008-0000-0200-000089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1115</xdr:row>
      <xdr:rowOff>0</xdr:rowOff>
    </xdr:from>
    <xdr:ext cx="200025" cy="200025"/>
    <xdr:pic>
      <xdr:nvPicPr>
        <xdr:cNvPr id="1674" name="image8.png">
          <a:extLst>
            <a:ext uri="{FF2B5EF4-FFF2-40B4-BE49-F238E27FC236}">
              <a16:creationId xmlns:a16="http://schemas.microsoft.com/office/drawing/2014/main" id="{00000000-0008-0000-0200-00008A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1116</xdr:row>
      <xdr:rowOff>0</xdr:rowOff>
    </xdr:from>
    <xdr:ext cx="200025" cy="200025"/>
    <xdr:pic>
      <xdr:nvPicPr>
        <xdr:cNvPr id="1675" name="image8.png">
          <a:extLst>
            <a:ext uri="{FF2B5EF4-FFF2-40B4-BE49-F238E27FC236}">
              <a16:creationId xmlns:a16="http://schemas.microsoft.com/office/drawing/2014/main" id="{00000000-0008-0000-0200-00008B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1117</xdr:row>
      <xdr:rowOff>0</xdr:rowOff>
    </xdr:from>
    <xdr:ext cx="200025" cy="200025"/>
    <xdr:pic>
      <xdr:nvPicPr>
        <xdr:cNvPr id="1676" name="image10.png">
          <a:extLst>
            <a:ext uri="{FF2B5EF4-FFF2-40B4-BE49-F238E27FC236}">
              <a16:creationId xmlns:a16="http://schemas.microsoft.com/office/drawing/2014/main" id="{00000000-0008-0000-0200-00008C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1117</xdr:row>
      <xdr:rowOff>0</xdr:rowOff>
    </xdr:from>
    <xdr:ext cx="200025" cy="200025"/>
    <xdr:pic>
      <xdr:nvPicPr>
        <xdr:cNvPr id="1677" name="image6.png">
          <a:extLst>
            <a:ext uri="{FF2B5EF4-FFF2-40B4-BE49-F238E27FC236}">
              <a16:creationId xmlns:a16="http://schemas.microsoft.com/office/drawing/2014/main" id="{00000000-0008-0000-0200-00008D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1117</xdr:row>
      <xdr:rowOff>0</xdr:rowOff>
    </xdr:from>
    <xdr:ext cx="200025" cy="200025"/>
    <xdr:pic>
      <xdr:nvPicPr>
        <xdr:cNvPr id="1678" name="image12.png">
          <a:extLst>
            <a:ext uri="{FF2B5EF4-FFF2-40B4-BE49-F238E27FC236}">
              <a16:creationId xmlns:a16="http://schemas.microsoft.com/office/drawing/2014/main" id="{00000000-0008-0000-0200-00008E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1117</xdr:row>
      <xdr:rowOff>0</xdr:rowOff>
    </xdr:from>
    <xdr:ext cx="200025" cy="200025"/>
    <xdr:pic>
      <xdr:nvPicPr>
        <xdr:cNvPr id="1679" name="image9.png">
          <a:extLst>
            <a:ext uri="{FF2B5EF4-FFF2-40B4-BE49-F238E27FC236}">
              <a16:creationId xmlns:a16="http://schemas.microsoft.com/office/drawing/2014/main" id="{00000000-0008-0000-0200-00008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1118</xdr:row>
      <xdr:rowOff>0</xdr:rowOff>
    </xdr:from>
    <xdr:ext cx="200025" cy="200025"/>
    <xdr:pic>
      <xdr:nvPicPr>
        <xdr:cNvPr id="1680" name="image9.png">
          <a:extLst>
            <a:ext uri="{FF2B5EF4-FFF2-40B4-BE49-F238E27FC236}">
              <a16:creationId xmlns:a16="http://schemas.microsoft.com/office/drawing/2014/main" id="{00000000-0008-0000-0200-00009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1119</xdr:row>
      <xdr:rowOff>0</xdr:rowOff>
    </xdr:from>
    <xdr:ext cx="200025" cy="200025"/>
    <xdr:pic>
      <xdr:nvPicPr>
        <xdr:cNvPr id="1681" name="image9.png">
          <a:extLst>
            <a:ext uri="{FF2B5EF4-FFF2-40B4-BE49-F238E27FC236}">
              <a16:creationId xmlns:a16="http://schemas.microsoft.com/office/drawing/2014/main" id="{00000000-0008-0000-0200-000091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1120</xdr:row>
      <xdr:rowOff>0</xdr:rowOff>
    </xdr:from>
    <xdr:ext cx="200025" cy="200025"/>
    <xdr:pic>
      <xdr:nvPicPr>
        <xdr:cNvPr id="1682" name="image8.png">
          <a:extLst>
            <a:ext uri="{FF2B5EF4-FFF2-40B4-BE49-F238E27FC236}">
              <a16:creationId xmlns:a16="http://schemas.microsoft.com/office/drawing/2014/main" id="{00000000-0008-0000-0200-000092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1120</xdr:row>
      <xdr:rowOff>0</xdr:rowOff>
    </xdr:from>
    <xdr:ext cx="200025" cy="200025"/>
    <xdr:pic>
      <xdr:nvPicPr>
        <xdr:cNvPr id="1683" name="image1.png">
          <a:extLst>
            <a:ext uri="{FF2B5EF4-FFF2-40B4-BE49-F238E27FC236}">
              <a16:creationId xmlns:a16="http://schemas.microsoft.com/office/drawing/2014/main" id="{00000000-0008-0000-0200-000093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1120</xdr:row>
      <xdr:rowOff>0</xdr:rowOff>
    </xdr:from>
    <xdr:ext cx="200025" cy="200025"/>
    <xdr:pic>
      <xdr:nvPicPr>
        <xdr:cNvPr id="1684" name="image11.png">
          <a:extLst>
            <a:ext uri="{FF2B5EF4-FFF2-40B4-BE49-F238E27FC236}">
              <a16:creationId xmlns:a16="http://schemas.microsoft.com/office/drawing/2014/main" id="{00000000-0008-0000-0200-000094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1120</xdr:row>
      <xdr:rowOff>0</xdr:rowOff>
    </xdr:from>
    <xdr:ext cx="200025" cy="200025"/>
    <xdr:pic>
      <xdr:nvPicPr>
        <xdr:cNvPr id="1685" name="image6.png">
          <a:extLst>
            <a:ext uri="{FF2B5EF4-FFF2-40B4-BE49-F238E27FC236}">
              <a16:creationId xmlns:a16="http://schemas.microsoft.com/office/drawing/2014/main" id="{00000000-0008-0000-0200-000095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1121</xdr:row>
      <xdr:rowOff>0</xdr:rowOff>
    </xdr:from>
    <xdr:ext cx="200025" cy="200025"/>
    <xdr:pic>
      <xdr:nvPicPr>
        <xdr:cNvPr id="1686" name="image6.png">
          <a:extLst>
            <a:ext uri="{FF2B5EF4-FFF2-40B4-BE49-F238E27FC236}">
              <a16:creationId xmlns:a16="http://schemas.microsoft.com/office/drawing/2014/main" id="{00000000-0008-0000-0200-000096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1124</xdr:row>
      <xdr:rowOff>0</xdr:rowOff>
    </xdr:from>
    <xdr:ext cx="200025" cy="200025"/>
    <xdr:pic>
      <xdr:nvPicPr>
        <xdr:cNvPr id="1687" name="image8.png">
          <a:extLst>
            <a:ext uri="{FF2B5EF4-FFF2-40B4-BE49-F238E27FC236}">
              <a16:creationId xmlns:a16="http://schemas.microsoft.com/office/drawing/2014/main" id="{00000000-0008-0000-0200-000097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1124</xdr:row>
      <xdr:rowOff>0</xdr:rowOff>
    </xdr:from>
    <xdr:ext cx="200025" cy="200025"/>
    <xdr:pic>
      <xdr:nvPicPr>
        <xdr:cNvPr id="1688" name="image1.png">
          <a:extLst>
            <a:ext uri="{FF2B5EF4-FFF2-40B4-BE49-F238E27FC236}">
              <a16:creationId xmlns:a16="http://schemas.microsoft.com/office/drawing/2014/main" id="{00000000-0008-0000-0200-000098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1124</xdr:row>
      <xdr:rowOff>0</xdr:rowOff>
    </xdr:from>
    <xdr:ext cx="200025" cy="200025"/>
    <xdr:pic>
      <xdr:nvPicPr>
        <xdr:cNvPr id="1689" name="image4.png">
          <a:extLst>
            <a:ext uri="{FF2B5EF4-FFF2-40B4-BE49-F238E27FC236}">
              <a16:creationId xmlns:a16="http://schemas.microsoft.com/office/drawing/2014/main" id="{00000000-0008-0000-0200-000099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1125</xdr:row>
      <xdr:rowOff>0</xdr:rowOff>
    </xdr:from>
    <xdr:ext cx="200025" cy="200025"/>
    <xdr:pic>
      <xdr:nvPicPr>
        <xdr:cNvPr id="1690" name="image2.png">
          <a:extLst>
            <a:ext uri="{FF2B5EF4-FFF2-40B4-BE49-F238E27FC236}">
              <a16:creationId xmlns:a16="http://schemas.microsoft.com/office/drawing/2014/main" id="{00000000-0008-0000-0200-00009A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1126</xdr:row>
      <xdr:rowOff>0</xdr:rowOff>
    </xdr:from>
    <xdr:ext cx="200025" cy="200025"/>
    <xdr:pic>
      <xdr:nvPicPr>
        <xdr:cNvPr id="1691" name="image2.png">
          <a:extLst>
            <a:ext uri="{FF2B5EF4-FFF2-40B4-BE49-F238E27FC236}">
              <a16:creationId xmlns:a16="http://schemas.microsoft.com/office/drawing/2014/main" id="{00000000-0008-0000-0200-00009B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1127</xdr:row>
      <xdr:rowOff>0</xdr:rowOff>
    </xdr:from>
    <xdr:ext cx="200025" cy="200025"/>
    <xdr:pic>
      <xdr:nvPicPr>
        <xdr:cNvPr id="1692" name="image10.png">
          <a:extLst>
            <a:ext uri="{FF2B5EF4-FFF2-40B4-BE49-F238E27FC236}">
              <a16:creationId xmlns:a16="http://schemas.microsoft.com/office/drawing/2014/main" id="{00000000-0008-0000-0200-00009C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1127</xdr:row>
      <xdr:rowOff>0</xdr:rowOff>
    </xdr:from>
    <xdr:ext cx="200025" cy="200025"/>
    <xdr:pic>
      <xdr:nvPicPr>
        <xdr:cNvPr id="1693" name="image2.png">
          <a:extLst>
            <a:ext uri="{FF2B5EF4-FFF2-40B4-BE49-F238E27FC236}">
              <a16:creationId xmlns:a16="http://schemas.microsoft.com/office/drawing/2014/main" id="{00000000-0008-0000-0200-00009D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1127</xdr:row>
      <xdr:rowOff>0</xdr:rowOff>
    </xdr:from>
    <xdr:ext cx="200025" cy="200025"/>
    <xdr:pic>
      <xdr:nvPicPr>
        <xdr:cNvPr id="1694" name="image11.png">
          <a:extLst>
            <a:ext uri="{FF2B5EF4-FFF2-40B4-BE49-F238E27FC236}">
              <a16:creationId xmlns:a16="http://schemas.microsoft.com/office/drawing/2014/main" id="{00000000-0008-0000-0200-00009E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1128</xdr:row>
      <xdr:rowOff>0</xdr:rowOff>
    </xdr:from>
    <xdr:ext cx="200025" cy="200025"/>
    <xdr:pic>
      <xdr:nvPicPr>
        <xdr:cNvPr id="1695" name="image12.png">
          <a:extLst>
            <a:ext uri="{FF2B5EF4-FFF2-40B4-BE49-F238E27FC236}">
              <a16:creationId xmlns:a16="http://schemas.microsoft.com/office/drawing/2014/main" id="{00000000-0008-0000-0200-00009F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1129</xdr:row>
      <xdr:rowOff>0</xdr:rowOff>
    </xdr:from>
    <xdr:ext cx="200025" cy="200025"/>
    <xdr:pic>
      <xdr:nvPicPr>
        <xdr:cNvPr id="1696" name="image6.png">
          <a:extLst>
            <a:ext uri="{FF2B5EF4-FFF2-40B4-BE49-F238E27FC236}">
              <a16:creationId xmlns:a16="http://schemas.microsoft.com/office/drawing/2014/main" id="{00000000-0008-0000-0200-0000A0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1134</xdr:row>
      <xdr:rowOff>0</xdr:rowOff>
    </xdr:from>
    <xdr:ext cx="200025" cy="200025"/>
    <xdr:pic>
      <xdr:nvPicPr>
        <xdr:cNvPr id="1697" name="image10.png">
          <a:extLst>
            <a:ext uri="{FF2B5EF4-FFF2-40B4-BE49-F238E27FC236}">
              <a16:creationId xmlns:a16="http://schemas.microsoft.com/office/drawing/2014/main" id="{00000000-0008-0000-0200-0000A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1134</xdr:row>
      <xdr:rowOff>0</xdr:rowOff>
    </xdr:from>
    <xdr:ext cx="200025" cy="200025"/>
    <xdr:pic>
      <xdr:nvPicPr>
        <xdr:cNvPr id="1698" name="image1.png">
          <a:extLst>
            <a:ext uri="{FF2B5EF4-FFF2-40B4-BE49-F238E27FC236}">
              <a16:creationId xmlns:a16="http://schemas.microsoft.com/office/drawing/2014/main" id="{00000000-0008-0000-0200-0000A2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1134</xdr:row>
      <xdr:rowOff>0</xdr:rowOff>
    </xdr:from>
    <xdr:ext cx="200025" cy="200025"/>
    <xdr:pic>
      <xdr:nvPicPr>
        <xdr:cNvPr id="1699" name="image3.png">
          <a:extLst>
            <a:ext uri="{FF2B5EF4-FFF2-40B4-BE49-F238E27FC236}">
              <a16:creationId xmlns:a16="http://schemas.microsoft.com/office/drawing/2014/main" id="{00000000-0008-0000-0200-0000A3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1134</xdr:row>
      <xdr:rowOff>0</xdr:rowOff>
    </xdr:from>
    <xdr:ext cx="200025" cy="200025"/>
    <xdr:pic>
      <xdr:nvPicPr>
        <xdr:cNvPr id="1700" name="image11.png">
          <a:extLst>
            <a:ext uri="{FF2B5EF4-FFF2-40B4-BE49-F238E27FC236}">
              <a16:creationId xmlns:a16="http://schemas.microsoft.com/office/drawing/2014/main" id="{00000000-0008-0000-0200-0000A4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1134</xdr:row>
      <xdr:rowOff>0</xdr:rowOff>
    </xdr:from>
    <xdr:ext cx="200025" cy="200025"/>
    <xdr:pic>
      <xdr:nvPicPr>
        <xdr:cNvPr id="1701" name="image8.png">
          <a:extLst>
            <a:ext uri="{FF2B5EF4-FFF2-40B4-BE49-F238E27FC236}">
              <a16:creationId xmlns:a16="http://schemas.microsoft.com/office/drawing/2014/main" id="{00000000-0008-0000-0200-0000A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1135</xdr:row>
      <xdr:rowOff>0</xdr:rowOff>
    </xdr:from>
    <xdr:ext cx="200025" cy="200025"/>
    <xdr:pic>
      <xdr:nvPicPr>
        <xdr:cNvPr id="1702" name="image8.png">
          <a:extLst>
            <a:ext uri="{FF2B5EF4-FFF2-40B4-BE49-F238E27FC236}">
              <a16:creationId xmlns:a16="http://schemas.microsoft.com/office/drawing/2014/main" id="{00000000-0008-0000-0200-0000A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1136</xdr:row>
      <xdr:rowOff>0</xdr:rowOff>
    </xdr:from>
    <xdr:ext cx="200025" cy="200025"/>
    <xdr:pic>
      <xdr:nvPicPr>
        <xdr:cNvPr id="1703" name="image8.png">
          <a:extLst>
            <a:ext uri="{FF2B5EF4-FFF2-40B4-BE49-F238E27FC236}">
              <a16:creationId xmlns:a16="http://schemas.microsoft.com/office/drawing/2014/main" id="{00000000-0008-0000-0200-0000A7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1137</xdr:row>
      <xdr:rowOff>0</xdr:rowOff>
    </xdr:from>
    <xdr:ext cx="200025" cy="200025"/>
    <xdr:pic>
      <xdr:nvPicPr>
        <xdr:cNvPr id="1704" name="image8.png">
          <a:extLst>
            <a:ext uri="{FF2B5EF4-FFF2-40B4-BE49-F238E27FC236}">
              <a16:creationId xmlns:a16="http://schemas.microsoft.com/office/drawing/2014/main" id="{00000000-0008-0000-0200-0000A8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1137</xdr:row>
      <xdr:rowOff>0</xdr:rowOff>
    </xdr:from>
    <xdr:ext cx="200025" cy="200025"/>
    <xdr:pic>
      <xdr:nvPicPr>
        <xdr:cNvPr id="1705" name="image6.png">
          <a:extLst>
            <a:ext uri="{FF2B5EF4-FFF2-40B4-BE49-F238E27FC236}">
              <a16:creationId xmlns:a16="http://schemas.microsoft.com/office/drawing/2014/main" id="{00000000-0008-0000-0200-0000A9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1137</xdr:row>
      <xdr:rowOff>0</xdr:rowOff>
    </xdr:from>
    <xdr:ext cx="200025" cy="200025"/>
    <xdr:pic>
      <xdr:nvPicPr>
        <xdr:cNvPr id="1706" name="image12.png">
          <a:extLst>
            <a:ext uri="{FF2B5EF4-FFF2-40B4-BE49-F238E27FC236}">
              <a16:creationId xmlns:a16="http://schemas.microsoft.com/office/drawing/2014/main" id="{00000000-0008-0000-0200-0000AA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1137</xdr:row>
      <xdr:rowOff>0</xdr:rowOff>
    </xdr:from>
    <xdr:ext cx="200025" cy="200025"/>
    <xdr:pic>
      <xdr:nvPicPr>
        <xdr:cNvPr id="1707" name="image9.png">
          <a:extLst>
            <a:ext uri="{FF2B5EF4-FFF2-40B4-BE49-F238E27FC236}">
              <a16:creationId xmlns:a16="http://schemas.microsoft.com/office/drawing/2014/main" id="{00000000-0008-0000-0200-0000A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1139</xdr:row>
      <xdr:rowOff>0</xdr:rowOff>
    </xdr:from>
    <xdr:ext cx="200025" cy="200025"/>
    <xdr:pic>
      <xdr:nvPicPr>
        <xdr:cNvPr id="1708" name="image9.png">
          <a:extLst>
            <a:ext uri="{FF2B5EF4-FFF2-40B4-BE49-F238E27FC236}">
              <a16:creationId xmlns:a16="http://schemas.microsoft.com/office/drawing/2014/main" id="{00000000-0008-0000-0200-0000A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1141</xdr:row>
      <xdr:rowOff>0</xdr:rowOff>
    </xdr:from>
    <xdr:ext cx="200025" cy="200025"/>
    <xdr:pic>
      <xdr:nvPicPr>
        <xdr:cNvPr id="1709" name="image10.png">
          <a:extLst>
            <a:ext uri="{FF2B5EF4-FFF2-40B4-BE49-F238E27FC236}">
              <a16:creationId xmlns:a16="http://schemas.microsoft.com/office/drawing/2014/main" id="{00000000-0008-0000-0200-0000AD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1141</xdr:row>
      <xdr:rowOff>0</xdr:rowOff>
    </xdr:from>
    <xdr:ext cx="200025" cy="200025"/>
    <xdr:pic>
      <xdr:nvPicPr>
        <xdr:cNvPr id="1710" name="image9.png">
          <a:extLst>
            <a:ext uri="{FF2B5EF4-FFF2-40B4-BE49-F238E27FC236}">
              <a16:creationId xmlns:a16="http://schemas.microsoft.com/office/drawing/2014/main" id="{00000000-0008-0000-0200-0000A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1141</xdr:row>
      <xdr:rowOff>0</xdr:rowOff>
    </xdr:from>
    <xdr:ext cx="200025" cy="200025"/>
    <xdr:pic>
      <xdr:nvPicPr>
        <xdr:cNvPr id="1711" name="image5.png">
          <a:extLst>
            <a:ext uri="{FF2B5EF4-FFF2-40B4-BE49-F238E27FC236}">
              <a16:creationId xmlns:a16="http://schemas.microsoft.com/office/drawing/2014/main" id="{00000000-0008-0000-0200-0000AF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1141</xdr:row>
      <xdr:rowOff>0</xdr:rowOff>
    </xdr:from>
    <xdr:ext cx="200025" cy="200025"/>
    <xdr:pic>
      <xdr:nvPicPr>
        <xdr:cNvPr id="1712" name="image4.png">
          <a:extLst>
            <a:ext uri="{FF2B5EF4-FFF2-40B4-BE49-F238E27FC236}">
              <a16:creationId xmlns:a16="http://schemas.microsoft.com/office/drawing/2014/main" id="{00000000-0008-0000-0200-0000B0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1145</xdr:row>
      <xdr:rowOff>0</xdr:rowOff>
    </xdr:from>
    <xdr:ext cx="200025" cy="200025"/>
    <xdr:pic>
      <xdr:nvPicPr>
        <xdr:cNvPr id="1713" name="image10.png">
          <a:extLst>
            <a:ext uri="{FF2B5EF4-FFF2-40B4-BE49-F238E27FC236}">
              <a16:creationId xmlns:a16="http://schemas.microsoft.com/office/drawing/2014/main" id="{00000000-0008-0000-0200-0000B1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1145</xdr:row>
      <xdr:rowOff>0</xdr:rowOff>
    </xdr:from>
    <xdr:ext cx="200025" cy="200025"/>
    <xdr:pic>
      <xdr:nvPicPr>
        <xdr:cNvPr id="1714" name="image9.png">
          <a:extLst>
            <a:ext uri="{FF2B5EF4-FFF2-40B4-BE49-F238E27FC236}">
              <a16:creationId xmlns:a16="http://schemas.microsoft.com/office/drawing/2014/main" id="{00000000-0008-0000-0200-0000B2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1145</xdr:row>
      <xdr:rowOff>0</xdr:rowOff>
    </xdr:from>
    <xdr:ext cx="200025" cy="200025"/>
    <xdr:pic>
      <xdr:nvPicPr>
        <xdr:cNvPr id="1715" name="image7.png">
          <a:extLst>
            <a:ext uri="{FF2B5EF4-FFF2-40B4-BE49-F238E27FC236}">
              <a16:creationId xmlns:a16="http://schemas.microsoft.com/office/drawing/2014/main" id="{00000000-0008-0000-0200-0000B3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1145</xdr:row>
      <xdr:rowOff>0</xdr:rowOff>
    </xdr:from>
    <xdr:ext cx="200025" cy="200025"/>
    <xdr:pic>
      <xdr:nvPicPr>
        <xdr:cNvPr id="1716" name="image8.png">
          <a:extLst>
            <a:ext uri="{FF2B5EF4-FFF2-40B4-BE49-F238E27FC236}">
              <a16:creationId xmlns:a16="http://schemas.microsoft.com/office/drawing/2014/main" id="{00000000-0008-0000-0200-0000B4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1146</xdr:row>
      <xdr:rowOff>0</xdr:rowOff>
    </xdr:from>
    <xdr:ext cx="200025" cy="200025"/>
    <xdr:pic>
      <xdr:nvPicPr>
        <xdr:cNvPr id="1717" name="image8.png">
          <a:extLst>
            <a:ext uri="{FF2B5EF4-FFF2-40B4-BE49-F238E27FC236}">
              <a16:creationId xmlns:a16="http://schemas.microsoft.com/office/drawing/2014/main" id="{00000000-0008-0000-0200-0000B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1149</xdr:row>
      <xdr:rowOff>0</xdr:rowOff>
    </xdr:from>
    <xdr:ext cx="200025" cy="200025"/>
    <xdr:pic>
      <xdr:nvPicPr>
        <xdr:cNvPr id="1718" name="image8.png">
          <a:extLst>
            <a:ext uri="{FF2B5EF4-FFF2-40B4-BE49-F238E27FC236}">
              <a16:creationId xmlns:a16="http://schemas.microsoft.com/office/drawing/2014/main" id="{00000000-0008-0000-0200-0000B6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1149</xdr:row>
      <xdr:rowOff>0</xdr:rowOff>
    </xdr:from>
    <xdr:ext cx="200025" cy="200025"/>
    <xdr:pic>
      <xdr:nvPicPr>
        <xdr:cNvPr id="1719" name="image9.png">
          <a:extLst>
            <a:ext uri="{FF2B5EF4-FFF2-40B4-BE49-F238E27FC236}">
              <a16:creationId xmlns:a16="http://schemas.microsoft.com/office/drawing/2014/main" id="{00000000-0008-0000-0200-0000B7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1149</xdr:row>
      <xdr:rowOff>0</xdr:rowOff>
    </xdr:from>
    <xdr:ext cx="200025" cy="200025"/>
    <xdr:pic>
      <xdr:nvPicPr>
        <xdr:cNvPr id="1720" name="image12.png">
          <a:extLst>
            <a:ext uri="{FF2B5EF4-FFF2-40B4-BE49-F238E27FC236}">
              <a16:creationId xmlns:a16="http://schemas.microsoft.com/office/drawing/2014/main" id="{00000000-0008-0000-0200-0000B8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1149</xdr:row>
      <xdr:rowOff>0</xdr:rowOff>
    </xdr:from>
    <xdr:ext cx="200025" cy="200025"/>
    <xdr:pic>
      <xdr:nvPicPr>
        <xdr:cNvPr id="1721" name="image11.png">
          <a:extLst>
            <a:ext uri="{FF2B5EF4-FFF2-40B4-BE49-F238E27FC236}">
              <a16:creationId xmlns:a16="http://schemas.microsoft.com/office/drawing/2014/main" id="{00000000-0008-0000-0200-0000B9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1150</xdr:row>
      <xdr:rowOff>0</xdr:rowOff>
    </xdr:from>
    <xdr:ext cx="200025" cy="200025"/>
    <xdr:pic>
      <xdr:nvPicPr>
        <xdr:cNvPr id="1722" name="image10.png">
          <a:extLst>
            <a:ext uri="{FF2B5EF4-FFF2-40B4-BE49-F238E27FC236}">
              <a16:creationId xmlns:a16="http://schemas.microsoft.com/office/drawing/2014/main" id="{00000000-0008-0000-0200-0000BA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1151</xdr:row>
      <xdr:rowOff>0</xdr:rowOff>
    </xdr:from>
    <xdr:ext cx="200025" cy="200025"/>
    <xdr:pic>
      <xdr:nvPicPr>
        <xdr:cNvPr id="1723" name="image10.png">
          <a:extLst>
            <a:ext uri="{FF2B5EF4-FFF2-40B4-BE49-F238E27FC236}">
              <a16:creationId xmlns:a16="http://schemas.microsoft.com/office/drawing/2014/main" id="{00000000-0008-0000-0200-0000B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1152</xdr:row>
      <xdr:rowOff>0</xdr:rowOff>
    </xdr:from>
    <xdr:ext cx="200025" cy="200025"/>
    <xdr:pic>
      <xdr:nvPicPr>
        <xdr:cNvPr id="1724" name="image8.png">
          <a:extLst>
            <a:ext uri="{FF2B5EF4-FFF2-40B4-BE49-F238E27FC236}">
              <a16:creationId xmlns:a16="http://schemas.microsoft.com/office/drawing/2014/main" id="{00000000-0008-0000-0200-0000B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1152</xdr:row>
      <xdr:rowOff>0</xdr:rowOff>
    </xdr:from>
    <xdr:ext cx="200025" cy="200025"/>
    <xdr:pic>
      <xdr:nvPicPr>
        <xdr:cNvPr id="1725" name="image1.png">
          <a:extLst>
            <a:ext uri="{FF2B5EF4-FFF2-40B4-BE49-F238E27FC236}">
              <a16:creationId xmlns:a16="http://schemas.microsoft.com/office/drawing/2014/main" id="{00000000-0008-0000-0200-0000BD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1152</xdr:row>
      <xdr:rowOff>0</xdr:rowOff>
    </xdr:from>
    <xdr:ext cx="200025" cy="200025"/>
    <xdr:pic>
      <xdr:nvPicPr>
        <xdr:cNvPr id="1726" name="image5.png">
          <a:extLst>
            <a:ext uri="{FF2B5EF4-FFF2-40B4-BE49-F238E27FC236}">
              <a16:creationId xmlns:a16="http://schemas.microsoft.com/office/drawing/2014/main" id="{00000000-0008-0000-0200-0000BE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1153</xdr:row>
      <xdr:rowOff>0</xdr:rowOff>
    </xdr:from>
    <xdr:ext cx="200025" cy="200025"/>
    <xdr:pic>
      <xdr:nvPicPr>
        <xdr:cNvPr id="1727" name="image9.png">
          <a:extLst>
            <a:ext uri="{FF2B5EF4-FFF2-40B4-BE49-F238E27FC236}">
              <a16:creationId xmlns:a16="http://schemas.microsoft.com/office/drawing/2014/main" id="{00000000-0008-0000-0200-0000B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1154</xdr:row>
      <xdr:rowOff>0</xdr:rowOff>
    </xdr:from>
    <xdr:ext cx="200025" cy="200025"/>
    <xdr:pic>
      <xdr:nvPicPr>
        <xdr:cNvPr id="1728" name="image10.png">
          <a:extLst>
            <a:ext uri="{FF2B5EF4-FFF2-40B4-BE49-F238E27FC236}">
              <a16:creationId xmlns:a16="http://schemas.microsoft.com/office/drawing/2014/main" id="{00000000-0008-0000-0200-0000C0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1154</xdr:row>
      <xdr:rowOff>0</xdr:rowOff>
    </xdr:from>
    <xdr:ext cx="200025" cy="200025"/>
    <xdr:pic>
      <xdr:nvPicPr>
        <xdr:cNvPr id="1729" name="image2.png">
          <a:extLst>
            <a:ext uri="{FF2B5EF4-FFF2-40B4-BE49-F238E27FC236}">
              <a16:creationId xmlns:a16="http://schemas.microsoft.com/office/drawing/2014/main" id="{00000000-0008-0000-0200-0000C1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1154</xdr:row>
      <xdr:rowOff>0</xdr:rowOff>
    </xdr:from>
    <xdr:ext cx="200025" cy="200025"/>
    <xdr:pic>
      <xdr:nvPicPr>
        <xdr:cNvPr id="1730" name="image3.png">
          <a:extLst>
            <a:ext uri="{FF2B5EF4-FFF2-40B4-BE49-F238E27FC236}">
              <a16:creationId xmlns:a16="http://schemas.microsoft.com/office/drawing/2014/main" id="{00000000-0008-0000-0200-0000C2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1154</xdr:row>
      <xdr:rowOff>0</xdr:rowOff>
    </xdr:from>
    <xdr:ext cx="200025" cy="200025"/>
    <xdr:pic>
      <xdr:nvPicPr>
        <xdr:cNvPr id="1731" name="image9.png">
          <a:extLst>
            <a:ext uri="{FF2B5EF4-FFF2-40B4-BE49-F238E27FC236}">
              <a16:creationId xmlns:a16="http://schemas.microsoft.com/office/drawing/2014/main" id="{00000000-0008-0000-0200-0000C3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1155</xdr:row>
      <xdr:rowOff>0</xdr:rowOff>
    </xdr:from>
    <xdr:ext cx="200025" cy="200025"/>
    <xdr:pic>
      <xdr:nvPicPr>
        <xdr:cNvPr id="1732" name="image9.png">
          <a:extLst>
            <a:ext uri="{FF2B5EF4-FFF2-40B4-BE49-F238E27FC236}">
              <a16:creationId xmlns:a16="http://schemas.microsoft.com/office/drawing/2014/main" id="{00000000-0008-0000-0200-0000C4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1156</xdr:row>
      <xdr:rowOff>0</xdr:rowOff>
    </xdr:from>
    <xdr:ext cx="200025" cy="200025"/>
    <xdr:pic>
      <xdr:nvPicPr>
        <xdr:cNvPr id="1733" name="image8.png">
          <a:extLst>
            <a:ext uri="{FF2B5EF4-FFF2-40B4-BE49-F238E27FC236}">
              <a16:creationId xmlns:a16="http://schemas.microsoft.com/office/drawing/2014/main" id="{00000000-0008-0000-0200-0000C5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1156</xdr:row>
      <xdr:rowOff>0</xdr:rowOff>
    </xdr:from>
    <xdr:ext cx="200025" cy="200025"/>
    <xdr:pic>
      <xdr:nvPicPr>
        <xdr:cNvPr id="1734" name="image1.png">
          <a:extLst>
            <a:ext uri="{FF2B5EF4-FFF2-40B4-BE49-F238E27FC236}">
              <a16:creationId xmlns:a16="http://schemas.microsoft.com/office/drawing/2014/main" id="{00000000-0008-0000-0200-0000C6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1156</xdr:row>
      <xdr:rowOff>0</xdr:rowOff>
    </xdr:from>
    <xdr:ext cx="200025" cy="200025"/>
    <xdr:pic>
      <xdr:nvPicPr>
        <xdr:cNvPr id="1735" name="image4.png">
          <a:extLst>
            <a:ext uri="{FF2B5EF4-FFF2-40B4-BE49-F238E27FC236}">
              <a16:creationId xmlns:a16="http://schemas.microsoft.com/office/drawing/2014/main" id="{00000000-0008-0000-0200-0000C7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1156</xdr:row>
      <xdr:rowOff>0</xdr:rowOff>
    </xdr:from>
    <xdr:ext cx="200025" cy="200025"/>
    <xdr:pic>
      <xdr:nvPicPr>
        <xdr:cNvPr id="1736" name="image5.png">
          <a:extLst>
            <a:ext uri="{FF2B5EF4-FFF2-40B4-BE49-F238E27FC236}">
              <a16:creationId xmlns:a16="http://schemas.microsoft.com/office/drawing/2014/main" id="{00000000-0008-0000-0200-0000C8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1157</xdr:row>
      <xdr:rowOff>0</xdr:rowOff>
    </xdr:from>
    <xdr:ext cx="200025" cy="200025"/>
    <xdr:pic>
      <xdr:nvPicPr>
        <xdr:cNvPr id="1737" name="image2.png">
          <a:extLst>
            <a:ext uri="{FF2B5EF4-FFF2-40B4-BE49-F238E27FC236}">
              <a16:creationId xmlns:a16="http://schemas.microsoft.com/office/drawing/2014/main" id="{00000000-0008-0000-0200-0000C9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1158</xdr:row>
      <xdr:rowOff>0</xdr:rowOff>
    </xdr:from>
    <xdr:ext cx="200025" cy="200025"/>
    <xdr:pic>
      <xdr:nvPicPr>
        <xdr:cNvPr id="1738" name="image2.png">
          <a:extLst>
            <a:ext uri="{FF2B5EF4-FFF2-40B4-BE49-F238E27FC236}">
              <a16:creationId xmlns:a16="http://schemas.microsoft.com/office/drawing/2014/main" id="{00000000-0008-0000-0200-0000CA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1159</xdr:row>
      <xdr:rowOff>0</xdr:rowOff>
    </xdr:from>
    <xdr:ext cx="200025" cy="200025"/>
    <xdr:pic>
      <xdr:nvPicPr>
        <xdr:cNvPr id="1739" name="image10.png">
          <a:extLst>
            <a:ext uri="{FF2B5EF4-FFF2-40B4-BE49-F238E27FC236}">
              <a16:creationId xmlns:a16="http://schemas.microsoft.com/office/drawing/2014/main" id="{00000000-0008-0000-0200-0000C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1159</xdr:row>
      <xdr:rowOff>0</xdr:rowOff>
    </xdr:from>
    <xdr:ext cx="200025" cy="200025"/>
    <xdr:pic>
      <xdr:nvPicPr>
        <xdr:cNvPr id="1740" name="image9.png">
          <a:extLst>
            <a:ext uri="{FF2B5EF4-FFF2-40B4-BE49-F238E27FC236}">
              <a16:creationId xmlns:a16="http://schemas.microsoft.com/office/drawing/2014/main" id="{00000000-0008-0000-0200-0000CC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1159</xdr:row>
      <xdr:rowOff>0</xdr:rowOff>
    </xdr:from>
    <xdr:ext cx="200025" cy="200025"/>
    <xdr:pic>
      <xdr:nvPicPr>
        <xdr:cNvPr id="1741" name="image4.png">
          <a:extLst>
            <a:ext uri="{FF2B5EF4-FFF2-40B4-BE49-F238E27FC236}">
              <a16:creationId xmlns:a16="http://schemas.microsoft.com/office/drawing/2014/main" id="{00000000-0008-0000-0200-0000CD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1159</xdr:row>
      <xdr:rowOff>0</xdr:rowOff>
    </xdr:from>
    <xdr:ext cx="200025" cy="200025"/>
    <xdr:pic>
      <xdr:nvPicPr>
        <xdr:cNvPr id="1742" name="image9.png">
          <a:extLst>
            <a:ext uri="{FF2B5EF4-FFF2-40B4-BE49-F238E27FC236}">
              <a16:creationId xmlns:a16="http://schemas.microsoft.com/office/drawing/2014/main" id="{00000000-0008-0000-0200-0000C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1160</xdr:row>
      <xdr:rowOff>0</xdr:rowOff>
    </xdr:from>
    <xdr:ext cx="200025" cy="200025"/>
    <xdr:pic>
      <xdr:nvPicPr>
        <xdr:cNvPr id="1743" name="image9.png">
          <a:extLst>
            <a:ext uri="{FF2B5EF4-FFF2-40B4-BE49-F238E27FC236}">
              <a16:creationId xmlns:a16="http://schemas.microsoft.com/office/drawing/2014/main" id="{00000000-0008-0000-0200-0000C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1161</xdr:row>
      <xdr:rowOff>0</xdr:rowOff>
    </xdr:from>
    <xdr:ext cx="200025" cy="200025"/>
    <xdr:pic>
      <xdr:nvPicPr>
        <xdr:cNvPr id="1744" name="image10.png">
          <a:extLst>
            <a:ext uri="{FF2B5EF4-FFF2-40B4-BE49-F238E27FC236}">
              <a16:creationId xmlns:a16="http://schemas.microsoft.com/office/drawing/2014/main" id="{00000000-0008-0000-0200-0000D0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1161</xdr:row>
      <xdr:rowOff>0</xdr:rowOff>
    </xdr:from>
    <xdr:ext cx="200025" cy="200025"/>
    <xdr:pic>
      <xdr:nvPicPr>
        <xdr:cNvPr id="1745" name="image2.png">
          <a:extLst>
            <a:ext uri="{FF2B5EF4-FFF2-40B4-BE49-F238E27FC236}">
              <a16:creationId xmlns:a16="http://schemas.microsoft.com/office/drawing/2014/main" id="{00000000-0008-0000-0200-0000D1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1161</xdr:row>
      <xdr:rowOff>0</xdr:rowOff>
    </xdr:from>
    <xdr:ext cx="200025" cy="200025"/>
    <xdr:pic>
      <xdr:nvPicPr>
        <xdr:cNvPr id="1746" name="image12.png">
          <a:extLst>
            <a:ext uri="{FF2B5EF4-FFF2-40B4-BE49-F238E27FC236}">
              <a16:creationId xmlns:a16="http://schemas.microsoft.com/office/drawing/2014/main" id="{00000000-0008-0000-0200-0000D2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1161</xdr:row>
      <xdr:rowOff>0</xdr:rowOff>
    </xdr:from>
    <xdr:ext cx="200025" cy="200025"/>
    <xdr:pic>
      <xdr:nvPicPr>
        <xdr:cNvPr id="1747" name="image4.png">
          <a:extLst>
            <a:ext uri="{FF2B5EF4-FFF2-40B4-BE49-F238E27FC236}">
              <a16:creationId xmlns:a16="http://schemas.microsoft.com/office/drawing/2014/main" id="{00000000-0008-0000-0200-0000D3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1161</xdr:row>
      <xdr:rowOff>0</xdr:rowOff>
    </xdr:from>
    <xdr:ext cx="200025" cy="200025"/>
    <xdr:pic>
      <xdr:nvPicPr>
        <xdr:cNvPr id="1748" name="image1.png">
          <a:extLst>
            <a:ext uri="{FF2B5EF4-FFF2-40B4-BE49-F238E27FC236}">
              <a16:creationId xmlns:a16="http://schemas.microsoft.com/office/drawing/2014/main" id="{00000000-0008-0000-0200-0000D4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1162</xdr:row>
      <xdr:rowOff>0</xdr:rowOff>
    </xdr:from>
    <xdr:ext cx="200025" cy="200025"/>
    <xdr:pic>
      <xdr:nvPicPr>
        <xdr:cNvPr id="1749" name="image1.png">
          <a:extLst>
            <a:ext uri="{FF2B5EF4-FFF2-40B4-BE49-F238E27FC236}">
              <a16:creationId xmlns:a16="http://schemas.microsoft.com/office/drawing/2014/main" id="{00000000-0008-0000-0200-0000D5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1163</xdr:row>
      <xdr:rowOff>0</xdr:rowOff>
    </xdr:from>
    <xdr:ext cx="200025" cy="200025"/>
    <xdr:pic>
      <xdr:nvPicPr>
        <xdr:cNvPr id="1750" name="image1.png">
          <a:extLst>
            <a:ext uri="{FF2B5EF4-FFF2-40B4-BE49-F238E27FC236}">
              <a16:creationId xmlns:a16="http://schemas.microsoft.com/office/drawing/2014/main" id="{00000000-0008-0000-0200-0000D606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1164</xdr:row>
      <xdr:rowOff>0</xdr:rowOff>
    </xdr:from>
    <xdr:ext cx="200025" cy="200025"/>
    <xdr:pic>
      <xdr:nvPicPr>
        <xdr:cNvPr id="1751" name="image10.png">
          <a:extLst>
            <a:ext uri="{FF2B5EF4-FFF2-40B4-BE49-F238E27FC236}">
              <a16:creationId xmlns:a16="http://schemas.microsoft.com/office/drawing/2014/main" id="{00000000-0008-0000-0200-0000D7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1164</xdr:row>
      <xdr:rowOff>0</xdr:rowOff>
    </xdr:from>
    <xdr:ext cx="200025" cy="200025"/>
    <xdr:pic>
      <xdr:nvPicPr>
        <xdr:cNvPr id="1752" name="image9.png">
          <a:extLst>
            <a:ext uri="{FF2B5EF4-FFF2-40B4-BE49-F238E27FC236}">
              <a16:creationId xmlns:a16="http://schemas.microsoft.com/office/drawing/2014/main" id="{00000000-0008-0000-0200-0000D8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1164</xdr:row>
      <xdr:rowOff>0</xdr:rowOff>
    </xdr:from>
    <xdr:ext cx="200025" cy="200025"/>
    <xdr:pic>
      <xdr:nvPicPr>
        <xdr:cNvPr id="1753" name="image4.png">
          <a:extLst>
            <a:ext uri="{FF2B5EF4-FFF2-40B4-BE49-F238E27FC236}">
              <a16:creationId xmlns:a16="http://schemas.microsoft.com/office/drawing/2014/main" id="{00000000-0008-0000-0200-0000D9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1165</xdr:row>
      <xdr:rowOff>0</xdr:rowOff>
    </xdr:from>
    <xdr:ext cx="200025" cy="200025"/>
    <xdr:pic>
      <xdr:nvPicPr>
        <xdr:cNvPr id="1754" name="image8.png">
          <a:extLst>
            <a:ext uri="{FF2B5EF4-FFF2-40B4-BE49-F238E27FC236}">
              <a16:creationId xmlns:a16="http://schemas.microsoft.com/office/drawing/2014/main" id="{00000000-0008-0000-0200-0000DA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1166</xdr:row>
      <xdr:rowOff>0</xdr:rowOff>
    </xdr:from>
    <xdr:ext cx="200025" cy="200025"/>
    <xdr:pic>
      <xdr:nvPicPr>
        <xdr:cNvPr id="1755" name="image10.png">
          <a:extLst>
            <a:ext uri="{FF2B5EF4-FFF2-40B4-BE49-F238E27FC236}">
              <a16:creationId xmlns:a16="http://schemas.microsoft.com/office/drawing/2014/main" id="{00000000-0008-0000-0200-0000DB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1166</xdr:row>
      <xdr:rowOff>0</xdr:rowOff>
    </xdr:from>
    <xdr:ext cx="200025" cy="200025"/>
    <xdr:pic>
      <xdr:nvPicPr>
        <xdr:cNvPr id="1756" name="image8.png">
          <a:extLst>
            <a:ext uri="{FF2B5EF4-FFF2-40B4-BE49-F238E27FC236}">
              <a16:creationId xmlns:a16="http://schemas.microsoft.com/office/drawing/2014/main" id="{00000000-0008-0000-0200-0000DC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1166</xdr:row>
      <xdr:rowOff>0</xdr:rowOff>
    </xdr:from>
    <xdr:ext cx="200025" cy="200025"/>
    <xdr:pic>
      <xdr:nvPicPr>
        <xdr:cNvPr id="1757" name="image11.png">
          <a:extLst>
            <a:ext uri="{FF2B5EF4-FFF2-40B4-BE49-F238E27FC236}">
              <a16:creationId xmlns:a16="http://schemas.microsoft.com/office/drawing/2014/main" id="{00000000-0008-0000-0200-0000DD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1167</xdr:row>
      <xdr:rowOff>0</xdr:rowOff>
    </xdr:from>
    <xdr:ext cx="200025" cy="200025"/>
    <xdr:pic>
      <xdr:nvPicPr>
        <xdr:cNvPr id="1758" name="image9.png">
          <a:extLst>
            <a:ext uri="{FF2B5EF4-FFF2-40B4-BE49-F238E27FC236}">
              <a16:creationId xmlns:a16="http://schemas.microsoft.com/office/drawing/2014/main" id="{00000000-0008-0000-0200-0000DE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1168</xdr:row>
      <xdr:rowOff>0</xdr:rowOff>
    </xdr:from>
    <xdr:ext cx="200025" cy="200025"/>
    <xdr:pic>
      <xdr:nvPicPr>
        <xdr:cNvPr id="1759" name="image9.png">
          <a:extLst>
            <a:ext uri="{FF2B5EF4-FFF2-40B4-BE49-F238E27FC236}">
              <a16:creationId xmlns:a16="http://schemas.microsoft.com/office/drawing/2014/main" id="{00000000-0008-0000-0200-0000DF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1169</xdr:row>
      <xdr:rowOff>0</xdr:rowOff>
    </xdr:from>
    <xdr:ext cx="200025" cy="200025"/>
    <xdr:pic>
      <xdr:nvPicPr>
        <xdr:cNvPr id="1760" name="image8.png">
          <a:extLst>
            <a:ext uri="{FF2B5EF4-FFF2-40B4-BE49-F238E27FC236}">
              <a16:creationId xmlns:a16="http://schemas.microsoft.com/office/drawing/2014/main" id="{00000000-0008-0000-0200-0000E0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1169</xdr:row>
      <xdr:rowOff>0</xdr:rowOff>
    </xdr:from>
    <xdr:ext cx="200025" cy="200025"/>
    <xdr:pic>
      <xdr:nvPicPr>
        <xdr:cNvPr id="1761" name="image6.png">
          <a:extLst>
            <a:ext uri="{FF2B5EF4-FFF2-40B4-BE49-F238E27FC236}">
              <a16:creationId xmlns:a16="http://schemas.microsoft.com/office/drawing/2014/main" id="{00000000-0008-0000-0200-0000E1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1169</xdr:row>
      <xdr:rowOff>0</xdr:rowOff>
    </xdr:from>
    <xdr:ext cx="200025" cy="200025"/>
    <xdr:pic>
      <xdr:nvPicPr>
        <xdr:cNvPr id="1762" name="image12.png">
          <a:extLst>
            <a:ext uri="{FF2B5EF4-FFF2-40B4-BE49-F238E27FC236}">
              <a16:creationId xmlns:a16="http://schemas.microsoft.com/office/drawing/2014/main" id="{00000000-0008-0000-0200-0000E2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1171</xdr:row>
      <xdr:rowOff>0</xdr:rowOff>
    </xdr:from>
    <xdr:ext cx="200025" cy="200025"/>
    <xdr:pic>
      <xdr:nvPicPr>
        <xdr:cNvPr id="1763" name="image10.png">
          <a:extLst>
            <a:ext uri="{FF2B5EF4-FFF2-40B4-BE49-F238E27FC236}">
              <a16:creationId xmlns:a16="http://schemas.microsoft.com/office/drawing/2014/main" id="{00000000-0008-0000-0200-0000E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1171</xdr:row>
      <xdr:rowOff>0</xdr:rowOff>
    </xdr:from>
    <xdr:ext cx="200025" cy="200025"/>
    <xdr:pic>
      <xdr:nvPicPr>
        <xdr:cNvPr id="1764" name="image9.png">
          <a:extLst>
            <a:ext uri="{FF2B5EF4-FFF2-40B4-BE49-F238E27FC236}">
              <a16:creationId xmlns:a16="http://schemas.microsoft.com/office/drawing/2014/main" id="{00000000-0008-0000-0200-0000E4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1171</xdr:row>
      <xdr:rowOff>0</xdr:rowOff>
    </xdr:from>
    <xdr:ext cx="200025" cy="200025"/>
    <xdr:pic>
      <xdr:nvPicPr>
        <xdr:cNvPr id="1765" name="image4.png">
          <a:extLst>
            <a:ext uri="{FF2B5EF4-FFF2-40B4-BE49-F238E27FC236}">
              <a16:creationId xmlns:a16="http://schemas.microsoft.com/office/drawing/2014/main" id="{00000000-0008-0000-0200-0000E5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1172</xdr:row>
      <xdr:rowOff>0</xdr:rowOff>
    </xdr:from>
    <xdr:ext cx="200025" cy="200025"/>
    <xdr:pic>
      <xdr:nvPicPr>
        <xdr:cNvPr id="1766" name="image2.png">
          <a:extLst>
            <a:ext uri="{FF2B5EF4-FFF2-40B4-BE49-F238E27FC236}">
              <a16:creationId xmlns:a16="http://schemas.microsoft.com/office/drawing/2014/main" id="{00000000-0008-0000-0200-0000E6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1173</xdr:row>
      <xdr:rowOff>0</xdr:rowOff>
    </xdr:from>
    <xdr:ext cx="200025" cy="200025"/>
    <xdr:pic>
      <xdr:nvPicPr>
        <xdr:cNvPr id="1767" name="image10.png">
          <a:extLst>
            <a:ext uri="{FF2B5EF4-FFF2-40B4-BE49-F238E27FC236}">
              <a16:creationId xmlns:a16="http://schemas.microsoft.com/office/drawing/2014/main" id="{00000000-0008-0000-0200-0000E7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1173</xdr:row>
      <xdr:rowOff>0</xdr:rowOff>
    </xdr:from>
    <xdr:ext cx="200025" cy="200025"/>
    <xdr:pic>
      <xdr:nvPicPr>
        <xdr:cNvPr id="1768" name="image2.png">
          <a:extLst>
            <a:ext uri="{FF2B5EF4-FFF2-40B4-BE49-F238E27FC236}">
              <a16:creationId xmlns:a16="http://schemas.microsoft.com/office/drawing/2014/main" id="{00000000-0008-0000-0200-0000E8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1173</xdr:row>
      <xdr:rowOff>0</xdr:rowOff>
    </xdr:from>
    <xdr:ext cx="200025" cy="200025"/>
    <xdr:pic>
      <xdr:nvPicPr>
        <xdr:cNvPr id="1769" name="image4.png">
          <a:extLst>
            <a:ext uri="{FF2B5EF4-FFF2-40B4-BE49-F238E27FC236}">
              <a16:creationId xmlns:a16="http://schemas.microsoft.com/office/drawing/2014/main" id="{00000000-0008-0000-0200-0000E906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1175</xdr:row>
      <xdr:rowOff>0</xdr:rowOff>
    </xdr:from>
    <xdr:ext cx="200025" cy="200025"/>
    <xdr:pic>
      <xdr:nvPicPr>
        <xdr:cNvPr id="1770" name="image8.png">
          <a:extLst>
            <a:ext uri="{FF2B5EF4-FFF2-40B4-BE49-F238E27FC236}">
              <a16:creationId xmlns:a16="http://schemas.microsoft.com/office/drawing/2014/main" id="{00000000-0008-0000-0200-0000EA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1175</xdr:row>
      <xdr:rowOff>0</xdr:rowOff>
    </xdr:from>
    <xdr:ext cx="200025" cy="200025"/>
    <xdr:pic>
      <xdr:nvPicPr>
        <xdr:cNvPr id="1771" name="image9.png">
          <a:extLst>
            <a:ext uri="{FF2B5EF4-FFF2-40B4-BE49-F238E27FC236}">
              <a16:creationId xmlns:a16="http://schemas.microsoft.com/office/drawing/2014/main" id="{00000000-0008-0000-0200-0000E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1175</xdr:row>
      <xdr:rowOff>0</xdr:rowOff>
    </xdr:from>
    <xdr:ext cx="200025" cy="200025"/>
    <xdr:pic>
      <xdr:nvPicPr>
        <xdr:cNvPr id="1772" name="image5.png">
          <a:extLst>
            <a:ext uri="{FF2B5EF4-FFF2-40B4-BE49-F238E27FC236}">
              <a16:creationId xmlns:a16="http://schemas.microsoft.com/office/drawing/2014/main" id="{00000000-0008-0000-0200-0000EC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1175</xdr:row>
      <xdr:rowOff>0</xdr:rowOff>
    </xdr:from>
    <xdr:ext cx="200025" cy="200025"/>
    <xdr:pic>
      <xdr:nvPicPr>
        <xdr:cNvPr id="1773" name="image2.png">
          <a:extLst>
            <a:ext uri="{FF2B5EF4-FFF2-40B4-BE49-F238E27FC236}">
              <a16:creationId xmlns:a16="http://schemas.microsoft.com/office/drawing/2014/main" id="{00000000-0008-0000-0200-0000ED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1176</xdr:row>
      <xdr:rowOff>0</xdr:rowOff>
    </xdr:from>
    <xdr:ext cx="200025" cy="200025"/>
    <xdr:pic>
      <xdr:nvPicPr>
        <xdr:cNvPr id="1774" name="image2.png">
          <a:extLst>
            <a:ext uri="{FF2B5EF4-FFF2-40B4-BE49-F238E27FC236}">
              <a16:creationId xmlns:a16="http://schemas.microsoft.com/office/drawing/2014/main" id="{00000000-0008-0000-0200-0000EE06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1177</xdr:row>
      <xdr:rowOff>0</xdr:rowOff>
    </xdr:from>
    <xdr:ext cx="200025" cy="200025"/>
    <xdr:pic>
      <xdr:nvPicPr>
        <xdr:cNvPr id="1775" name="image8.png">
          <a:extLst>
            <a:ext uri="{FF2B5EF4-FFF2-40B4-BE49-F238E27FC236}">
              <a16:creationId xmlns:a16="http://schemas.microsoft.com/office/drawing/2014/main" id="{00000000-0008-0000-0200-0000EF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1177</xdr:row>
      <xdr:rowOff>0</xdr:rowOff>
    </xdr:from>
    <xdr:ext cx="200025" cy="200025"/>
    <xdr:pic>
      <xdr:nvPicPr>
        <xdr:cNvPr id="1776" name="image9.png">
          <a:extLst>
            <a:ext uri="{FF2B5EF4-FFF2-40B4-BE49-F238E27FC236}">
              <a16:creationId xmlns:a16="http://schemas.microsoft.com/office/drawing/2014/main" id="{00000000-0008-0000-0200-0000F0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1177</xdr:row>
      <xdr:rowOff>0</xdr:rowOff>
    </xdr:from>
    <xdr:ext cx="200025" cy="200025"/>
    <xdr:pic>
      <xdr:nvPicPr>
        <xdr:cNvPr id="1777" name="image5.png">
          <a:extLst>
            <a:ext uri="{FF2B5EF4-FFF2-40B4-BE49-F238E27FC236}">
              <a16:creationId xmlns:a16="http://schemas.microsoft.com/office/drawing/2014/main" id="{00000000-0008-0000-0200-0000F106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1177</xdr:row>
      <xdr:rowOff>0</xdr:rowOff>
    </xdr:from>
    <xdr:ext cx="200025" cy="200025"/>
    <xdr:pic>
      <xdr:nvPicPr>
        <xdr:cNvPr id="1778" name="image7.png">
          <a:extLst>
            <a:ext uri="{FF2B5EF4-FFF2-40B4-BE49-F238E27FC236}">
              <a16:creationId xmlns:a16="http://schemas.microsoft.com/office/drawing/2014/main" id="{00000000-0008-0000-0200-0000F206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1178</xdr:row>
      <xdr:rowOff>0</xdr:rowOff>
    </xdr:from>
    <xdr:ext cx="200025" cy="200025"/>
    <xdr:pic>
      <xdr:nvPicPr>
        <xdr:cNvPr id="1779" name="image10.png">
          <a:extLst>
            <a:ext uri="{FF2B5EF4-FFF2-40B4-BE49-F238E27FC236}">
              <a16:creationId xmlns:a16="http://schemas.microsoft.com/office/drawing/2014/main" id="{00000000-0008-0000-0200-0000F3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1179</xdr:row>
      <xdr:rowOff>0</xdr:rowOff>
    </xdr:from>
    <xdr:ext cx="200025" cy="200025"/>
    <xdr:pic>
      <xdr:nvPicPr>
        <xdr:cNvPr id="1780" name="image10.png">
          <a:extLst>
            <a:ext uri="{FF2B5EF4-FFF2-40B4-BE49-F238E27FC236}">
              <a16:creationId xmlns:a16="http://schemas.microsoft.com/office/drawing/2014/main" id="{00000000-0008-0000-0200-0000F4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1181</xdr:row>
      <xdr:rowOff>0</xdr:rowOff>
    </xdr:from>
    <xdr:ext cx="200025" cy="200025"/>
    <xdr:pic>
      <xdr:nvPicPr>
        <xdr:cNvPr id="1781" name="image10.png">
          <a:extLst>
            <a:ext uri="{FF2B5EF4-FFF2-40B4-BE49-F238E27FC236}">
              <a16:creationId xmlns:a16="http://schemas.microsoft.com/office/drawing/2014/main" id="{00000000-0008-0000-0200-0000F506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1181</xdr:row>
      <xdr:rowOff>0</xdr:rowOff>
    </xdr:from>
    <xdr:ext cx="200025" cy="200025"/>
    <xdr:pic>
      <xdr:nvPicPr>
        <xdr:cNvPr id="1782" name="image6.png">
          <a:extLst>
            <a:ext uri="{FF2B5EF4-FFF2-40B4-BE49-F238E27FC236}">
              <a16:creationId xmlns:a16="http://schemas.microsoft.com/office/drawing/2014/main" id="{00000000-0008-0000-0200-0000F6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1181</xdr:row>
      <xdr:rowOff>0</xdr:rowOff>
    </xdr:from>
    <xdr:ext cx="200025" cy="200025"/>
    <xdr:pic>
      <xdr:nvPicPr>
        <xdr:cNvPr id="1783" name="image12.png">
          <a:extLst>
            <a:ext uri="{FF2B5EF4-FFF2-40B4-BE49-F238E27FC236}">
              <a16:creationId xmlns:a16="http://schemas.microsoft.com/office/drawing/2014/main" id="{00000000-0008-0000-0200-0000F706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1181</xdr:row>
      <xdr:rowOff>0</xdr:rowOff>
    </xdr:from>
    <xdr:ext cx="200025" cy="200025"/>
    <xdr:pic>
      <xdr:nvPicPr>
        <xdr:cNvPr id="1784" name="image9.png">
          <a:extLst>
            <a:ext uri="{FF2B5EF4-FFF2-40B4-BE49-F238E27FC236}">
              <a16:creationId xmlns:a16="http://schemas.microsoft.com/office/drawing/2014/main" id="{00000000-0008-0000-0200-0000F8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1183</xdr:row>
      <xdr:rowOff>0</xdr:rowOff>
    </xdr:from>
    <xdr:ext cx="200025" cy="200025"/>
    <xdr:pic>
      <xdr:nvPicPr>
        <xdr:cNvPr id="1785" name="image9.png">
          <a:extLst>
            <a:ext uri="{FF2B5EF4-FFF2-40B4-BE49-F238E27FC236}">
              <a16:creationId xmlns:a16="http://schemas.microsoft.com/office/drawing/2014/main" id="{00000000-0008-0000-0200-0000F9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1185</xdr:row>
      <xdr:rowOff>0</xdr:rowOff>
    </xdr:from>
    <xdr:ext cx="200025" cy="200025"/>
    <xdr:pic>
      <xdr:nvPicPr>
        <xdr:cNvPr id="1786" name="image8.png">
          <a:extLst>
            <a:ext uri="{FF2B5EF4-FFF2-40B4-BE49-F238E27FC236}">
              <a16:creationId xmlns:a16="http://schemas.microsoft.com/office/drawing/2014/main" id="{00000000-0008-0000-0200-0000FA06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1185</xdr:row>
      <xdr:rowOff>0</xdr:rowOff>
    </xdr:from>
    <xdr:ext cx="200025" cy="200025"/>
    <xdr:pic>
      <xdr:nvPicPr>
        <xdr:cNvPr id="1787" name="image9.png">
          <a:extLst>
            <a:ext uri="{FF2B5EF4-FFF2-40B4-BE49-F238E27FC236}">
              <a16:creationId xmlns:a16="http://schemas.microsoft.com/office/drawing/2014/main" id="{00000000-0008-0000-0200-0000FB06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1185</xdr:row>
      <xdr:rowOff>0</xdr:rowOff>
    </xdr:from>
    <xdr:ext cx="200025" cy="200025"/>
    <xdr:pic>
      <xdr:nvPicPr>
        <xdr:cNvPr id="1788" name="image3.png">
          <a:extLst>
            <a:ext uri="{FF2B5EF4-FFF2-40B4-BE49-F238E27FC236}">
              <a16:creationId xmlns:a16="http://schemas.microsoft.com/office/drawing/2014/main" id="{00000000-0008-0000-0200-0000FC06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1185</xdr:row>
      <xdr:rowOff>0</xdr:rowOff>
    </xdr:from>
    <xdr:ext cx="200025" cy="200025"/>
    <xdr:pic>
      <xdr:nvPicPr>
        <xdr:cNvPr id="1789" name="image11.png">
          <a:extLst>
            <a:ext uri="{FF2B5EF4-FFF2-40B4-BE49-F238E27FC236}">
              <a16:creationId xmlns:a16="http://schemas.microsoft.com/office/drawing/2014/main" id="{00000000-0008-0000-0200-0000FD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1186</xdr:row>
      <xdr:rowOff>0</xdr:rowOff>
    </xdr:from>
    <xdr:ext cx="200025" cy="200025"/>
    <xdr:pic>
      <xdr:nvPicPr>
        <xdr:cNvPr id="1790" name="image11.png">
          <a:extLst>
            <a:ext uri="{FF2B5EF4-FFF2-40B4-BE49-F238E27FC236}">
              <a16:creationId xmlns:a16="http://schemas.microsoft.com/office/drawing/2014/main" id="{00000000-0008-0000-0200-0000FE06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1187</xdr:row>
      <xdr:rowOff>0</xdr:rowOff>
    </xdr:from>
    <xdr:ext cx="200025" cy="200025"/>
    <xdr:pic>
      <xdr:nvPicPr>
        <xdr:cNvPr id="1791" name="image6.png">
          <a:extLst>
            <a:ext uri="{FF2B5EF4-FFF2-40B4-BE49-F238E27FC236}">
              <a16:creationId xmlns:a16="http://schemas.microsoft.com/office/drawing/2014/main" id="{00000000-0008-0000-0200-0000FF06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1188</xdr:row>
      <xdr:rowOff>0</xdr:rowOff>
    </xdr:from>
    <xdr:ext cx="200025" cy="200025"/>
    <xdr:pic>
      <xdr:nvPicPr>
        <xdr:cNvPr id="1792" name="image10.png">
          <a:extLst>
            <a:ext uri="{FF2B5EF4-FFF2-40B4-BE49-F238E27FC236}">
              <a16:creationId xmlns:a16="http://schemas.microsoft.com/office/drawing/2014/main" id="{00000000-0008-0000-0200-00000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1188</xdr:row>
      <xdr:rowOff>0</xdr:rowOff>
    </xdr:from>
    <xdr:ext cx="200025" cy="200025"/>
    <xdr:pic>
      <xdr:nvPicPr>
        <xdr:cNvPr id="1793" name="image9.png">
          <a:extLst>
            <a:ext uri="{FF2B5EF4-FFF2-40B4-BE49-F238E27FC236}">
              <a16:creationId xmlns:a16="http://schemas.microsoft.com/office/drawing/2014/main" id="{00000000-0008-0000-0200-000001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1188</xdr:row>
      <xdr:rowOff>0</xdr:rowOff>
    </xdr:from>
    <xdr:ext cx="200025" cy="200025"/>
    <xdr:pic>
      <xdr:nvPicPr>
        <xdr:cNvPr id="1794" name="image4.png">
          <a:extLst>
            <a:ext uri="{FF2B5EF4-FFF2-40B4-BE49-F238E27FC236}">
              <a16:creationId xmlns:a16="http://schemas.microsoft.com/office/drawing/2014/main" id="{00000000-0008-0000-0200-000002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1188</xdr:row>
      <xdr:rowOff>0</xdr:rowOff>
    </xdr:from>
    <xdr:ext cx="200025" cy="200025"/>
    <xdr:pic>
      <xdr:nvPicPr>
        <xdr:cNvPr id="1795" name="image7.png">
          <a:extLst>
            <a:ext uri="{FF2B5EF4-FFF2-40B4-BE49-F238E27FC236}">
              <a16:creationId xmlns:a16="http://schemas.microsoft.com/office/drawing/2014/main" id="{00000000-0008-0000-0200-000003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1188</xdr:row>
      <xdr:rowOff>0</xdr:rowOff>
    </xdr:from>
    <xdr:ext cx="200025" cy="200025"/>
    <xdr:pic>
      <xdr:nvPicPr>
        <xdr:cNvPr id="1796" name="image8.png">
          <a:extLst>
            <a:ext uri="{FF2B5EF4-FFF2-40B4-BE49-F238E27FC236}">
              <a16:creationId xmlns:a16="http://schemas.microsoft.com/office/drawing/2014/main" id="{00000000-0008-0000-0200-00000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1189</xdr:row>
      <xdr:rowOff>0</xdr:rowOff>
    </xdr:from>
    <xdr:ext cx="200025" cy="200025"/>
    <xdr:pic>
      <xdr:nvPicPr>
        <xdr:cNvPr id="1797" name="image8.png">
          <a:extLst>
            <a:ext uri="{FF2B5EF4-FFF2-40B4-BE49-F238E27FC236}">
              <a16:creationId xmlns:a16="http://schemas.microsoft.com/office/drawing/2014/main" id="{00000000-0008-0000-0200-00000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1190</xdr:row>
      <xdr:rowOff>0</xdr:rowOff>
    </xdr:from>
    <xdr:ext cx="200025" cy="200025"/>
    <xdr:pic>
      <xdr:nvPicPr>
        <xdr:cNvPr id="1798" name="image12.png">
          <a:extLst>
            <a:ext uri="{FF2B5EF4-FFF2-40B4-BE49-F238E27FC236}">
              <a16:creationId xmlns:a16="http://schemas.microsoft.com/office/drawing/2014/main" id="{00000000-0008-0000-0200-000006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10</xdr:col>
      <xdr:colOff>0</xdr:colOff>
      <xdr:row>1190</xdr:row>
      <xdr:rowOff>0</xdr:rowOff>
    </xdr:from>
    <xdr:ext cx="200025" cy="200025"/>
    <xdr:pic>
      <xdr:nvPicPr>
        <xdr:cNvPr id="1799" name="image3.png">
          <a:extLst>
            <a:ext uri="{FF2B5EF4-FFF2-40B4-BE49-F238E27FC236}">
              <a16:creationId xmlns:a16="http://schemas.microsoft.com/office/drawing/2014/main" id="{00000000-0008-0000-0200-000007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1190</xdr:row>
      <xdr:rowOff>0</xdr:rowOff>
    </xdr:from>
    <xdr:ext cx="200025" cy="200025"/>
    <xdr:pic>
      <xdr:nvPicPr>
        <xdr:cNvPr id="1800" name="image11.png">
          <a:extLst>
            <a:ext uri="{FF2B5EF4-FFF2-40B4-BE49-F238E27FC236}">
              <a16:creationId xmlns:a16="http://schemas.microsoft.com/office/drawing/2014/main" id="{00000000-0008-0000-0200-000008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1190</xdr:row>
      <xdr:rowOff>0</xdr:rowOff>
    </xdr:from>
    <xdr:ext cx="200025" cy="200025"/>
    <xdr:pic>
      <xdr:nvPicPr>
        <xdr:cNvPr id="1801" name="image1.png">
          <a:extLst>
            <a:ext uri="{FF2B5EF4-FFF2-40B4-BE49-F238E27FC236}">
              <a16:creationId xmlns:a16="http://schemas.microsoft.com/office/drawing/2014/main" id="{00000000-0008-0000-0200-000009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1192</xdr:row>
      <xdr:rowOff>0</xdr:rowOff>
    </xdr:from>
    <xdr:ext cx="200025" cy="200025"/>
    <xdr:pic>
      <xdr:nvPicPr>
        <xdr:cNvPr id="1802" name="image1.png">
          <a:extLst>
            <a:ext uri="{FF2B5EF4-FFF2-40B4-BE49-F238E27FC236}">
              <a16:creationId xmlns:a16="http://schemas.microsoft.com/office/drawing/2014/main" id="{00000000-0008-0000-0200-00000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1193</xdr:row>
      <xdr:rowOff>0</xdr:rowOff>
    </xdr:from>
    <xdr:ext cx="200025" cy="200025"/>
    <xdr:pic>
      <xdr:nvPicPr>
        <xdr:cNvPr id="1803" name="image8.png">
          <a:extLst>
            <a:ext uri="{FF2B5EF4-FFF2-40B4-BE49-F238E27FC236}">
              <a16:creationId xmlns:a16="http://schemas.microsoft.com/office/drawing/2014/main" id="{00000000-0008-0000-0200-00000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1193</xdr:row>
      <xdr:rowOff>0</xdr:rowOff>
    </xdr:from>
    <xdr:ext cx="200025" cy="200025"/>
    <xdr:pic>
      <xdr:nvPicPr>
        <xdr:cNvPr id="1804" name="image6.png">
          <a:extLst>
            <a:ext uri="{FF2B5EF4-FFF2-40B4-BE49-F238E27FC236}">
              <a16:creationId xmlns:a16="http://schemas.microsoft.com/office/drawing/2014/main" id="{00000000-0008-0000-0200-00000C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1193</xdr:row>
      <xdr:rowOff>0</xdr:rowOff>
    </xdr:from>
    <xdr:ext cx="200025" cy="200025"/>
    <xdr:pic>
      <xdr:nvPicPr>
        <xdr:cNvPr id="1805" name="image3.png">
          <a:extLst>
            <a:ext uri="{FF2B5EF4-FFF2-40B4-BE49-F238E27FC236}">
              <a16:creationId xmlns:a16="http://schemas.microsoft.com/office/drawing/2014/main" id="{00000000-0008-0000-0200-00000D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1193</xdr:row>
      <xdr:rowOff>0</xdr:rowOff>
    </xdr:from>
    <xdr:ext cx="200025" cy="200025"/>
    <xdr:pic>
      <xdr:nvPicPr>
        <xdr:cNvPr id="1806" name="image10.png">
          <a:extLst>
            <a:ext uri="{FF2B5EF4-FFF2-40B4-BE49-F238E27FC236}">
              <a16:creationId xmlns:a16="http://schemas.microsoft.com/office/drawing/2014/main" id="{00000000-0008-0000-0200-00000E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1194</xdr:row>
      <xdr:rowOff>0</xdr:rowOff>
    </xdr:from>
    <xdr:ext cx="200025" cy="200025"/>
    <xdr:pic>
      <xdr:nvPicPr>
        <xdr:cNvPr id="1807" name="image10.png">
          <a:extLst>
            <a:ext uri="{FF2B5EF4-FFF2-40B4-BE49-F238E27FC236}">
              <a16:creationId xmlns:a16="http://schemas.microsoft.com/office/drawing/2014/main" id="{00000000-0008-0000-0200-00000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1195</xdr:row>
      <xdr:rowOff>0</xdr:rowOff>
    </xdr:from>
    <xdr:ext cx="200025" cy="200025"/>
    <xdr:pic>
      <xdr:nvPicPr>
        <xdr:cNvPr id="1808" name="image10.png">
          <a:extLst>
            <a:ext uri="{FF2B5EF4-FFF2-40B4-BE49-F238E27FC236}">
              <a16:creationId xmlns:a16="http://schemas.microsoft.com/office/drawing/2014/main" id="{00000000-0008-0000-0200-00001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1196</xdr:row>
      <xdr:rowOff>0</xdr:rowOff>
    </xdr:from>
    <xdr:ext cx="200025" cy="200025"/>
    <xdr:pic>
      <xdr:nvPicPr>
        <xdr:cNvPr id="1809" name="image8.png">
          <a:extLst>
            <a:ext uri="{FF2B5EF4-FFF2-40B4-BE49-F238E27FC236}">
              <a16:creationId xmlns:a16="http://schemas.microsoft.com/office/drawing/2014/main" id="{00000000-0008-0000-0200-000011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1196</xdr:row>
      <xdr:rowOff>0</xdr:rowOff>
    </xdr:from>
    <xdr:ext cx="200025" cy="200025"/>
    <xdr:pic>
      <xdr:nvPicPr>
        <xdr:cNvPr id="1810" name="image1.png">
          <a:extLst>
            <a:ext uri="{FF2B5EF4-FFF2-40B4-BE49-F238E27FC236}">
              <a16:creationId xmlns:a16="http://schemas.microsoft.com/office/drawing/2014/main" id="{00000000-0008-0000-0200-00001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1196</xdr:row>
      <xdr:rowOff>0</xdr:rowOff>
    </xdr:from>
    <xdr:ext cx="200025" cy="200025"/>
    <xdr:pic>
      <xdr:nvPicPr>
        <xdr:cNvPr id="1811" name="image4.png">
          <a:extLst>
            <a:ext uri="{FF2B5EF4-FFF2-40B4-BE49-F238E27FC236}">
              <a16:creationId xmlns:a16="http://schemas.microsoft.com/office/drawing/2014/main" id="{00000000-0008-0000-0200-000013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1196</xdr:row>
      <xdr:rowOff>0</xdr:rowOff>
    </xdr:from>
    <xdr:ext cx="200025" cy="200025"/>
    <xdr:pic>
      <xdr:nvPicPr>
        <xdr:cNvPr id="1812" name="image5.png">
          <a:extLst>
            <a:ext uri="{FF2B5EF4-FFF2-40B4-BE49-F238E27FC236}">
              <a16:creationId xmlns:a16="http://schemas.microsoft.com/office/drawing/2014/main" id="{00000000-0008-0000-0200-000014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1197</xdr:row>
      <xdr:rowOff>0</xdr:rowOff>
    </xdr:from>
    <xdr:ext cx="200025" cy="200025"/>
    <xdr:pic>
      <xdr:nvPicPr>
        <xdr:cNvPr id="1813" name="image2.png">
          <a:extLst>
            <a:ext uri="{FF2B5EF4-FFF2-40B4-BE49-F238E27FC236}">
              <a16:creationId xmlns:a16="http://schemas.microsoft.com/office/drawing/2014/main" id="{00000000-0008-0000-0200-000015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1198</xdr:row>
      <xdr:rowOff>0</xdr:rowOff>
    </xdr:from>
    <xdr:ext cx="200025" cy="200025"/>
    <xdr:pic>
      <xdr:nvPicPr>
        <xdr:cNvPr id="1814" name="image2.png">
          <a:extLst>
            <a:ext uri="{FF2B5EF4-FFF2-40B4-BE49-F238E27FC236}">
              <a16:creationId xmlns:a16="http://schemas.microsoft.com/office/drawing/2014/main" id="{00000000-0008-0000-0200-000016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1199</xdr:row>
      <xdr:rowOff>0</xdr:rowOff>
    </xdr:from>
    <xdr:ext cx="200025" cy="200025"/>
    <xdr:pic>
      <xdr:nvPicPr>
        <xdr:cNvPr id="1815" name="image8.png">
          <a:extLst>
            <a:ext uri="{FF2B5EF4-FFF2-40B4-BE49-F238E27FC236}">
              <a16:creationId xmlns:a16="http://schemas.microsoft.com/office/drawing/2014/main" id="{00000000-0008-0000-0200-000017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1199</xdr:row>
      <xdr:rowOff>0</xdr:rowOff>
    </xdr:from>
    <xdr:ext cx="200025" cy="200025"/>
    <xdr:pic>
      <xdr:nvPicPr>
        <xdr:cNvPr id="1816" name="image6.png">
          <a:extLst>
            <a:ext uri="{FF2B5EF4-FFF2-40B4-BE49-F238E27FC236}">
              <a16:creationId xmlns:a16="http://schemas.microsoft.com/office/drawing/2014/main" id="{00000000-0008-0000-0200-000018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1199</xdr:row>
      <xdr:rowOff>0</xdr:rowOff>
    </xdr:from>
    <xdr:ext cx="200025" cy="200025"/>
    <xdr:pic>
      <xdr:nvPicPr>
        <xdr:cNvPr id="1817" name="image4.png">
          <a:extLst>
            <a:ext uri="{FF2B5EF4-FFF2-40B4-BE49-F238E27FC236}">
              <a16:creationId xmlns:a16="http://schemas.microsoft.com/office/drawing/2014/main" id="{00000000-0008-0000-0200-000019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1200</xdr:row>
      <xdr:rowOff>0</xdr:rowOff>
    </xdr:from>
    <xdr:ext cx="200025" cy="200025"/>
    <xdr:pic>
      <xdr:nvPicPr>
        <xdr:cNvPr id="1818" name="image2.png">
          <a:extLst>
            <a:ext uri="{FF2B5EF4-FFF2-40B4-BE49-F238E27FC236}">
              <a16:creationId xmlns:a16="http://schemas.microsoft.com/office/drawing/2014/main" id="{00000000-0008-0000-0200-00001A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1201</xdr:row>
      <xdr:rowOff>0</xdr:rowOff>
    </xdr:from>
    <xdr:ext cx="200025" cy="200025"/>
    <xdr:pic>
      <xdr:nvPicPr>
        <xdr:cNvPr id="1819" name="image2.png">
          <a:extLst>
            <a:ext uri="{FF2B5EF4-FFF2-40B4-BE49-F238E27FC236}">
              <a16:creationId xmlns:a16="http://schemas.microsoft.com/office/drawing/2014/main" id="{00000000-0008-0000-0200-00001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1202</xdr:row>
      <xdr:rowOff>0</xdr:rowOff>
    </xdr:from>
    <xdr:ext cx="200025" cy="200025"/>
    <xdr:pic>
      <xdr:nvPicPr>
        <xdr:cNvPr id="1820" name="image10.png">
          <a:extLst>
            <a:ext uri="{FF2B5EF4-FFF2-40B4-BE49-F238E27FC236}">
              <a16:creationId xmlns:a16="http://schemas.microsoft.com/office/drawing/2014/main" id="{00000000-0008-0000-0200-00001C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1202</xdr:row>
      <xdr:rowOff>0</xdr:rowOff>
    </xdr:from>
    <xdr:ext cx="200025" cy="200025"/>
    <xdr:pic>
      <xdr:nvPicPr>
        <xdr:cNvPr id="1821" name="image2.png">
          <a:extLst>
            <a:ext uri="{FF2B5EF4-FFF2-40B4-BE49-F238E27FC236}">
              <a16:creationId xmlns:a16="http://schemas.microsoft.com/office/drawing/2014/main" id="{00000000-0008-0000-0200-00001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1202</xdr:row>
      <xdr:rowOff>0</xdr:rowOff>
    </xdr:from>
    <xdr:ext cx="200025" cy="200025"/>
    <xdr:pic>
      <xdr:nvPicPr>
        <xdr:cNvPr id="1822" name="image1.png">
          <a:extLst>
            <a:ext uri="{FF2B5EF4-FFF2-40B4-BE49-F238E27FC236}">
              <a16:creationId xmlns:a16="http://schemas.microsoft.com/office/drawing/2014/main" id="{00000000-0008-0000-0200-00001E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1202</xdr:row>
      <xdr:rowOff>0</xdr:rowOff>
    </xdr:from>
    <xdr:ext cx="200025" cy="200025"/>
    <xdr:pic>
      <xdr:nvPicPr>
        <xdr:cNvPr id="1823" name="image11.png">
          <a:extLst>
            <a:ext uri="{FF2B5EF4-FFF2-40B4-BE49-F238E27FC236}">
              <a16:creationId xmlns:a16="http://schemas.microsoft.com/office/drawing/2014/main" id="{00000000-0008-0000-0200-00001F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1204</xdr:row>
      <xdr:rowOff>0</xdr:rowOff>
    </xdr:from>
    <xdr:ext cx="200025" cy="200025"/>
    <xdr:pic>
      <xdr:nvPicPr>
        <xdr:cNvPr id="1824" name="image9.png">
          <a:extLst>
            <a:ext uri="{FF2B5EF4-FFF2-40B4-BE49-F238E27FC236}">
              <a16:creationId xmlns:a16="http://schemas.microsoft.com/office/drawing/2014/main" id="{00000000-0008-0000-0200-00002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1205</xdr:row>
      <xdr:rowOff>0</xdr:rowOff>
    </xdr:from>
    <xdr:ext cx="200025" cy="200025"/>
    <xdr:pic>
      <xdr:nvPicPr>
        <xdr:cNvPr id="1825" name="image8.png">
          <a:extLst>
            <a:ext uri="{FF2B5EF4-FFF2-40B4-BE49-F238E27FC236}">
              <a16:creationId xmlns:a16="http://schemas.microsoft.com/office/drawing/2014/main" id="{00000000-0008-0000-0200-000021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1205</xdr:row>
      <xdr:rowOff>0</xdr:rowOff>
    </xdr:from>
    <xdr:ext cx="200025" cy="200025"/>
    <xdr:pic>
      <xdr:nvPicPr>
        <xdr:cNvPr id="1826" name="image1.png">
          <a:extLst>
            <a:ext uri="{FF2B5EF4-FFF2-40B4-BE49-F238E27FC236}">
              <a16:creationId xmlns:a16="http://schemas.microsoft.com/office/drawing/2014/main" id="{00000000-0008-0000-0200-00002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1205</xdr:row>
      <xdr:rowOff>0</xdr:rowOff>
    </xdr:from>
    <xdr:ext cx="200025" cy="200025"/>
    <xdr:pic>
      <xdr:nvPicPr>
        <xdr:cNvPr id="1827" name="image12.png">
          <a:extLst>
            <a:ext uri="{FF2B5EF4-FFF2-40B4-BE49-F238E27FC236}">
              <a16:creationId xmlns:a16="http://schemas.microsoft.com/office/drawing/2014/main" id="{00000000-0008-0000-0200-000023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1205</xdr:row>
      <xdr:rowOff>0</xdr:rowOff>
    </xdr:from>
    <xdr:ext cx="200025" cy="200025"/>
    <xdr:pic>
      <xdr:nvPicPr>
        <xdr:cNvPr id="1828" name="image2.png">
          <a:extLst>
            <a:ext uri="{FF2B5EF4-FFF2-40B4-BE49-F238E27FC236}">
              <a16:creationId xmlns:a16="http://schemas.microsoft.com/office/drawing/2014/main" id="{00000000-0008-0000-0200-000024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1206</xdr:row>
      <xdr:rowOff>0</xdr:rowOff>
    </xdr:from>
    <xdr:ext cx="200025" cy="200025"/>
    <xdr:pic>
      <xdr:nvPicPr>
        <xdr:cNvPr id="1829" name="image2.png">
          <a:extLst>
            <a:ext uri="{FF2B5EF4-FFF2-40B4-BE49-F238E27FC236}">
              <a16:creationId xmlns:a16="http://schemas.microsoft.com/office/drawing/2014/main" id="{00000000-0008-0000-0200-000025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1209</xdr:row>
      <xdr:rowOff>0</xdr:rowOff>
    </xdr:from>
    <xdr:ext cx="200025" cy="200025"/>
    <xdr:pic>
      <xdr:nvPicPr>
        <xdr:cNvPr id="1830" name="image8.png">
          <a:extLst>
            <a:ext uri="{FF2B5EF4-FFF2-40B4-BE49-F238E27FC236}">
              <a16:creationId xmlns:a16="http://schemas.microsoft.com/office/drawing/2014/main" id="{00000000-0008-0000-0200-00002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1209</xdr:row>
      <xdr:rowOff>0</xdr:rowOff>
    </xdr:from>
    <xdr:ext cx="200025" cy="200025"/>
    <xdr:pic>
      <xdr:nvPicPr>
        <xdr:cNvPr id="1831" name="image2.png">
          <a:extLst>
            <a:ext uri="{FF2B5EF4-FFF2-40B4-BE49-F238E27FC236}">
              <a16:creationId xmlns:a16="http://schemas.microsoft.com/office/drawing/2014/main" id="{00000000-0008-0000-0200-000027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1209</xdr:row>
      <xdr:rowOff>0</xdr:rowOff>
    </xdr:from>
    <xdr:ext cx="200025" cy="200025"/>
    <xdr:pic>
      <xdr:nvPicPr>
        <xdr:cNvPr id="1832" name="image12.png">
          <a:extLst>
            <a:ext uri="{FF2B5EF4-FFF2-40B4-BE49-F238E27FC236}">
              <a16:creationId xmlns:a16="http://schemas.microsoft.com/office/drawing/2014/main" id="{00000000-0008-0000-0200-000028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1210</xdr:row>
      <xdr:rowOff>0</xdr:rowOff>
    </xdr:from>
    <xdr:ext cx="200025" cy="200025"/>
    <xdr:pic>
      <xdr:nvPicPr>
        <xdr:cNvPr id="1833" name="image12.png">
          <a:extLst>
            <a:ext uri="{FF2B5EF4-FFF2-40B4-BE49-F238E27FC236}">
              <a16:creationId xmlns:a16="http://schemas.microsoft.com/office/drawing/2014/main" id="{00000000-0008-0000-0200-000029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1211</xdr:row>
      <xdr:rowOff>0</xdr:rowOff>
    </xdr:from>
    <xdr:ext cx="200025" cy="200025"/>
    <xdr:pic>
      <xdr:nvPicPr>
        <xdr:cNvPr id="1834" name="image6.png">
          <a:extLst>
            <a:ext uri="{FF2B5EF4-FFF2-40B4-BE49-F238E27FC236}">
              <a16:creationId xmlns:a16="http://schemas.microsoft.com/office/drawing/2014/main" id="{00000000-0008-0000-0200-00002A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1212</xdr:row>
      <xdr:rowOff>0</xdr:rowOff>
    </xdr:from>
    <xdr:ext cx="200025" cy="200025"/>
    <xdr:pic>
      <xdr:nvPicPr>
        <xdr:cNvPr id="1835" name="image10.png">
          <a:extLst>
            <a:ext uri="{FF2B5EF4-FFF2-40B4-BE49-F238E27FC236}">
              <a16:creationId xmlns:a16="http://schemas.microsoft.com/office/drawing/2014/main" id="{00000000-0008-0000-0200-00002B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1212</xdr:row>
      <xdr:rowOff>0</xdr:rowOff>
    </xdr:from>
    <xdr:ext cx="200025" cy="200025"/>
    <xdr:pic>
      <xdr:nvPicPr>
        <xdr:cNvPr id="1836" name="image9.png">
          <a:extLst>
            <a:ext uri="{FF2B5EF4-FFF2-40B4-BE49-F238E27FC236}">
              <a16:creationId xmlns:a16="http://schemas.microsoft.com/office/drawing/2014/main" id="{00000000-0008-0000-0200-00002C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1212</xdr:row>
      <xdr:rowOff>0</xdr:rowOff>
    </xdr:from>
    <xdr:ext cx="200025" cy="200025"/>
    <xdr:pic>
      <xdr:nvPicPr>
        <xdr:cNvPr id="1837" name="image7.png">
          <a:extLst>
            <a:ext uri="{FF2B5EF4-FFF2-40B4-BE49-F238E27FC236}">
              <a16:creationId xmlns:a16="http://schemas.microsoft.com/office/drawing/2014/main" id="{00000000-0008-0000-0200-00002D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1213</xdr:row>
      <xdr:rowOff>0</xdr:rowOff>
    </xdr:from>
    <xdr:ext cx="200025" cy="200025"/>
    <xdr:pic>
      <xdr:nvPicPr>
        <xdr:cNvPr id="1838" name="image2.png">
          <a:extLst>
            <a:ext uri="{FF2B5EF4-FFF2-40B4-BE49-F238E27FC236}">
              <a16:creationId xmlns:a16="http://schemas.microsoft.com/office/drawing/2014/main" id="{00000000-0008-0000-0200-00002E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1214</xdr:row>
      <xdr:rowOff>0</xdr:rowOff>
    </xdr:from>
    <xdr:ext cx="200025" cy="200025"/>
    <xdr:pic>
      <xdr:nvPicPr>
        <xdr:cNvPr id="1839" name="image2.png">
          <a:extLst>
            <a:ext uri="{FF2B5EF4-FFF2-40B4-BE49-F238E27FC236}">
              <a16:creationId xmlns:a16="http://schemas.microsoft.com/office/drawing/2014/main" id="{00000000-0008-0000-0200-00002F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1216</xdr:row>
      <xdr:rowOff>0</xdr:rowOff>
    </xdr:from>
    <xdr:ext cx="200025" cy="200025"/>
    <xdr:pic>
      <xdr:nvPicPr>
        <xdr:cNvPr id="1840" name="image10.png">
          <a:extLst>
            <a:ext uri="{FF2B5EF4-FFF2-40B4-BE49-F238E27FC236}">
              <a16:creationId xmlns:a16="http://schemas.microsoft.com/office/drawing/2014/main" id="{00000000-0008-0000-0200-00003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1216</xdr:row>
      <xdr:rowOff>0</xdr:rowOff>
    </xdr:from>
    <xdr:ext cx="200025" cy="200025"/>
    <xdr:pic>
      <xdr:nvPicPr>
        <xdr:cNvPr id="1841" name="image2.png">
          <a:extLst>
            <a:ext uri="{FF2B5EF4-FFF2-40B4-BE49-F238E27FC236}">
              <a16:creationId xmlns:a16="http://schemas.microsoft.com/office/drawing/2014/main" id="{00000000-0008-0000-0200-000031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1216</xdr:row>
      <xdr:rowOff>0</xdr:rowOff>
    </xdr:from>
    <xdr:ext cx="200025" cy="200025"/>
    <xdr:pic>
      <xdr:nvPicPr>
        <xdr:cNvPr id="1842" name="image12.png">
          <a:extLst>
            <a:ext uri="{FF2B5EF4-FFF2-40B4-BE49-F238E27FC236}">
              <a16:creationId xmlns:a16="http://schemas.microsoft.com/office/drawing/2014/main" id="{00000000-0008-0000-0200-000032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1216</xdr:row>
      <xdr:rowOff>0</xdr:rowOff>
    </xdr:from>
    <xdr:ext cx="200025" cy="200025"/>
    <xdr:pic>
      <xdr:nvPicPr>
        <xdr:cNvPr id="1843" name="image7.png">
          <a:extLst>
            <a:ext uri="{FF2B5EF4-FFF2-40B4-BE49-F238E27FC236}">
              <a16:creationId xmlns:a16="http://schemas.microsoft.com/office/drawing/2014/main" id="{00000000-0008-0000-0200-000033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1217</xdr:row>
      <xdr:rowOff>0</xdr:rowOff>
    </xdr:from>
    <xdr:ext cx="200025" cy="200025"/>
    <xdr:pic>
      <xdr:nvPicPr>
        <xdr:cNvPr id="1844" name="image8.png">
          <a:extLst>
            <a:ext uri="{FF2B5EF4-FFF2-40B4-BE49-F238E27FC236}">
              <a16:creationId xmlns:a16="http://schemas.microsoft.com/office/drawing/2014/main" id="{00000000-0008-0000-0200-00003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1218</xdr:row>
      <xdr:rowOff>0</xdr:rowOff>
    </xdr:from>
    <xdr:ext cx="200025" cy="200025"/>
    <xdr:pic>
      <xdr:nvPicPr>
        <xdr:cNvPr id="1845" name="image8.png">
          <a:extLst>
            <a:ext uri="{FF2B5EF4-FFF2-40B4-BE49-F238E27FC236}">
              <a16:creationId xmlns:a16="http://schemas.microsoft.com/office/drawing/2014/main" id="{00000000-0008-0000-0200-00003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1220</xdr:row>
      <xdr:rowOff>0</xdr:rowOff>
    </xdr:from>
    <xdr:ext cx="200025" cy="200025"/>
    <xdr:pic>
      <xdr:nvPicPr>
        <xdr:cNvPr id="1846" name="image8.png">
          <a:extLst>
            <a:ext uri="{FF2B5EF4-FFF2-40B4-BE49-F238E27FC236}">
              <a16:creationId xmlns:a16="http://schemas.microsoft.com/office/drawing/2014/main" id="{00000000-0008-0000-0200-00003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1220</xdr:row>
      <xdr:rowOff>0</xdr:rowOff>
    </xdr:from>
    <xdr:ext cx="200025" cy="200025"/>
    <xdr:pic>
      <xdr:nvPicPr>
        <xdr:cNvPr id="1847" name="image2.png">
          <a:extLst>
            <a:ext uri="{FF2B5EF4-FFF2-40B4-BE49-F238E27FC236}">
              <a16:creationId xmlns:a16="http://schemas.microsoft.com/office/drawing/2014/main" id="{00000000-0008-0000-0200-000037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1220</xdr:row>
      <xdr:rowOff>0</xdr:rowOff>
    </xdr:from>
    <xdr:ext cx="200025" cy="200025"/>
    <xdr:pic>
      <xdr:nvPicPr>
        <xdr:cNvPr id="1848" name="image5.png">
          <a:extLst>
            <a:ext uri="{FF2B5EF4-FFF2-40B4-BE49-F238E27FC236}">
              <a16:creationId xmlns:a16="http://schemas.microsoft.com/office/drawing/2014/main" id="{00000000-0008-0000-0200-000038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1223</xdr:row>
      <xdr:rowOff>0</xdr:rowOff>
    </xdr:from>
    <xdr:ext cx="200025" cy="200025"/>
    <xdr:pic>
      <xdr:nvPicPr>
        <xdr:cNvPr id="1849" name="image12.png">
          <a:extLst>
            <a:ext uri="{FF2B5EF4-FFF2-40B4-BE49-F238E27FC236}">
              <a16:creationId xmlns:a16="http://schemas.microsoft.com/office/drawing/2014/main" id="{00000000-0008-0000-0200-000039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10</xdr:col>
      <xdr:colOff>0</xdr:colOff>
      <xdr:row>1223</xdr:row>
      <xdr:rowOff>0</xdr:rowOff>
    </xdr:from>
    <xdr:ext cx="200025" cy="200025"/>
    <xdr:pic>
      <xdr:nvPicPr>
        <xdr:cNvPr id="1850" name="image4.png">
          <a:extLst>
            <a:ext uri="{FF2B5EF4-FFF2-40B4-BE49-F238E27FC236}">
              <a16:creationId xmlns:a16="http://schemas.microsoft.com/office/drawing/2014/main" id="{00000000-0008-0000-0200-00003A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1223</xdr:row>
      <xdr:rowOff>0</xdr:rowOff>
    </xdr:from>
    <xdr:ext cx="200025" cy="200025"/>
    <xdr:pic>
      <xdr:nvPicPr>
        <xdr:cNvPr id="1851" name="image7.png">
          <a:extLst>
            <a:ext uri="{FF2B5EF4-FFF2-40B4-BE49-F238E27FC236}">
              <a16:creationId xmlns:a16="http://schemas.microsoft.com/office/drawing/2014/main" id="{00000000-0008-0000-0200-00003B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0</xdr:colOff>
      <xdr:row>1223</xdr:row>
      <xdr:rowOff>0</xdr:rowOff>
    </xdr:from>
    <xdr:ext cx="200025" cy="200025"/>
    <xdr:pic>
      <xdr:nvPicPr>
        <xdr:cNvPr id="1852" name="image11.png">
          <a:extLst>
            <a:ext uri="{FF2B5EF4-FFF2-40B4-BE49-F238E27FC236}">
              <a16:creationId xmlns:a16="http://schemas.microsoft.com/office/drawing/2014/main" id="{00000000-0008-0000-0200-00003C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1223</xdr:row>
      <xdr:rowOff>0</xdr:rowOff>
    </xdr:from>
    <xdr:ext cx="200025" cy="200025"/>
    <xdr:pic>
      <xdr:nvPicPr>
        <xdr:cNvPr id="1853" name="image1.png">
          <a:extLst>
            <a:ext uri="{FF2B5EF4-FFF2-40B4-BE49-F238E27FC236}">
              <a16:creationId xmlns:a16="http://schemas.microsoft.com/office/drawing/2014/main" id="{00000000-0008-0000-0200-00003D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1224</xdr:row>
      <xdr:rowOff>0</xdr:rowOff>
    </xdr:from>
    <xdr:ext cx="200025" cy="200025"/>
    <xdr:pic>
      <xdr:nvPicPr>
        <xdr:cNvPr id="1854" name="image1.png">
          <a:extLst>
            <a:ext uri="{FF2B5EF4-FFF2-40B4-BE49-F238E27FC236}">
              <a16:creationId xmlns:a16="http://schemas.microsoft.com/office/drawing/2014/main" id="{00000000-0008-0000-0200-00003E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1225</xdr:row>
      <xdr:rowOff>0</xdr:rowOff>
    </xdr:from>
    <xdr:ext cx="200025" cy="200025"/>
    <xdr:pic>
      <xdr:nvPicPr>
        <xdr:cNvPr id="1855" name="image1.png">
          <a:extLst>
            <a:ext uri="{FF2B5EF4-FFF2-40B4-BE49-F238E27FC236}">
              <a16:creationId xmlns:a16="http://schemas.microsoft.com/office/drawing/2014/main" id="{00000000-0008-0000-0200-00003F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1226</xdr:row>
      <xdr:rowOff>0</xdr:rowOff>
    </xdr:from>
    <xdr:ext cx="200025" cy="200025"/>
    <xdr:pic>
      <xdr:nvPicPr>
        <xdr:cNvPr id="1856" name="image8.png">
          <a:extLst>
            <a:ext uri="{FF2B5EF4-FFF2-40B4-BE49-F238E27FC236}">
              <a16:creationId xmlns:a16="http://schemas.microsoft.com/office/drawing/2014/main" id="{00000000-0008-0000-0200-000040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1226</xdr:row>
      <xdr:rowOff>0</xdr:rowOff>
    </xdr:from>
    <xdr:ext cx="200025" cy="200025"/>
    <xdr:pic>
      <xdr:nvPicPr>
        <xdr:cNvPr id="1857" name="image9.png">
          <a:extLst>
            <a:ext uri="{FF2B5EF4-FFF2-40B4-BE49-F238E27FC236}">
              <a16:creationId xmlns:a16="http://schemas.microsoft.com/office/drawing/2014/main" id="{00000000-0008-0000-0200-000041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1226</xdr:row>
      <xdr:rowOff>0</xdr:rowOff>
    </xdr:from>
    <xdr:ext cx="200025" cy="200025"/>
    <xdr:pic>
      <xdr:nvPicPr>
        <xdr:cNvPr id="1858" name="image6.png">
          <a:extLst>
            <a:ext uri="{FF2B5EF4-FFF2-40B4-BE49-F238E27FC236}">
              <a16:creationId xmlns:a16="http://schemas.microsoft.com/office/drawing/2014/main" id="{00000000-0008-0000-0200-000042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1227</xdr:row>
      <xdr:rowOff>0</xdr:rowOff>
    </xdr:from>
    <xdr:ext cx="200025" cy="200025"/>
    <xdr:pic>
      <xdr:nvPicPr>
        <xdr:cNvPr id="1859" name="image10.png">
          <a:extLst>
            <a:ext uri="{FF2B5EF4-FFF2-40B4-BE49-F238E27FC236}">
              <a16:creationId xmlns:a16="http://schemas.microsoft.com/office/drawing/2014/main" id="{00000000-0008-0000-0200-000043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1228</xdr:row>
      <xdr:rowOff>0</xdr:rowOff>
    </xdr:from>
    <xdr:ext cx="200025" cy="200025"/>
    <xdr:pic>
      <xdr:nvPicPr>
        <xdr:cNvPr id="1860" name="image10.png">
          <a:extLst>
            <a:ext uri="{FF2B5EF4-FFF2-40B4-BE49-F238E27FC236}">
              <a16:creationId xmlns:a16="http://schemas.microsoft.com/office/drawing/2014/main" id="{00000000-0008-0000-0200-000044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1229</xdr:row>
      <xdr:rowOff>0</xdr:rowOff>
    </xdr:from>
    <xdr:ext cx="200025" cy="200025"/>
    <xdr:pic>
      <xdr:nvPicPr>
        <xdr:cNvPr id="1861" name="image10.png">
          <a:extLst>
            <a:ext uri="{FF2B5EF4-FFF2-40B4-BE49-F238E27FC236}">
              <a16:creationId xmlns:a16="http://schemas.microsoft.com/office/drawing/2014/main" id="{00000000-0008-0000-0200-000045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1229</xdr:row>
      <xdr:rowOff>0</xdr:rowOff>
    </xdr:from>
    <xdr:ext cx="200025" cy="200025"/>
    <xdr:pic>
      <xdr:nvPicPr>
        <xdr:cNvPr id="1862" name="image1.png">
          <a:extLst>
            <a:ext uri="{FF2B5EF4-FFF2-40B4-BE49-F238E27FC236}">
              <a16:creationId xmlns:a16="http://schemas.microsoft.com/office/drawing/2014/main" id="{00000000-0008-0000-0200-000046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1229</xdr:row>
      <xdr:rowOff>0</xdr:rowOff>
    </xdr:from>
    <xdr:ext cx="200025" cy="200025"/>
    <xdr:pic>
      <xdr:nvPicPr>
        <xdr:cNvPr id="1863" name="image6.png">
          <a:extLst>
            <a:ext uri="{FF2B5EF4-FFF2-40B4-BE49-F238E27FC236}">
              <a16:creationId xmlns:a16="http://schemas.microsoft.com/office/drawing/2014/main" id="{00000000-0008-0000-0200-000047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1230</xdr:row>
      <xdr:rowOff>0</xdr:rowOff>
    </xdr:from>
    <xdr:ext cx="200025" cy="200025"/>
    <xdr:pic>
      <xdr:nvPicPr>
        <xdr:cNvPr id="1864" name="image9.png">
          <a:extLst>
            <a:ext uri="{FF2B5EF4-FFF2-40B4-BE49-F238E27FC236}">
              <a16:creationId xmlns:a16="http://schemas.microsoft.com/office/drawing/2014/main" id="{00000000-0008-0000-0200-000048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1231</xdr:row>
      <xdr:rowOff>0</xdr:rowOff>
    </xdr:from>
    <xdr:ext cx="200025" cy="200025"/>
    <xdr:pic>
      <xdr:nvPicPr>
        <xdr:cNvPr id="1865" name="image8.png">
          <a:extLst>
            <a:ext uri="{FF2B5EF4-FFF2-40B4-BE49-F238E27FC236}">
              <a16:creationId xmlns:a16="http://schemas.microsoft.com/office/drawing/2014/main" id="{00000000-0008-0000-0200-000049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1231</xdr:row>
      <xdr:rowOff>0</xdr:rowOff>
    </xdr:from>
    <xdr:ext cx="200025" cy="200025"/>
    <xdr:pic>
      <xdr:nvPicPr>
        <xdr:cNvPr id="1866" name="image6.png">
          <a:extLst>
            <a:ext uri="{FF2B5EF4-FFF2-40B4-BE49-F238E27FC236}">
              <a16:creationId xmlns:a16="http://schemas.microsoft.com/office/drawing/2014/main" id="{00000000-0008-0000-0200-00004A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1231</xdr:row>
      <xdr:rowOff>0</xdr:rowOff>
    </xdr:from>
    <xdr:ext cx="200025" cy="200025"/>
    <xdr:pic>
      <xdr:nvPicPr>
        <xdr:cNvPr id="1867" name="image3.png">
          <a:extLst>
            <a:ext uri="{FF2B5EF4-FFF2-40B4-BE49-F238E27FC236}">
              <a16:creationId xmlns:a16="http://schemas.microsoft.com/office/drawing/2014/main" id="{00000000-0008-0000-0200-00004B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1231</xdr:row>
      <xdr:rowOff>0</xdr:rowOff>
    </xdr:from>
    <xdr:ext cx="200025" cy="200025"/>
    <xdr:pic>
      <xdr:nvPicPr>
        <xdr:cNvPr id="1868" name="image11.png">
          <a:extLst>
            <a:ext uri="{FF2B5EF4-FFF2-40B4-BE49-F238E27FC236}">
              <a16:creationId xmlns:a16="http://schemas.microsoft.com/office/drawing/2014/main" id="{00000000-0008-0000-0200-00004C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1233</xdr:row>
      <xdr:rowOff>0</xdr:rowOff>
    </xdr:from>
    <xdr:ext cx="200025" cy="200025"/>
    <xdr:pic>
      <xdr:nvPicPr>
        <xdr:cNvPr id="1869" name="image8.png">
          <a:extLst>
            <a:ext uri="{FF2B5EF4-FFF2-40B4-BE49-F238E27FC236}">
              <a16:creationId xmlns:a16="http://schemas.microsoft.com/office/drawing/2014/main" id="{00000000-0008-0000-0200-00004D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1233</xdr:row>
      <xdr:rowOff>0</xdr:rowOff>
    </xdr:from>
    <xdr:ext cx="200025" cy="200025"/>
    <xdr:pic>
      <xdr:nvPicPr>
        <xdr:cNvPr id="1870" name="image6.png">
          <a:extLst>
            <a:ext uri="{FF2B5EF4-FFF2-40B4-BE49-F238E27FC236}">
              <a16:creationId xmlns:a16="http://schemas.microsoft.com/office/drawing/2014/main" id="{00000000-0008-0000-0200-00004E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1233</xdr:row>
      <xdr:rowOff>0</xdr:rowOff>
    </xdr:from>
    <xdr:ext cx="200025" cy="200025"/>
    <xdr:pic>
      <xdr:nvPicPr>
        <xdr:cNvPr id="1871" name="image12.png">
          <a:extLst>
            <a:ext uri="{FF2B5EF4-FFF2-40B4-BE49-F238E27FC236}">
              <a16:creationId xmlns:a16="http://schemas.microsoft.com/office/drawing/2014/main" id="{00000000-0008-0000-0200-00004F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1234</xdr:row>
      <xdr:rowOff>0</xdr:rowOff>
    </xdr:from>
    <xdr:ext cx="200025" cy="200025"/>
    <xdr:pic>
      <xdr:nvPicPr>
        <xdr:cNvPr id="1872" name="image9.png">
          <a:extLst>
            <a:ext uri="{FF2B5EF4-FFF2-40B4-BE49-F238E27FC236}">
              <a16:creationId xmlns:a16="http://schemas.microsoft.com/office/drawing/2014/main" id="{00000000-0008-0000-0200-00005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1235</xdr:row>
      <xdr:rowOff>0</xdr:rowOff>
    </xdr:from>
    <xdr:ext cx="200025" cy="200025"/>
    <xdr:pic>
      <xdr:nvPicPr>
        <xdr:cNvPr id="1873" name="image9.png">
          <a:extLst>
            <a:ext uri="{FF2B5EF4-FFF2-40B4-BE49-F238E27FC236}">
              <a16:creationId xmlns:a16="http://schemas.microsoft.com/office/drawing/2014/main" id="{00000000-0008-0000-0200-000051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1236</xdr:row>
      <xdr:rowOff>0</xdr:rowOff>
    </xdr:from>
    <xdr:ext cx="200025" cy="200025"/>
    <xdr:pic>
      <xdr:nvPicPr>
        <xdr:cNvPr id="1874" name="image8.png">
          <a:extLst>
            <a:ext uri="{FF2B5EF4-FFF2-40B4-BE49-F238E27FC236}">
              <a16:creationId xmlns:a16="http://schemas.microsoft.com/office/drawing/2014/main" id="{00000000-0008-0000-0200-00005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1236</xdr:row>
      <xdr:rowOff>0</xdr:rowOff>
    </xdr:from>
    <xdr:ext cx="200025" cy="200025"/>
    <xdr:pic>
      <xdr:nvPicPr>
        <xdr:cNvPr id="1875" name="image5.png">
          <a:extLst>
            <a:ext uri="{FF2B5EF4-FFF2-40B4-BE49-F238E27FC236}">
              <a16:creationId xmlns:a16="http://schemas.microsoft.com/office/drawing/2014/main" id="{00000000-0008-0000-0200-00005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1236</xdr:row>
      <xdr:rowOff>0</xdr:rowOff>
    </xdr:from>
    <xdr:ext cx="200025" cy="200025"/>
    <xdr:pic>
      <xdr:nvPicPr>
        <xdr:cNvPr id="1876" name="image4.png">
          <a:extLst>
            <a:ext uri="{FF2B5EF4-FFF2-40B4-BE49-F238E27FC236}">
              <a16:creationId xmlns:a16="http://schemas.microsoft.com/office/drawing/2014/main" id="{00000000-0008-0000-0200-000054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1236</xdr:row>
      <xdr:rowOff>0</xdr:rowOff>
    </xdr:from>
    <xdr:ext cx="200025" cy="200025"/>
    <xdr:pic>
      <xdr:nvPicPr>
        <xdr:cNvPr id="1877" name="image11.png">
          <a:extLst>
            <a:ext uri="{FF2B5EF4-FFF2-40B4-BE49-F238E27FC236}">
              <a16:creationId xmlns:a16="http://schemas.microsoft.com/office/drawing/2014/main" id="{00000000-0008-0000-0200-000055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1236</xdr:row>
      <xdr:rowOff>0</xdr:rowOff>
    </xdr:from>
    <xdr:ext cx="200025" cy="200025"/>
    <xdr:pic>
      <xdr:nvPicPr>
        <xdr:cNvPr id="1878" name="image12.png">
          <a:extLst>
            <a:ext uri="{FF2B5EF4-FFF2-40B4-BE49-F238E27FC236}">
              <a16:creationId xmlns:a16="http://schemas.microsoft.com/office/drawing/2014/main" id="{00000000-0008-0000-0200-000056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1237</xdr:row>
      <xdr:rowOff>0</xdr:rowOff>
    </xdr:from>
    <xdr:ext cx="200025" cy="200025"/>
    <xdr:pic>
      <xdr:nvPicPr>
        <xdr:cNvPr id="1879" name="image12.png">
          <a:extLst>
            <a:ext uri="{FF2B5EF4-FFF2-40B4-BE49-F238E27FC236}">
              <a16:creationId xmlns:a16="http://schemas.microsoft.com/office/drawing/2014/main" id="{00000000-0008-0000-0200-000057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1238</xdr:row>
      <xdr:rowOff>0</xdr:rowOff>
    </xdr:from>
    <xdr:ext cx="200025" cy="200025"/>
    <xdr:pic>
      <xdr:nvPicPr>
        <xdr:cNvPr id="1880" name="image6.png">
          <a:extLst>
            <a:ext uri="{FF2B5EF4-FFF2-40B4-BE49-F238E27FC236}">
              <a16:creationId xmlns:a16="http://schemas.microsoft.com/office/drawing/2014/main" id="{00000000-0008-0000-0200-000058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1239</xdr:row>
      <xdr:rowOff>0</xdr:rowOff>
    </xdr:from>
    <xdr:ext cx="200025" cy="200025"/>
    <xdr:pic>
      <xdr:nvPicPr>
        <xdr:cNvPr id="1881" name="image8.png">
          <a:extLst>
            <a:ext uri="{FF2B5EF4-FFF2-40B4-BE49-F238E27FC236}">
              <a16:creationId xmlns:a16="http://schemas.microsoft.com/office/drawing/2014/main" id="{00000000-0008-0000-0200-000059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1239</xdr:row>
      <xdr:rowOff>0</xdr:rowOff>
    </xdr:from>
    <xdr:ext cx="200025" cy="200025"/>
    <xdr:pic>
      <xdr:nvPicPr>
        <xdr:cNvPr id="1882" name="image1.png">
          <a:extLst>
            <a:ext uri="{FF2B5EF4-FFF2-40B4-BE49-F238E27FC236}">
              <a16:creationId xmlns:a16="http://schemas.microsoft.com/office/drawing/2014/main" id="{00000000-0008-0000-0200-00005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1239</xdr:row>
      <xdr:rowOff>0</xdr:rowOff>
    </xdr:from>
    <xdr:ext cx="200025" cy="200025"/>
    <xdr:pic>
      <xdr:nvPicPr>
        <xdr:cNvPr id="1883" name="image3.png">
          <a:extLst>
            <a:ext uri="{FF2B5EF4-FFF2-40B4-BE49-F238E27FC236}">
              <a16:creationId xmlns:a16="http://schemas.microsoft.com/office/drawing/2014/main" id="{00000000-0008-0000-0200-00005B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1239</xdr:row>
      <xdr:rowOff>0</xdr:rowOff>
    </xdr:from>
    <xdr:ext cx="200025" cy="200025"/>
    <xdr:pic>
      <xdr:nvPicPr>
        <xdr:cNvPr id="1884" name="image2.png">
          <a:extLst>
            <a:ext uri="{FF2B5EF4-FFF2-40B4-BE49-F238E27FC236}">
              <a16:creationId xmlns:a16="http://schemas.microsoft.com/office/drawing/2014/main" id="{00000000-0008-0000-0200-00005C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1240</xdr:row>
      <xdr:rowOff>0</xdr:rowOff>
    </xdr:from>
    <xdr:ext cx="200025" cy="200025"/>
    <xdr:pic>
      <xdr:nvPicPr>
        <xdr:cNvPr id="1885" name="image2.png">
          <a:extLst>
            <a:ext uri="{FF2B5EF4-FFF2-40B4-BE49-F238E27FC236}">
              <a16:creationId xmlns:a16="http://schemas.microsoft.com/office/drawing/2014/main" id="{00000000-0008-0000-0200-00005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1241</xdr:row>
      <xdr:rowOff>0</xdr:rowOff>
    </xdr:from>
    <xdr:ext cx="200025" cy="200025"/>
    <xdr:pic>
      <xdr:nvPicPr>
        <xdr:cNvPr id="1886" name="image2.png">
          <a:extLst>
            <a:ext uri="{FF2B5EF4-FFF2-40B4-BE49-F238E27FC236}">
              <a16:creationId xmlns:a16="http://schemas.microsoft.com/office/drawing/2014/main" id="{00000000-0008-0000-0200-00005E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1242</xdr:row>
      <xdr:rowOff>0</xdr:rowOff>
    </xdr:from>
    <xdr:ext cx="200025" cy="200025"/>
    <xdr:pic>
      <xdr:nvPicPr>
        <xdr:cNvPr id="1887" name="image10.png">
          <a:extLst>
            <a:ext uri="{FF2B5EF4-FFF2-40B4-BE49-F238E27FC236}">
              <a16:creationId xmlns:a16="http://schemas.microsoft.com/office/drawing/2014/main" id="{00000000-0008-0000-0200-00005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1242</xdr:row>
      <xdr:rowOff>0</xdr:rowOff>
    </xdr:from>
    <xdr:ext cx="200025" cy="200025"/>
    <xdr:pic>
      <xdr:nvPicPr>
        <xdr:cNvPr id="1888" name="image9.png">
          <a:extLst>
            <a:ext uri="{FF2B5EF4-FFF2-40B4-BE49-F238E27FC236}">
              <a16:creationId xmlns:a16="http://schemas.microsoft.com/office/drawing/2014/main" id="{00000000-0008-0000-0200-00006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1242</xdr:row>
      <xdr:rowOff>0</xdr:rowOff>
    </xdr:from>
    <xdr:ext cx="200025" cy="200025"/>
    <xdr:pic>
      <xdr:nvPicPr>
        <xdr:cNvPr id="1889" name="image12.png">
          <a:extLst>
            <a:ext uri="{FF2B5EF4-FFF2-40B4-BE49-F238E27FC236}">
              <a16:creationId xmlns:a16="http://schemas.microsoft.com/office/drawing/2014/main" id="{00000000-0008-0000-0200-000061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1243</xdr:row>
      <xdr:rowOff>0</xdr:rowOff>
    </xdr:from>
    <xdr:ext cx="200025" cy="200025"/>
    <xdr:pic>
      <xdr:nvPicPr>
        <xdr:cNvPr id="1890" name="image8.png">
          <a:extLst>
            <a:ext uri="{FF2B5EF4-FFF2-40B4-BE49-F238E27FC236}">
              <a16:creationId xmlns:a16="http://schemas.microsoft.com/office/drawing/2014/main" id="{00000000-0008-0000-0200-000062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1244</xdr:row>
      <xdr:rowOff>0</xdr:rowOff>
    </xdr:from>
    <xdr:ext cx="200025" cy="200025"/>
    <xdr:pic>
      <xdr:nvPicPr>
        <xdr:cNvPr id="1891" name="image8.png">
          <a:extLst>
            <a:ext uri="{FF2B5EF4-FFF2-40B4-BE49-F238E27FC236}">
              <a16:creationId xmlns:a16="http://schemas.microsoft.com/office/drawing/2014/main" id="{00000000-0008-0000-0200-000063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1245</xdr:row>
      <xdr:rowOff>0</xdr:rowOff>
    </xdr:from>
    <xdr:ext cx="200025" cy="200025"/>
    <xdr:pic>
      <xdr:nvPicPr>
        <xdr:cNvPr id="1892" name="image8.png">
          <a:extLst>
            <a:ext uri="{FF2B5EF4-FFF2-40B4-BE49-F238E27FC236}">
              <a16:creationId xmlns:a16="http://schemas.microsoft.com/office/drawing/2014/main" id="{00000000-0008-0000-0200-00006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1245</xdr:row>
      <xdr:rowOff>0</xdr:rowOff>
    </xdr:from>
    <xdr:ext cx="200025" cy="200025"/>
    <xdr:pic>
      <xdr:nvPicPr>
        <xdr:cNvPr id="1893" name="image9.png">
          <a:extLst>
            <a:ext uri="{FF2B5EF4-FFF2-40B4-BE49-F238E27FC236}">
              <a16:creationId xmlns:a16="http://schemas.microsoft.com/office/drawing/2014/main" id="{00000000-0008-0000-0200-000065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1245</xdr:row>
      <xdr:rowOff>0</xdr:rowOff>
    </xdr:from>
    <xdr:ext cx="200025" cy="200025"/>
    <xdr:pic>
      <xdr:nvPicPr>
        <xdr:cNvPr id="1894" name="image2.png">
          <a:extLst>
            <a:ext uri="{FF2B5EF4-FFF2-40B4-BE49-F238E27FC236}">
              <a16:creationId xmlns:a16="http://schemas.microsoft.com/office/drawing/2014/main" id="{00000000-0008-0000-0200-000066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1245</xdr:row>
      <xdr:rowOff>0</xdr:rowOff>
    </xdr:from>
    <xdr:ext cx="200025" cy="200025"/>
    <xdr:pic>
      <xdr:nvPicPr>
        <xdr:cNvPr id="1895" name="image10.png">
          <a:extLst>
            <a:ext uri="{FF2B5EF4-FFF2-40B4-BE49-F238E27FC236}">
              <a16:creationId xmlns:a16="http://schemas.microsoft.com/office/drawing/2014/main" id="{00000000-0008-0000-0200-00006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1246</xdr:row>
      <xdr:rowOff>0</xdr:rowOff>
    </xdr:from>
    <xdr:ext cx="200025" cy="200025"/>
    <xdr:pic>
      <xdr:nvPicPr>
        <xdr:cNvPr id="1896" name="image10.png">
          <a:extLst>
            <a:ext uri="{FF2B5EF4-FFF2-40B4-BE49-F238E27FC236}">
              <a16:creationId xmlns:a16="http://schemas.microsoft.com/office/drawing/2014/main" id="{00000000-0008-0000-0200-000068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1247</xdr:row>
      <xdr:rowOff>0</xdr:rowOff>
    </xdr:from>
    <xdr:ext cx="200025" cy="200025"/>
    <xdr:pic>
      <xdr:nvPicPr>
        <xdr:cNvPr id="1897" name="image10.png">
          <a:extLst>
            <a:ext uri="{FF2B5EF4-FFF2-40B4-BE49-F238E27FC236}">
              <a16:creationId xmlns:a16="http://schemas.microsoft.com/office/drawing/2014/main" id="{00000000-0008-0000-0200-000069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1248</xdr:row>
      <xdr:rowOff>0</xdr:rowOff>
    </xdr:from>
    <xdr:ext cx="200025" cy="200025"/>
    <xdr:pic>
      <xdr:nvPicPr>
        <xdr:cNvPr id="1898" name="image10.png">
          <a:extLst>
            <a:ext uri="{FF2B5EF4-FFF2-40B4-BE49-F238E27FC236}">
              <a16:creationId xmlns:a16="http://schemas.microsoft.com/office/drawing/2014/main" id="{00000000-0008-0000-0200-00006A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1248</xdr:row>
      <xdr:rowOff>0</xdr:rowOff>
    </xdr:from>
    <xdr:ext cx="200025" cy="200025"/>
    <xdr:pic>
      <xdr:nvPicPr>
        <xdr:cNvPr id="1899" name="image2.png">
          <a:extLst>
            <a:ext uri="{FF2B5EF4-FFF2-40B4-BE49-F238E27FC236}">
              <a16:creationId xmlns:a16="http://schemas.microsoft.com/office/drawing/2014/main" id="{00000000-0008-0000-0200-00006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1248</xdr:row>
      <xdr:rowOff>0</xdr:rowOff>
    </xdr:from>
    <xdr:ext cx="200025" cy="200025"/>
    <xdr:pic>
      <xdr:nvPicPr>
        <xdr:cNvPr id="1900" name="image12.png">
          <a:extLst>
            <a:ext uri="{FF2B5EF4-FFF2-40B4-BE49-F238E27FC236}">
              <a16:creationId xmlns:a16="http://schemas.microsoft.com/office/drawing/2014/main" id="{00000000-0008-0000-0200-00006C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1248</xdr:row>
      <xdr:rowOff>0</xdr:rowOff>
    </xdr:from>
    <xdr:ext cx="200025" cy="200025"/>
    <xdr:pic>
      <xdr:nvPicPr>
        <xdr:cNvPr id="1901" name="image11.png">
          <a:extLst>
            <a:ext uri="{FF2B5EF4-FFF2-40B4-BE49-F238E27FC236}">
              <a16:creationId xmlns:a16="http://schemas.microsoft.com/office/drawing/2014/main" id="{00000000-0008-0000-0200-00006D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1248</xdr:row>
      <xdr:rowOff>0</xdr:rowOff>
    </xdr:from>
    <xdr:ext cx="200025" cy="200025"/>
    <xdr:pic>
      <xdr:nvPicPr>
        <xdr:cNvPr id="1902" name="image10.png">
          <a:extLst>
            <a:ext uri="{FF2B5EF4-FFF2-40B4-BE49-F238E27FC236}">
              <a16:creationId xmlns:a16="http://schemas.microsoft.com/office/drawing/2014/main" id="{00000000-0008-0000-0200-00006E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1249</xdr:row>
      <xdr:rowOff>0</xdr:rowOff>
    </xdr:from>
    <xdr:ext cx="200025" cy="200025"/>
    <xdr:pic>
      <xdr:nvPicPr>
        <xdr:cNvPr id="1903" name="image10.png">
          <a:extLst>
            <a:ext uri="{FF2B5EF4-FFF2-40B4-BE49-F238E27FC236}">
              <a16:creationId xmlns:a16="http://schemas.microsoft.com/office/drawing/2014/main" id="{00000000-0008-0000-0200-00006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1250</xdr:row>
      <xdr:rowOff>0</xdr:rowOff>
    </xdr:from>
    <xdr:ext cx="200025" cy="200025"/>
    <xdr:pic>
      <xdr:nvPicPr>
        <xdr:cNvPr id="1904" name="image10.png">
          <a:extLst>
            <a:ext uri="{FF2B5EF4-FFF2-40B4-BE49-F238E27FC236}">
              <a16:creationId xmlns:a16="http://schemas.microsoft.com/office/drawing/2014/main" id="{00000000-0008-0000-0200-00007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1251</xdr:row>
      <xdr:rowOff>0</xdr:rowOff>
    </xdr:from>
    <xdr:ext cx="200025" cy="200025"/>
    <xdr:pic>
      <xdr:nvPicPr>
        <xdr:cNvPr id="1905" name="image10.png">
          <a:extLst>
            <a:ext uri="{FF2B5EF4-FFF2-40B4-BE49-F238E27FC236}">
              <a16:creationId xmlns:a16="http://schemas.microsoft.com/office/drawing/2014/main" id="{00000000-0008-0000-0200-000071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1251</xdr:row>
      <xdr:rowOff>0</xdr:rowOff>
    </xdr:from>
    <xdr:ext cx="200025" cy="200025"/>
    <xdr:pic>
      <xdr:nvPicPr>
        <xdr:cNvPr id="1906" name="image1.png">
          <a:extLst>
            <a:ext uri="{FF2B5EF4-FFF2-40B4-BE49-F238E27FC236}">
              <a16:creationId xmlns:a16="http://schemas.microsoft.com/office/drawing/2014/main" id="{00000000-0008-0000-0200-00007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1251</xdr:row>
      <xdr:rowOff>0</xdr:rowOff>
    </xdr:from>
    <xdr:ext cx="200025" cy="200025"/>
    <xdr:pic>
      <xdr:nvPicPr>
        <xdr:cNvPr id="1907" name="image5.png">
          <a:extLst>
            <a:ext uri="{FF2B5EF4-FFF2-40B4-BE49-F238E27FC236}">
              <a16:creationId xmlns:a16="http://schemas.microsoft.com/office/drawing/2014/main" id="{00000000-0008-0000-0200-00007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1251</xdr:row>
      <xdr:rowOff>0</xdr:rowOff>
    </xdr:from>
    <xdr:ext cx="200025" cy="200025"/>
    <xdr:pic>
      <xdr:nvPicPr>
        <xdr:cNvPr id="1908" name="image2.png">
          <a:extLst>
            <a:ext uri="{FF2B5EF4-FFF2-40B4-BE49-F238E27FC236}">
              <a16:creationId xmlns:a16="http://schemas.microsoft.com/office/drawing/2014/main" id="{00000000-0008-0000-0200-000074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1252</xdr:row>
      <xdr:rowOff>0</xdr:rowOff>
    </xdr:from>
    <xdr:ext cx="200025" cy="200025"/>
    <xdr:pic>
      <xdr:nvPicPr>
        <xdr:cNvPr id="1909" name="image2.png">
          <a:extLst>
            <a:ext uri="{FF2B5EF4-FFF2-40B4-BE49-F238E27FC236}">
              <a16:creationId xmlns:a16="http://schemas.microsoft.com/office/drawing/2014/main" id="{00000000-0008-0000-0200-000075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1253</xdr:row>
      <xdr:rowOff>0</xdr:rowOff>
    </xdr:from>
    <xdr:ext cx="200025" cy="200025"/>
    <xdr:pic>
      <xdr:nvPicPr>
        <xdr:cNvPr id="1910" name="image2.png">
          <a:extLst>
            <a:ext uri="{FF2B5EF4-FFF2-40B4-BE49-F238E27FC236}">
              <a16:creationId xmlns:a16="http://schemas.microsoft.com/office/drawing/2014/main" id="{00000000-0008-0000-0200-000076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1254</xdr:row>
      <xdr:rowOff>0</xdr:rowOff>
    </xdr:from>
    <xdr:ext cx="200025" cy="200025"/>
    <xdr:pic>
      <xdr:nvPicPr>
        <xdr:cNvPr id="1911" name="image10.png">
          <a:extLst>
            <a:ext uri="{FF2B5EF4-FFF2-40B4-BE49-F238E27FC236}">
              <a16:creationId xmlns:a16="http://schemas.microsoft.com/office/drawing/2014/main" id="{00000000-0008-0000-0200-00007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1254</xdr:row>
      <xdr:rowOff>0</xdr:rowOff>
    </xdr:from>
    <xdr:ext cx="200025" cy="200025"/>
    <xdr:pic>
      <xdr:nvPicPr>
        <xdr:cNvPr id="1912" name="image1.png">
          <a:extLst>
            <a:ext uri="{FF2B5EF4-FFF2-40B4-BE49-F238E27FC236}">
              <a16:creationId xmlns:a16="http://schemas.microsoft.com/office/drawing/2014/main" id="{00000000-0008-0000-0200-000078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1254</xdr:row>
      <xdr:rowOff>0</xdr:rowOff>
    </xdr:from>
    <xdr:ext cx="200025" cy="200025"/>
    <xdr:pic>
      <xdr:nvPicPr>
        <xdr:cNvPr id="1913" name="image5.png">
          <a:extLst>
            <a:ext uri="{FF2B5EF4-FFF2-40B4-BE49-F238E27FC236}">
              <a16:creationId xmlns:a16="http://schemas.microsoft.com/office/drawing/2014/main" id="{00000000-0008-0000-0200-000079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1254</xdr:row>
      <xdr:rowOff>0</xdr:rowOff>
    </xdr:from>
    <xdr:ext cx="200025" cy="200025"/>
    <xdr:pic>
      <xdr:nvPicPr>
        <xdr:cNvPr id="1914" name="image2.png">
          <a:extLst>
            <a:ext uri="{FF2B5EF4-FFF2-40B4-BE49-F238E27FC236}">
              <a16:creationId xmlns:a16="http://schemas.microsoft.com/office/drawing/2014/main" id="{00000000-0008-0000-0200-00007A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1255</xdr:row>
      <xdr:rowOff>0</xdr:rowOff>
    </xdr:from>
    <xdr:ext cx="200025" cy="200025"/>
    <xdr:pic>
      <xdr:nvPicPr>
        <xdr:cNvPr id="1915" name="image2.png">
          <a:extLst>
            <a:ext uri="{FF2B5EF4-FFF2-40B4-BE49-F238E27FC236}">
              <a16:creationId xmlns:a16="http://schemas.microsoft.com/office/drawing/2014/main" id="{00000000-0008-0000-0200-00007B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1256</xdr:row>
      <xdr:rowOff>0</xdr:rowOff>
    </xdr:from>
    <xdr:ext cx="200025" cy="200025"/>
    <xdr:pic>
      <xdr:nvPicPr>
        <xdr:cNvPr id="1916" name="image2.png">
          <a:extLst>
            <a:ext uri="{FF2B5EF4-FFF2-40B4-BE49-F238E27FC236}">
              <a16:creationId xmlns:a16="http://schemas.microsoft.com/office/drawing/2014/main" id="{00000000-0008-0000-0200-00007C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1258</xdr:row>
      <xdr:rowOff>0</xdr:rowOff>
    </xdr:from>
    <xdr:ext cx="200025" cy="200025"/>
    <xdr:pic>
      <xdr:nvPicPr>
        <xdr:cNvPr id="1917" name="image2.png">
          <a:extLst>
            <a:ext uri="{FF2B5EF4-FFF2-40B4-BE49-F238E27FC236}">
              <a16:creationId xmlns:a16="http://schemas.microsoft.com/office/drawing/2014/main" id="{00000000-0008-0000-0200-00007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1258</xdr:row>
      <xdr:rowOff>0</xdr:rowOff>
    </xdr:from>
    <xdr:ext cx="200025" cy="200025"/>
    <xdr:pic>
      <xdr:nvPicPr>
        <xdr:cNvPr id="1918" name="image1.png">
          <a:extLst>
            <a:ext uri="{FF2B5EF4-FFF2-40B4-BE49-F238E27FC236}">
              <a16:creationId xmlns:a16="http://schemas.microsoft.com/office/drawing/2014/main" id="{00000000-0008-0000-0200-00007E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1258</xdr:row>
      <xdr:rowOff>0</xdr:rowOff>
    </xdr:from>
    <xdr:ext cx="200025" cy="200025"/>
    <xdr:pic>
      <xdr:nvPicPr>
        <xdr:cNvPr id="1919" name="image3.png">
          <a:extLst>
            <a:ext uri="{FF2B5EF4-FFF2-40B4-BE49-F238E27FC236}">
              <a16:creationId xmlns:a16="http://schemas.microsoft.com/office/drawing/2014/main" id="{00000000-0008-0000-0200-00007F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1259</xdr:row>
      <xdr:rowOff>0</xdr:rowOff>
    </xdr:from>
    <xdr:ext cx="200025" cy="200025"/>
    <xdr:pic>
      <xdr:nvPicPr>
        <xdr:cNvPr id="1920" name="image10.png">
          <a:extLst>
            <a:ext uri="{FF2B5EF4-FFF2-40B4-BE49-F238E27FC236}">
              <a16:creationId xmlns:a16="http://schemas.microsoft.com/office/drawing/2014/main" id="{00000000-0008-0000-0200-00008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1260</xdr:row>
      <xdr:rowOff>0</xdr:rowOff>
    </xdr:from>
    <xdr:ext cx="200025" cy="200025"/>
    <xdr:pic>
      <xdr:nvPicPr>
        <xdr:cNvPr id="1921" name="image10.png">
          <a:extLst>
            <a:ext uri="{FF2B5EF4-FFF2-40B4-BE49-F238E27FC236}">
              <a16:creationId xmlns:a16="http://schemas.microsoft.com/office/drawing/2014/main" id="{00000000-0008-0000-0200-000081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1261</xdr:row>
      <xdr:rowOff>0</xdr:rowOff>
    </xdr:from>
    <xdr:ext cx="200025" cy="200025"/>
    <xdr:pic>
      <xdr:nvPicPr>
        <xdr:cNvPr id="1922" name="image2.png">
          <a:extLst>
            <a:ext uri="{FF2B5EF4-FFF2-40B4-BE49-F238E27FC236}">
              <a16:creationId xmlns:a16="http://schemas.microsoft.com/office/drawing/2014/main" id="{00000000-0008-0000-0200-00008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1261</xdr:row>
      <xdr:rowOff>0</xdr:rowOff>
    </xdr:from>
    <xdr:ext cx="200025" cy="200025"/>
    <xdr:pic>
      <xdr:nvPicPr>
        <xdr:cNvPr id="1923" name="image5.png">
          <a:extLst>
            <a:ext uri="{FF2B5EF4-FFF2-40B4-BE49-F238E27FC236}">
              <a16:creationId xmlns:a16="http://schemas.microsoft.com/office/drawing/2014/main" id="{00000000-0008-0000-0200-00008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1261</xdr:row>
      <xdr:rowOff>0</xdr:rowOff>
    </xdr:from>
    <xdr:ext cx="200025" cy="200025"/>
    <xdr:pic>
      <xdr:nvPicPr>
        <xdr:cNvPr id="1924" name="image3.png">
          <a:extLst>
            <a:ext uri="{FF2B5EF4-FFF2-40B4-BE49-F238E27FC236}">
              <a16:creationId xmlns:a16="http://schemas.microsoft.com/office/drawing/2014/main" id="{00000000-0008-0000-0200-000084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1262</xdr:row>
      <xdr:rowOff>0</xdr:rowOff>
    </xdr:from>
    <xdr:ext cx="200025" cy="200025"/>
    <xdr:pic>
      <xdr:nvPicPr>
        <xdr:cNvPr id="1925" name="image8.png">
          <a:extLst>
            <a:ext uri="{FF2B5EF4-FFF2-40B4-BE49-F238E27FC236}">
              <a16:creationId xmlns:a16="http://schemas.microsoft.com/office/drawing/2014/main" id="{00000000-0008-0000-0200-00008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1263</xdr:row>
      <xdr:rowOff>0</xdr:rowOff>
    </xdr:from>
    <xdr:ext cx="200025" cy="200025"/>
    <xdr:pic>
      <xdr:nvPicPr>
        <xdr:cNvPr id="1926" name="image8.png">
          <a:extLst>
            <a:ext uri="{FF2B5EF4-FFF2-40B4-BE49-F238E27FC236}">
              <a16:creationId xmlns:a16="http://schemas.microsoft.com/office/drawing/2014/main" id="{00000000-0008-0000-0200-00008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1264</xdr:row>
      <xdr:rowOff>0</xdr:rowOff>
    </xdr:from>
    <xdr:ext cx="200025" cy="200025"/>
    <xdr:pic>
      <xdr:nvPicPr>
        <xdr:cNvPr id="1927" name="image8.png">
          <a:extLst>
            <a:ext uri="{FF2B5EF4-FFF2-40B4-BE49-F238E27FC236}">
              <a16:creationId xmlns:a16="http://schemas.microsoft.com/office/drawing/2014/main" id="{00000000-0008-0000-0200-000087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1264</xdr:row>
      <xdr:rowOff>0</xdr:rowOff>
    </xdr:from>
    <xdr:ext cx="200025" cy="200025"/>
    <xdr:pic>
      <xdr:nvPicPr>
        <xdr:cNvPr id="1928" name="image6.png">
          <a:extLst>
            <a:ext uri="{FF2B5EF4-FFF2-40B4-BE49-F238E27FC236}">
              <a16:creationId xmlns:a16="http://schemas.microsoft.com/office/drawing/2014/main" id="{00000000-0008-0000-0200-000088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1264</xdr:row>
      <xdr:rowOff>0</xdr:rowOff>
    </xdr:from>
    <xdr:ext cx="200025" cy="200025"/>
    <xdr:pic>
      <xdr:nvPicPr>
        <xdr:cNvPr id="1929" name="image12.png">
          <a:extLst>
            <a:ext uri="{FF2B5EF4-FFF2-40B4-BE49-F238E27FC236}">
              <a16:creationId xmlns:a16="http://schemas.microsoft.com/office/drawing/2014/main" id="{00000000-0008-0000-0200-000089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1267</xdr:row>
      <xdr:rowOff>0</xdr:rowOff>
    </xdr:from>
    <xdr:ext cx="200025" cy="200025"/>
    <xdr:pic>
      <xdr:nvPicPr>
        <xdr:cNvPr id="1930" name="image10.png">
          <a:extLst>
            <a:ext uri="{FF2B5EF4-FFF2-40B4-BE49-F238E27FC236}">
              <a16:creationId xmlns:a16="http://schemas.microsoft.com/office/drawing/2014/main" id="{00000000-0008-0000-0200-00008A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1267</xdr:row>
      <xdr:rowOff>0</xdr:rowOff>
    </xdr:from>
    <xdr:ext cx="200025" cy="200025"/>
    <xdr:pic>
      <xdr:nvPicPr>
        <xdr:cNvPr id="1931" name="image9.png">
          <a:extLst>
            <a:ext uri="{FF2B5EF4-FFF2-40B4-BE49-F238E27FC236}">
              <a16:creationId xmlns:a16="http://schemas.microsoft.com/office/drawing/2014/main" id="{00000000-0008-0000-0200-00008B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1267</xdr:row>
      <xdr:rowOff>0</xdr:rowOff>
    </xdr:from>
    <xdr:ext cx="200025" cy="200025"/>
    <xdr:pic>
      <xdr:nvPicPr>
        <xdr:cNvPr id="1932" name="image7.png">
          <a:extLst>
            <a:ext uri="{FF2B5EF4-FFF2-40B4-BE49-F238E27FC236}">
              <a16:creationId xmlns:a16="http://schemas.microsoft.com/office/drawing/2014/main" id="{00000000-0008-0000-0200-00008C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1267</xdr:row>
      <xdr:rowOff>0</xdr:rowOff>
    </xdr:from>
    <xdr:ext cx="200025" cy="200025"/>
    <xdr:pic>
      <xdr:nvPicPr>
        <xdr:cNvPr id="1933" name="image9.png">
          <a:extLst>
            <a:ext uri="{FF2B5EF4-FFF2-40B4-BE49-F238E27FC236}">
              <a16:creationId xmlns:a16="http://schemas.microsoft.com/office/drawing/2014/main" id="{00000000-0008-0000-0200-00008D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1268</xdr:row>
      <xdr:rowOff>0</xdr:rowOff>
    </xdr:from>
    <xdr:ext cx="200025" cy="200025"/>
    <xdr:pic>
      <xdr:nvPicPr>
        <xdr:cNvPr id="1934" name="image9.png">
          <a:extLst>
            <a:ext uri="{FF2B5EF4-FFF2-40B4-BE49-F238E27FC236}">
              <a16:creationId xmlns:a16="http://schemas.microsoft.com/office/drawing/2014/main" id="{00000000-0008-0000-0200-00008E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1269</xdr:row>
      <xdr:rowOff>0</xdr:rowOff>
    </xdr:from>
    <xdr:ext cx="200025" cy="200025"/>
    <xdr:pic>
      <xdr:nvPicPr>
        <xdr:cNvPr id="1935" name="image9.png">
          <a:extLst>
            <a:ext uri="{FF2B5EF4-FFF2-40B4-BE49-F238E27FC236}">
              <a16:creationId xmlns:a16="http://schemas.microsoft.com/office/drawing/2014/main" id="{00000000-0008-0000-0200-00008F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1270</xdr:row>
      <xdr:rowOff>0</xdr:rowOff>
    </xdr:from>
    <xdr:ext cx="200025" cy="200025"/>
    <xdr:pic>
      <xdr:nvPicPr>
        <xdr:cNvPr id="1936" name="image2.png">
          <a:extLst>
            <a:ext uri="{FF2B5EF4-FFF2-40B4-BE49-F238E27FC236}">
              <a16:creationId xmlns:a16="http://schemas.microsoft.com/office/drawing/2014/main" id="{00000000-0008-0000-0200-000090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1270</xdr:row>
      <xdr:rowOff>0</xdr:rowOff>
    </xdr:from>
    <xdr:ext cx="200025" cy="200025"/>
    <xdr:pic>
      <xdr:nvPicPr>
        <xdr:cNvPr id="1937" name="image5.png">
          <a:extLst>
            <a:ext uri="{FF2B5EF4-FFF2-40B4-BE49-F238E27FC236}">
              <a16:creationId xmlns:a16="http://schemas.microsoft.com/office/drawing/2014/main" id="{00000000-0008-0000-0200-000091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1270</xdr:row>
      <xdr:rowOff>0</xdr:rowOff>
    </xdr:from>
    <xdr:ext cx="200025" cy="200025"/>
    <xdr:pic>
      <xdr:nvPicPr>
        <xdr:cNvPr id="1938" name="image3.png">
          <a:extLst>
            <a:ext uri="{FF2B5EF4-FFF2-40B4-BE49-F238E27FC236}">
              <a16:creationId xmlns:a16="http://schemas.microsoft.com/office/drawing/2014/main" id="{00000000-0008-0000-0200-000092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1270</xdr:row>
      <xdr:rowOff>0</xdr:rowOff>
    </xdr:from>
    <xdr:ext cx="200025" cy="200025"/>
    <xdr:pic>
      <xdr:nvPicPr>
        <xdr:cNvPr id="1939" name="image8.png">
          <a:extLst>
            <a:ext uri="{FF2B5EF4-FFF2-40B4-BE49-F238E27FC236}">
              <a16:creationId xmlns:a16="http://schemas.microsoft.com/office/drawing/2014/main" id="{00000000-0008-0000-0200-000093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1271</xdr:row>
      <xdr:rowOff>0</xdr:rowOff>
    </xdr:from>
    <xdr:ext cx="200025" cy="200025"/>
    <xdr:pic>
      <xdr:nvPicPr>
        <xdr:cNvPr id="1940" name="image8.png">
          <a:extLst>
            <a:ext uri="{FF2B5EF4-FFF2-40B4-BE49-F238E27FC236}">
              <a16:creationId xmlns:a16="http://schemas.microsoft.com/office/drawing/2014/main" id="{00000000-0008-0000-0200-00009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1272</xdr:row>
      <xdr:rowOff>0</xdr:rowOff>
    </xdr:from>
    <xdr:ext cx="200025" cy="200025"/>
    <xdr:pic>
      <xdr:nvPicPr>
        <xdr:cNvPr id="1941" name="image8.png">
          <a:extLst>
            <a:ext uri="{FF2B5EF4-FFF2-40B4-BE49-F238E27FC236}">
              <a16:creationId xmlns:a16="http://schemas.microsoft.com/office/drawing/2014/main" id="{00000000-0008-0000-0200-00009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1273</xdr:row>
      <xdr:rowOff>0</xdr:rowOff>
    </xdr:from>
    <xdr:ext cx="200025" cy="200025"/>
    <xdr:pic>
      <xdr:nvPicPr>
        <xdr:cNvPr id="1942" name="image8.png">
          <a:extLst>
            <a:ext uri="{FF2B5EF4-FFF2-40B4-BE49-F238E27FC236}">
              <a16:creationId xmlns:a16="http://schemas.microsoft.com/office/drawing/2014/main" id="{00000000-0008-0000-0200-00009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1273</xdr:row>
      <xdr:rowOff>0</xdr:rowOff>
    </xdr:from>
    <xdr:ext cx="200025" cy="200025"/>
    <xdr:pic>
      <xdr:nvPicPr>
        <xdr:cNvPr id="1943" name="image1.png">
          <a:extLst>
            <a:ext uri="{FF2B5EF4-FFF2-40B4-BE49-F238E27FC236}">
              <a16:creationId xmlns:a16="http://schemas.microsoft.com/office/drawing/2014/main" id="{00000000-0008-0000-0200-000097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1273</xdr:row>
      <xdr:rowOff>0</xdr:rowOff>
    </xdr:from>
    <xdr:ext cx="200025" cy="200025"/>
    <xdr:pic>
      <xdr:nvPicPr>
        <xdr:cNvPr id="1944" name="image12.png">
          <a:extLst>
            <a:ext uri="{FF2B5EF4-FFF2-40B4-BE49-F238E27FC236}">
              <a16:creationId xmlns:a16="http://schemas.microsoft.com/office/drawing/2014/main" id="{00000000-0008-0000-0200-000098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1277</xdr:row>
      <xdr:rowOff>0</xdr:rowOff>
    </xdr:from>
    <xdr:ext cx="200025" cy="200025"/>
    <xdr:pic>
      <xdr:nvPicPr>
        <xdr:cNvPr id="1945" name="image8.png">
          <a:extLst>
            <a:ext uri="{FF2B5EF4-FFF2-40B4-BE49-F238E27FC236}">
              <a16:creationId xmlns:a16="http://schemas.microsoft.com/office/drawing/2014/main" id="{00000000-0008-0000-0200-000099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1277</xdr:row>
      <xdr:rowOff>0</xdr:rowOff>
    </xdr:from>
    <xdr:ext cx="200025" cy="200025"/>
    <xdr:pic>
      <xdr:nvPicPr>
        <xdr:cNvPr id="1946" name="image1.png">
          <a:extLst>
            <a:ext uri="{FF2B5EF4-FFF2-40B4-BE49-F238E27FC236}">
              <a16:creationId xmlns:a16="http://schemas.microsoft.com/office/drawing/2014/main" id="{00000000-0008-0000-0200-00009A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1277</xdr:row>
      <xdr:rowOff>0</xdr:rowOff>
    </xdr:from>
    <xdr:ext cx="200025" cy="200025"/>
    <xdr:pic>
      <xdr:nvPicPr>
        <xdr:cNvPr id="1947" name="image12.png">
          <a:extLst>
            <a:ext uri="{FF2B5EF4-FFF2-40B4-BE49-F238E27FC236}">
              <a16:creationId xmlns:a16="http://schemas.microsoft.com/office/drawing/2014/main" id="{00000000-0008-0000-0200-00009B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1290</xdr:row>
      <xdr:rowOff>0</xdr:rowOff>
    </xdr:from>
    <xdr:ext cx="200025" cy="200025"/>
    <xdr:pic>
      <xdr:nvPicPr>
        <xdr:cNvPr id="1948" name="image8.png">
          <a:extLst>
            <a:ext uri="{FF2B5EF4-FFF2-40B4-BE49-F238E27FC236}">
              <a16:creationId xmlns:a16="http://schemas.microsoft.com/office/drawing/2014/main" id="{00000000-0008-0000-0200-00009C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1290</xdr:row>
      <xdr:rowOff>0</xdr:rowOff>
    </xdr:from>
    <xdr:ext cx="200025" cy="200025"/>
    <xdr:pic>
      <xdr:nvPicPr>
        <xdr:cNvPr id="1949" name="image2.png">
          <a:extLst>
            <a:ext uri="{FF2B5EF4-FFF2-40B4-BE49-F238E27FC236}">
              <a16:creationId xmlns:a16="http://schemas.microsoft.com/office/drawing/2014/main" id="{00000000-0008-0000-0200-00009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1290</xdr:row>
      <xdr:rowOff>0</xdr:rowOff>
    </xdr:from>
    <xdr:ext cx="200025" cy="200025"/>
    <xdr:pic>
      <xdr:nvPicPr>
        <xdr:cNvPr id="1950" name="image3.png">
          <a:extLst>
            <a:ext uri="{FF2B5EF4-FFF2-40B4-BE49-F238E27FC236}">
              <a16:creationId xmlns:a16="http://schemas.microsoft.com/office/drawing/2014/main" id="{00000000-0008-0000-0200-00009E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1290</xdr:row>
      <xdr:rowOff>0</xdr:rowOff>
    </xdr:from>
    <xdr:ext cx="200025" cy="200025"/>
    <xdr:pic>
      <xdr:nvPicPr>
        <xdr:cNvPr id="1951" name="image10.png">
          <a:extLst>
            <a:ext uri="{FF2B5EF4-FFF2-40B4-BE49-F238E27FC236}">
              <a16:creationId xmlns:a16="http://schemas.microsoft.com/office/drawing/2014/main" id="{00000000-0008-0000-0200-00009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1291</xdr:row>
      <xdr:rowOff>0</xdr:rowOff>
    </xdr:from>
    <xdr:ext cx="200025" cy="200025"/>
    <xdr:pic>
      <xdr:nvPicPr>
        <xdr:cNvPr id="1952" name="image10.png">
          <a:extLst>
            <a:ext uri="{FF2B5EF4-FFF2-40B4-BE49-F238E27FC236}">
              <a16:creationId xmlns:a16="http://schemas.microsoft.com/office/drawing/2014/main" id="{00000000-0008-0000-0200-0000A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1293</xdr:row>
      <xdr:rowOff>0</xdr:rowOff>
    </xdr:from>
    <xdr:ext cx="200025" cy="200025"/>
    <xdr:pic>
      <xdr:nvPicPr>
        <xdr:cNvPr id="1953" name="image8.png">
          <a:extLst>
            <a:ext uri="{FF2B5EF4-FFF2-40B4-BE49-F238E27FC236}">
              <a16:creationId xmlns:a16="http://schemas.microsoft.com/office/drawing/2014/main" id="{00000000-0008-0000-0200-0000A1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1293</xdr:row>
      <xdr:rowOff>0</xdr:rowOff>
    </xdr:from>
    <xdr:ext cx="200025" cy="200025"/>
    <xdr:pic>
      <xdr:nvPicPr>
        <xdr:cNvPr id="1954" name="image2.png">
          <a:extLst>
            <a:ext uri="{FF2B5EF4-FFF2-40B4-BE49-F238E27FC236}">
              <a16:creationId xmlns:a16="http://schemas.microsoft.com/office/drawing/2014/main" id="{00000000-0008-0000-0200-0000A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1293</xdr:row>
      <xdr:rowOff>0</xdr:rowOff>
    </xdr:from>
    <xdr:ext cx="200025" cy="200025"/>
    <xdr:pic>
      <xdr:nvPicPr>
        <xdr:cNvPr id="1955" name="image4.png">
          <a:extLst>
            <a:ext uri="{FF2B5EF4-FFF2-40B4-BE49-F238E27FC236}">
              <a16:creationId xmlns:a16="http://schemas.microsoft.com/office/drawing/2014/main" id="{00000000-0008-0000-0200-0000A3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1293</xdr:row>
      <xdr:rowOff>0</xdr:rowOff>
    </xdr:from>
    <xdr:ext cx="200025" cy="200025"/>
    <xdr:pic>
      <xdr:nvPicPr>
        <xdr:cNvPr id="1956" name="image9.png">
          <a:extLst>
            <a:ext uri="{FF2B5EF4-FFF2-40B4-BE49-F238E27FC236}">
              <a16:creationId xmlns:a16="http://schemas.microsoft.com/office/drawing/2014/main" id="{00000000-0008-0000-0200-0000A4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1294</xdr:row>
      <xdr:rowOff>0</xdr:rowOff>
    </xdr:from>
    <xdr:ext cx="200025" cy="200025"/>
    <xdr:pic>
      <xdr:nvPicPr>
        <xdr:cNvPr id="1957" name="image9.png">
          <a:extLst>
            <a:ext uri="{FF2B5EF4-FFF2-40B4-BE49-F238E27FC236}">
              <a16:creationId xmlns:a16="http://schemas.microsoft.com/office/drawing/2014/main" id="{00000000-0008-0000-0200-0000A5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1295</xdr:row>
      <xdr:rowOff>0</xdr:rowOff>
    </xdr:from>
    <xdr:ext cx="200025" cy="200025"/>
    <xdr:pic>
      <xdr:nvPicPr>
        <xdr:cNvPr id="1958" name="image9.png">
          <a:extLst>
            <a:ext uri="{FF2B5EF4-FFF2-40B4-BE49-F238E27FC236}">
              <a16:creationId xmlns:a16="http://schemas.microsoft.com/office/drawing/2014/main" id="{00000000-0008-0000-0200-0000A6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1296</xdr:row>
      <xdr:rowOff>0</xdr:rowOff>
    </xdr:from>
    <xdr:ext cx="200025" cy="200025"/>
    <xdr:pic>
      <xdr:nvPicPr>
        <xdr:cNvPr id="1959" name="image10.png">
          <a:extLst>
            <a:ext uri="{FF2B5EF4-FFF2-40B4-BE49-F238E27FC236}">
              <a16:creationId xmlns:a16="http://schemas.microsoft.com/office/drawing/2014/main" id="{00000000-0008-0000-0200-0000A7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1296</xdr:row>
      <xdr:rowOff>0</xdr:rowOff>
    </xdr:from>
    <xdr:ext cx="200025" cy="200025"/>
    <xdr:pic>
      <xdr:nvPicPr>
        <xdr:cNvPr id="1960" name="image9.png">
          <a:extLst>
            <a:ext uri="{FF2B5EF4-FFF2-40B4-BE49-F238E27FC236}">
              <a16:creationId xmlns:a16="http://schemas.microsoft.com/office/drawing/2014/main" id="{00000000-0008-0000-0200-0000A8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1296</xdr:row>
      <xdr:rowOff>0</xdr:rowOff>
    </xdr:from>
    <xdr:ext cx="200025" cy="200025"/>
    <xdr:pic>
      <xdr:nvPicPr>
        <xdr:cNvPr id="1961" name="image5.png">
          <a:extLst>
            <a:ext uri="{FF2B5EF4-FFF2-40B4-BE49-F238E27FC236}">
              <a16:creationId xmlns:a16="http://schemas.microsoft.com/office/drawing/2014/main" id="{00000000-0008-0000-0200-0000A9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1296</xdr:row>
      <xdr:rowOff>0</xdr:rowOff>
    </xdr:from>
    <xdr:ext cx="200025" cy="200025"/>
    <xdr:pic>
      <xdr:nvPicPr>
        <xdr:cNvPr id="1962" name="image9.png">
          <a:extLst>
            <a:ext uri="{FF2B5EF4-FFF2-40B4-BE49-F238E27FC236}">
              <a16:creationId xmlns:a16="http://schemas.microsoft.com/office/drawing/2014/main" id="{00000000-0008-0000-0200-0000AA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1297</xdr:row>
      <xdr:rowOff>0</xdr:rowOff>
    </xdr:from>
    <xdr:ext cx="200025" cy="200025"/>
    <xdr:pic>
      <xdr:nvPicPr>
        <xdr:cNvPr id="1963" name="image9.png">
          <a:extLst>
            <a:ext uri="{FF2B5EF4-FFF2-40B4-BE49-F238E27FC236}">
              <a16:creationId xmlns:a16="http://schemas.microsoft.com/office/drawing/2014/main" id="{00000000-0008-0000-0200-0000AB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1298</xdr:row>
      <xdr:rowOff>0</xdr:rowOff>
    </xdr:from>
    <xdr:ext cx="200025" cy="200025"/>
    <xdr:pic>
      <xdr:nvPicPr>
        <xdr:cNvPr id="1964" name="image8.png">
          <a:extLst>
            <a:ext uri="{FF2B5EF4-FFF2-40B4-BE49-F238E27FC236}">
              <a16:creationId xmlns:a16="http://schemas.microsoft.com/office/drawing/2014/main" id="{00000000-0008-0000-0200-0000AC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1298</xdr:row>
      <xdr:rowOff>0</xdr:rowOff>
    </xdr:from>
    <xdr:ext cx="200025" cy="200025"/>
    <xdr:pic>
      <xdr:nvPicPr>
        <xdr:cNvPr id="1965" name="image2.png">
          <a:extLst>
            <a:ext uri="{FF2B5EF4-FFF2-40B4-BE49-F238E27FC236}">
              <a16:creationId xmlns:a16="http://schemas.microsoft.com/office/drawing/2014/main" id="{00000000-0008-0000-0200-0000AD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1298</xdr:row>
      <xdr:rowOff>0</xdr:rowOff>
    </xdr:from>
    <xdr:ext cx="200025" cy="200025"/>
    <xdr:pic>
      <xdr:nvPicPr>
        <xdr:cNvPr id="1966" name="image12.png">
          <a:extLst>
            <a:ext uri="{FF2B5EF4-FFF2-40B4-BE49-F238E27FC236}">
              <a16:creationId xmlns:a16="http://schemas.microsoft.com/office/drawing/2014/main" id="{00000000-0008-0000-0200-0000AE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1299</xdr:row>
      <xdr:rowOff>0</xdr:rowOff>
    </xdr:from>
    <xdr:ext cx="200025" cy="200025"/>
    <xdr:pic>
      <xdr:nvPicPr>
        <xdr:cNvPr id="1967" name="image10.png">
          <a:extLst>
            <a:ext uri="{FF2B5EF4-FFF2-40B4-BE49-F238E27FC236}">
              <a16:creationId xmlns:a16="http://schemas.microsoft.com/office/drawing/2014/main" id="{00000000-0008-0000-0200-0000A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1299</xdr:row>
      <xdr:rowOff>0</xdr:rowOff>
    </xdr:from>
    <xdr:ext cx="200025" cy="200025"/>
    <xdr:pic>
      <xdr:nvPicPr>
        <xdr:cNvPr id="1968" name="image9.png">
          <a:extLst>
            <a:ext uri="{FF2B5EF4-FFF2-40B4-BE49-F238E27FC236}">
              <a16:creationId xmlns:a16="http://schemas.microsoft.com/office/drawing/2014/main" id="{00000000-0008-0000-0200-0000B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1299</xdr:row>
      <xdr:rowOff>0</xdr:rowOff>
    </xdr:from>
    <xdr:ext cx="200025" cy="200025"/>
    <xdr:pic>
      <xdr:nvPicPr>
        <xdr:cNvPr id="1969" name="image4.png">
          <a:extLst>
            <a:ext uri="{FF2B5EF4-FFF2-40B4-BE49-F238E27FC236}">
              <a16:creationId xmlns:a16="http://schemas.microsoft.com/office/drawing/2014/main" id="{00000000-0008-0000-0200-0000B1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1300</xdr:row>
      <xdr:rowOff>0</xdr:rowOff>
    </xdr:from>
    <xdr:ext cx="200025" cy="200025"/>
    <xdr:pic>
      <xdr:nvPicPr>
        <xdr:cNvPr id="1970" name="image2.png">
          <a:extLst>
            <a:ext uri="{FF2B5EF4-FFF2-40B4-BE49-F238E27FC236}">
              <a16:creationId xmlns:a16="http://schemas.microsoft.com/office/drawing/2014/main" id="{00000000-0008-0000-0200-0000B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1301</xdr:row>
      <xdr:rowOff>0</xdr:rowOff>
    </xdr:from>
    <xdr:ext cx="200025" cy="200025"/>
    <xdr:pic>
      <xdr:nvPicPr>
        <xdr:cNvPr id="1971" name="image2.png">
          <a:extLst>
            <a:ext uri="{FF2B5EF4-FFF2-40B4-BE49-F238E27FC236}">
              <a16:creationId xmlns:a16="http://schemas.microsoft.com/office/drawing/2014/main" id="{00000000-0008-0000-0200-0000B3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1302</xdr:row>
      <xdr:rowOff>0</xdr:rowOff>
    </xdr:from>
    <xdr:ext cx="200025" cy="200025"/>
    <xdr:pic>
      <xdr:nvPicPr>
        <xdr:cNvPr id="1972" name="image8.png">
          <a:extLst>
            <a:ext uri="{FF2B5EF4-FFF2-40B4-BE49-F238E27FC236}">
              <a16:creationId xmlns:a16="http://schemas.microsoft.com/office/drawing/2014/main" id="{00000000-0008-0000-0200-0000B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1302</xdr:row>
      <xdr:rowOff>0</xdr:rowOff>
    </xdr:from>
    <xdr:ext cx="200025" cy="200025"/>
    <xdr:pic>
      <xdr:nvPicPr>
        <xdr:cNvPr id="1973" name="image1.png">
          <a:extLst>
            <a:ext uri="{FF2B5EF4-FFF2-40B4-BE49-F238E27FC236}">
              <a16:creationId xmlns:a16="http://schemas.microsoft.com/office/drawing/2014/main" id="{00000000-0008-0000-0200-0000B5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1302</xdr:row>
      <xdr:rowOff>0</xdr:rowOff>
    </xdr:from>
    <xdr:ext cx="200025" cy="200025"/>
    <xdr:pic>
      <xdr:nvPicPr>
        <xdr:cNvPr id="1974" name="image12.png">
          <a:extLst>
            <a:ext uri="{FF2B5EF4-FFF2-40B4-BE49-F238E27FC236}">
              <a16:creationId xmlns:a16="http://schemas.microsoft.com/office/drawing/2014/main" id="{00000000-0008-0000-0200-0000B6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1302</xdr:row>
      <xdr:rowOff>0</xdr:rowOff>
    </xdr:from>
    <xdr:ext cx="200025" cy="200025"/>
    <xdr:pic>
      <xdr:nvPicPr>
        <xdr:cNvPr id="1975" name="image12.png">
          <a:extLst>
            <a:ext uri="{FF2B5EF4-FFF2-40B4-BE49-F238E27FC236}">
              <a16:creationId xmlns:a16="http://schemas.microsoft.com/office/drawing/2014/main" id="{00000000-0008-0000-0200-0000B7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1303</xdr:row>
      <xdr:rowOff>0</xdr:rowOff>
    </xdr:from>
    <xdr:ext cx="200025" cy="200025"/>
    <xdr:pic>
      <xdr:nvPicPr>
        <xdr:cNvPr id="1976" name="image6.png">
          <a:extLst>
            <a:ext uri="{FF2B5EF4-FFF2-40B4-BE49-F238E27FC236}">
              <a16:creationId xmlns:a16="http://schemas.microsoft.com/office/drawing/2014/main" id="{00000000-0008-0000-0200-0000B8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1304</xdr:row>
      <xdr:rowOff>0</xdr:rowOff>
    </xdr:from>
    <xdr:ext cx="200025" cy="200025"/>
    <xdr:pic>
      <xdr:nvPicPr>
        <xdr:cNvPr id="1977" name="image10.png">
          <a:extLst>
            <a:ext uri="{FF2B5EF4-FFF2-40B4-BE49-F238E27FC236}">
              <a16:creationId xmlns:a16="http://schemas.microsoft.com/office/drawing/2014/main" id="{00000000-0008-0000-0200-0000B9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1304</xdr:row>
      <xdr:rowOff>0</xdr:rowOff>
    </xdr:from>
    <xdr:ext cx="200025" cy="200025"/>
    <xdr:pic>
      <xdr:nvPicPr>
        <xdr:cNvPr id="1978" name="image2.png">
          <a:extLst>
            <a:ext uri="{FF2B5EF4-FFF2-40B4-BE49-F238E27FC236}">
              <a16:creationId xmlns:a16="http://schemas.microsoft.com/office/drawing/2014/main" id="{00000000-0008-0000-0200-0000BA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1304</xdr:row>
      <xdr:rowOff>0</xdr:rowOff>
    </xdr:from>
    <xdr:ext cx="200025" cy="200025"/>
    <xdr:pic>
      <xdr:nvPicPr>
        <xdr:cNvPr id="1979" name="image4.png">
          <a:extLst>
            <a:ext uri="{FF2B5EF4-FFF2-40B4-BE49-F238E27FC236}">
              <a16:creationId xmlns:a16="http://schemas.microsoft.com/office/drawing/2014/main" id="{00000000-0008-0000-0200-0000BB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1306</xdr:row>
      <xdr:rowOff>0</xdr:rowOff>
    </xdr:from>
    <xdr:ext cx="200025" cy="200025"/>
    <xdr:pic>
      <xdr:nvPicPr>
        <xdr:cNvPr id="1980" name="image10.png">
          <a:extLst>
            <a:ext uri="{FF2B5EF4-FFF2-40B4-BE49-F238E27FC236}">
              <a16:creationId xmlns:a16="http://schemas.microsoft.com/office/drawing/2014/main" id="{00000000-0008-0000-0200-0000BC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1306</xdr:row>
      <xdr:rowOff>0</xdr:rowOff>
    </xdr:from>
    <xdr:ext cx="200025" cy="200025"/>
    <xdr:pic>
      <xdr:nvPicPr>
        <xdr:cNvPr id="1981" name="image1.png">
          <a:extLst>
            <a:ext uri="{FF2B5EF4-FFF2-40B4-BE49-F238E27FC236}">
              <a16:creationId xmlns:a16="http://schemas.microsoft.com/office/drawing/2014/main" id="{00000000-0008-0000-0200-0000BD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1306</xdr:row>
      <xdr:rowOff>0</xdr:rowOff>
    </xdr:from>
    <xdr:ext cx="200025" cy="200025"/>
    <xdr:pic>
      <xdr:nvPicPr>
        <xdr:cNvPr id="1982" name="image5.png">
          <a:extLst>
            <a:ext uri="{FF2B5EF4-FFF2-40B4-BE49-F238E27FC236}">
              <a16:creationId xmlns:a16="http://schemas.microsoft.com/office/drawing/2014/main" id="{00000000-0008-0000-0200-0000BE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1307</xdr:row>
      <xdr:rowOff>0</xdr:rowOff>
    </xdr:from>
    <xdr:ext cx="200025" cy="200025"/>
    <xdr:pic>
      <xdr:nvPicPr>
        <xdr:cNvPr id="1983" name="image8.png">
          <a:extLst>
            <a:ext uri="{FF2B5EF4-FFF2-40B4-BE49-F238E27FC236}">
              <a16:creationId xmlns:a16="http://schemas.microsoft.com/office/drawing/2014/main" id="{00000000-0008-0000-0200-0000BF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1308</xdr:row>
      <xdr:rowOff>0</xdr:rowOff>
    </xdr:from>
    <xdr:ext cx="200025" cy="200025"/>
    <xdr:pic>
      <xdr:nvPicPr>
        <xdr:cNvPr id="1984" name="image8.png">
          <a:extLst>
            <a:ext uri="{FF2B5EF4-FFF2-40B4-BE49-F238E27FC236}">
              <a16:creationId xmlns:a16="http://schemas.microsoft.com/office/drawing/2014/main" id="{00000000-0008-0000-0200-0000C0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1309</xdr:row>
      <xdr:rowOff>0</xdr:rowOff>
    </xdr:from>
    <xdr:ext cx="200025" cy="200025"/>
    <xdr:pic>
      <xdr:nvPicPr>
        <xdr:cNvPr id="1985" name="image8.png">
          <a:extLst>
            <a:ext uri="{FF2B5EF4-FFF2-40B4-BE49-F238E27FC236}">
              <a16:creationId xmlns:a16="http://schemas.microsoft.com/office/drawing/2014/main" id="{00000000-0008-0000-0200-0000C1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1309</xdr:row>
      <xdr:rowOff>0</xdr:rowOff>
    </xdr:from>
    <xdr:ext cx="200025" cy="200025"/>
    <xdr:pic>
      <xdr:nvPicPr>
        <xdr:cNvPr id="1986" name="image2.png">
          <a:extLst>
            <a:ext uri="{FF2B5EF4-FFF2-40B4-BE49-F238E27FC236}">
              <a16:creationId xmlns:a16="http://schemas.microsoft.com/office/drawing/2014/main" id="{00000000-0008-0000-0200-0000C2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1309</xdr:row>
      <xdr:rowOff>0</xdr:rowOff>
    </xdr:from>
    <xdr:ext cx="200025" cy="200025"/>
    <xdr:pic>
      <xdr:nvPicPr>
        <xdr:cNvPr id="1987" name="image5.png">
          <a:extLst>
            <a:ext uri="{FF2B5EF4-FFF2-40B4-BE49-F238E27FC236}">
              <a16:creationId xmlns:a16="http://schemas.microsoft.com/office/drawing/2014/main" id="{00000000-0008-0000-0200-0000C3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1309</xdr:row>
      <xdr:rowOff>0</xdr:rowOff>
    </xdr:from>
    <xdr:ext cx="200025" cy="200025"/>
    <xdr:pic>
      <xdr:nvPicPr>
        <xdr:cNvPr id="1988" name="image4.png">
          <a:extLst>
            <a:ext uri="{FF2B5EF4-FFF2-40B4-BE49-F238E27FC236}">
              <a16:creationId xmlns:a16="http://schemas.microsoft.com/office/drawing/2014/main" id="{00000000-0008-0000-0200-0000C4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13</xdr:col>
      <xdr:colOff>0</xdr:colOff>
      <xdr:row>1309</xdr:row>
      <xdr:rowOff>0</xdr:rowOff>
    </xdr:from>
    <xdr:ext cx="200025" cy="200025"/>
    <xdr:pic>
      <xdr:nvPicPr>
        <xdr:cNvPr id="1989" name="image7.png">
          <a:extLst>
            <a:ext uri="{FF2B5EF4-FFF2-40B4-BE49-F238E27FC236}">
              <a16:creationId xmlns:a16="http://schemas.microsoft.com/office/drawing/2014/main" id="{00000000-0008-0000-0200-0000C5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1310</xdr:row>
      <xdr:rowOff>0</xdr:rowOff>
    </xdr:from>
    <xdr:ext cx="200025" cy="200025"/>
    <xdr:pic>
      <xdr:nvPicPr>
        <xdr:cNvPr id="1990" name="image2.png">
          <a:extLst>
            <a:ext uri="{FF2B5EF4-FFF2-40B4-BE49-F238E27FC236}">
              <a16:creationId xmlns:a16="http://schemas.microsoft.com/office/drawing/2014/main" id="{00000000-0008-0000-0200-0000C6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1311</xdr:row>
      <xdr:rowOff>0</xdr:rowOff>
    </xdr:from>
    <xdr:ext cx="200025" cy="200025"/>
    <xdr:pic>
      <xdr:nvPicPr>
        <xdr:cNvPr id="1991" name="image8.png">
          <a:extLst>
            <a:ext uri="{FF2B5EF4-FFF2-40B4-BE49-F238E27FC236}">
              <a16:creationId xmlns:a16="http://schemas.microsoft.com/office/drawing/2014/main" id="{00000000-0008-0000-0200-0000C7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1311</xdr:row>
      <xdr:rowOff>0</xdr:rowOff>
    </xdr:from>
    <xdr:ext cx="200025" cy="200025"/>
    <xdr:pic>
      <xdr:nvPicPr>
        <xdr:cNvPr id="1992" name="image9.png">
          <a:extLst>
            <a:ext uri="{FF2B5EF4-FFF2-40B4-BE49-F238E27FC236}">
              <a16:creationId xmlns:a16="http://schemas.microsoft.com/office/drawing/2014/main" id="{00000000-0008-0000-0200-0000C8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1311</xdr:row>
      <xdr:rowOff>0</xdr:rowOff>
    </xdr:from>
    <xdr:ext cx="200025" cy="200025"/>
    <xdr:pic>
      <xdr:nvPicPr>
        <xdr:cNvPr id="1993" name="image3.png">
          <a:extLst>
            <a:ext uri="{FF2B5EF4-FFF2-40B4-BE49-F238E27FC236}">
              <a16:creationId xmlns:a16="http://schemas.microsoft.com/office/drawing/2014/main" id="{00000000-0008-0000-0200-0000C9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1311</xdr:row>
      <xdr:rowOff>0</xdr:rowOff>
    </xdr:from>
    <xdr:ext cx="200025" cy="200025"/>
    <xdr:pic>
      <xdr:nvPicPr>
        <xdr:cNvPr id="1994" name="image6.png">
          <a:extLst>
            <a:ext uri="{FF2B5EF4-FFF2-40B4-BE49-F238E27FC236}">
              <a16:creationId xmlns:a16="http://schemas.microsoft.com/office/drawing/2014/main" id="{00000000-0008-0000-0200-0000CA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1312</xdr:row>
      <xdr:rowOff>0</xdr:rowOff>
    </xdr:from>
    <xdr:ext cx="200025" cy="200025"/>
    <xdr:pic>
      <xdr:nvPicPr>
        <xdr:cNvPr id="1995" name="image6.png">
          <a:extLst>
            <a:ext uri="{FF2B5EF4-FFF2-40B4-BE49-F238E27FC236}">
              <a16:creationId xmlns:a16="http://schemas.microsoft.com/office/drawing/2014/main" id="{00000000-0008-0000-0200-0000CB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1314</xdr:row>
      <xdr:rowOff>0</xdr:rowOff>
    </xdr:from>
    <xdr:ext cx="200025" cy="200025"/>
    <xdr:pic>
      <xdr:nvPicPr>
        <xdr:cNvPr id="1996" name="image8.png">
          <a:extLst>
            <a:ext uri="{FF2B5EF4-FFF2-40B4-BE49-F238E27FC236}">
              <a16:creationId xmlns:a16="http://schemas.microsoft.com/office/drawing/2014/main" id="{00000000-0008-0000-0200-0000CC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1314</xdr:row>
      <xdr:rowOff>0</xdr:rowOff>
    </xdr:from>
    <xdr:ext cx="200025" cy="200025"/>
    <xdr:pic>
      <xdr:nvPicPr>
        <xdr:cNvPr id="1997" name="image6.png">
          <a:extLst>
            <a:ext uri="{FF2B5EF4-FFF2-40B4-BE49-F238E27FC236}">
              <a16:creationId xmlns:a16="http://schemas.microsoft.com/office/drawing/2014/main" id="{00000000-0008-0000-0200-0000CD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1314</xdr:row>
      <xdr:rowOff>0</xdr:rowOff>
    </xdr:from>
    <xdr:ext cx="200025" cy="200025"/>
    <xdr:pic>
      <xdr:nvPicPr>
        <xdr:cNvPr id="1998" name="image11.png">
          <a:extLst>
            <a:ext uri="{FF2B5EF4-FFF2-40B4-BE49-F238E27FC236}">
              <a16:creationId xmlns:a16="http://schemas.microsoft.com/office/drawing/2014/main" id="{00000000-0008-0000-0200-0000CE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1314</xdr:row>
      <xdr:rowOff>0</xdr:rowOff>
    </xdr:from>
    <xdr:ext cx="200025" cy="200025"/>
    <xdr:pic>
      <xdr:nvPicPr>
        <xdr:cNvPr id="1999" name="image10.png">
          <a:extLst>
            <a:ext uri="{FF2B5EF4-FFF2-40B4-BE49-F238E27FC236}">
              <a16:creationId xmlns:a16="http://schemas.microsoft.com/office/drawing/2014/main" id="{00000000-0008-0000-0200-0000C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1316</xdr:row>
      <xdr:rowOff>0</xdr:rowOff>
    </xdr:from>
    <xdr:ext cx="200025" cy="200025"/>
    <xdr:pic>
      <xdr:nvPicPr>
        <xdr:cNvPr id="2000" name="image10.png">
          <a:extLst>
            <a:ext uri="{FF2B5EF4-FFF2-40B4-BE49-F238E27FC236}">
              <a16:creationId xmlns:a16="http://schemas.microsoft.com/office/drawing/2014/main" id="{00000000-0008-0000-0200-0000D0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1317</xdr:row>
      <xdr:rowOff>0</xdr:rowOff>
    </xdr:from>
    <xdr:ext cx="200025" cy="200025"/>
    <xdr:pic>
      <xdr:nvPicPr>
        <xdr:cNvPr id="2001" name="image10.png">
          <a:extLst>
            <a:ext uri="{FF2B5EF4-FFF2-40B4-BE49-F238E27FC236}">
              <a16:creationId xmlns:a16="http://schemas.microsoft.com/office/drawing/2014/main" id="{00000000-0008-0000-0200-0000D1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1317</xdr:row>
      <xdr:rowOff>0</xdr:rowOff>
    </xdr:from>
    <xdr:ext cx="200025" cy="200025"/>
    <xdr:pic>
      <xdr:nvPicPr>
        <xdr:cNvPr id="2002" name="image1.png">
          <a:extLst>
            <a:ext uri="{FF2B5EF4-FFF2-40B4-BE49-F238E27FC236}">
              <a16:creationId xmlns:a16="http://schemas.microsoft.com/office/drawing/2014/main" id="{00000000-0008-0000-0200-0000D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1317</xdr:row>
      <xdr:rowOff>0</xdr:rowOff>
    </xdr:from>
    <xdr:ext cx="200025" cy="200025"/>
    <xdr:pic>
      <xdr:nvPicPr>
        <xdr:cNvPr id="2003" name="image8.png">
          <a:extLst>
            <a:ext uri="{FF2B5EF4-FFF2-40B4-BE49-F238E27FC236}">
              <a16:creationId xmlns:a16="http://schemas.microsoft.com/office/drawing/2014/main" id="{00000000-0008-0000-0200-0000D3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1318</xdr:row>
      <xdr:rowOff>0</xdr:rowOff>
    </xdr:from>
    <xdr:ext cx="200025" cy="200025"/>
    <xdr:pic>
      <xdr:nvPicPr>
        <xdr:cNvPr id="2004" name="image8.png">
          <a:extLst>
            <a:ext uri="{FF2B5EF4-FFF2-40B4-BE49-F238E27FC236}">
              <a16:creationId xmlns:a16="http://schemas.microsoft.com/office/drawing/2014/main" id="{00000000-0008-0000-0200-0000D4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1319</xdr:row>
      <xdr:rowOff>0</xdr:rowOff>
    </xdr:from>
    <xdr:ext cx="200025" cy="200025"/>
    <xdr:pic>
      <xdr:nvPicPr>
        <xdr:cNvPr id="2005" name="image8.png">
          <a:extLst>
            <a:ext uri="{FF2B5EF4-FFF2-40B4-BE49-F238E27FC236}">
              <a16:creationId xmlns:a16="http://schemas.microsoft.com/office/drawing/2014/main" id="{00000000-0008-0000-0200-0000D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1320</xdr:row>
      <xdr:rowOff>0</xdr:rowOff>
    </xdr:from>
    <xdr:ext cx="200025" cy="200025"/>
    <xdr:pic>
      <xdr:nvPicPr>
        <xdr:cNvPr id="2006" name="image8.png">
          <a:extLst>
            <a:ext uri="{FF2B5EF4-FFF2-40B4-BE49-F238E27FC236}">
              <a16:creationId xmlns:a16="http://schemas.microsoft.com/office/drawing/2014/main" id="{00000000-0008-0000-0200-0000D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1320</xdr:row>
      <xdr:rowOff>0</xdr:rowOff>
    </xdr:from>
    <xdr:ext cx="200025" cy="200025"/>
    <xdr:pic>
      <xdr:nvPicPr>
        <xdr:cNvPr id="2007" name="image2.png">
          <a:extLst>
            <a:ext uri="{FF2B5EF4-FFF2-40B4-BE49-F238E27FC236}">
              <a16:creationId xmlns:a16="http://schemas.microsoft.com/office/drawing/2014/main" id="{00000000-0008-0000-0200-0000D7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1320</xdr:row>
      <xdr:rowOff>0</xdr:rowOff>
    </xdr:from>
    <xdr:ext cx="200025" cy="200025"/>
    <xdr:pic>
      <xdr:nvPicPr>
        <xdr:cNvPr id="2008" name="image11.png">
          <a:extLst>
            <a:ext uri="{FF2B5EF4-FFF2-40B4-BE49-F238E27FC236}">
              <a16:creationId xmlns:a16="http://schemas.microsoft.com/office/drawing/2014/main" id="{00000000-0008-0000-0200-0000D8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1320</xdr:row>
      <xdr:rowOff>0</xdr:rowOff>
    </xdr:from>
    <xdr:ext cx="200025" cy="200025"/>
    <xdr:pic>
      <xdr:nvPicPr>
        <xdr:cNvPr id="2009" name="image9.png">
          <a:extLst>
            <a:ext uri="{FF2B5EF4-FFF2-40B4-BE49-F238E27FC236}">
              <a16:creationId xmlns:a16="http://schemas.microsoft.com/office/drawing/2014/main" id="{00000000-0008-0000-0200-0000D9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1321</xdr:row>
      <xdr:rowOff>0</xdr:rowOff>
    </xdr:from>
    <xdr:ext cx="200025" cy="200025"/>
    <xdr:pic>
      <xdr:nvPicPr>
        <xdr:cNvPr id="2010" name="image9.png">
          <a:extLst>
            <a:ext uri="{FF2B5EF4-FFF2-40B4-BE49-F238E27FC236}">
              <a16:creationId xmlns:a16="http://schemas.microsoft.com/office/drawing/2014/main" id="{00000000-0008-0000-0200-0000DA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1323</xdr:row>
      <xdr:rowOff>0</xdr:rowOff>
    </xdr:from>
    <xdr:ext cx="200025" cy="200025"/>
    <xdr:pic>
      <xdr:nvPicPr>
        <xdr:cNvPr id="2011" name="image8.png">
          <a:extLst>
            <a:ext uri="{FF2B5EF4-FFF2-40B4-BE49-F238E27FC236}">
              <a16:creationId xmlns:a16="http://schemas.microsoft.com/office/drawing/2014/main" id="{00000000-0008-0000-0200-0000D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1323</xdr:row>
      <xdr:rowOff>0</xdr:rowOff>
    </xdr:from>
    <xdr:ext cx="200025" cy="200025"/>
    <xdr:pic>
      <xdr:nvPicPr>
        <xdr:cNvPr id="2012" name="image6.png">
          <a:extLst>
            <a:ext uri="{FF2B5EF4-FFF2-40B4-BE49-F238E27FC236}">
              <a16:creationId xmlns:a16="http://schemas.microsoft.com/office/drawing/2014/main" id="{00000000-0008-0000-0200-0000DC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1323</xdr:row>
      <xdr:rowOff>0</xdr:rowOff>
    </xdr:from>
    <xdr:ext cx="200025" cy="200025"/>
    <xdr:pic>
      <xdr:nvPicPr>
        <xdr:cNvPr id="2013" name="image12.png">
          <a:extLst>
            <a:ext uri="{FF2B5EF4-FFF2-40B4-BE49-F238E27FC236}">
              <a16:creationId xmlns:a16="http://schemas.microsoft.com/office/drawing/2014/main" id="{00000000-0008-0000-0200-0000DD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1325</xdr:row>
      <xdr:rowOff>0</xdr:rowOff>
    </xdr:from>
    <xdr:ext cx="200025" cy="200025"/>
    <xdr:pic>
      <xdr:nvPicPr>
        <xdr:cNvPr id="2014" name="image9.png">
          <a:extLst>
            <a:ext uri="{FF2B5EF4-FFF2-40B4-BE49-F238E27FC236}">
              <a16:creationId xmlns:a16="http://schemas.microsoft.com/office/drawing/2014/main" id="{00000000-0008-0000-0200-0000DE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1328</xdr:row>
      <xdr:rowOff>0</xdr:rowOff>
    </xdr:from>
    <xdr:ext cx="200025" cy="200025"/>
    <xdr:pic>
      <xdr:nvPicPr>
        <xdr:cNvPr id="2015" name="image10.png">
          <a:extLst>
            <a:ext uri="{FF2B5EF4-FFF2-40B4-BE49-F238E27FC236}">
              <a16:creationId xmlns:a16="http://schemas.microsoft.com/office/drawing/2014/main" id="{00000000-0008-0000-0200-0000DF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1328</xdr:row>
      <xdr:rowOff>0</xdr:rowOff>
    </xdr:from>
    <xdr:ext cx="200025" cy="200025"/>
    <xdr:pic>
      <xdr:nvPicPr>
        <xdr:cNvPr id="2016" name="image9.png">
          <a:extLst>
            <a:ext uri="{FF2B5EF4-FFF2-40B4-BE49-F238E27FC236}">
              <a16:creationId xmlns:a16="http://schemas.microsoft.com/office/drawing/2014/main" id="{00000000-0008-0000-0200-0000E0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1328</xdr:row>
      <xdr:rowOff>0</xdr:rowOff>
    </xdr:from>
    <xdr:ext cx="200025" cy="200025"/>
    <xdr:pic>
      <xdr:nvPicPr>
        <xdr:cNvPr id="2017" name="image5.png">
          <a:extLst>
            <a:ext uri="{FF2B5EF4-FFF2-40B4-BE49-F238E27FC236}">
              <a16:creationId xmlns:a16="http://schemas.microsoft.com/office/drawing/2014/main" id="{00000000-0008-0000-0200-0000E1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1328</xdr:row>
      <xdr:rowOff>0</xdr:rowOff>
    </xdr:from>
    <xdr:ext cx="200025" cy="200025"/>
    <xdr:pic>
      <xdr:nvPicPr>
        <xdr:cNvPr id="2018" name="image12.png">
          <a:extLst>
            <a:ext uri="{FF2B5EF4-FFF2-40B4-BE49-F238E27FC236}">
              <a16:creationId xmlns:a16="http://schemas.microsoft.com/office/drawing/2014/main" id="{00000000-0008-0000-0200-0000E2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1329</xdr:row>
      <xdr:rowOff>0</xdr:rowOff>
    </xdr:from>
    <xdr:ext cx="200025" cy="200025"/>
    <xdr:pic>
      <xdr:nvPicPr>
        <xdr:cNvPr id="2019" name="image12.png">
          <a:extLst>
            <a:ext uri="{FF2B5EF4-FFF2-40B4-BE49-F238E27FC236}">
              <a16:creationId xmlns:a16="http://schemas.microsoft.com/office/drawing/2014/main" id="{00000000-0008-0000-0200-0000E3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1330</xdr:row>
      <xdr:rowOff>0</xdr:rowOff>
    </xdr:from>
    <xdr:ext cx="200025" cy="200025"/>
    <xdr:pic>
      <xdr:nvPicPr>
        <xdr:cNvPr id="2020" name="image6.png">
          <a:extLst>
            <a:ext uri="{FF2B5EF4-FFF2-40B4-BE49-F238E27FC236}">
              <a16:creationId xmlns:a16="http://schemas.microsoft.com/office/drawing/2014/main" id="{00000000-0008-0000-0200-0000E4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1331</xdr:row>
      <xdr:rowOff>0</xdr:rowOff>
    </xdr:from>
    <xdr:ext cx="200025" cy="200025"/>
    <xdr:pic>
      <xdr:nvPicPr>
        <xdr:cNvPr id="2021" name="image8.png">
          <a:extLst>
            <a:ext uri="{FF2B5EF4-FFF2-40B4-BE49-F238E27FC236}">
              <a16:creationId xmlns:a16="http://schemas.microsoft.com/office/drawing/2014/main" id="{00000000-0008-0000-0200-0000E5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1331</xdr:row>
      <xdr:rowOff>0</xdr:rowOff>
    </xdr:from>
    <xdr:ext cx="200025" cy="200025"/>
    <xdr:pic>
      <xdr:nvPicPr>
        <xdr:cNvPr id="2022" name="image2.png">
          <a:extLst>
            <a:ext uri="{FF2B5EF4-FFF2-40B4-BE49-F238E27FC236}">
              <a16:creationId xmlns:a16="http://schemas.microsoft.com/office/drawing/2014/main" id="{00000000-0008-0000-0200-0000E6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1331</xdr:row>
      <xdr:rowOff>0</xdr:rowOff>
    </xdr:from>
    <xdr:ext cx="200025" cy="200025"/>
    <xdr:pic>
      <xdr:nvPicPr>
        <xdr:cNvPr id="2023" name="image12.png">
          <a:extLst>
            <a:ext uri="{FF2B5EF4-FFF2-40B4-BE49-F238E27FC236}">
              <a16:creationId xmlns:a16="http://schemas.microsoft.com/office/drawing/2014/main" id="{00000000-0008-0000-0200-0000E7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1332</xdr:row>
      <xdr:rowOff>0</xdr:rowOff>
    </xdr:from>
    <xdr:ext cx="200025" cy="200025"/>
    <xdr:pic>
      <xdr:nvPicPr>
        <xdr:cNvPr id="2024" name="image8.png">
          <a:extLst>
            <a:ext uri="{FF2B5EF4-FFF2-40B4-BE49-F238E27FC236}">
              <a16:creationId xmlns:a16="http://schemas.microsoft.com/office/drawing/2014/main" id="{00000000-0008-0000-0200-0000E8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1332</xdr:row>
      <xdr:rowOff>0</xdr:rowOff>
    </xdr:from>
    <xdr:ext cx="200025" cy="200025"/>
    <xdr:pic>
      <xdr:nvPicPr>
        <xdr:cNvPr id="2025" name="image9.png">
          <a:extLst>
            <a:ext uri="{FF2B5EF4-FFF2-40B4-BE49-F238E27FC236}">
              <a16:creationId xmlns:a16="http://schemas.microsoft.com/office/drawing/2014/main" id="{00000000-0008-0000-0200-0000E907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1332</xdr:row>
      <xdr:rowOff>0</xdr:rowOff>
    </xdr:from>
    <xdr:ext cx="200025" cy="200025"/>
    <xdr:pic>
      <xdr:nvPicPr>
        <xdr:cNvPr id="2026" name="image4.png">
          <a:extLst>
            <a:ext uri="{FF2B5EF4-FFF2-40B4-BE49-F238E27FC236}">
              <a16:creationId xmlns:a16="http://schemas.microsoft.com/office/drawing/2014/main" id="{00000000-0008-0000-0200-0000EA07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1332</xdr:row>
      <xdr:rowOff>0</xdr:rowOff>
    </xdr:from>
    <xdr:ext cx="200025" cy="200025"/>
    <xdr:pic>
      <xdr:nvPicPr>
        <xdr:cNvPr id="2027" name="image3.png">
          <a:extLst>
            <a:ext uri="{FF2B5EF4-FFF2-40B4-BE49-F238E27FC236}">
              <a16:creationId xmlns:a16="http://schemas.microsoft.com/office/drawing/2014/main" id="{00000000-0008-0000-0200-0000EB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1333</xdr:row>
      <xdr:rowOff>0</xdr:rowOff>
    </xdr:from>
    <xdr:ext cx="200025" cy="200025"/>
    <xdr:pic>
      <xdr:nvPicPr>
        <xdr:cNvPr id="2028" name="image5.png">
          <a:extLst>
            <a:ext uri="{FF2B5EF4-FFF2-40B4-BE49-F238E27FC236}">
              <a16:creationId xmlns:a16="http://schemas.microsoft.com/office/drawing/2014/main" id="{00000000-0008-0000-0200-0000EC07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1334</xdr:row>
      <xdr:rowOff>0</xdr:rowOff>
    </xdr:from>
    <xdr:ext cx="200025" cy="200025"/>
    <xdr:pic>
      <xdr:nvPicPr>
        <xdr:cNvPr id="2029" name="image6.png">
          <a:extLst>
            <a:ext uri="{FF2B5EF4-FFF2-40B4-BE49-F238E27FC236}">
              <a16:creationId xmlns:a16="http://schemas.microsoft.com/office/drawing/2014/main" id="{00000000-0008-0000-0200-0000ED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1337</xdr:row>
      <xdr:rowOff>0</xdr:rowOff>
    </xdr:from>
    <xdr:ext cx="200025" cy="200025"/>
    <xdr:pic>
      <xdr:nvPicPr>
        <xdr:cNvPr id="2030" name="image8.png">
          <a:extLst>
            <a:ext uri="{FF2B5EF4-FFF2-40B4-BE49-F238E27FC236}">
              <a16:creationId xmlns:a16="http://schemas.microsoft.com/office/drawing/2014/main" id="{00000000-0008-0000-0200-0000EE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1337</xdr:row>
      <xdr:rowOff>0</xdr:rowOff>
    </xdr:from>
    <xdr:ext cx="200025" cy="200025"/>
    <xdr:pic>
      <xdr:nvPicPr>
        <xdr:cNvPr id="2031" name="image6.png">
          <a:extLst>
            <a:ext uri="{FF2B5EF4-FFF2-40B4-BE49-F238E27FC236}">
              <a16:creationId xmlns:a16="http://schemas.microsoft.com/office/drawing/2014/main" id="{00000000-0008-0000-0200-0000EF07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1337</xdr:row>
      <xdr:rowOff>0</xdr:rowOff>
    </xdr:from>
    <xdr:ext cx="200025" cy="200025"/>
    <xdr:pic>
      <xdr:nvPicPr>
        <xdr:cNvPr id="2032" name="image11.png">
          <a:extLst>
            <a:ext uri="{FF2B5EF4-FFF2-40B4-BE49-F238E27FC236}">
              <a16:creationId xmlns:a16="http://schemas.microsoft.com/office/drawing/2014/main" id="{00000000-0008-0000-0200-0000F007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1338</xdr:row>
      <xdr:rowOff>0</xdr:rowOff>
    </xdr:from>
    <xdr:ext cx="200025" cy="200025"/>
    <xdr:pic>
      <xdr:nvPicPr>
        <xdr:cNvPr id="2033" name="image1.png">
          <a:extLst>
            <a:ext uri="{FF2B5EF4-FFF2-40B4-BE49-F238E27FC236}">
              <a16:creationId xmlns:a16="http://schemas.microsoft.com/office/drawing/2014/main" id="{00000000-0008-0000-0200-0000F1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1339</xdr:row>
      <xdr:rowOff>0</xdr:rowOff>
    </xdr:from>
    <xdr:ext cx="200025" cy="200025"/>
    <xdr:pic>
      <xdr:nvPicPr>
        <xdr:cNvPr id="2034" name="image1.png">
          <a:extLst>
            <a:ext uri="{FF2B5EF4-FFF2-40B4-BE49-F238E27FC236}">
              <a16:creationId xmlns:a16="http://schemas.microsoft.com/office/drawing/2014/main" id="{00000000-0008-0000-0200-0000F2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1340</xdr:row>
      <xdr:rowOff>0</xdr:rowOff>
    </xdr:from>
    <xdr:ext cx="200025" cy="200025"/>
    <xdr:pic>
      <xdr:nvPicPr>
        <xdr:cNvPr id="2035" name="image10.png">
          <a:extLst>
            <a:ext uri="{FF2B5EF4-FFF2-40B4-BE49-F238E27FC236}">
              <a16:creationId xmlns:a16="http://schemas.microsoft.com/office/drawing/2014/main" id="{00000000-0008-0000-0200-0000F3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1340</xdr:row>
      <xdr:rowOff>0</xdr:rowOff>
    </xdr:from>
    <xdr:ext cx="200025" cy="200025"/>
    <xdr:pic>
      <xdr:nvPicPr>
        <xdr:cNvPr id="2036" name="image1.png">
          <a:extLst>
            <a:ext uri="{FF2B5EF4-FFF2-40B4-BE49-F238E27FC236}">
              <a16:creationId xmlns:a16="http://schemas.microsoft.com/office/drawing/2014/main" id="{00000000-0008-0000-0200-0000F4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1340</xdr:row>
      <xdr:rowOff>0</xdr:rowOff>
    </xdr:from>
    <xdr:ext cx="200025" cy="200025"/>
    <xdr:pic>
      <xdr:nvPicPr>
        <xdr:cNvPr id="2037" name="image7.png">
          <a:extLst>
            <a:ext uri="{FF2B5EF4-FFF2-40B4-BE49-F238E27FC236}">
              <a16:creationId xmlns:a16="http://schemas.microsoft.com/office/drawing/2014/main" id="{00000000-0008-0000-0200-0000F507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1341</xdr:row>
      <xdr:rowOff>0</xdr:rowOff>
    </xdr:from>
    <xdr:ext cx="200025" cy="200025"/>
    <xdr:pic>
      <xdr:nvPicPr>
        <xdr:cNvPr id="2038" name="image8.png">
          <a:extLst>
            <a:ext uri="{FF2B5EF4-FFF2-40B4-BE49-F238E27FC236}">
              <a16:creationId xmlns:a16="http://schemas.microsoft.com/office/drawing/2014/main" id="{00000000-0008-0000-0200-0000F6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1342</xdr:row>
      <xdr:rowOff>0</xdr:rowOff>
    </xdr:from>
    <xdr:ext cx="200025" cy="200025"/>
    <xdr:pic>
      <xdr:nvPicPr>
        <xdr:cNvPr id="2039" name="image8.png">
          <a:extLst>
            <a:ext uri="{FF2B5EF4-FFF2-40B4-BE49-F238E27FC236}">
              <a16:creationId xmlns:a16="http://schemas.microsoft.com/office/drawing/2014/main" id="{00000000-0008-0000-0200-0000F7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1344</xdr:row>
      <xdr:rowOff>0</xdr:rowOff>
    </xdr:from>
    <xdr:ext cx="200025" cy="200025"/>
    <xdr:pic>
      <xdr:nvPicPr>
        <xdr:cNvPr id="2040" name="image10.png">
          <a:extLst>
            <a:ext uri="{FF2B5EF4-FFF2-40B4-BE49-F238E27FC236}">
              <a16:creationId xmlns:a16="http://schemas.microsoft.com/office/drawing/2014/main" id="{00000000-0008-0000-0200-0000F8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1344</xdr:row>
      <xdr:rowOff>0</xdr:rowOff>
    </xdr:from>
    <xdr:ext cx="200025" cy="200025"/>
    <xdr:pic>
      <xdr:nvPicPr>
        <xdr:cNvPr id="2041" name="image2.png">
          <a:extLst>
            <a:ext uri="{FF2B5EF4-FFF2-40B4-BE49-F238E27FC236}">
              <a16:creationId xmlns:a16="http://schemas.microsoft.com/office/drawing/2014/main" id="{00000000-0008-0000-0200-0000F907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1344</xdr:row>
      <xdr:rowOff>0</xdr:rowOff>
    </xdr:from>
    <xdr:ext cx="200025" cy="200025"/>
    <xdr:pic>
      <xdr:nvPicPr>
        <xdr:cNvPr id="2042" name="image3.png">
          <a:extLst>
            <a:ext uri="{FF2B5EF4-FFF2-40B4-BE49-F238E27FC236}">
              <a16:creationId xmlns:a16="http://schemas.microsoft.com/office/drawing/2014/main" id="{00000000-0008-0000-0200-0000FA07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1345</xdr:row>
      <xdr:rowOff>0</xdr:rowOff>
    </xdr:from>
    <xdr:ext cx="200025" cy="200025"/>
    <xdr:pic>
      <xdr:nvPicPr>
        <xdr:cNvPr id="2043" name="image8.png">
          <a:extLst>
            <a:ext uri="{FF2B5EF4-FFF2-40B4-BE49-F238E27FC236}">
              <a16:creationId xmlns:a16="http://schemas.microsoft.com/office/drawing/2014/main" id="{00000000-0008-0000-0200-0000FB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1346</xdr:row>
      <xdr:rowOff>0</xdr:rowOff>
    </xdr:from>
    <xdr:ext cx="200025" cy="200025"/>
    <xdr:pic>
      <xdr:nvPicPr>
        <xdr:cNvPr id="2044" name="image8.png">
          <a:extLst>
            <a:ext uri="{FF2B5EF4-FFF2-40B4-BE49-F238E27FC236}">
              <a16:creationId xmlns:a16="http://schemas.microsoft.com/office/drawing/2014/main" id="{00000000-0008-0000-0200-0000FC07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1347</xdr:row>
      <xdr:rowOff>0</xdr:rowOff>
    </xdr:from>
    <xdr:ext cx="200025" cy="200025"/>
    <xdr:pic>
      <xdr:nvPicPr>
        <xdr:cNvPr id="2045" name="image10.png">
          <a:extLst>
            <a:ext uri="{FF2B5EF4-FFF2-40B4-BE49-F238E27FC236}">
              <a16:creationId xmlns:a16="http://schemas.microsoft.com/office/drawing/2014/main" id="{00000000-0008-0000-0200-0000FD07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1347</xdr:row>
      <xdr:rowOff>0</xdr:rowOff>
    </xdr:from>
    <xdr:ext cx="200025" cy="200025"/>
    <xdr:pic>
      <xdr:nvPicPr>
        <xdr:cNvPr id="2046" name="image1.png">
          <a:extLst>
            <a:ext uri="{FF2B5EF4-FFF2-40B4-BE49-F238E27FC236}">
              <a16:creationId xmlns:a16="http://schemas.microsoft.com/office/drawing/2014/main" id="{00000000-0008-0000-0200-0000FE07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1347</xdr:row>
      <xdr:rowOff>0</xdr:rowOff>
    </xdr:from>
    <xdr:ext cx="200025" cy="200025"/>
    <xdr:pic>
      <xdr:nvPicPr>
        <xdr:cNvPr id="2047" name="image12.png">
          <a:extLst>
            <a:ext uri="{FF2B5EF4-FFF2-40B4-BE49-F238E27FC236}">
              <a16:creationId xmlns:a16="http://schemas.microsoft.com/office/drawing/2014/main" id="{00000000-0008-0000-0200-0000FF07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1347</xdr:row>
      <xdr:rowOff>0</xdr:rowOff>
    </xdr:from>
    <xdr:ext cx="200025" cy="200025"/>
    <xdr:pic>
      <xdr:nvPicPr>
        <xdr:cNvPr id="2048" name="image8.png">
          <a:extLst>
            <a:ext uri="{FF2B5EF4-FFF2-40B4-BE49-F238E27FC236}">
              <a16:creationId xmlns:a16="http://schemas.microsoft.com/office/drawing/2014/main" id="{00000000-0008-0000-0200-000000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1348</xdr:row>
      <xdr:rowOff>0</xdr:rowOff>
    </xdr:from>
    <xdr:ext cx="200025" cy="200025"/>
    <xdr:pic>
      <xdr:nvPicPr>
        <xdr:cNvPr id="2049" name="image8.png">
          <a:extLst>
            <a:ext uri="{FF2B5EF4-FFF2-40B4-BE49-F238E27FC236}">
              <a16:creationId xmlns:a16="http://schemas.microsoft.com/office/drawing/2014/main" id="{00000000-0008-0000-0200-000001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1349</xdr:row>
      <xdr:rowOff>0</xdr:rowOff>
    </xdr:from>
    <xdr:ext cx="200025" cy="200025"/>
    <xdr:pic>
      <xdr:nvPicPr>
        <xdr:cNvPr id="2050" name="image8.png">
          <a:extLst>
            <a:ext uri="{FF2B5EF4-FFF2-40B4-BE49-F238E27FC236}">
              <a16:creationId xmlns:a16="http://schemas.microsoft.com/office/drawing/2014/main" id="{00000000-0008-0000-0200-000002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1350</xdr:row>
      <xdr:rowOff>0</xdr:rowOff>
    </xdr:from>
    <xdr:ext cx="200025" cy="200025"/>
    <xdr:pic>
      <xdr:nvPicPr>
        <xdr:cNvPr id="2051" name="image8.png">
          <a:extLst>
            <a:ext uri="{FF2B5EF4-FFF2-40B4-BE49-F238E27FC236}">
              <a16:creationId xmlns:a16="http://schemas.microsoft.com/office/drawing/2014/main" id="{00000000-0008-0000-0200-000003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1350</xdr:row>
      <xdr:rowOff>0</xdr:rowOff>
    </xdr:from>
    <xdr:ext cx="200025" cy="200025"/>
    <xdr:pic>
      <xdr:nvPicPr>
        <xdr:cNvPr id="2052" name="image6.png">
          <a:extLst>
            <a:ext uri="{FF2B5EF4-FFF2-40B4-BE49-F238E27FC236}">
              <a16:creationId xmlns:a16="http://schemas.microsoft.com/office/drawing/2014/main" id="{00000000-0008-0000-0200-000004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1350</xdr:row>
      <xdr:rowOff>0</xdr:rowOff>
    </xdr:from>
    <xdr:ext cx="200025" cy="200025"/>
    <xdr:pic>
      <xdr:nvPicPr>
        <xdr:cNvPr id="2053" name="image12.png">
          <a:extLst>
            <a:ext uri="{FF2B5EF4-FFF2-40B4-BE49-F238E27FC236}">
              <a16:creationId xmlns:a16="http://schemas.microsoft.com/office/drawing/2014/main" id="{00000000-0008-0000-0200-000005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1351</xdr:row>
      <xdr:rowOff>0</xdr:rowOff>
    </xdr:from>
    <xdr:ext cx="200025" cy="200025"/>
    <xdr:pic>
      <xdr:nvPicPr>
        <xdr:cNvPr id="2054" name="image2.png">
          <a:extLst>
            <a:ext uri="{FF2B5EF4-FFF2-40B4-BE49-F238E27FC236}">
              <a16:creationId xmlns:a16="http://schemas.microsoft.com/office/drawing/2014/main" id="{00000000-0008-0000-0200-000006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1352</xdr:row>
      <xdr:rowOff>0</xdr:rowOff>
    </xdr:from>
    <xdr:ext cx="200025" cy="200025"/>
    <xdr:pic>
      <xdr:nvPicPr>
        <xdr:cNvPr id="2055" name="image2.png">
          <a:extLst>
            <a:ext uri="{FF2B5EF4-FFF2-40B4-BE49-F238E27FC236}">
              <a16:creationId xmlns:a16="http://schemas.microsoft.com/office/drawing/2014/main" id="{00000000-0008-0000-0200-000007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1354</xdr:row>
      <xdr:rowOff>0</xdr:rowOff>
    </xdr:from>
    <xdr:ext cx="200025" cy="200025"/>
    <xdr:pic>
      <xdr:nvPicPr>
        <xdr:cNvPr id="2056" name="image10.png">
          <a:extLst>
            <a:ext uri="{FF2B5EF4-FFF2-40B4-BE49-F238E27FC236}">
              <a16:creationId xmlns:a16="http://schemas.microsoft.com/office/drawing/2014/main" id="{00000000-0008-0000-0200-000008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1354</xdr:row>
      <xdr:rowOff>0</xdr:rowOff>
    </xdr:from>
    <xdr:ext cx="200025" cy="200025"/>
    <xdr:pic>
      <xdr:nvPicPr>
        <xdr:cNvPr id="2057" name="image1.png">
          <a:extLst>
            <a:ext uri="{FF2B5EF4-FFF2-40B4-BE49-F238E27FC236}">
              <a16:creationId xmlns:a16="http://schemas.microsoft.com/office/drawing/2014/main" id="{00000000-0008-0000-0200-000009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1354</xdr:row>
      <xdr:rowOff>0</xdr:rowOff>
    </xdr:from>
    <xdr:ext cx="200025" cy="200025"/>
    <xdr:pic>
      <xdr:nvPicPr>
        <xdr:cNvPr id="2058" name="image6.png">
          <a:extLst>
            <a:ext uri="{FF2B5EF4-FFF2-40B4-BE49-F238E27FC236}">
              <a16:creationId xmlns:a16="http://schemas.microsoft.com/office/drawing/2014/main" id="{00000000-0008-0000-0200-00000A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1354</xdr:row>
      <xdr:rowOff>0</xdr:rowOff>
    </xdr:from>
    <xdr:ext cx="200025" cy="200025"/>
    <xdr:pic>
      <xdr:nvPicPr>
        <xdr:cNvPr id="2059" name="image12.png">
          <a:extLst>
            <a:ext uri="{FF2B5EF4-FFF2-40B4-BE49-F238E27FC236}">
              <a16:creationId xmlns:a16="http://schemas.microsoft.com/office/drawing/2014/main" id="{00000000-0008-0000-0200-00000B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1354</xdr:row>
      <xdr:rowOff>0</xdr:rowOff>
    </xdr:from>
    <xdr:ext cx="200025" cy="200025"/>
    <xdr:pic>
      <xdr:nvPicPr>
        <xdr:cNvPr id="2060" name="image11.png">
          <a:extLst>
            <a:ext uri="{FF2B5EF4-FFF2-40B4-BE49-F238E27FC236}">
              <a16:creationId xmlns:a16="http://schemas.microsoft.com/office/drawing/2014/main" id="{00000000-0008-0000-0200-00000C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1354</xdr:row>
      <xdr:rowOff>0</xdr:rowOff>
    </xdr:from>
    <xdr:ext cx="200025" cy="200025"/>
    <xdr:pic>
      <xdr:nvPicPr>
        <xdr:cNvPr id="2061" name="image8.png">
          <a:extLst>
            <a:ext uri="{FF2B5EF4-FFF2-40B4-BE49-F238E27FC236}">
              <a16:creationId xmlns:a16="http://schemas.microsoft.com/office/drawing/2014/main" id="{00000000-0008-0000-0200-00000D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1356</xdr:row>
      <xdr:rowOff>0</xdr:rowOff>
    </xdr:from>
    <xdr:ext cx="200025" cy="200025"/>
    <xdr:pic>
      <xdr:nvPicPr>
        <xdr:cNvPr id="2062" name="image8.png">
          <a:extLst>
            <a:ext uri="{FF2B5EF4-FFF2-40B4-BE49-F238E27FC236}">
              <a16:creationId xmlns:a16="http://schemas.microsoft.com/office/drawing/2014/main" id="{00000000-0008-0000-0200-00000E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1357</xdr:row>
      <xdr:rowOff>0</xdr:rowOff>
    </xdr:from>
    <xdr:ext cx="200025" cy="200025"/>
    <xdr:pic>
      <xdr:nvPicPr>
        <xdr:cNvPr id="2063" name="image9.png">
          <a:extLst>
            <a:ext uri="{FF2B5EF4-FFF2-40B4-BE49-F238E27FC236}">
              <a16:creationId xmlns:a16="http://schemas.microsoft.com/office/drawing/2014/main" id="{00000000-0008-0000-0200-00000F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1357</xdr:row>
      <xdr:rowOff>0</xdr:rowOff>
    </xdr:from>
    <xdr:ext cx="200025" cy="200025"/>
    <xdr:pic>
      <xdr:nvPicPr>
        <xdr:cNvPr id="2064" name="image2.png">
          <a:extLst>
            <a:ext uri="{FF2B5EF4-FFF2-40B4-BE49-F238E27FC236}">
              <a16:creationId xmlns:a16="http://schemas.microsoft.com/office/drawing/2014/main" id="{00000000-0008-0000-0200-000010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1357</xdr:row>
      <xdr:rowOff>0</xdr:rowOff>
    </xdr:from>
    <xdr:ext cx="200025" cy="200025"/>
    <xdr:pic>
      <xdr:nvPicPr>
        <xdr:cNvPr id="2065" name="image4.png">
          <a:extLst>
            <a:ext uri="{FF2B5EF4-FFF2-40B4-BE49-F238E27FC236}">
              <a16:creationId xmlns:a16="http://schemas.microsoft.com/office/drawing/2014/main" id="{00000000-0008-0000-0200-000011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1357</xdr:row>
      <xdr:rowOff>0</xdr:rowOff>
    </xdr:from>
    <xdr:ext cx="200025" cy="200025"/>
    <xdr:pic>
      <xdr:nvPicPr>
        <xdr:cNvPr id="2066" name="image3.png">
          <a:extLst>
            <a:ext uri="{FF2B5EF4-FFF2-40B4-BE49-F238E27FC236}">
              <a16:creationId xmlns:a16="http://schemas.microsoft.com/office/drawing/2014/main" id="{00000000-0008-0000-0200-000012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1357</xdr:row>
      <xdr:rowOff>0</xdr:rowOff>
    </xdr:from>
    <xdr:ext cx="200025" cy="200025"/>
    <xdr:pic>
      <xdr:nvPicPr>
        <xdr:cNvPr id="2067" name="image11.png">
          <a:extLst>
            <a:ext uri="{FF2B5EF4-FFF2-40B4-BE49-F238E27FC236}">
              <a16:creationId xmlns:a16="http://schemas.microsoft.com/office/drawing/2014/main" id="{00000000-0008-0000-0200-000013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1357</xdr:row>
      <xdr:rowOff>0</xdr:rowOff>
    </xdr:from>
    <xdr:ext cx="200025" cy="200025"/>
    <xdr:pic>
      <xdr:nvPicPr>
        <xdr:cNvPr id="2068" name="image10.png">
          <a:extLst>
            <a:ext uri="{FF2B5EF4-FFF2-40B4-BE49-F238E27FC236}">
              <a16:creationId xmlns:a16="http://schemas.microsoft.com/office/drawing/2014/main" id="{00000000-0008-0000-0200-000014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1359</xdr:row>
      <xdr:rowOff>0</xdr:rowOff>
    </xdr:from>
    <xdr:ext cx="200025" cy="200025"/>
    <xdr:pic>
      <xdr:nvPicPr>
        <xdr:cNvPr id="2069" name="image10.png">
          <a:extLst>
            <a:ext uri="{FF2B5EF4-FFF2-40B4-BE49-F238E27FC236}">
              <a16:creationId xmlns:a16="http://schemas.microsoft.com/office/drawing/2014/main" id="{00000000-0008-0000-0200-000015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1360</xdr:row>
      <xdr:rowOff>0</xdr:rowOff>
    </xdr:from>
    <xdr:ext cx="200025" cy="200025"/>
    <xdr:pic>
      <xdr:nvPicPr>
        <xdr:cNvPr id="2070" name="image10.png">
          <a:extLst>
            <a:ext uri="{FF2B5EF4-FFF2-40B4-BE49-F238E27FC236}">
              <a16:creationId xmlns:a16="http://schemas.microsoft.com/office/drawing/2014/main" id="{00000000-0008-0000-0200-000016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1361</xdr:row>
      <xdr:rowOff>0</xdr:rowOff>
    </xdr:from>
    <xdr:ext cx="200025" cy="200025"/>
    <xdr:pic>
      <xdr:nvPicPr>
        <xdr:cNvPr id="2071" name="image8.png">
          <a:extLst>
            <a:ext uri="{FF2B5EF4-FFF2-40B4-BE49-F238E27FC236}">
              <a16:creationId xmlns:a16="http://schemas.microsoft.com/office/drawing/2014/main" id="{00000000-0008-0000-0200-000017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1361</xdr:row>
      <xdr:rowOff>0</xdr:rowOff>
    </xdr:from>
    <xdr:ext cx="200025" cy="200025"/>
    <xdr:pic>
      <xdr:nvPicPr>
        <xdr:cNvPr id="2072" name="image6.png">
          <a:extLst>
            <a:ext uri="{FF2B5EF4-FFF2-40B4-BE49-F238E27FC236}">
              <a16:creationId xmlns:a16="http://schemas.microsoft.com/office/drawing/2014/main" id="{00000000-0008-0000-0200-000018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1361</xdr:row>
      <xdr:rowOff>0</xdr:rowOff>
    </xdr:from>
    <xdr:ext cx="200025" cy="200025"/>
    <xdr:pic>
      <xdr:nvPicPr>
        <xdr:cNvPr id="2073" name="image12.png">
          <a:extLst>
            <a:ext uri="{FF2B5EF4-FFF2-40B4-BE49-F238E27FC236}">
              <a16:creationId xmlns:a16="http://schemas.microsoft.com/office/drawing/2014/main" id="{00000000-0008-0000-0200-000019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1363</xdr:row>
      <xdr:rowOff>0</xdr:rowOff>
    </xdr:from>
    <xdr:ext cx="200025" cy="200025"/>
    <xdr:pic>
      <xdr:nvPicPr>
        <xdr:cNvPr id="2074" name="image9.png">
          <a:extLst>
            <a:ext uri="{FF2B5EF4-FFF2-40B4-BE49-F238E27FC236}">
              <a16:creationId xmlns:a16="http://schemas.microsoft.com/office/drawing/2014/main" id="{00000000-0008-0000-0200-00001A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1366</xdr:row>
      <xdr:rowOff>0</xdr:rowOff>
    </xdr:from>
    <xdr:ext cx="200025" cy="200025"/>
    <xdr:pic>
      <xdr:nvPicPr>
        <xdr:cNvPr id="2075" name="image10.png">
          <a:extLst>
            <a:ext uri="{FF2B5EF4-FFF2-40B4-BE49-F238E27FC236}">
              <a16:creationId xmlns:a16="http://schemas.microsoft.com/office/drawing/2014/main" id="{00000000-0008-0000-0200-00001B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1366</xdr:row>
      <xdr:rowOff>0</xdr:rowOff>
    </xdr:from>
    <xdr:ext cx="200025" cy="200025"/>
    <xdr:pic>
      <xdr:nvPicPr>
        <xdr:cNvPr id="2076" name="image9.png">
          <a:extLst>
            <a:ext uri="{FF2B5EF4-FFF2-40B4-BE49-F238E27FC236}">
              <a16:creationId xmlns:a16="http://schemas.microsoft.com/office/drawing/2014/main" id="{00000000-0008-0000-0200-00001C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1366</xdr:row>
      <xdr:rowOff>0</xdr:rowOff>
    </xdr:from>
    <xdr:ext cx="200025" cy="200025"/>
    <xdr:pic>
      <xdr:nvPicPr>
        <xdr:cNvPr id="2077" name="image5.png">
          <a:extLst>
            <a:ext uri="{FF2B5EF4-FFF2-40B4-BE49-F238E27FC236}">
              <a16:creationId xmlns:a16="http://schemas.microsoft.com/office/drawing/2014/main" id="{00000000-0008-0000-0200-00001D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1367</xdr:row>
      <xdr:rowOff>0</xdr:rowOff>
    </xdr:from>
    <xdr:ext cx="200025" cy="200025"/>
    <xdr:pic>
      <xdr:nvPicPr>
        <xdr:cNvPr id="2078" name="image10.png">
          <a:extLst>
            <a:ext uri="{FF2B5EF4-FFF2-40B4-BE49-F238E27FC236}">
              <a16:creationId xmlns:a16="http://schemas.microsoft.com/office/drawing/2014/main" id="{00000000-0008-0000-0200-00001E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1367</xdr:row>
      <xdr:rowOff>0</xdr:rowOff>
    </xdr:from>
    <xdr:ext cx="200025" cy="200025"/>
    <xdr:pic>
      <xdr:nvPicPr>
        <xdr:cNvPr id="2079" name="image6.png">
          <a:extLst>
            <a:ext uri="{FF2B5EF4-FFF2-40B4-BE49-F238E27FC236}">
              <a16:creationId xmlns:a16="http://schemas.microsoft.com/office/drawing/2014/main" id="{00000000-0008-0000-0200-00001F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1367</xdr:row>
      <xdr:rowOff>0</xdr:rowOff>
    </xdr:from>
    <xdr:ext cx="200025" cy="200025"/>
    <xdr:pic>
      <xdr:nvPicPr>
        <xdr:cNvPr id="2080" name="image11.png">
          <a:extLst>
            <a:ext uri="{FF2B5EF4-FFF2-40B4-BE49-F238E27FC236}">
              <a16:creationId xmlns:a16="http://schemas.microsoft.com/office/drawing/2014/main" id="{00000000-0008-0000-0200-000020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1368</xdr:row>
      <xdr:rowOff>0</xdr:rowOff>
    </xdr:from>
    <xdr:ext cx="200025" cy="200025"/>
    <xdr:pic>
      <xdr:nvPicPr>
        <xdr:cNvPr id="2081" name="image10.png">
          <a:extLst>
            <a:ext uri="{FF2B5EF4-FFF2-40B4-BE49-F238E27FC236}">
              <a16:creationId xmlns:a16="http://schemas.microsoft.com/office/drawing/2014/main" id="{00000000-0008-0000-0200-000021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1369</xdr:row>
      <xdr:rowOff>0</xdr:rowOff>
    </xdr:from>
    <xdr:ext cx="200025" cy="200025"/>
    <xdr:pic>
      <xdr:nvPicPr>
        <xdr:cNvPr id="2082" name="image10.png">
          <a:extLst>
            <a:ext uri="{FF2B5EF4-FFF2-40B4-BE49-F238E27FC236}">
              <a16:creationId xmlns:a16="http://schemas.microsoft.com/office/drawing/2014/main" id="{00000000-0008-0000-0200-000022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1370</xdr:row>
      <xdr:rowOff>0</xdr:rowOff>
    </xdr:from>
    <xdr:ext cx="200025" cy="200025"/>
    <xdr:pic>
      <xdr:nvPicPr>
        <xdr:cNvPr id="2083" name="image8.png">
          <a:extLst>
            <a:ext uri="{FF2B5EF4-FFF2-40B4-BE49-F238E27FC236}">
              <a16:creationId xmlns:a16="http://schemas.microsoft.com/office/drawing/2014/main" id="{00000000-0008-0000-0200-000023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1370</xdr:row>
      <xdr:rowOff>0</xdr:rowOff>
    </xdr:from>
    <xdr:ext cx="200025" cy="200025"/>
    <xdr:pic>
      <xdr:nvPicPr>
        <xdr:cNvPr id="2084" name="image6.png">
          <a:extLst>
            <a:ext uri="{FF2B5EF4-FFF2-40B4-BE49-F238E27FC236}">
              <a16:creationId xmlns:a16="http://schemas.microsoft.com/office/drawing/2014/main" id="{00000000-0008-0000-0200-000024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1370</xdr:row>
      <xdr:rowOff>0</xdr:rowOff>
    </xdr:from>
    <xdr:ext cx="200025" cy="200025"/>
    <xdr:pic>
      <xdr:nvPicPr>
        <xdr:cNvPr id="2085" name="image5.png">
          <a:extLst>
            <a:ext uri="{FF2B5EF4-FFF2-40B4-BE49-F238E27FC236}">
              <a16:creationId xmlns:a16="http://schemas.microsoft.com/office/drawing/2014/main" id="{00000000-0008-0000-0200-000025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1370</xdr:row>
      <xdr:rowOff>0</xdr:rowOff>
    </xdr:from>
    <xdr:ext cx="200025" cy="200025"/>
    <xdr:pic>
      <xdr:nvPicPr>
        <xdr:cNvPr id="2086" name="image2.png">
          <a:extLst>
            <a:ext uri="{FF2B5EF4-FFF2-40B4-BE49-F238E27FC236}">
              <a16:creationId xmlns:a16="http://schemas.microsoft.com/office/drawing/2014/main" id="{00000000-0008-0000-0200-000026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1371</xdr:row>
      <xdr:rowOff>0</xdr:rowOff>
    </xdr:from>
    <xdr:ext cx="200025" cy="200025"/>
    <xdr:pic>
      <xdr:nvPicPr>
        <xdr:cNvPr id="2087" name="image2.png">
          <a:extLst>
            <a:ext uri="{FF2B5EF4-FFF2-40B4-BE49-F238E27FC236}">
              <a16:creationId xmlns:a16="http://schemas.microsoft.com/office/drawing/2014/main" id="{00000000-0008-0000-0200-000027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1372</xdr:row>
      <xdr:rowOff>0</xdr:rowOff>
    </xdr:from>
    <xdr:ext cx="200025" cy="200025"/>
    <xdr:pic>
      <xdr:nvPicPr>
        <xdr:cNvPr id="2088" name="image2.png">
          <a:extLst>
            <a:ext uri="{FF2B5EF4-FFF2-40B4-BE49-F238E27FC236}">
              <a16:creationId xmlns:a16="http://schemas.microsoft.com/office/drawing/2014/main" id="{00000000-0008-0000-0200-000028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1373</xdr:row>
      <xdr:rowOff>0</xdr:rowOff>
    </xdr:from>
    <xdr:ext cx="200025" cy="200025"/>
    <xdr:pic>
      <xdr:nvPicPr>
        <xdr:cNvPr id="2089" name="image8.png">
          <a:extLst>
            <a:ext uri="{FF2B5EF4-FFF2-40B4-BE49-F238E27FC236}">
              <a16:creationId xmlns:a16="http://schemas.microsoft.com/office/drawing/2014/main" id="{00000000-0008-0000-0200-000029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1373</xdr:row>
      <xdr:rowOff>0</xdr:rowOff>
    </xdr:from>
    <xdr:ext cx="200025" cy="200025"/>
    <xdr:pic>
      <xdr:nvPicPr>
        <xdr:cNvPr id="2090" name="image1.png">
          <a:extLst>
            <a:ext uri="{FF2B5EF4-FFF2-40B4-BE49-F238E27FC236}">
              <a16:creationId xmlns:a16="http://schemas.microsoft.com/office/drawing/2014/main" id="{00000000-0008-0000-0200-00002A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1373</xdr:row>
      <xdr:rowOff>0</xdr:rowOff>
    </xdr:from>
    <xdr:ext cx="200025" cy="200025"/>
    <xdr:pic>
      <xdr:nvPicPr>
        <xdr:cNvPr id="2091" name="image11.png">
          <a:extLst>
            <a:ext uri="{FF2B5EF4-FFF2-40B4-BE49-F238E27FC236}">
              <a16:creationId xmlns:a16="http://schemas.microsoft.com/office/drawing/2014/main" id="{00000000-0008-0000-0200-00002B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1373</xdr:row>
      <xdr:rowOff>0</xdr:rowOff>
    </xdr:from>
    <xdr:ext cx="200025" cy="200025"/>
    <xdr:pic>
      <xdr:nvPicPr>
        <xdr:cNvPr id="2092" name="image6.png">
          <a:extLst>
            <a:ext uri="{FF2B5EF4-FFF2-40B4-BE49-F238E27FC236}">
              <a16:creationId xmlns:a16="http://schemas.microsoft.com/office/drawing/2014/main" id="{00000000-0008-0000-0200-00002C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1374</xdr:row>
      <xdr:rowOff>0</xdr:rowOff>
    </xdr:from>
    <xdr:ext cx="200025" cy="200025"/>
    <xdr:pic>
      <xdr:nvPicPr>
        <xdr:cNvPr id="2093" name="image6.png">
          <a:extLst>
            <a:ext uri="{FF2B5EF4-FFF2-40B4-BE49-F238E27FC236}">
              <a16:creationId xmlns:a16="http://schemas.microsoft.com/office/drawing/2014/main" id="{00000000-0008-0000-0200-00002D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1376</xdr:row>
      <xdr:rowOff>0</xdr:rowOff>
    </xdr:from>
    <xdr:ext cx="200025" cy="200025"/>
    <xdr:pic>
      <xdr:nvPicPr>
        <xdr:cNvPr id="2094" name="image10.png">
          <a:extLst>
            <a:ext uri="{FF2B5EF4-FFF2-40B4-BE49-F238E27FC236}">
              <a16:creationId xmlns:a16="http://schemas.microsoft.com/office/drawing/2014/main" id="{00000000-0008-0000-0200-00002E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1376</xdr:row>
      <xdr:rowOff>0</xdr:rowOff>
    </xdr:from>
    <xdr:ext cx="200025" cy="200025"/>
    <xdr:pic>
      <xdr:nvPicPr>
        <xdr:cNvPr id="2095" name="image9.png">
          <a:extLst>
            <a:ext uri="{FF2B5EF4-FFF2-40B4-BE49-F238E27FC236}">
              <a16:creationId xmlns:a16="http://schemas.microsoft.com/office/drawing/2014/main" id="{00000000-0008-0000-0200-00002F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1376</xdr:row>
      <xdr:rowOff>0</xdr:rowOff>
    </xdr:from>
    <xdr:ext cx="200025" cy="200025"/>
    <xdr:pic>
      <xdr:nvPicPr>
        <xdr:cNvPr id="2096" name="image3.png">
          <a:extLst>
            <a:ext uri="{FF2B5EF4-FFF2-40B4-BE49-F238E27FC236}">
              <a16:creationId xmlns:a16="http://schemas.microsoft.com/office/drawing/2014/main" id="{00000000-0008-0000-0200-000030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1377</xdr:row>
      <xdr:rowOff>0</xdr:rowOff>
    </xdr:from>
    <xdr:ext cx="200025" cy="200025"/>
    <xdr:pic>
      <xdr:nvPicPr>
        <xdr:cNvPr id="2097" name="image9.png">
          <a:extLst>
            <a:ext uri="{FF2B5EF4-FFF2-40B4-BE49-F238E27FC236}">
              <a16:creationId xmlns:a16="http://schemas.microsoft.com/office/drawing/2014/main" id="{00000000-0008-0000-0200-000031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1378</xdr:row>
      <xdr:rowOff>0</xdr:rowOff>
    </xdr:from>
    <xdr:ext cx="200025" cy="200025"/>
    <xdr:pic>
      <xdr:nvPicPr>
        <xdr:cNvPr id="2098" name="image9.png">
          <a:extLst>
            <a:ext uri="{FF2B5EF4-FFF2-40B4-BE49-F238E27FC236}">
              <a16:creationId xmlns:a16="http://schemas.microsoft.com/office/drawing/2014/main" id="{00000000-0008-0000-0200-000032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1379</xdr:row>
      <xdr:rowOff>0</xdr:rowOff>
    </xdr:from>
    <xdr:ext cx="200025" cy="200025"/>
    <xdr:pic>
      <xdr:nvPicPr>
        <xdr:cNvPr id="2099" name="image10.png">
          <a:extLst>
            <a:ext uri="{FF2B5EF4-FFF2-40B4-BE49-F238E27FC236}">
              <a16:creationId xmlns:a16="http://schemas.microsoft.com/office/drawing/2014/main" id="{00000000-0008-0000-0200-00003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1379</xdr:row>
      <xdr:rowOff>0</xdr:rowOff>
    </xdr:from>
    <xdr:ext cx="200025" cy="200025"/>
    <xdr:pic>
      <xdr:nvPicPr>
        <xdr:cNvPr id="2100" name="image2.png">
          <a:extLst>
            <a:ext uri="{FF2B5EF4-FFF2-40B4-BE49-F238E27FC236}">
              <a16:creationId xmlns:a16="http://schemas.microsoft.com/office/drawing/2014/main" id="{00000000-0008-0000-0200-00003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1379</xdr:row>
      <xdr:rowOff>0</xdr:rowOff>
    </xdr:from>
    <xdr:ext cx="200025" cy="200025"/>
    <xdr:pic>
      <xdr:nvPicPr>
        <xdr:cNvPr id="2101" name="image11.png">
          <a:extLst>
            <a:ext uri="{FF2B5EF4-FFF2-40B4-BE49-F238E27FC236}">
              <a16:creationId xmlns:a16="http://schemas.microsoft.com/office/drawing/2014/main" id="{00000000-0008-0000-0200-000035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1380</xdr:row>
      <xdr:rowOff>0</xdr:rowOff>
    </xdr:from>
    <xdr:ext cx="200025" cy="200025"/>
    <xdr:pic>
      <xdr:nvPicPr>
        <xdr:cNvPr id="2102" name="image12.png">
          <a:extLst>
            <a:ext uri="{FF2B5EF4-FFF2-40B4-BE49-F238E27FC236}">
              <a16:creationId xmlns:a16="http://schemas.microsoft.com/office/drawing/2014/main" id="{00000000-0008-0000-0200-000036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1381</xdr:row>
      <xdr:rowOff>0</xdr:rowOff>
    </xdr:from>
    <xdr:ext cx="200025" cy="200025"/>
    <xdr:pic>
      <xdr:nvPicPr>
        <xdr:cNvPr id="2103" name="image6.png">
          <a:extLst>
            <a:ext uri="{FF2B5EF4-FFF2-40B4-BE49-F238E27FC236}">
              <a16:creationId xmlns:a16="http://schemas.microsoft.com/office/drawing/2014/main" id="{00000000-0008-0000-0200-00003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1386</xdr:row>
      <xdr:rowOff>0</xdr:rowOff>
    </xdr:from>
    <xdr:ext cx="200025" cy="200025"/>
    <xdr:pic>
      <xdr:nvPicPr>
        <xdr:cNvPr id="2104" name="image8.png">
          <a:extLst>
            <a:ext uri="{FF2B5EF4-FFF2-40B4-BE49-F238E27FC236}">
              <a16:creationId xmlns:a16="http://schemas.microsoft.com/office/drawing/2014/main" id="{00000000-0008-0000-0200-000038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1386</xdr:row>
      <xdr:rowOff>0</xdr:rowOff>
    </xdr:from>
    <xdr:ext cx="200025" cy="200025"/>
    <xdr:pic>
      <xdr:nvPicPr>
        <xdr:cNvPr id="2105" name="image9.png">
          <a:extLst>
            <a:ext uri="{FF2B5EF4-FFF2-40B4-BE49-F238E27FC236}">
              <a16:creationId xmlns:a16="http://schemas.microsoft.com/office/drawing/2014/main" id="{00000000-0008-0000-0200-000039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1386</xdr:row>
      <xdr:rowOff>0</xdr:rowOff>
    </xdr:from>
    <xdr:ext cx="200025" cy="200025"/>
    <xdr:pic>
      <xdr:nvPicPr>
        <xdr:cNvPr id="2106" name="image3.png">
          <a:extLst>
            <a:ext uri="{FF2B5EF4-FFF2-40B4-BE49-F238E27FC236}">
              <a16:creationId xmlns:a16="http://schemas.microsoft.com/office/drawing/2014/main" id="{00000000-0008-0000-0200-00003A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1386</xdr:row>
      <xdr:rowOff>0</xdr:rowOff>
    </xdr:from>
    <xdr:ext cx="200025" cy="200025"/>
    <xdr:pic>
      <xdr:nvPicPr>
        <xdr:cNvPr id="2107" name="image2.png">
          <a:extLst>
            <a:ext uri="{FF2B5EF4-FFF2-40B4-BE49-F238E27FC236}">
              <a16:creationId xmlns:a16="http://schemas.microsoft.com/office/drawing/2014/main" id="{00000000-0008-0000-0200-00003B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1387</xdr:row>
      <xdr:rowOff>0</xdr:rowOff>
    </xdr:from>
    <xdr:ext cx="200025" cy="200025"/>
    <xdr:pic>
      <xdr:nvPicPr>
        <xdr:cNvPr id="2108" name="image2.png">
          <a:extLst>
            <a:ext uri="{FF2B5EF4-FFF2-40B4-BE49-F238E27FC236}">
              <a16:creationId xmlns:a16="http://schemas.microsoft.com/office/drawing/2014/main" id="{00000000-0008-0000-0200-00003C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1388</xdr:row>
      <xdr:rowOff>0</xdr:rowOff>
    </xdr:from>
    <xdr:ext cx="200025" cy="200025"/>
    <xdr:pic>
      <xdr:nvPicPr>
        <xdr:cNvPr id="2109" name="image10.png">
          <a:extLst>
            <a:ext uri="{FF2B5EF4-FFF2-40B4-BE49-F238E27FC236}">
              <a16:creationId xmlns:a16="http://schemas.microsoft.com/office/drawing/2014/main" id="{00000000-0008-0000-0200-00003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1388</xdr:row>
      <xdr:rowOff>0</xdr:rowOff>
    </xdr:from>
    <xdr:ext cx="200025" cy="200025"/>
    <xdr:pic>
      <xdr:nvPicPr>
        <xdr:cNvPr id="2110" name="image9.png">
          <a:extLst>
            <a:ext uri="{FF2B5EF4-FFF2-40B4-BE49-F238E27FC236}">
              <a16:creationId xmlns:a16="http://schemas.microsoft.com/office/drawing/2014/main" id="{00000000-0008-0000-0200-00003E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1388</xdr:row>
      <xdr:rowOff>0</xdr:rowOff>
    </xdr:from>
    <xdr:ext cx="200025" cy="200025"/>
    <xdr:pic>
      <xdr:nvPicPr>
        <xdr:cNvPr id="2111" name="image2.png">
          <a:extLst>
            <a:ext uri="{FF2B5EF4-FFF2-40B4-BE49-F238E27FC236}">
              <a16:creationId xmlns:a16="http://schemas.microsoft.com/office/drawing/2014/main" id="{00000000-0008-0000-0200-00003F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1388</xdr:row>
      <xdr:rowOff>0</xdr:rowOff>
    </xdr:from>
    <xdr:ext cx="200025" cy="200025"/>
    <xdr:pic>
      <xdr:nvPicPr>
        <xdr:cNvPr id="2112" name="image11.png">
          <a:extLst>
            <a:ext uri="{FF2B5EF4-FFF2-40B4-BE49-F238E27FC236}">
              <a16:creationId xmlns:a16="http://schemas.microsoft.com/office/drawing/2014/main" id="{00000000-0008-0000-0200-000040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1389</xdr:row>
      <xdr:rowOff>0</xdr:rowOff>
    </xdr:from>
    <xdr:ext cx="200025" cy="200025"/>
    <xdr:pic>
      <xdr:nvPicPr>
        <xdr:cNvPr id="2113" name="image7.png">
          <a:extLst>
            <a:ext uri="{FF2B5EF4-FFF2-40B4-BE49-F238E27FC236}">
              <a16:creationId xmlns:a16="http://schemas.microsoft.com/office/drawing/2014/main" id="{00000000-0008-0000-0200-000041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1390</xdr:row>
      <xdr:rowOff>0</xdr:rowOff>
    </xdr:from>
    <xdr:ext cx="200025" cy="200025"/>
    <xdr:pic>
      <xdr:nvPicPr>
        <xdr:cNvPr id="2114" name="image6.png">
          <a:extLst>
            <a:ext uri="{FF2B5EF4-FFF2-40B4-BE49-F238E27FC236}">
              <a16:creationId xmlns:a16="http://schemas.microsoft.com/office/drawing/2014/main" id="{00000000-0008-0000-0200-000042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1391</xdr:row>
      <xdr:rowOff>0</xdr:rowOff>
    </xdr:from>
    <xdr:ext cx="200025" cy="200025"/>
    <xdr:pic>
      <xdr:nvPicPr>
        <xdr:cNvPr id="2115" name="image10.png">
          <a:extLst>
            <a:ext uri="{FF2B5EF4-FFF2-40B4-BE49-F238E27FC236}">
              <a16:creationId xmlns:a16="http://schemas.microsoft.com/office/drawing/2014/main" id="{00000000-0008-0000-0200-00004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1391</xdr:row>
      <xdr:rowOff>0</xdr:rowOff>
    </xdr:from>
    <xdr:ext cx="200025" cy="200025"/>
    <xdr:pic>
      <xdr:nvPicPr>
        <xdr:cNvPr id="2116" name="image1.png">
          <a:extLst>
            <a:ext uri="{FF2B5EF4-FFF2-40B4-BE49-F238E27FC236}">
              <a16:creationId xmlns:a16="http://schemas.microsoft.com/office/drawing/2014/main" id="{00000000-0008-0000-0200-000044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1391</xdr:row>
      <xdr:rowOff>0</xdr:rowOff>
    </xdr:from>
    <xdr:ext cx="200025" cy="200025"/>
    <xdr:pic>
      <xdr:nvPicPr>
        <xdr:cNvPr id="2117" name="image4.png">
          <a:extLst>
            <a:ext uri="{FF2B5EF4-FFF2-40B4-BE49-F238E27FC236}">
              <a16:creationId xmlns:a16="http://schemas.microsoft.com/office/drawing/2014/main" id="{00000000-0008-0000-0200-000045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1391</xdr:row>
      <xdr:rowOff>0</xdr:rowOff>
    </xdr:from>
    <xdr:ext cx="200025" cy="200025"/>
    <xdr:pic>
      <xdr:nvPicPr>
        <xdr:cNvPr id="2118" name="image8.png">
          <a:extLst>
            <a:ext uri="{FF2B5EF4-FFF2-40B4-BE49-F238E27FC236}">
              <a16:creationId xmlns:a16="http://schemas.microsoft.com/office/drawing/2014/main" id="{00000000-0008-0000-0200-000046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1392</xdr:row>
      <xdr:rowOff>0</xdr:rowOff>
    </xdr:from>
    <xdr:ext cx="200025" cy="200025"/>
    <xdr:pic>
      <xdr:nvPicPr>
        <xdr:cNvPr id="2119" name="image8.png">
          <a:extLst>
            <a:ext uri="{FF2B5EF4-FFF2-40B4-BE49-F238E27FC236}">
              <a16:creationId xmlns:a16="http://schemas.microsoft.com/office/drawing/2014/main" id="{00000000-0008-0000-0200-000047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1393</xdr:row>
      <xdr:rowOff>0</xdr:rowOff>
    </xdr:from>
    <xdr:ext cx="200025" cy="200025"/>
    <xdr:pic>
      <xdr:nvPicPr>
        <xdr:cNvPr id="2120" name="image8.png">
          <a:extLst>
            <a:ext uri="{FF2B5EF4-FFF2-40B4-BE49-F238E27FC236}">
              <a16:creationId xmlns:a16="http://schemas.microsoft.com/office/drawing/2014/main" id="{00000000-0008-0000-0200-000048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1394</xdr:row>
      <xdr:rowOff>0</xdr:rowOff>
    </xdr:from>
    <xdr:ext cx="200025" cy="200025"/>
    <xdr:pic>
      <xdr:nvPicPr>
        <xdr:cNvPr id="2121" name="image10.png">
          <a:extLst>
            <a:ext uri="{FF2B5EF4-FFF2-40B4-BE49-F238E27FC236}">
              <a16:creationId xmlns:a16="http://schemas.microsoft.com/office/drawing/2014/main" id="{00000000-0008-0000-0200-000049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1394</xdr:row>
      <xdr:rowOff>0</xdr:rowOff>
    </xdr:from>
    <xdr:ext cx="200025" cy="200025"/>
    <xdr:pic>
      <xdr:nvPicPr>
        <xdr:cNvPr id="2122" name="image6.png">
          <a:extLst>
            <a:ext uri="{FF2B5EF4-FFF2-40B4-BE49-F238E27FC236}">
              <a16:creationId xmlns:a16="http://schemas.microsoft.com/office/drawing/2014/main" id="{00000000-0008-0000-0200-00004A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1394</xdr:row>
      <xdr:rowOff>0</xdr:rowOff>
    </xdr:from>
    <xdr:ext cx="200025" cy="200025"/>
    <xdr:pic>
      <xdr:nvPicPr>
        <xdr:cNvPr id="2123" name="image3.png">
          <a:extLst>
            <a:ext uri="{FF2B5EF4-FFF2-40B4-BE49-F238E27FC236}">
              <a16:creationId xmlns:a16="http://schemas.microsoft.com/office/drawing/2014/main" id="{00000000-0008-0000-0200-00004B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1396</xdr:row>
      <xdr:rowOff>0</xdr:rowOff>
    </xdr:from>
    <xdr:ext cx="200025" cy="200025"/>
    <xdr:pic>
      <xdr:nvPicPr>
        <xdr:cNvPr id="2124" name="image8.png">
          <a:extLst>
            <a:ext uri="{FF2B5EF4-FFF2-40B4-BE49-F238E27FC236}">
              <a16:creationId xmlns:a16="http://schemas.microsoft.com/office/drawing/2014/main" id="{00000000-0008-0000-0200-00004C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1396</xdr:row>
      <xdr:rowOff>0</xdr:rowOff>
    </xdr:from>
    <xdr:ext cx="200025" cy="200025"/>
    <xdr:pic>
      <xdr:nvPicPr>
        <xdr:cNvPr id="2125" name="image9.png">
          <a:extLst>
            <a:ext uri="{FF2B5EF4-FFF2-40B4-BE49-F238E27FC236}">
              <a16:creationId xmlns:a16="http://schemas.microsoft.com/office/drawing/2014/main" id="{00000000-0008-0000-0200-00004D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1396</xdr:row>
      <xdr:rowOff>0</xdr:rowOff>
    </xdr:from>
    <xdr:ext cx="200025" cy="200025"/>
    <xdr:pic>
      <xdr:nvPicPr>
        <xdr:cNvPr id="2126" name="image2.png">
          <a:extLst>
            <a:ext uri="{FF2B5EF4-FFF2-40B4-BE49-F238E27FC236}">
              <a16:creationId xmlns:a16="http://schemas.microsoft.com/office/drawing/2014/main" id="{00000000-0008-0000-0200-00004E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1396</xdr:row>
      <xdr:rowOff>0</xdr:rowOff>
    </xdr:from>
    <xdr:ext cx="200025" cy="200025"/>
    <xdr:pic>
      <xdr:nvPicPr>
        <xdr:cNvPr id="2127" name="image12.png">
          <a:extLst>
            <a:ext uri="{FF2B5EF4-FFF2-40B4-BE49-F238E27FC236}">
              <a16:creationId xmlns:a16="http://schemas.microsoft.com/office/drawing/2014/main" id="{00000000-0008-0000-0200-00004F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1398</xdr:row>
      <xdr:rowOff>0</xdr:rowOff>
    </xdr:from>
    <xdr:ext cx="200025" cy="200025"/>
    <xdr:pic>
      <xdr:nvPicPr>
        <xdr:cNvPr id="2128" name="image8.png">
          <a:extLst>
            <a:ext uri="{FF2B5EF4-FFF2-40B4-BE49-F238E27FC236}">
              <a16:creationId xmlns:a16="http://schemas.microsoft.com/office/drawing/2014/main" id="{00000000-0008-0000-0200-000050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1398</xdr:row>
      <xdr:rowOff>0</xdr:rowOff>
    </xdr:from>
    <xdr:ext cx="200025" cy="200025"/>
    <xdr:pic>
      <xdr:nvPicPr>
        <xdr:cNvPr id="2129" name="image9.png">
          <a:extLst>
            <a:ext uri="{FF2B5EF4-FFF2-40B4-BE49-F238E27FC236}">
              <a16:creationId xmlns:a16="http://schemas.microsoft.com/office/drawing/2014/main" id="{00000000-0008-0000-0200-000051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1398</xdr:row>
      <xdr:rowOff>0</xdr:rowOff>
    </xdr:from>
    <xdr:ext cx="200025" cy="200025"/>
    <xdr:pic>
      <xdr:nvPicPr>
        <xdr:cNvPr id="2130" name="image3.png">
          <a:extLst>
            <a:ext uri="{FF2B5EF4-FFF2-40B4-BE49-F238E27FC236}">
              <a16:creationId xmlns:a16="http://schemas.microsoft.com/office/drawing/2014/main" id="{00000000-0008-0000-0200-000052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1398</xdr:row>
      <xdr:rowOff>0</xdr:rowOff>
    </xdr:from>
    <xdr:ext cx="200025" cy="200025"/>
    <xdr:pic>
      <xdr:nvPicPr>
        <xdr:cNvPr id="2131" name="image11.png">
          <a:extLst>
            <a:ext uri="{FF2B5EF4-FFF2-40B4-BE49-F238E27FC236}">
              <a16:creationId xmlns:a16="http://schemas.microsoft.com/office/drawing/2014/main" id="{00000000-0008-0000-0200-000053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1398</xdr:row>
      <xdr:rowOff>0</xdr:rowOff>
    </xdr:from>
    <xdr:ext cx="200025" cy="200025"/>
    <xdr:pic>
      <xdr:nvPicPr>
        <xdr:cNvPr id="2132" name="image10.png">
          <a:extLst>
            <a:ext uri="{FF2B5EF4-FFF2-40B4-BE49-F238E27FC236}">
              <a16:creationId xmlns:a16="http://schemas.microsoft.com/office/drawing/2014/main" id="{00000000-0008-0000-0200-000054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1399</xdr:row>
      <xdr:rowOff>0</xdr:rowOff>
    </xdr:from>
    <xdr:ext cx="200025" cy="200025"/>
    <xdr:pic>
      <xdr:nvPicPr>
        <xdr:cNvPr id="2133" name="image10.png">
          <a:extLst>
            <a:ext uri="{FF2B5EF4-FFF2-40B4-BE49-F238E27FC236}">
              <a16:creationId xmlns:a16="http://schemas.microsoft.com/office/drawing/2014/main" id="{00000000-0008-0000-0200-000055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1400</xdr:row>
      <xdr:rowOff>0</xdr:rowOff>
    </xdr:from>
    <xdr:ext cx="200025" cy="200025"/>
    <xdr:pic>
      <xdr:nvPicPr>
        <xdr:cNvPr id="2134" name="image10.png">
          <a:extLst>
            <a:ext uri="{FF2B5EF4-FFF2-40B4-BE49-F238E27FC236}">
              <a16:creationId xmlns:a16="http://schemas.microsoft.com/office/drawing/2014/main" id="{00000000-0008-0000-0200-000056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1401</xdr:row>
      <xdr:rowOff>0</xdr:rowOff>
    </xdr:from>
    <xdr:ext cx="200025" cy="200025"/>
    <xdr:pic>
      <xdr:nvPicPr>
        <xdr:cNvPr id="2135" name="image8.png">
          <a:extLst>
            <a:ext uri="{FF2B5EF4-FFF2-40B4-BE49-F238E27FC236}">
              <a16:creationId xmlns:a16="http://schemas.microsoft.com/office/drawing/2014/main" id="{00000000-0008-0000-0200-000057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1401</xdr:row>
      <xdr:rowOff>0</xdr:rowOff>
    </xdr:from>
    <xdr:ext cx="200025" cy="200025"/>
    <xdr:pic>
      <xdr:nvPicPr>
        <xdr:cNvPr id="2136" name="image9.png">
          <a:extLst>
            <a:ext uri="{FF2B5EF4-FFF2-40B4-BE49-F238E27FC236}">
              <a16:creationId xmlns:a16="http://schemas.microsoft.com/office/drawing/2014/main" id="{00000000-0008-0000-0200-000058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1401</xdr:row>
      <xdr:rowOff>0</xdr:rowOff>
    </xdr:from>
    <xdr:ext cx="200025" cy="200025"/>
    <xdr:pic>
      <xdr:nvPicPr>
        <xdr:cNvPr id="2137" name="image5.png">
          <a:extLst>
            <a:ext uri="{FF2B5EF4-FFF2-40B4-BE49-F238E27FC236}">
              <a16:creationId xmlns:a16="http://schemas.microsoft.com/office/drawing/2014/main" id="{00000000-0008-0000-0200-000059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1401</xdr:row>
      <xdr:rowOff>0</xdr:rowOff>
    </xdr:from>
    <xdr:ext cx="200025" cy="200025"/>
    <xdr:pic>
      <xdr:nvPicPr>
        <xdr:cNvPr id="2138" name="image3.png">
          <a:extLst>
            <a:ext uri="{FF2B5EF4-FFF2-40B4-BE49-F238E27FC236}">
              <a16:creationId xmlns:a16="http://schemas.microsoft.com/office/drawing/2014/main" id="{00000000-0008-0000-0200-00005A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1401</xdr:row>
      <xdr:rowOff>0</xdr:rowOff>
    </xdr:from>
    <xdr:ext cx="200025" cy="200025"/>
    <xdr:pic>
      <xdr:nvPicPr>
        <xdr:cNvPr id="2139" name="image10.png">
          <a:extLst>
            <a:ext uri="{FF2B5EF4-FFF2-40B4-BE49-F238E27FC236}">
              <a16:creationId xmlns:a16="http://schemas.microsoft.com/office/drawing/2014/main" id="{00000000-0008-0000-0200-00005B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1403</xdr:row>
      <xdr:rowOff>0</xdr:rowOff>
    </xdr:from>
    <xdr:ext cx="200025" cy="200025"/>
    <xdr:pic>
      <xdr:nvPicPr>
        <xdr:cNvPr id="2140" name="image10.png">
          <a:extLst>
            <a:ext uri="{FF2B5EF4-FFF2-40B4-BE49-F238E27FC236}">
              <a16:creationId xmlns:a16="http://schemas.microsoft.com/office/drawing/2014/main" id="{00000000-0008-0000-0200-00005C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1404</xdr:row>
      <xdr:rowOff>0</xdr:rowOff>
    </xdr:from>
    <xdr:ext cx="200025" cy="200025"/>
    <xdr:pic>
      <xdr:nvPicPr>
        <xdr:cNvPr id="2141" name="image10.png">
          <a:extLst>
            <a:ext uri="{FF2B5EF4-FFF2-40B4-BE49-F238E27FC236}">
              <a16:creationId xmlns:a16="http://schemas.microsoft.com/office/drawing/2014/main" id="{00000000-0008-0000-0200-00005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1404</xdr:row>
      <xdr:rowOff>0</xdr:rowOff>
    </xdr:from>
    <xdr:ext cx="200025" cy="200025"/>
    <xdr:pic>
      <xdr:nvPicPr>
        <xdr:cNvPr id="2142" name="image9.png">
          <a:extLst>
            <a:ext uri="{FF2B5EF4-FFF2-40B4-BE49-F238E27FC236}">
              <a16:creationId xmlns:a16="http://schemas.microsoft.com/office/drawing/2014/main" id="{00000000-0008-0000-0200-00005E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1404</xdr:row>
      <xdr:rowOff>0</xdr:rowOff>
    </xdr:from>
    <xdr:ext cx="200025" cy="200025"/>
    <xdr:pic>
      <xdr:nvPicPr>
        <xdr:cNvPr id="2143" name="image2.png">
          <a:extLst>
            <a:ext uri="{FF2B5EF4-FFF2-40B4-BE49-F238E27FC236}">
              <a16:creationId xmlns:a16="http://schemas.microsoft.com/office/drawing/2014/main" id="{00000000-0008-0000-0200-00005F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1404</xdr:row>
      <xdr:rowOff>0</xdr:rowOff>
    </xdr:from>
    <xdr:ext cx="200025" cy="200025"/>
    <xdr:pic>
      <xdr:nvPicPr>
        <xdr:cNvPr id="2144" name="image12.png">
          <a:extLst>
            <a:ext uri="{FF2B5EF4-FFF2-40B4-BE49-F238E27FC236}">
              <a16:creationId xmlns:a16="http://schemas.microsoft.com/office/drawing/2014/main" id="{00000000-0008-0000-0200-000060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1404</xdr:row>
      <xdr:rowOff>0</xdr:rowOff>
    </xdr:from>
    <xdr:ext cx="200025" cy="200025"/>
    <xdr:pic>
      <xdr:nvPicPr>
        <xdr:cNvPr id="2145" name="image8.png">
          <a:extLst>
            <a:ext uri="{FF2B5EF4-FFF2-40B4-BE49-F238E27FC236}">
              <a16:creationId xmlns:a16="http://schemas.microsoft.com/office/drawing/2014/main" id="{00000000-0008-0000-0200-000061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1405</xdr:row>
      <xdr:rowOff>0</xdr:rowOff>
    </xdr:from>
    <xdr:ext cx="200025" cy="200025"/>
    <xdr:pic>
      <xdr:nvPicPr>
        <xdr:cNvPr id="2146" name="image8.png">
          <a:extLst>
            <a:ext uri="{FF2B5EF4-FFF2-40B4-BE49-F238E27FC236}">
              <a16:creationId xmlns:a16="http://schemas.microsoft.com/office/drawing/2014/main" id="{00000000-0008-0000-0200-000062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1406</xdr:row>
      <xdr:rowOff>0</xdr:rowOff>
    </xdr:from>
    <xdr:ext cx="200025" cy="200025"/>
    <xdr:pic>
      <xdr:nvPicPr>
        <xdr:cNvPr id="2147" name="image10.png">
          <a:extLst>
            <a:ext uri="{FF2B5EF4-FFF2-40B4-BE49-F238E27FC236}">
              <a16:creationId xmlns:a16="http://schemas.microsoft.com/office/drawing/2014/main" id="{00000000-0008-0000-0200-00006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1406</xdr:row>
      <xdr:rowOff>0</xdr:rowOff>
    </xdr:from>
    <xdr:ext cx="200025" cy="200025"/>
    <xdr:pic>
      <xdr:nvPicPr>
        <xdr:cNvPr id="2148" name="image2.png">
          <a:extLst>
            <a:ext uri="{FF2B5EF4-FFF2-40B4-BE49-F238E27FC236}">
              <a16:creationId xmlns:a16="http://schemas.microsoft.com/office/drawing/2014/main" id="{00000000-0008-0000-0200-00006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1406</xdr:row>
      <xdr:rowOff>0</xdr:rowOff>
    </xdr:from>
    <xdr:ext cx="200025" cy="200025"/>
    <xdr:pic>
      <xdr:nvPicPr>
        <xdr:cNvPr id="2149" name="image1.png">
          <a:extLst>
            <a:ext uri="{FF2B5EF4-FFF2-40B4-BE49-F238E27FC236}">
              <a16:creationId xmlns:a16="http://schemas.microsoft.com/office/drawing/2014/main" id="{00000000-0008-0000-0200-000065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1406</xdr:row>
      <xdr:rowOff>0</xdr:rowOff>
    </xdr:from>
    <xdr:ext cx="200025" cy="200025"/>
    <xdr:pic>
      <xdr:nvPicPr>
        <xdr:cNvPr id="2150" name="image12.png">
          <a:extLst>
            <a:ext uri="{FF2B5EF4-FFF2-40B4-BE49-F238E27FC236}">
              <a16:creationId xmlns:a16="http://schemas.microsoft.com/office/drawing/2014/main" id="{00000000-0008-0000-0200-000066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1406</xdr:row>
      <xdr:rowOff>0</xdr:rowOff>
    </xdr:from>
    <xdr:ext cx="200025" cy="200025"/>
    <xdr:pic>
      <xdr:nvPicPr>
        <xdr:cNvPr id="2151" name="image5.png">
          <a:extLst>
            <a:ext uri="{FF2B5EF4-FFF2-40B4-BE49-F238E27FC236}">
              <a16:creationId xmlns:a16="http://schemas.microsoft.com/office/drawing/2014/main" id="{00000000-0008-0000-0200-000067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1407</xdr:row>
      <xdr:rowOff>0</xdr:rowOff>
    </xdr:from>
    <xdr:ext cx="200025" cy="200025"/>
    <xdr:pic>
      <xdr:nvPicPr>
        <xdr:cNvPr id="2152" name="image5.png">
          <a:extLst>
            <a:ext uri="{FF2B5EF4-FFF2-40B4-BE49-F238E27FC236}">
              <a16:creationId xmlns:a16="http://schemas.microsoft.com/office/drawing/2014/main" id="{00000000-0008-0000-0200-000068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1408</xdr:row>
      <xdr:rowOff>0</xdr:rowOff>
    </xdr:from>
    <xdr:ext cx="200025" cy="200025"/>
    <xdr:pic>
      <xdr:nvPicPr>
        <xdr:cNvPr id="2153" name="image9.png">
          <a:extLst>
            <a:ext uri="{FF2B5EF4-FFF2-40B4-BE49-F238E27FC236}">
              <a16:creationId xmlns:a16="http://schemas.microsoft.com/office/drawing/2014/main" id="{00000000-0008-0000-0200-000069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1409</xdr:row>
      <xdr:rowOff>0</xdr:rowOff>
    </xdr:from>
    <xdr:ext cx="200025" cy="200025"/>
    <xdr:pic>
      <xdr:nvPicPr>
        <xdr:cNvPr id="2154" name="image10.png">
          <a:extLst>
            <a:ext uri="{FF2B5EF4-FFF2-40B4-BE49-F238E27FC236}">
              <a16:creationId xmlns:a16="http://schemas.microsoft.com/office/drawing/2014/main" id="{00000000-0008-0000-0200-00006A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1409</xdr:row>
      <xdr:rowOff>0</xdr:rowOff>
    </xdr:from>
    <xdr:ext cx="200025" cy="200025"/>
    <xdr:pic>
      <xdr:nvPicPr>
        <xdr:cNvPr id="2155" name="image2.png">
          <a:extLst>
            <a:ext uri="{FF2B5EF4-FFF2-40B4-BE49-F238E27FC236}">
              <a16:creationId xmlns:a16="http://schemas.microsoft.com/office/drawing/2014/main" id="{00000000-0008-0000-0200-00006B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1409</xdr:row>
      <xdr:rowOff>0</xdr:rowOff>
    </xdr:from>
    <xdr:ext cx="200025" cy="200025"/>
    <xdr:pic>
      <xdr:nvPicPr>
        <xdr:cNvPr id="2156" name="image7.png">
          <a:extLst>
            <a:ext uri="{FF2B5EF4-FFF2-40B4-BE49-F238E27FC236}">
              <a16:creationId xmlns:a16="http://schemas.microsoft.com/office/drawing/2014/main" id="{00000000-0008-0000-0200-00006C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1410</xdr:row>
      <xdr:rowOff>0</xdr:rowOff>
    </xdr:from>
    <xdr:ext cx="200025" cy="200025"/>
    <xdr:pic>
      <xdr:nvPicPr>
        <xdr:cNvPr id="2157" name="image6.png">
          <a:extLst>
            <a:ext uri="{FF2B5EF4-FFF2-40B4-BE49-F238E27FC236}">
              <a16:creationId xmlns:a16="http://schemas.microsoft.com/office/drawing/2014/main" id="{00000000-0008-0000-0200-00006D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1414</xdr:row>
      <xdr:rowOff>0</xdr:rowOff>
    </xdr:from>
    <xdr:ext cx="200025" cy="200025"/>
    <xdr:pic>
      <xdr:nvPicPr>
        <xdr:cNvPr id="2158" name="image8.png">
          <a:extLst>
            <a:ext uri="{FF2B5EF4-FFF2-40B4-BE49-F238E27FC236}">
              <a16:creationId xmlns:a16="http://schemas.microsoft.com/office/drawing/2014/main" id="{00000000-0008-0000-0200-00006E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1414</xdr:row>
      <xdr:rowOff>0</xdr:rowOff>
    </xdr:from>
    <xdr:ext cx="200025" cy="200025"/>
    <xdr:pic>
      <xdr:nvPicPr>
        <xdr:cNvPr id="2159" name="image9.png">
          <a:extLst>
            <a:ext uri="{FF2B5EF4-FFF2-40B4-BE49-F238E27FC236}">
              <a16:creationId xmlns:a16="http://schemas.microsoft.com/office/drawing/2014/main" id="{00000000-0008-0000-0200-00006F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1414</xdr:row>
      <xdr:rowOff>0</xdr:rowOff>
    </xdr:from>
    <xdr:ext cx="200025" cy="200025"/>
    <xdr:pic>
      <xdr:nvPicPr>
        <xdr:cNvPr id="2160" name="image1.png">
          <a:extLst>
            <a:ext uri="{FF2B5EF4-FFF2-40B4-BE49-F238E27FC236}">
              <a16:creationId xmlns:a16="http://schemas.microsoft.com/office/drawing/2014/main" id="{00000000-0008-0000-0200-000070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1414</xdr:row>
      <xdr:rowOff>0</xdr:rowOff>
    </xdr:from>
    <xdr:ext cx="200025" cy="200025"/>
    <xdr:pic>
      <xdr:nvPicPr>
        <xdr:cNvPr id="2161" name="image4.png">
          <a:extLst>
            <a:ext uri="{FF2B5EF4-FFF2-40B4-BE49-F238E27FC236}">
              <a16:creationId xmlns:a16="http://schemas.microsoft.com/office/drawing/2014/main" id="{00000000-0008-0000-0200-000071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1416</xdr:row>
      <xdr:rowOff>0</xdr:rowOff>
    </xdr:from>
    <xdr:ext cx="200025" cy="200025"/>
    <xdr:pic>
      <xdr:nvPicPr>
        <xdr:cNvPr id="2162" name="image2.png">
          <a:extLst>
            <a:ext uri="{FF2B5EF4-FFF2-40B4-BE49-F238E27FC236}">
              <a16:creationId xmlns:a16="http://schemas.microsoft.com/office/drawing/2014/main" id="{00000000-0008-0000-0200-000072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1417</xdr:row>
      <xdr:rowOff>0</xdr:rowOff>
    </xdr:from>
    <xdr:ext cx="200025" cy="200025"/>
    <xdr:pic>
      <xdr:nvPicPr>
        <xdr:cNvPr id="2163" name="image10.png">
          <a:extLst>
            <a:ext uri="{FF2B5EF4-FFF2-40B4-BE49-F238E27FC236}">
              <a16:creationId xmlns:a16="http://schemas.microsoft.com/office/drawing/2014/main" id="{00000000-0008-0000-0200-00007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1417</xdr:row>
      <xdr:rowOff>0</xdr:rowOff>
    </xdr:from>
    <xdr:ext cx="200025" cy="200025"/>
    <xdr:pic>
      <xdr:nvPicPr>
        <xdr:cNvPr id="2164" name="image1.png">
          <a:extLst>
            <a:ext uri="{FF2B5EF4-FFF2-40B4-BE49-F238E27FC236}">
              <a16:creationId xmlns:a16="http://schemas.microsoft.com/office/drawing/2014/main" id="{00000000-0008-0000-0200-000074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1417</xdr:row>
      <xdr:rowOff>0</xdr:rowOff>
    </xdr:from>
    <xdr:ext cx="200025" cy="200025"/>
    <xdr:pic>
      <xdr:nvPicPr>
        <xdr:cNvPr id="2165" name="image5.png">
          <a:extLst>
            <a:ext uri="{FF2B5EF4-FFF2-40B4-BE49-F238E27FC236}">
              <a16:creationId xmlns:a16="http://schemas.microsoft.com/office/drawing/2014/main" id="{00000000-0008-0000-0200-000075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1418</xdr:row>
      <xdr:rowOff>0</xdr:rowOff>
    </xdr:from>
    <xdr:ext cx="200025" cy="200025"/>
    <xdr:pic>
      <xdr:nvPicPr>
        <xdr:cNvPr id="2166" name="image12.png">
          <a:extLst>
            <a:ext uri="{FF2B5EF4-FFF2-40B4-BE49-F238E27FC236}">
              <a16:creationId xmlns:a16="http://schemas.microsoft.com/office/drawing/2014/main" id="{00000000-0008-0000-0200-000076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1419</xdr:row>
      <xdr:rowOff>0</xdr:rowOff>
    </xdr:from>
    <xdr:ext cx="200025" cy="200025"/>
    <xdr:pic>
      <xdr:nvPicPr>
        <xdr:cNvPr id="2167" name="image2.png">
          <a:extLst>
            <a:ext uri="{FF2B5EF4-FFF2-40B4-BE49-F238E27FC236}">
              <a16:creationId xmlns:a16="http://schemas.microsoft.com/office/drawing/2014/main" id="{00000000-0008-0000-0200-000077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1426</xdr:row>
      <xdr:rowOff>0</xdr:rowOff>
    </xdr:from>
    <xdr:ext cx="200025" cy="200025"/>
    <xdr:pic>
      <xdr:nvPicPr>
        <xdr:cNvPr id="2168" name="image10.png">
          <a:extLst>
            <a:ext uri="{FF2B5EF4-FFF2-40B4-BE49-F238E27FC236}">
              <a16:creationId xmlns:a16="http://schemas.microsoft.com/office/drawing/2014/main" id="{00000000-0008-0000-0200-000078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1426</xdr:row>
      <xdr:rowOff>0</xdr:rowOff>
    </xdr:from>
    <xdr:ext cx="200025" cy="200025"/>
    <xdr:pic>
      <xdr:nvPicPr>
        <xdr:cNvPr id="2169" name="image2.png">
          <a:extLst>
            <a:ext uri="{FF2B5EF4-FFF2-40B4-BE49-F238E27FC236}">
              <a16:creationId xmlns:a16="http://schemas.microsoft.com/office/drawing/2014/main" id="{00000000-0008-0000-0200-000079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1426</xdr:row>
      <xdr:rowOff>0</xdr:rowOff>
    </xdr:from>
    <xdr:ext cx="200025" cy="200025"/>
    <xdr:pic>
      <xdr:nvPicPr>
        <xdr:cNvPr id="2170" name="image6.png">
          <a:extLst>
            <a:ext uri="{FF2B5EF4-FFF2-40B4-BE49-F238E27FC236}">
              <a16:creationId xmlns:a16="http://schemas.microsoft.com/office/drawing/2014/main" id="{00000000-0008-0000-0200-00007A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1426</xdr:row>
      <xdr:rowOff>0</xdr:rowOff>
    </xdr:from>
    <xdr:ext cx="200025" cy="200025"/>
    <xdr:pic>
      <xdr:nvPicPr>
        <xdr:cNvPr id="2171" name="image11.png">
          <a:extLst>
            <a:ext uri="{FF2B5EF4-FFF2-40B4-BE49-F238E27FC236}">
              <a16:creationId xmlns:a16="http://schemas.microsoft.com/office/drawing/2014/main" id="{00000000-0008-0000-0200-00007B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1427</xdr:row>
      <xdr:rowOff>0</xdr:rowOff>
    </xdr:from>
    <xdr:ext cx="200025" cy="200025"/>
    <xdr:pic>
      <xdr:nvPicPr>
        <xdr:cNvPr id="2172" name="image9.png">
          <a:extLst>
            <a:ext uri="{FF2B5EF4-FFF2-40B4-BE49-F238E27FC236}">
              <a16:creationId xmlns:a16="http://schemas.microsoft.com/office/drawing/2014/main" id="{00000000-0008-0000-0200-00007C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1428</xdr:row>
      <xdr:rowOff>0</xdr:rowOff>
    </xdr:from>
    <xdr:ext cx="200025" cy="200025"/>
    <xdr:pic>
      <xdr:nvPicPr>
        <xdr:cNvPr id="2173" name="image9.png">
          <a:extLst>
            <a:ext uri="{FF2B5EF4-FFF2-40B4-BE49-F238E27FC236}">
              <a16:creationId xmlns:a16="http://schemas.microsoft.com/office/drawing/2014/main" id="{00000000-0008-0000-0200-00007D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1432</xdr:row>
      <xdr:rowOff>0</xdr:rowOff>
    </xdr:from>
    <xdr:ext cx="200025" cy="200025"/>
    <xdr:pic>
      <xdr:nvPicPr>
        <xdr:cNvPr id="2174" name="image8.png">
          <a:extLst>
            <a:ext uri="{FF2B5EF4-FFF2-40B4-BE49-F238E27FC236}">
              <a16:creationId xmlns:a16="http://schemas.microsoft.com/office/drawing/2014/main" id="{00000000-0008-0000-0200-00007E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1432</xdr:row>
      <xdr:rowOff>0</xdr:rowOff>
    </xdr:from>
    <xdr:ext cx="200025" cy="200025"/>
    <xdr:pic>
      <xdr:nvPicPr>
        <xdr:cNvPr id="2175" name="image1.png">
          <a:extLst>
            <a:ext uri="{FF2B5EF4-FFF2-40B4-BE49-F238E27FC236}">
              <a16:creationId xmlns:a16="http://schemas.microsoft.com/office/drawing/2014/main" id="{00000000-0008-0000-0200-00007F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1432</xdr:row>
      <xdr:rowOff>0</xdr:rowOff>
    </xdr:from>
    <xdr:ext cx="200025" cy="200025"/>
    <xdr:pic>
      <xdr:nvPicPr>
        <xdr:cNvPr id="2176" name="image11.png">
          <a:extLst>
            <a:ext uri="{FF2B5EF4-FFF2-40B4-BE49-F238E27FC236}">
              <a16:creationId xmlns:a16="http://schemas.microsoft.com/office/drawing/2014/main" id="{00000000-0008-0000-0200-000080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1432</xdr:row>
      <xdr:rowOff>0</xdr:rowOff>
    </xdr:from>
    <xdr:ext cx="200025" cy="200025"/>
    <xdr:pic>
      <xdr:nvPicPr>
        <xdr:cNvPr id="2177" name="image1.png">
          <a:extLst>
            <a:ext uri="{FF2B5EF4-FFF2-40B4-BE49-F238E27FC236}">
              <a16:creationId xmlns:a16="http://schemas.microsoft.com/office/drawing/2014/main" id="{00000000-0008-0000-0200-000081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1433</xdr:row>
      <xdr:rowOff>0</xdr:rowOff>
    </xdr:from>
    <xdr:ext cx="200025" cy="200025"/>
    <xdr:pic>
      <xdr:nvPicPr>
        <xdr:cNvPr id="2178" name="image1.png">
          <a:extLst>
            <a:ext uri="{FF2B5EF4-FFF2-40B4-BE49-F238E27FC236}">
              <a16:creationId xmlns:a16="http://schemas.microsoft.com/office/drawing/2014/main" id="{00000000-0008-0000-0200-000082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1434</xdr:row>
      <xdr:rowOff>0</xdr:rowOff>
    </xdr:from>
    <xdr:ext cx="200025" cy="200025"/>
    <xdr:pic>
      <xdr:nvPicPr>
        <xdr:cNvPr id="2179" name="image5.png">
          <a:extLst>
            <a:ext uri="{FF2B5EF4-FFF2-40B4-BE49-F238E27FC236}">
              <a16:creationId xmlns:a16="http://schemas.microsoft.com/office/drawing/2014/main" id="{00000000-0008-0000-0200-000083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1434</xdr:row>
      <xdr:rowOff>0</xdr:rowOff>
    </xdr:from>
    <xdr:ext cx="200025" cy="200025"/>
    <xdr:pic>
      <xdr:nvPicPr>
        <xdr:cNvPr id="2180" name="image3.png">
          <a:extLst>
            <a:ext uri="{FF2B5EF4-FFF2-40B4-BE49-F238E27FC236}">
              <a16:creationId xmlns:a16="http://schemas.microsoft.com/office/drawing/2014/main" id="{00000000-0008-0000-0200-000084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1434</xdr:row>
      <xdr:rowOff>0</xdr:rowOff>
    </xdr:from>
    <xdr:ext cx="200025" cy="200025"/>
    <xdr:pic>
      <xdr:nvPicPr>
        <xdr:cNvPr id="2181" name="image11.png">
          <a:extLst>
            <a:ext uri="{FF2B5EF4-FFF2-40B4-BE49-F238E27FC236}">
              <a16:creationId xmlns:a16="http://schemas.microsoft.com/office/drawing/2014/main" id="{00000000-0008-0000-0200-000085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1434</xdr:row>
      <xdr:rowOff>0</xdr:rowOff>
    </xdr:from>
    <xdr:ext cx="200025" cy="200025"/>
    <xdr:pic>
      <xdr:nvPicPr>
        <xdr:cNvPr id="2182" name="image6.png">
          <a:extLst>
            <a:ext uri="{FF2B5EF4-FFF2-40B4-BE49-F238E27FC236}">
              <a16:creationId xmlns:a16="http://schemas.microsoft.com/office/drawing/2014/main" id="{00000000-0008-0000-0200-000086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1435</xdr:row>
      <xdr:rowOff>0</xdr:rowOff>
    </xdr:from>
    <xdr:ext cx="200025" cy="200025"/>
    <xdr:pic>
      <xdr:nvPicPr>
        <xdr:cNvPr id="2183" name="image6.png">
          <a:extLst>
            <a:ext uri="{FF2B5EF4-FFF2-40B4-BE49-F238E27FC236}">
              <a16:creationId xmlns:a16="http://schemas.microsoft.com/office/drawing/2014/main" id="{00000000-0008-0000-0200-00008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1436</xdr:row>
      <xdr:rowOff>0</xdr:rowOff>
    </xdr:from>
    <xdr:ext cx="200025" cy="200025"/>
    <xdr:pic>
      <xdr:nvPicPr>
        <xdr:cNvPr id="2184" name="image6.png">
          <a:extLst>
            <a:ext uri="{FF2B5EF4-FFF2-40B4-BE49-F238E27FC236}">
              <a16:creationId xmlns:a16="http://schemas.microsoft.com/office/drawing/2014/main" id="{00000000-0008-0000-0200-000088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1437</xdr:row>
      <xdr:rowOff>0</xdr:rowOff>
    </xdr:from>
    <xdr:ext cx="200025" cy="200025"/>
    <xdr:pic>
      <xdr:nvPicPr>
        <xdr:cNvPr id="2185" name="image8.png">
          <a:extLst>
            <a:ext uri="{FF2B5EF4-FFF2-40B4-BE49-F238E27FC236}">
              <a16:creationId xmlns:a16="http://schemas.microsoft.com/office/drawing/2014/main" id="{00000000-0008-0000-0200-000089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1437</xdr:row>
      <xdr:rowOff>0</xdr:rowOff>
    </xdr:from>
    <xdr:ext cx="200025" cy="200025"/>
    <xdr:pic>
      <xdr:nvPicPr>
        <xdr:cNvPr id="2186" name="image1.png">
          <a:extLst>
            <a:ext uri="{FF2B5EF4-FFF2-40B4-BE49-F238E27FC236}">
              <a16:creationId xmlns:a16="http://schemas.microsoft.com/office/drawing/2014/main" id="{00000000-0008-0000-0200-00008A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1437</xdr:row>
      <xdr:rowOff>0</xdr:rowOff>
    </xdr:from>
    <xdr:ext cx="200025" cy="200025"/>
    <xdr:pic>
      <xdr:nvPicPr>
        <xdr:cNvPr id="2187" name="image11.png">
          <a:extLst>
            <a:ext uri="{FF2B5EF4-FFF2-40B4-BE49-F238E27FC236}">
              <a16:creationId xmlns:a16="http://schemas.microsoft.com/office/drawing/2014/main" id="{00000000-0008-0000-0200-00008B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1439</xdr:row>
      <xdr:rowOff>0</xdr:rowOff>
    </xdr:from>
    <xdr:ext cx="200025" cy="200025"/>
    <xdr:pic>
      <xdr:nvPicPr>
        <xdr:cNvPr id="2188" name="image10.png">
          <a:extLst>
            <a:ext uri="{FF2B5EF4-FFF2-40B4-BE49-F238E27FC236}">
              <a16:creationId xmlns:a16="http://schemas.microsoft.com/office/drawing/2014/main" id="{00000000-0008-0000-0200-00008C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1439</xdr:row>
      <xdr:rowOff>0</xdr:rowOff>
    </xdr:from>
    <xdr:ext cx="200025" cy="200025"/>
    <xdr:pic>
      <xdr:nvPicPr>
        <xdr:cNvPr id="2189" name="image9.png">
          <a:extLst>
            <a:ext uri="{FF2B5EF4-FFF2-40B4-BE49-F238E27FC236}">
              <a16:creationId xmlns:a16="http://schemas.microsoft.com/office/drawing/2014/main" id="{00000000-0008-0000-0200-00008D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1439</xdr:row>
      <xdr:rowOff>0</xdr:rowOff>
    </xdr:from>
    <xdr:ext cx="200025" cy="200025"/>
    <xdr:pic>
      <xdr:nvPicPr>
        <xdr:cNvPr id="2190" name="image3.png">
          <a:extLst>
            <a:ext uri="{FF2B5EF4-FFF2-40B4-BE49-F238E27FC236}">
              <a16:creationId xmlns:a16="http://schemas.microsoft.com/office/drawing/2014/main" id="{00000000-0008-0000-0200-00008E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1439</xdr:row>
      <xdr:rowOff>0</xdr:rowOff>
    </xdr:from>
    <xdr:ext cx="200025" cy="200025"/>
    <xdr:pic>
      <xdr:nvPicPr>
        <xdr:cNvPr id="2191" name="image11.png">
          <a:extLst>
            <a:ext uri="{FF2B5EF4-FFF2-40B4-BE49-F238E27FC236}">
              <a16:creationId xmlns:a16="http://schemas.microsoft.com/office/drawing/2014/main" id="{00000000-0008-0000-0200-00008F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1441</xdr:row>
      <xdr:rowOff>0</xdr:rowOff>
    </xdr:from>
    <xdr:ext cx="200025" cy="200025"/>
    <xdr:pic>
      <xdr:nvPicPr>
        <xdr:cNvPr id="2192" name="image6.png">
          <a:extLst>
            <a:ext uri="{FF2B5EF4-FFF2-40B4-BE49-F238E27FC236}">
              <a16:creationId xmlns:a16="http://schemas.microsoft.com/office/drawing/2014/main" id="{00000000-0008-0000-0200-000090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1442</xdr:row>
      <xdr:rowOff>0</xdr:rowOff>
    </xdr:from>
    <xdr:ext cx="200025" cy="200025"/>
    <xdr:pic>
      <xdr:nvPicPr>
        <xdr:cNvPr id="2193" name="image8.png">
          <a:extLst>
            <a:ext uri="{FF2B5EF4-FFF2-40B4-BE49-F238E27FC236}">
              <a16:creationId xmlns:a16="http://schemas.microsoft.com/office/drawing/2014/main" id="{00000000-0008-0000-0200-000091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1442</xdr:row>
      <xdr:rowOff>0</xdr:rowOff>
    </xdr:from>
    <xdr:ext cx="200025" cy="200025"/>
    <xdr:pic>
      <xdr:nvPicPr>
        <xdr:cNvPr id="2194" name="image2.png">
          <a:extLst>
            <a:ext uri="{FF2B5EF4-FFF2-40B4-BE49-F238E27FC236}">
              <a16:creationId xmlns:a16="http://schemas.microsoft.com/office/drawing/2014/main" id="{00000000-0008-0000-0200-000092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1442</xdr:row>
      <xdr:rowOff>0</xdr:rowOff>
    </xdr:from>
    <xdr:ext cx="200025" cy="200025"/>
    <xdr:pic>
      <xdr:nvPicPr>
        <xdr:cNvPr id="2195" name="image1.png">
          <a:extLst>
            <a:ext uri="{FF2B5EF4-FFF2-40B4-BE49-F238E27FC236}">
              <a16:creationId xmlns:a16="http://schemas.microsoft.com/office/drawing/2014/main" id="{00000000-0008-0000-0200-000093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1442</xdr:row>
      <xdr:rowOff>0</xdr:rowOff>
    </xdr:from>
    <xdr:ext cx="200025" cy="200025"/>
    <xdr:pic>
      <xdr:nvPicPr>
        <xdr:cNvPr id="2196" name="image5.png">
          <a:extLst>
            <a:ext uri="{FF2B5EF4-FFF2-40B4-BE49-F238E27FC236}">
              <a16:creationId xmlns:a16="http://schemas.microsoft.com/office/drawing/2014/main" id="{00000000-0008-0000-0200-000094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1442</xdr:row>
      <xdr:rowOff>0</xdr:rowOff>
    </xdr:from>
    <xdr:ext cx="200025" cy="200025"/>
    <xdr:pic>
      <xdr:nvPicPr>
        <xdr:cNvPr id="2197" name="image10.png">
          <a:extLst>
            <a:ext uri="{FF2B5EF4-FFF2-40B4-BE49-F238E27FC236}">
              <a16:creationId xmlns:a16="http://schemas.microsoft.com/office/drawing/2014/main" id="{00000000-0008-0000-0200-000095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1443</xdr:row>
      <xdr:rowOff>0</xdr:rowOff>
    </xdr:from>
    <xdr:ext cx="200025" cy="200025"/>
    <xdr:pic>
      <xdr:nvPicPr>
        <xdr:cNvPr id="2198" name="image10.png">
          <a:extLst>
            <a:ext uri="{FF2B5EF4-FFF2-40B4-BE49-F238E27FC236}">
              <a16:creationId xmlns:a16="http://schemas.microsoft.com/office/drawing/2014/main" id="{00000000-0008-0000-0200-000096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1445</xdr:row>
      <xdr:rowOff>0</xdr:rowOff>
    </xdr:from>
    <xdr:ext cx="200025" cy="200025"/>
    <xdr:pic>
      <xdr:nvPicPr>
        <xdr:cNvPr id="2199" name="image8.png">
          <a:extLst>
            <a:ext uri="{FF2B5EF4-FFF2-40B4-BE49-F238E27FC236}">
              <a16:creationId xmlns:a16="http://schemas.microsoft.com/office/drawing/2014/main" id="{00000000-0008-0000-0200-000097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1445</xdr:row>
      <xdr:rowOff>0</xdr:rowOff>
    </xdr:from>
    <xdr:ext cx="200025" cy="200025"/>
    <xdr:pic>
      <xdr:nvPicPr>
        <xdr:cNvPr id="2200" name="image9.png">
          <a:extLst>
            <a:ext uri="{FF2B5EF4-FFF2-40B4-BE49-F238E27FC236}">
              <a16:creationId xmlns:a16="http://schemas.microsoft.com/office/drawing/2014/main" id="{00000000-0008-0000-0200-000098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1445</xdr:row>
      <xdr:rowOff>0</xdr:rowOff>
    </xdr:from>
    <xdr:ext cx="200025" cy="200025"/>
    <xdr:pic>
      <xdr:nvPicPr>
        <xdr:cNvPr id="2201" name="image5.png">
          <a:extLst>
            <a:ext uri="{FF2B5EF4-FFF2-40B4-BE49-F238E27FC236}">
              <a16:creationId xmlns:a16="http://schemas.microsoft.com/office/drawing/2014/main" id="{00000000-0008-0000-0200-000099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1445</xdr:row>
      <xdr:rowOff>0</xdr:rowOff>
    </xdr:from>
    <xdr:ext cx="200025" cy="200025"/>
    <xdr:pic>
      <xdr:nvPicPr>
        <xdr:cNvPr id="2202" name="image3.png">
          <a:extLst>
            <a:ext uri="{FF2B5EF4-FFF2-40B4-BE49-F238E27FC236}">
              <a16:creationId xmlns:a16="http://schemas.microsoft.com/office/drawing/2014/main" id="{00000000-0008-0000-0200-00009A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1445</xdr:row>
      <xdr:rowOff>0</xdr:rowOff>
    </xdr:from>
    <xdr:ext cx="200025" cy="200025"/>
    <xdr:pic>
      <xdr:nvPicPr>
        <xdr:cNvPr id="2203" name="image10.png">
          <a:extLst>
            <a:ext uri="{FF2B5EF4-FFF2-40B4-BE49-F238E27FC236}">
              <a16:creationId xmlns:a16="http://schemas.microsoft.com/office/drawing/2014/main" id="{00000000-0008-0000-0200-00009B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1447</xdr:row>
      <xdr:rowOff>0</xdr:rowOff>
    </xdr:from>
    <xdr:ext cx="200025" cy="200025"/>
    <xdr:pic>
      <xdr:nvPicPr>
        <xdr:cNvPr id="2204" name="image10.png">
          <a:extLst>
            <a:ext uri="{FF2B5EF4-FFF2-40B4-BE49-F238E27FC236}">
              <a16:creationId xmlns:a16="http://schemas.microsoft.com/office/drawing/2014/main" id="{00000000-0008-0000-0200-00009C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1448</xdr:row>
      <xdr:rowOff>0</xdr:rowOff>
    </xdr:from>
    <xdr:ext cx="200025" cy="200025"/>
    <xdr:pic>
      <xdr:nvPicPr>
        <xdr:cNvPr id="2205" name="image10.png">
          <a:extLst>
            <a:ext uri="{FF2B5EF4-FFF2-40B4-BE49-F238E27FC236}">
              <a16:creationId xmlns:a16="http://schemas.microsoft.com/office/drawing/2014/main" id="{00000000-0008-0000-0200-00009D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1448</xdr:row>
      <xdr:rowOff>0</xdr:rowOff>
    </xdr:from>
    <xdr:ext cx="200025" cy="200025"/>
    <xdr:pic>
      <xdr:nvPicPr>
        <xdr:cNvPr id="2206" name="image9.png">
          <a:extLst>
            <a:ext uri="{FF2B5EF4-FFF2-40B4-BE49-F238E27FC236}">
              <a16:creationId xmlns:a16="http://schemas.microsoft.com/office/drawing/2014/main" id="{00000000-0008-0000-0200-00009E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1448</xdr:row>
      <xdr:rowOff>0</xdr:rowOff>
    </xdr:from>
    <xdr:ext cx="200025" cy="200025"/>
    <xdr:pic>
      <xdr:nvPicPr>
        <xdr:cNvPr id="2207" name="image6.png">
          <a:extLst>
            <a:ext uri="{FF2B5EF4-FFF2-40B4-BE49-F238E27FC236}">
              <a16:creationId xmlns:a16="http://schemas.microsoft.com/office/drawing/2014/main" id="{00000000-0008-0000-0200-00009F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1448</xdr:row>
      <xdr:rowOff>0</xdr:rowOff>
    </xdr:from>
    <xdr:ext cx="200025" cy="200025"/>
    <xdr:pic>
      <xdr:nvPicPr>
        <xdr:cNvPr id="2208" name="image5.png">
          <a:extLst>
            <a:ext uri="{FF2B5EF4-FFF2-40B4-BE49-F238E27FC236}">
              <a16:creationId xmlns:a16="http://schemas.microsoft.com/office/drawing/2014/main" id="{00000000-0008-0000-0200-0000A0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1448</xdr:row>
      <xdr:rowOff>0</xdr:rowOff>
    </xdr:from>
    <xdr:ext cx="200025" cy="200025"/>
    <xdr:pic>
      <xdr:nvPicPr>
        <xdr:cNvPr id="2209" name="image2.png">
          <a:extLst>
            <a:ext uri="{FF2B5EF4-FFF2-40B4-BE49-F238E27FC236}">
              <a16:creationId xmlns:a16="http://schemas.microsoft.com/office/drawing/2014/main" id="{00000000-0008-0000-0200-0000A1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1449</xdr:row>
      <xdr:rowOff>0</xdr:rowOff>
    </xdr:from>
    <xdr:ext cx="200025" cy="200025"/>
    <xdr:pic>
      <xdr:nvPicPr>
        <xdr:cNvPr id="2210" name="image2.png">
          <a:extLst>
            <a:ext uri="{FF2B5EF4-FFF2-40B4-BE49-F238E27FC236}">
              <a16:creationId xmlns:a16="http://schemas.microsoft.com/office/drawing/2014/main" id="{00000000-0008-0000-0200-0000A2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1451</xdr:row>
      <xdr:rowOff>0</xdr:rowOff>
    </xdr:from>
    <xdr:ext cx="200025" cy="200025"/>
    <xdr:pic>
      <xdr:nvPicPr>
        <xdr:cNvPr id="2211" name="image10.png">
          <a:extLst>
            <a:ext uri="{FF2B5EF4-FFF2-40B4-BE49-F238E27FC236}">
              <a16:creationId xmlns:a16="http://schemas.microsoft.com/office/drawing/2014/main" id="{00000000-0008-0000-0200-0000A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1451</xdr:row>
      <xdr:rowOff>0</xdr:rowOff>
    </xdr:from>
    <xdr:ext cx="200025" cy="200025"/>
    <xdr:pic>
      <xdr:nvPicPr>
        <xdr:cNvPr id="2212" name="image2.png">
          <a:extLst>
            <a:ext uri="{FF2B5EF4-FFF2-40B4-BE49-F238E27FC236}">
              <a16:creationId xmlns:a16="http://schemas.microsoft.com/office/drawing/2014/main" id="{00000000-0008-0000-0200-0000A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1451</xdr:row>
      <xdr:rowOff>0</xdr:rowOff>
    </xdr:from>
    <xdr:ext cx="200025" cy="200025"/>
    <xdr:pic>
      <xdr:nvPicPr>
        <xdr:cNvPr id="2213" name="image7.png">
          <a:extLst>
            <a:ext uri="{FF2B5EF4-FFF2-40B4-BE49-F238E27FC236}">
              <a16:creationId xmlns:a16="http://schemas.microsoft.com/office/drawing/2014/main" id="{00000000-0008-0000-0200-0000A5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1452</xdr:row>
      <xdr:rowOff>0</xdr:rowOff>
    </xdr:from>
    <xdr:ext cx="200025" cy="200025"/>
    <xdr:pic>
      <xdr:nvPicPr>
        <xdr:cNvPr id="2214" name="image6.png">
          <a:extLst>
            <a:ext uri="{FF2B5EF4-FFF2-40B4-BE49-F238E27FC236}">
              <a16:creationId xmlns:a16="http://schemas.microsoft.com/office/drawing/2014/main" id="{00000000-0008-0000-0200-0000A6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1455</xdr:row>
      <xdr:rowOff>0</xdr:rowOff>
    </xdr:from>
    <xdr:ext cx="200025" cy="200025"/>
    <xdr:pic>
      <xdr:nvPicPr>
        <xdr:cNvPr id="2215" name="image10.png">
          <a:extLst>
            <a:ext uri="{FF2B5EF4-FFF2-40B4-BE49-F238E27FC236}">
              <a16:creationId xmlns:a16="http://schemas.microsoft.com/office/drawing/2014/main" id="{00000000-0008-0000-0200-0000A7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1455</xdr:row>
      <xdr:rowOff>0</xdr:rowOff>
    </xdr:from>
    <xdr:ext cx="200025" cy="200025"/>
    <xdr:pic>
      <xdr:nvPicPr>
        <xdr:cNvPr id="2216" name="image6.png">
          <a:extLst>
            <a:ext uri="{FF2B5EF4-FFF2-40B4-BE49-F238E27FC236}">
              <a16:creationId xmlns:a16="http://schemas.microsoft.com/office/drawing/2014/main" id="{00000000-0008-0000-0200-0000A8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1455</xdr:row>
      <xdr:rowOff>0</xdr:rowOff>
    </xdr:from>
    <xdr:ext cx="200025" cy="200025"/>
    <xdr:pic>
      <xdr:nvPicPr>
        <xdr:cNvPr id="2217" name="image12.png">
          <a:extLst>
            <a:ext uri="{FF2B5EF4-FFF2-40B4-BE49-F238E27FC236}">
              <a16:creationId xmlns:a16="http://schemas.microsoft.com/office/drawing/2014/main" id="{00000000-0008-0000-0200-0000A9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1455</xdr:row>
      <xdr:rowOff>0</xdr:rowOff>
    </xdr:from>
    <xdr:ext cx="200025" cy="200025"/>
    <xdr:pic>
      <xdr:nvPicPr>
        <xdr:cNvPr id="2218" name="image2.png">
          <a:extLst>
            <a:ext uri="{FF2B5EF4-FFF2-40B4-BE49-F238E27FC236}">
              <a16:creationId xmlns:a16="http://schemas.microsoft.com/office/drawing/2014/main" id="{00000000-0008-0000-0200-0000AA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1456</xdr:row>
      <xdr:rowOff>0</xdr:rowOff>
    </xdr:from>
    <xdr:ext cx="200025" cy="200025"/>
    <xdr:pic>
      <xdr:nvPicPr>
        <xdr:cNvPr id="2219" name="image2.png">
          <a:extLst>
            <a:ext uri="{FF2B5EF4-FFF2-40B4-BE49-F238E27FC236}">
              <a16:creationId xmlns:a16="http://schemas.microsoft.com/office/drawing/2014/main" id="{00000000-0008-0000-0200-0000AB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1457</xdr:row>
      <xdr:rowOff>0</xdr:rowOff>
    </xdr:from>
    <xdr:ext cx="200025" cy="200025"/>
    <xdr:pic>
      <xdr:nvPicPr>
        <xdr:cNvPr id="2220" name="image10.png">
          <a:extLst>
            <a:ext uri="{FF2B5EF4-FFF2-40B4-BE49-F238E27FC236}">
              <a16:creationId xmlns:a16="http://schemas.microsoft.com/office/drawing/2014/main" id="{00000000-0008-0000-0200-0000AC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1457</xdr:row>
      <xdr:rowOff>0</xdr:rowOff>
    </xdr:from>
    <xdr:ext cx="200025" cy="200025"/>
    <xdr:pic>
      <xdr:nvPicPr>
        <xdr:cNvPr id="2221" name="image2.png">
          <a:extLst>
            <a:ext uri="{FF2B5EF4-FFF2-40B4-BE49-F238E27FC236}">
              <a16:creationId xmlns:a16="http://schemas.microsoft.com/office/drawing/2014/main" id="{00000000-0008-0000-0200-0000AD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1457</xdr:row>
      <xdr:rowOff>0</xdr:rowOff>
    </xdr:from>
    <xdr:ext cx="200025" cy="200025"/>
    <xdr:pic>
      <xdr:nvPicPr>
        <xdr:cNvPr id="2222" name="image5.png">
          <a:extLst>
            <a:ext uri="{FF2B5EF4-FFF2-40B4-BE49-F238E27FC236}">
              <a16:creationId xmlns:a16="http://schemas.microsoft.com/office/drawing/2014/main" id="{00000000-0008-0000-0200-0000AE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1457</xdr:row>
      <xdr:rowOff>0</xdr:rowOff>
    </xdr:from>
    <xdr:ext cx="200025" cy="200025"/>
    <xdr:pic>
      <xdr:nvPicPr>
        <xdr:cNvPr id="2223" name="image4.png">
          <a:extLst>
            <a:ext uri="{FF2B5EF4-FFF2-40B4-BE49-F238E27FC236}">
              <a16:creationId xmlns:a16="http://schemas.microsoft.com/office/drawing/2014/main" id="{00000000-0008-0000-0200-0000AF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1458</xdr:row>
      <xdr:rowOff>0</xdr:rowOff>
    </xdr:from>
    <xdr:ext cx="200025" cy="200025"/>
    <xdr:pic>
      <xdr:nvPicPr>
        <xdr:cNvPr id="2224" name="image9.png">
          <a:extLst>
            <a:ext uri="{FF2B5EF4-FFF2-40B4-BE49-F238E27FC236}">
              <a16:creationId xmlns:a16="http://schemas.microsoft.com/office/drawing/2014/main" id="{00000000-0008-0000-0200-0000B0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1460</xdr:row>
      <xdr:rowOff>0</xdr:rowOff>
    </xdr:from>
    <xdr:ext cx="200025" cy="200025"/>
    <xdr:pic>
      <xdr:nvPicPr>
        <xdr:cNvPr id="2225" name="image8.png">
          <a:extLst>
            <a:ext uri="{FF2B5EF4-FFF2-40B4-BE49-F238E27FC236}">
              <a16:creationId xmlns:a16="http://schemas.microsoft.com/office/drawing/2014/main" id="{00000000-0008-0000-0200-0000B1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1460</xdr:row>
      <xdr:rowOff>0</xdr:rowOff>
    </xdr:from>
    <xdr:ext cx="200025" cy="200025"/>
    <xdr:pic>
      <xdr:nvPicPr>
        <xdr:cNvPr id="2226" name="image1.png">
          <a:extLst>
            <a:ext uri="{FF2B5EF4-FFF2-40B4-BE49-F238E27FC236}">
              <a16:creationId xmlns:a16="http://schemas.microsoft.com/office/drawing/2014/main" id="{00000000-0008-0000-0200-0000B2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1460</xdr:row>
      <xdr:rowOff>0</xdr:rowOff>
    </xdr:from>
    <xdr:ext cx="200025" cy="200025"/>
    <xdr:pic>
      <xdr:nvPicPr>
        <xdr:cNvPr id="2227" name="image11.png">
          <a:extLst>
            <a:ext uri="{FF2B5EF4-FFF2-40B4-BE49-F238E27FC236}">
              <a16:creationId xmlns:a16="http://schemas.microsoft.com/office/drawing/2014/main" id="{00000000-0008-0000-0200-0000B3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1462</xdr:row>
      <xdr:rowOff>0</xdr:rowOff>
    </xdr:from>
    <xdr:ext cx="200025" cy="200025"/>
    <xdr:pic>
      <xdr:nvPicPr>
        <xdr:cNvPr id="2228" name="image2.png">
          <a:extLst>
            <a:ext uri="{FF2B5EF4-FFF2-40B4-BE49-F238E27FC236}">
              <a16:creationId xmlns:a16="http://schemas.microsoft.com/office/drawing/2014/main" id="{00000000-0008-0000-0200-0000B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1462</xdr:row>
      <xdr:rowOff>0</xdr:rowOff>
    </xdr:from>
    <xdr:ext cx="200025" cy="200025"/>
    <xdr:pic>
      <xdr:nvPicPr>
        <xdr:cNvPr id="2229" name="image1.png">
          <a:extLst>
            <a:ext uri="{FF2B5EF4-FFF2-40B4-BE49-F238E27FC236}">
              <a16:creationId xmlns:a16="http://schemas.microsoft.com/office/drawing/2014/main" id="{00000000-0008-0000-0200-0000B5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1462</xdr:row>
      <xdr:rowOff>0</xdr:rowOff>
    </xdr:from>
    <xdr:ext cx="200025" cy="200025"/>
    <xdr:pic>
      <xdr:nvPicPr>
        <xdr:cNvPr id="2230" name="image6.png">
          <a:extLst>
            <a:ext uri="{FF2B5EF4-FFF2-40B4-BE49-F238E27FC236}">
              <a16:creationId xmlns:a16="http://schemas.microsoft.com/office/drawing/2014/main" id="{00000000-0008-0000-0200-0000B6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1462</xdr:row>
      <xdr:rowOff>0</xdr:rowOff>
    </xdr:from>
    <xdr:ext cx="200025" cy="200025"/>
    <xdr:pic>
      <xdr:nvPicPr>
        <xdr:cNvPr id="2231" name="image10.png">
          <a:extLst>
            <a:ext uri="{FF2B5EF4-FFF2-40B4-BE49-F238E27FC236}">
              <a16:creationId xmlns:a16="http://schemas.microsoft.com/office/drawing/2014/main" id="{00000000-0008-0000-0200-0000B7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1463</xdr:row>
      <xdr:rowOff>0</xdr:rowOff>
    </xdr:from>
    <xdr:ext cx="200025" cy="200025"/>
    <xdr:pic>
      <xdr:nvPicPr>
        <xdr:cNvPr id="2232" name="image10.png">
          <a:extLst>
            <a:ext uri="{FF2B5EF4-FFF2-40B4-BE49-F238E27FC236}">
              <a16:creationId xmlns:a16="http://schemas.microsoft.com/office/drawing/2014/main" id="{00000000-0008-0000-0200-0000B8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1464</xdr:row>
      <xdr:rowOff>0</xdr:rowOff>
    </xdr:from>
    <xdr:ext cx="200025" cy="200025"/>
    <xdr:pic>
      <xdr:nvPicPr>
        <xdr:cNvPr id="2233" name="image10.png">
          <a:extLst>
            <a:ext uri="{FF2B5EF4-FFF2-40B4-BE49-F238E27FC236}">
              <a16:creationId xmlns:a16="http://schemas.microsoft.com/office/drawing/2014/main" id="{00000000-0008-0000-0200-0000B9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1470</xdr:row>
      <xdr:rowOff>0</xdr:rowOff>
    </xdr:from>
    <xdr:ext cx="200025" cy="200025"/>
    <xdr:pic>
      <xdr:nvPicPr>
        <xdr:cNvPr id="2234" name="image2.png">
          <a:extLst>
            <a:ext uri="{FF2B5EF4-FFF2-40B4-BE49-F238E27FC236}">
              <a16:creationId xmlns:a16="http://schemas.microsoft.com/office/drawing/2014/main" id="{00000000-0008-0000-0200-0000BA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1470</xdr:row>
      <xdr:rowOff>0</xdr:rowOff>
    </xdr:from>
    <xdr:ext cx="200025" cy="200025"/>
    <xdr:pic>
      <xdr:nvPicPr>
        <xdr:cNvPr id="2235" name="image1.png">
          <a:extLst>
            <a:ext uri="{FF2B5EF4-FFF2-40B4-BE49-F238E27FC236}">
              <a16:creationId xmlns:a16="http://schemas.microsoft.com/office/drawing/2014/main" id="{00000000-0008-0000-0200-0000BB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1470</xdr:row>
      <xdr:rowOff>0</xdr:rowOff>
    </xdr:from>
    <xdr:ext cx="200025" cy="200025"/>
    <xdr:pic>
      <xdr:nvPicPr>
        <xdr:cNvPr id="2236" name="image6.png">
          <a:extLst>
            <a:ext uri="{FF2B5EF4-FFF2-40B4-BE49-F238E27FC236}">
              <a16:creationId xmlns:a16="http://schemas.microsoft.com/office/drawing/2014/main" id="{00000000-0008-0000-0200-0000BC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1471</xdr:row>
      <xdr:rowOff>0</xdr:rowOff>
    </xdr:from>
    <xdr:ext cx="200025" cy="200025"/>
    <xdr:pic>
      <xdr:nvPicPr>
        <xdr:cNvPr id="2237" name="image2.png">
          <a:extLst>
            <a:ext uri="{FF2B5EF4-FFF2-40B4-BE49-F238E27FC236}">
              <a16:creationId xmlns:a16="http://schemas.microsoft.com/office/drawing/2014/main" id="{00000000-0008-0000-0200-0000BD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1472</xdr:row>
      <xdr:rowOff>0</xdr:rowOff>
    </xdr:from>
    <xdr:ext cx="200025" cy="200025"/>
    <xdr:pic>
      <xdr:nvPicPr>
        <xdr:cNvPr id="2238" name="image2.png">
          <a:extLst>
            <a:ext uri="{FF2B5EF4-FFF2-40B4-BE49-F238E27FC236}">
              <a16:creationId xmlns:a16="http://schemas.microsoft.com/office/drawing/2014/main" id="{00000000-0008-0000-0200-0000BE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1473</xdr:row>
      <xdr:rowOff>0</xdr:rowOff>
    </xdr:from>
    <xdr:ext cx="200025" cy="200025"/>
    <xdr:pic>
      <xdr:nvPicPr>
        <xdr:cNvPr id="2239" name="image9.png">
          <a:extLst>
            <a:ext uri="{FF2B5EF4-FFF2-40B4-BE49-F238E27FC236}">
              <a16:creationId xmlns:a16="http://schemas.microsoft.com/office/drawing/2014/main" id="{00000000-0008-0000-0200-0000BF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1473</xdr:row>
      <xdr:rowOff>0</xdr:rowOff>
    </xdr:from>
    <xdr:ext cx="200025" cy="200025"/>
    <xdr:pic>
      <xdr:nvPicPr>
        <xdr:cNvPr id="2240" name="image2.png">
          <a:extLst>
            <a:ext uri="{FF2B5EF4-FFF2-40B4-BE49-F238E27FC236}">
              <a16:creationId xmlns:a16="http://schemas.microsoft.com/office/drawing/2014/main" id="{00000000-0008-0000-0200-0000C0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1473</xdr:row>
      <xdr:rowOff>0</xdr:rowOff>
    </xdr:from>
    <xdr:ext cx="200025" cy="200025"/>
    <xdr:pic>
      <xdr:nvPicPr>
        <xdr:cNvPr id="2241" name="image5.png">
          <a:extLst>
            <a:ext uri="{FF2B5EF4-FFF2-40B4-BE49-F238E27FC236}">
              <a16:creationId xmlns:a16="http://schemas.microsoft.com/office/drawing/2014/main" id="{00000000-0008-0000-0200-0000C1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1473</xdr:row>
      <xdr:rowOff>0</xdr:rowOff>
    </xdr:from>
    <xdr:ext cx="200025" cy="200025"/>
    <xdr:pic>
      <xdr:nvPicPr>
        <xdr:cNvPr id="2242" name="image11.png">
          <a:extLst>
            <a:ext uri="{FF2B5EF4-FFF2-40B4-BE49-F238E27FC236}">
              <a16:creationId xmlns:a16="http://schemas.microsoft.com/office/drawing/2014/main" id="{00000000-0008-0000-0200-0000C2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1476</xdr:row>
      <xdr:rowOff>0</xdr:rowOff>
    </xdr:from>
    <xdr:ext cx="200025" cy="200025"/>
    <xdr:pic>
      <xdr:nvPicPr>
        <xdr:cNvPr id="2243" name="image10.png">
          <a:extLst>
            <a:ext uri="{FF2B5EF4-FFF2-40B4-BE49-F238E27FC236}">
              <a16:creationId xmlns:a16="http://schemas.microsoft.com/office/drawing/2014/main" id="{00000000-0008-0000-0200-0000C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1476</xdr:row>
      <xdr:rowOff>0</xdr:rowOff>
    </xdr:from>
    <xdr:ext cx="200025" cy="200025"/>
    <xdr:pic>
      <xdr:nvPicPr>
        <xdr:cNvPr id="2244" name="image8.png">
          <a:extLst>
            <a:ext uri="{FF2B5EF4-FFF2-40B4-BE49-F238E27FC236}">
              <a16:creationId xmlns:a16="http://schemas.microsoft.com/office/drawing/2014/main" id="{00000000-0008-0000-0200-0000C4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1476</xdr:row>
      <xdr:rowOff>0</xdr:rowOff>
    </xdr:from>
    <xdr:ext cx="200025" cy="200025"/>
    <xdr:pic>
      <xdr:nvPicPr>
        <xdr:cNvPr id="2245" name="image11.png">
          <a:extLst>
            <a:ext uri="{FF2B5EF4-FFF2-40B4-BE49-F238E27FC236}">
              <a16:creationId xmlns:a16="http://schemas.microsoft.com/office/drawing/2014/main" id="{00000000-0008-0000-0200-0000C5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1477</xdr:row>
      <xdr:rowOff>0</xdr:rowOff>
    </xdr:from>
    <xdr:ext cx="200025" cy="200025"/>
    <xdr:pic>
      <xdr:nvPicPr>
        <xdr:cNvPr id="2246" name="image2.png">
          <a:extLst>
            <a:ext uri="{FF2B5EF4-FFF2-40B4-BE49-F238E27FC236}">
              <a16:creationId xmlns:a16="http://schemas.microsoft.com/office/drawing/2014/main" id="{00000000-0008-0000-0200-0000C6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1478</xdr:row>
      <xdr:rowOff>0</xdr:rowOff>
    </xdr:from>
    <xdr:ext cx="200025" cy="200025"/>
    <xdr:pic>
      <xdr:nvPicPr>
        <xdr:cNvPr id="2247" name="image2.png">
          <a:extLst>
            <a:ext uri="{FF2B5EF4-FFF2-40B4-BE49-F238E27FC236}">
              <a16:creationId xmlns:a16="http://schemas.microsoft.com/office/drawing/2014/main" id="{00000000-0008-0000-0200-0000C7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1481</xdr:row>
      <xdr:rowOff>0</xdr:rowOff>
    </xdr:from>
    <xdr:ext cx="200025" cy="200025"/>
    <xdr:pic>
      <xdr:nvPicPr>
        <xdr:cNvPr id="2248" name="image10.png">
          <a:extLst>
            <a:ext uri="{FF2B5EF4-FFF2-40B4-BE49-F238E27FC236}">
              <a16:creationId xmlns:a16="http://schemas.microsoft.com/office/drawing/2014/main" id="{00000000-0008-0000-0200-0000C8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1481</xdr:row>
      <xdr:rowOff>0</xdr:rowOff>
    </xdr:from>
    <xdr:ext cx="200025" cy="200025"/>
    <xdr:pic>
      <xdr:nvPicPr>
        <xdr:cNvPr id="2249" name="image9.png">
          <a:extLst>
            <a:ext uri="{FF2B5EF4-FFF2-40B4-BE49-F238E27FC236}">
              <a16:creationId xmlns:a16="http://schemas.microsoft.com/office/drawing/2014/main" id="{00000000-0008-0000-0200-0000C9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1481</xdr:row>
      <xdr:rowOff>0</xdr:rowOff>
    </xdr:from>
    <xdr:ext cx="200025" cy="200025"/>
    <xdr:pic>
      <xdr:nvPicPr>
        <xdr:cNvPr id="2250" name="image7.png">
          <a:extLst>
            <a:ext uri="{FF2B5EF4-FFF2-40B4-BE49-F238E27FC236}">
              <a16:creationId xmlns:a16="http://schemas.microsoft.com/office/drawing/2014/main" id="{00000000-0008-0000-0200-0000CA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1481</xdr:row>
      <xdr:rowOff>0</xdr:rowOff>
    </xdr:from>
    <xdr:ext cx="200025" cy="200025"/>
    <xdr:pic>
      <xdr:nvPicPr>
        <xdr:cNvPr id="2251" name="image11.png">
          <a:extLst>
            <a:ext uri="{FF2B5EF4-FFF2-40B4-BE49-F238E27FC236}">
              <a16:creationId xmlns:a16="http://schemas.microsoft.com/office/drawing/2014/main" id="{00000000-0008-0000-0200-0000CB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1482</xdr:row>
      <xdr:rowOff>0</xdr:rowOff>
    </xdr:from>
    <xdr:ext cx="200025" cy="200025"/>
    <xdr:pic>
      <xdr:nvPicPr>
        <xdr:cNvPr id="2252" name="image4.png">
          <a:extLst>
            <a:ext uri="{FF2B5EF4-FFF2-40B4-BE49-F238E27FC236}">
              <a16:creationId xmlns:a16="http://schemas.microsoft.com/office/drawing/2014/main" id="{00000000-0008-0000-0200-0000CC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1483</xdr:row>
      <xdr:rowOff>0</xdr:rowOff>
    </xdr:from>
    <xdr:ext cx="200025" cy="200025"/>
    <xdr:pic>
      <xdr:nvPicPr>
        <xdr:cNvPr id="2253" name="image6.png">
          <a:extLst>
            <a:ext uri="{FF2B5EF4-FFF2-40B4-BE49-F238E27FC236}">
              <a16:creationId xmlns:a16="http://schemas.microsoft.com/office/drawing/2014/main" id="{00000000-0008-0000-0200-0000CD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1486</xdr:row>
      <xdr:rowOff>0</xdr:rowOff>
    </xdr:from>
    <xdr:ext cx="200025" cy="200025"/>
    <xdr:pic>
      <xdr:nvPicPr>
        <xdr:cNvPr id="2254" name="image10.png">
          <a:extLst>
            <a:ext uri="{FF2B5EF4-FFF2-40B4-BE49-F238E27FC236}">
              <a16:creationId xmlns:a16="http://schemas.microsoft.com/office/drawing/2014/main" id="{00000000-0008-0000-0200-0000CE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1486</xdr:row>
      <xdr:rowOff>0</xdr:rowOff>
    </xdr:from>
    <xdr:ext cx="200025" cy="200025"/>
    <xdr:pic>
      <xdr:nvPicPr>
        <xdr:cNvPr id="2255" name="image6.png">
          <a:extLst>
            <a:ext uri="{FF2B5EF4-FFF2-40B4-BE49-F238E27FC236}">
              <a16:creationId xmlns:a16="http://schemas.microsoft.com/office/drawing/2014/main" id="{00000000-0008-0000-0200-0000CF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1486</xdr:row>
      <xdr:rowOff>0</xdr:rowOff>
    </xdr:from>
    <xdr:ext cx="200025" cy="200025"/>
    <xdr:pic>
      <xdr:nvPicPr>
        <xdr:cNvPr id="2256" name="image3.png">
          <a:extLst>
            <a:ext uri="{FF2B5EF4-FFF2-40B4-BE49-F238E27FC236}">
              <a16:creationId xmlns:a16="http://schemas.microsoft.com/office/drawing/2014/main" id="{00000000-0008-0000-0200-0000D0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1486</xdr:row>
      <xdr:rowOff>0</xdr:rowOff>
    </xdr:from>
    <xdr:ext cx="200025" cy="200025"/>
    <xdr:pic>
      <xdr:nvPicPr>
        <xdr:cNvPr id="2257" name="image1.png">
          <a:extLst>
            <a:ext uri="{FF2B5EF4-FFF2-40B4-BE49-F238E27FC236}">
              <a16:creationId xmlns:a16="http://schemas.microsoft.com/office/drawing/2014/main" id="{00000000-0008-0000-0200-0000D1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1487</xdr:row>
      <xdr:rowOff>0</xdr:rowOff>
    </xdr:from>
    <xdr:ext cx="200025" cy="200025"/>
    <xdr:pic>
      <xdr:nvPicPr>
        <xdr:cNvPr id="2258" name="image1.png">
          <a:extLst>
            <a:ext uri="{FF2B5EF4-FFF2-40B4-BE49-F238E27FC236}">
              <a16:creationId xmlns:a16="http://schemas.microsoft.com/office/drawing/2014/main" id="{00000000-0008-0000-0200-0000D2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1490</xdr:row>
      <xdr:rowOff>0</xdr:rowOff>
    </xdr:from>
    <xdr:ext cx="200025" cy="200025"/>
    <xdr:pic>
      <xdr:nvPicPr>
        <xdr:cNvPr id="2259" name="image8.png">
          <a:extLst>
            <a:ext uri="{FF2B5EF4-FFF2-40B4-BE49-F238E27FC236}">
              <a16:creationId xmlns:a16="http://schemas.microsoft.com/office/drawing/2014/main" id="{00000000-0008-0000-0200-0000D3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1490</xdr:row>
      <xdr:rowOff>0</xdr:rowOff>
    </xdr:from>
    <xdr:ext cx="200025" cy="200025"/>
    <xdr:pic>
      <xdr:nvPicPr>
        <xdr:cNvPr id="2260" name="image1.png">
          <a:extLst>
            <a:ext uri="{FF2B5EF4-FFF2-40B4-BE49-F238E27FC236}">
              <a16:creationId xmlns:a16="http://schemas.microsoft.com/office/drawing/2014/main" id="{00000000-0008-0000-0200-0000D4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1490</xdr:row>
      <xdr:rowOff>0</xdr:rowOff>
    </xdr:from>
    <xdr:ext cx="200025" cy="200025"/>
    <xdr:pic>
      <xdr:nvPicPr>
        <xdr:cNvPr id="2261" name="image7.png">
          <a:extLst>
            <a:ext uri="{FF2B5EF4-FFF2-40B4-BE49-F238E27FC236}">
              <a16:creationId xmlns:a16="http://schemas.microsoft.com/office/drawing/2014/main" id="{00000000-0008-0000-0200-0000D5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1490</xdr:row>
      <xdr:rowOff>0</xdr:rowOff>
    </xdr:from>
    <xdr:ext cx="200025" cy="200025"/>
    <xdr:pic>
      <xdr:nvPicPr>
        <xdr:cNvPr id="2262" name="image1.png">
          <a:extLst>
            <a:ext uri="{FF2B5EF4-FFF2-40B4-BE49-F238E27FC236}">
              <a16:creationId xmlns:a16="http://schemas.microsoft.com/office/drawing/2014/main" id="{00000000-0008-0000-0200-0000D6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1491</xdr:row>
      <xdr:rowOff>0</xdr:rowOff>
    </xdr:from>
    <xdr:ext cx="200025" cy="200025"/>
    <xdr:pic>
      <xdr:nvPicPr>
        <xdr:cNvPr id="2263" name="image1.png">
          <a:extLst>
            <a:ext uri="{FF2B5EF4-FFF2-40B4-BE49-F238E27FC236}">
              <a16:creationId xmlns:a16="http://schemas.microsoft.com/office/drawing/2014/main" id="{00000000-0008-0000-0200-0000D7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1492</xdr:row>
      <xdr:rowOff>0</xdr:rowOff>
    </xdr:from>
    <xdr:ext cx="200025" cy="200025"/>
    <xdr:pic>
      <xdr:nvPicPr>
        <xdr:cNvPr id="2264" name="image1.png">
          <a:extLst>
            <a:ext uri="{FF2B5EF4-FFF2-40B4-BE49-F238E27FC236}">
              <a16:creationId xmlns:a16="http://schemas.microsoft.com/office/drawing/2014/main" id="{00000000-0008-0000-0200-0000D8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1493</xdr:row>
      <xdr:rowOff>0</xdr:rowOff>
    </xdr:from>
    <xdr:ext cx="200025" cy="200025"/>
    <xdr:pic>
      <xdr:nvPicPr>
        <xdr:cNvPr id="2265" name="image10.png">
          <a:extLst>
            <a:ext uri="{FF2B5EF4-FFF2-40B4-BE49-F238E27FC236}">
              <a16:creationId xmlns:a16="http://schemas.microsoft.com/office/drawing/2014/main" id="{00000000-0008-0000-0200-0000D9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1493</xdr:row>
      <xdr:rowOff>0</xdr:rowOff>
    </xdr:from>
    <xdr:ext cx="200025" cy="200025"/>
    <xdr:pic>
      <xdr:nvPicPr>
        <xdr:cNvPr id="2266" name="image8.png">
          <a:extLst>
            <a:ext uri="{FF2B5EF4-FFF2-40B4-BE49-F238E27FC236}">
              <a16:creationId xmlns:a16="http://schemas.microsoft.com/office/drawing/2014/main" id="{00000000-0008-0000-0200-0000DA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1493</xdr:row>
      <xdr:rowOff>0</xdr:rowOff>
    </xdr:from>
    <xdr:ext cx="200025" cy="200025"/>
    <xdr:pic>
      <xdr:nvPicPr>
        <xdr:cNvPr id="2267" name="image12.png">
          <a:extLst>
            <a:ext uri="{FF2B5EF4-FFF2-40B4-BE49-F238E27FC236}">
              <a16:creationId xmlns:a16="http://schemas.microsoft.com/office/drawing/2014/main" id="{00000000-0008-0000-0200-0000DB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1494</xdr:row>
      <xdr:rowOff>0</xdr:rowOff>
    </xdr:from>
    <xdr:ext cx="200025" cy="200025"/>
    <xdr:pic>
      <xdr:nvPicPr>
        <xdr:cNvPr id="2268" name="image2.png">
          <a:extLst>
            <a:ext uri="{FF2B5EF4-FFF2-40B4-BE49-F238E27FC236}">
              <a16:creationId xmlns:a16="http://schemas.microsoft.com/office/drawing/2014/main" id="{00000000-0008-0000-0200-0000DC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1495</xdr:row>
      <xdr:rowOff>0</xdr:rowOff>
    </xdr:from>
    <xdr:ext cx="200025" cy="200025"/>
    <xdr:pic>
      <xdr:nvPicPr>
        <xdr:cNvPr id="2269" name="image2.png">
          <a:extLst>
            <a:ext uri="{FF2B5EF4-FFF2-40B4-BE49-F238E27FC236}">
              <a16:creationId xmlns:a16="http://schemas.microsoft.com/office/drawing/2014/main" id="{00000000-0008-0000-0200-0000DD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1505</xdr:row>
      <xdr:rowOff>0</xdr:rowOff>
    </xdr:from>
    <xdr:ext cx="200025" cy="200025"/>
    <xdr:pic>
      <xdr:nvPicPr>
        <xdr:cNvPr id="2270" name="image8.png">
          <a:extLst>
            <a:ext uri="{FF2B5EF4-FFF2-40B4-BE49-F238E27FC236}">
              <a16:creationId xmlns:a16="http://schemas.microsoft.com/office/drawing/2014/main" id="{00000000-0008-0000-0200-0000DE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1505</xdr:row>
      <xdr:rowOff>0</xdr:rowOff>
    </xdr:from>
    <xdr:ext cx="200025" cy="200025"/>
    <xdr:pic>
      <xdr:nvPicPr>
        <xdr:cNvPr id="2271" name="image2.png">
          <a:extLst>
            <a:ext uri="{FF2B5EF4-FFF2-40B4-BE49-F238E27FC236}">
              <a16:creationId xmlns:a16="http://schemas.microsoft.com/office/drawing/2014/main" id="{00000000-0008-0000-0200-0000DF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1505</xdr:row>
      <xdr:rowOff>0</xdr:rowOff>
    </xdr:from>
    <xdr:ext cx="200025" cy="200025"/>
    <xdr:pic>
      <xdr:nvPicPr>
        <xdr:cNvPr id="2272" name="image11.png">
          <a:extLst>
            <a:ext uri="{FF2B5EF4-FFF2-40B4-BE49-F238E27FC236}">
              <a16:creationId xmlns:a16="http://schemas.microsoft.com/office/drawing/2014/main" id="{00000000-0008-0000-0200-0000E0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1505</xdr:row>
      <xdr:rowOff>0</xdr:rowOff>
    </xdr:from>
    <xdr:ext cx="200025" cy="200025"/>
    <xdr:pic>
      <xdr:nvPicPr>
        <xdr:cNvPr id="2273" name="image9.png">
          <a:extLst>
            <a:ext uri="{FF2B5EF4-FFF2-40B4-BE49-F238E27FC236}">
              <a16:creationId xmlns:a16="http://schemas.microsoft.com/office/drawing/2014/main" id="{00000000-0008-0000-0200-0000E1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1506</xdr:row>
      <xdr:rowOff>0</xdr:rowOff>
    </xdr:from>
    <xdr:ext cx="200025" cy="200025"/>
    <xdr:pic>
      <xdr:nvPicPr>
        <xdr:cNvPr id="2274" name="image9.png">
          <a:extLst>
            <a:ext uri="{FF2B5EF4-FFF2-40B4-BE49-F238E27FC236}">
              <a16:creationId xmlns:a16="http://schemas.microsoft.com/office/drawing/2014/main" id="{00000000-0008-0000-0200-0000E2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1508</xdr:row>
      <xdr:rowOff>0</xdr:rowOff>
    </xdr:from>
    <xdr:ext cx="200025" cy="200025"/>
    <xdr:pic>
      <xdr:nvPicPr>
        <xdr:cNvPr id="2275" name="image10.png">
          <a:extLst>
            <a:ext uri="{FF2B5EF4-FFF2-40B4-BE49-F238E27FC236}">
              <a16:creationId xmlns:a16="http://schemas.microsoft.com/office/drawing/2014/main" id="{00000000-0008-0000-0200-0000E3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1508</xdr:row>
      <xdr:rowOff>0</xdr:rowOff>
    </xdr:from>
    <xdr:ext cx="200025" cy="200025"/>
    <xdr:pic>
      <xdr:nvPicPr>
        <xdr:cNvPr id="2276" name="image2.png">
          <a:extLst>
            <a:ext uri="{FF2B5EF4-FFF2-40B4-BE49-F238E27FC236}">
              <a16:creationId xmlns:a16="http://schemas.microsoft.com/office/drawing/2014/main" id="{00000000-0008-0000-0200-0000E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1508</xdr:row>
      <xdr:rowOff>0</xdr:rowOff>
    </xdr:from>
    <xdr:ext cx="200025" cy="200025"/>
    <xdr:pic>
      <xdr:nvPicPr>
        <xdr:cNvPr id="2277" name="image3.png">
          <a:extLst>
            <a:ext uri="{FF2B5EF4-FFF2-40B4-BE49-F238E27FC236}">
              <a16:creationId xmlns:a16="http://schemas.microsoft.com/office/drawing/2014/main" id="{00000000-0008-0000-0200-0000E5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1509</xdr:row>
      <xdr:rowOff>0</xdr:rowOff>
    </xdr:from>
    <xdr:ext cx="200025" cy="200025"/>
    <xdr:pic>
      <xdr:nvPicPr>
        <xdr:cNvPr id="2278" name="image4.png">
          <a:extLst>
            <a:ext uri="{FF2B5EF4-FFF2-40B4-BE49-F238E27FC236}">
              <a16:creationId xmlns:a16="http://schemas.microsoft.com/office/drawing/2014/main" id="{00000000-0008-0000-0200-0000E608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1510</xdr:row>
      <xdr:rowOff>0</xdr:rowOff>
    </xdr:from>
    <xdr:ext cx="200025" cy="200025"/>
    <xdr:pic>
      <xdr:nvPicPr>
        <xdr:cNvPr id="2279" name="image6.png">
          <a:extLst>
            <a:ext uri="{FF2B5EF4-FFF2-40B4-BE49-F238E27FC236}">
              <a16:creationId xmlns:a16="http://schemas.microsoft.com/office/drawing/2014/main" id="{00000000-0008-0000-0200-0000E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1511</xdr:row>
      <xdr:rowOff>0</xdr:rowOff>
    </xdr:from>
    <xdr:ext cx="200025" cy="200025"/>
    <xdr:pic>
      <xdr:nvPicPr>
        <xdr:cNvPr id="2280" name="image10.png">
          <a:extLst>
            <a:ext uri="{FF2B5EF4-FFF2-40B4-BE49-F238E27FC236}">
              <a16:creationId xmlns:a16="http://schemas.microsoft.com/office/drawing/2014/main" id="{00000000-0008-0000-0200-0000E808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1511</xdr:row>
      <xdr:rowOff>0</xdr:rowOff>
    </xdr:from>
    <xdr:ext cx="200025" cy="200025"/>
    <xdr:pic>
      <xdr:nvPicPr>
        <xdr:cNvPr id="2281" name="image6.png">
          <a:extLst>
            <a:ext uri="{FF2B5EF4-FFF2-40B4-BE49-F238E27FC236}">
              <a16:creationId xmlns:a16="http://schemas.microsoft.com/office/drawing/2014/main" id="{00000000-0008-0000-0200-0000E9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1511</xdr:row>
      <xdr:rowOff>0</xdr:rowOff>
    </xdr:from>
    <xdr:ext cx="200025" cy="200025"/>
    <xdr:pic>
      <xdr:nvPicPr>
        <xdr:cNvPr id="2282" name="image11.png">
          <a:extLst>
            <a:ext uri="{FF2B5EF4-FFF2-40B4-BE49-F238E27FC236}">
              <a16:creationId xmlns:a16="http://schemas.microsoft.com/office/drawing/2014/main" id="{00000000-0008-0000-0200-0000EA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1511</xdr:row>
      <xdr:rowOff>0</xdr:rowOff>
    </xdr:from>
    <xdr:ext cx="200025" cy="200025"/>
    <xdr:pic>
      <xdr:nvPicPr>
        <xdr:cNvPr id="2283" name="image1.png">
          <a:extLst>
            <a:ext uri="{FF2B5EF4-FFF2-40B4-BE49-F238E27FC236}">
              <a16:creationId xmlns:a16="http://schemas.microsoft.com/office/drawing/2014/main" id="{00000000-0008-0000-0200-0000EB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1512</xdr:row>
      <xdr:rowOff>0</xdr:rowOff>
    </xdr:from>
    <xdr:ext cx="200025" cy="200025"/>
    <xdr:pic>
      <xdr:nvPicPr>
        <xdr:cNvPr id="2284" name="image1.png">
          <a:extLst>
            <a:ext uri="{FF2B5EF4-FFF2-40B4-BE49-F238E27FC236}">
              <a16:creationId xmlns:a16="http://schemas.microsoft.com/office/drawing/2014/main" id="{00000000-0008-0000-0200-0000EC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1513</xdr:row>
      <xdr:rowOff>0</xdr:rowOff>
    </xdr:from>
    <xdr:ext cx="200025" cy="200025"/>
    <xdr:pic>
      <xdr:nvPicPr>
        <xdr:cNvPr id="2285" name="image1.png">
          <a:extLst>
            <a:ext uri="{FF2B5EF4-FFF2-40B4-BE49-F238E27FC236}">
              <a16:creationId xmlns:a16="http://schemas.microsoft.com/office/drawing/2014/main" id="{00000000-0008-0000-0200-0000ED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1514</xdr:row>
      <xdr:rowOff>0</xdr:rowOff>
    </xdr:from>
    <xdr:ext cx="200025" cy="200025"/>
    <xdr:pic>
      <xdr:nvPicPr>
        <xdr:cNvPr id="2286" name="image8.png">
          <a:extLst>
            <a:ext uri="{FF2B5EF4-FFF2-40B4-BE49-F238E27FC236}">
              <a16:creationId xmlns:a16="http://schemas.microsoft.com/office/drawing/2014/main" id="{00000000-0008-0000-0200-0000EE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1514</xdr:row>
      <xdr:rowOff>0</xdr:rowOff>
    </xdr:from>
    <xdr:ext cx="200025" cy="200025"/>
    <xdr:pic>
      <xdr:nvPicPr>
        <xdr:cNvPr id="2287" name="image9.png">
          <a:extLst>
            <a:ext uri="{FF2B5EF4-FFF2-40B4-BE49-F238E27FC236}">
              <a16:creationId xmlns:a16="http://schemas.microsoft.com/office/drawing/2014/main" id="{00000000-0008-0000-0200-0000EF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1514</xdr:row>
      <xdr:rowOff>0</xdr:rowOff>
    </xdr:from>
    <xdr:ext cx="200025" cy="200025"/>
    <xdr:pic>
      <xdr:nvPicPr>
        <xdr:cNvPr id="2288" name="image1.png">
          <a:extLst>
            <a:ext uri="{FF2B5EF4-FFF2-40B4-BE49-F238E27FC236}">
              <a16:creationId xmlns:a16="http://schemas.microsoft.com/office/drawing/2014/main" id="{00000000-0008-0000-0200-0000F008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1514</xdr:row>
      <xdr:rowOff>0</xdr:rowOff>
    </xdr:from>
    <xdr:ext cx="200025" cy="200025"/>
    <xdr:pic>
      <xdr:nvPicPr>
        <xdr:cNvPr id="2289" name="image5.png">
          <a:extLst>
            <a:ext uri="{FF2B5EF4-FFF2-40B4-BE49-F238E27FC236}">
              <a16:creationId xmlns:a16="http://schemas.microsoft.com/office/drawing/2014/main" id="{00000000-0008-0000-0200-0000F1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1514</xdr:row>
      <xdr:rowOff>0</xdr:rowOff>
    </xdr:from>
    <xdr:ext cx="200025" cy="200025"/>
    <xdr:pic>
      <xdr:nvPicPr>
        <xdr:cNvPr id="2290" name="image12.png">
          <a:extLst>
            <a:ext uri="{FF2B5EF4-FFF2-40B4-BE49-F238E27FC236}">
              <a16:creationId xmlns:a16="http://schemas.microsoft.com/office/drawing/2014/main" id="{00000000-0008-0000-0200-0000F208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1515</xdr:row>
      <xdr:rowOff>0</xdr:rowOff>
    </xdr:from>
    <xdr:ext cx="200025" cy="200025"/>
    <xdr:pic>
      <xdr:nvPicPr>
        <xdr:cNvPr id="2291" name="image2.png">
          <a:extLst>
            <a:ext uri="{FF2B5EF4-FFF2-40B4-BE49-F238E27FC236}">
              <a16:creationId xmlns:a16="http://schemas.microsoft.com/office/drawing/2014/main" id="{00000000-0008-0000-0200-0000F3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1516</xdr:row>
      <xdr:rowOff>0</xdr:rowOff>
    </xdr:from>
    <xdr:ext cx="200025" cy="200025"/>
    <xdr:pic>
      <xdr:nvPicPr>
        <xdr:cNvPr id="2292" name="image2.png">
          <a:extLst>
            <a:ext uri="{FF2B5EF4-FFF2-40B4-BE49-F238E27FC236}">
              <a16:creationId xmlns:a16="http://schemas.microsoft.com/office/drawing/2014/main" id="{00000000-0008-0000-0200-0000F4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1521</xdr:row>
      <xdr:rowOff>0</xdr:rowOff>
    </xdr:from>
    <xdr:ext cx="200025" cy="200025"/>
    <xdr:pic>
      <xdr:nvPicPr>
        <xdr:cNvPr id="2293" name="image9.png">
          <a:extLst>
            <a:ext uri="{FF2B5EF4-FFF2-40B4-BE49-F238E27FC236}">
              <a16:creationId xmlns:a16="http://schemas.microsoft.com/office/drawing/2014/main" id="{00000000-0008-0000-0200-0000F508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1521</xdr:row>
      <xdr:rowOff>0</xdr:rowOff>
    </xdr:from>
    <xdr:ext cx="200025" cy="200025"/>
    <xdr:pic>
      <xdr:nvPicPr>
        <xdr:cNvPr id="2294" name="image2.png">
          <a:extLst>
            <a:ext uri="{FF2B5EF4-FFF2-40B4-BE49-F238E27FC236}">
              <a16:creationId xmlns:a16="http://schemas.microsoft.com/office/drawing/2014/main" id="{00000000-0008-0000-0200-0000F6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1521</xdr:row>
      <xdr:rowOff>0</xdr:rowOff>
    </xdr:from>
    <xdr:ext cx="200025" cy="200025"/>
    <xdr:pic>
      <xdr:nvPicPr>
        <xdr:cNvPr id="2295" name="image6.png">
          <a:extLst>
            <a:ext uri="{FF2B5EF4-FFF2-40B4-BE49-F238E27FC236}">
              <a16:creationId xmlns:a16="http://schemas.microsoft.com/office/drawing/2014/main" id="{00000000-0008-0000-0200-0000F7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1521</xdr:row>
      <xdr:rowOff>0</xdr:rowOff>
    </xdr:from>
    <xdr:ext cx="200025" cy="200025"/>
    <xdr:pic>
      <xdr:nvPicPr>
        <xdr:cNvPr id="2296" name="image5.png">
          <a:extLst>
            <a:ext uri="{FF2B5EF4-FFF2-40B4-BE49-F238E27FC236}">
              <a16:creationId xmlns:a16="http://schemas.microsoft.com/office/drawing/2014/main" id="{00000000-0008-0000-0200-0000F808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1521</xdr:row>
      <xdr:rowOff>0</xdr:rowOff>
    </xdr:from>
    <xdr:ext cx="200025" cy="200025"/>
    <xdr:pic>
      <xdr:nvPicPr>
        <xdr:cNvPr id="2297" name="image11.png">
          <a:extLst>
            <a:ext uri="{FF2B5EF4-FFF2-40B4-BE49-F238E27FC236}">
              <a16:creationId xmlns:a16="http://schemas.microsoft.com/office/drawing/2014/main" id="{00000000-0008-0000-0200-0000F908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1526</xdr:row>
      <xdr:rowOff>0</xdr:rowOff>
    </xdr:from>
    <xdr:ext cx="200025" cy="200025"/>
    <xdr:pic>
      <xdr:nvPicPr>
        <xdr:cNvPr id="2298" name="image8.png">
          <a:extLst>
            <a:ext uri="{FF2B5EF4-FFF2-40B4-BE49-F238E27FC236}">
              <a16:creationId xmlns:a16="http://schemas.microsoft.com/office/drawing/2014/main" id="{00000000-0008-0000-0200-0000FA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1526</xdr:row>
      <xdr:rowOff>0</xdr:rowOff>
    </xdr:from>
    <xdr:ext cx="200025" cy="200025"/>
    <xdr:pic>
      <xdr:nvPicPr>
        <xdr:cNvPr id="2299" name="image2.png">
          <a:extLst>
            <a:ext uri="{FF2B5EF4-FFF2-40B4-BE49-F238E27FC236}">
              <a16:creationId xmlns:a16="http://schemas.microsoft.com/office/drawing/2014/main" id="{00000000-0008-0000-0200-0000FB08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1526</xdr:row>
      <xdr:rowOff>0</xdr:rowOff>
    </xdr:from>
    <xdr:ext cx="200025" cy="200025"/>
    <xdr:pic>
      <xdr:nvPicPr>
        <xdr:cNvPr id="2300" name="image3.png">
          <a:extLst>
            <a:ext uri="{FF2B5EF4-FFF2-40B4-BE49-F238E27FC236}">
              <a16:creationId xmlns:a16="http://schemas.microsoft.com/office/drawing/2014/main" id="{00000000-0008-0000-0200-0000FC08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1527</xdr:row>
      <xdr:rowOff>0</xdr:rowOff>
    </xdr:from>
    <xdr:ext cx="200025" cy="200025"/>
    <xdr:pic>
      <xdr:nvPicPr>
        <xdr:cNvPr id="2301" name="image7.png">
          <a:extLst>
            <a:ext uri="{FF2B5EF4-FFF2-40B4-BE49-F238E27FC236}">
              <a16:creationId xmlns:a16="http://schemas.microsoft.com/office/drawing/2014/main" id="{00000000-0008-0000-0200-0000FD08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1528</xdr:row>
      <xdr:rowOff>0</xdr:rowOff>
    </xdr:from>
    <xdr:ext cx="200025" cy="200025"/>
    <xdr:pic>
      <xdr:nvPicPr>
        <xdr:cNvPr id="2302" name="image6.png">
          <a:extLst>
            <a:ext uri="{FF2B5EF4-FFF2-40B4-BE49-F238E27FC236}">
              <a16:creationId xmlns:a16="http://schemas.microsoft.com/office/drawing/2014/main" id="{00000000-0008-0000-0200-0000FE08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1529</xdr:row>
      <xdr:rowOff>0</xdr:rowOff>
    </xdr:from>
    <xdr:ext cx="200025" cy="200025"/>
    <xdr:pic>
      <xdr:nvPicPr>
        <xdr:cNvPr id="2303" name="image8.png">
          <a:extLst>
            <a:ext uri="{FF2B5EF4-FFF2-40B4-BE49-F238E27FC236}">
              <a16:creationId xmlns:a16="http://schemas.microsoft.com/office/drawing/2014/main" id="{00000000-0008-0000-0200-0000FF08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1529</xdr:row>
      <xdr:rowOff>0</xdr:rowOff>
    </xdr:from>
    <xdr:ext cx="200025" cy="200025"/>
    <xdr:pic>
      <xdr:nvPicPr>
        <xdr:cNvPr id="2304" name="image9.png">
          <a:extLst>
            <a:ext uri="{FF2B5EF4-FFF2-40B4-BE49-F238E27FC236}">
              <a16:creationId xmlns:a16="http://schemas.microsoft.com/office/drawing/2014/main" id="{00000000-0008-0000-0200-000000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1529</xdr:row>
      <xdr:rowOff>0</xdr:rowOff>
    </xdr:from>
    <xdr:ext cx="200025" cy="200025"/>
    <xdr:pic>
      <xdr:nvPicPr>
        <xdr:cNvPr id="2305" name="image7.png">
          <a:extLst>
            <a:ext uri="{FF2B5EF4-FFF2-40B4-BE49-F238E27FC236}">
              <a16:creationId xmlns:a16="http://schemas.microsoft.com/office/drawing/2014/main" id="{00000000-0008-0000-0200-000001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1529</xdr:row>
      <xdr:rowOff>0</xdr:rowOff>
    </xdr:from>
    <xdr:ext cx="200025" cy="200025"/>
    <xdr:pic>
      <xdr:nvPicPr>
        <xdr:cNvPr id="2306" name="image7.png">
          <a:extLst>
            <a:ext uri="{FF2B5EF4-FFF2-40B4-BE49-F238E27FC236}">
              <a16:creationId xmlns:a16="http://schemas.microsoft.com/office/drawing/2014/main" id="{00000000-0008-0000-0200-000002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1531</xdr:row>
      <xdr:rowOff>0</xdr:rowOff>
    </xdr:from>
    <xdr:ext cx="200025" cy="200025"/>
    <xdr:pic>
      <xdr:nvPicPr>
        <xdr:cNvPr id="2307" name="image6.png">
          <a:extLst>
            <a:ext uri="{FF2B5EF4-FFF2-40B4-BE49-F238E27FC236}">
              <a16:creationId xmlns:a16="http://schemas.microsoft.com/office/drawing/2014/main" id="{00000000-0008-0000-0200-000003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1532</xdr:row>
      <xdr:rowOff>0</xdr:rowOff>
    </xdr:from>
    <xdr:ext cx="200025" cy="200025"/>
    <xdr:pic>
      <xdr:nvPicPr>
        <xdr:cNvPr id="2308" name="image10.png">
          <a:extLst>
            <a:ext uri="{FF2B5EF4-FFF2-40B4-BE49-F238E27FC236}">
              <a16:creationId xmlns:a16="http://schemas.microsoft.com/office/drawing/2014/main" id="{00000000-0008-0000-0200-000004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1532</xdr:row>
      <xdr:rowOff>0</xdr:rowOff>
    </xdr:from>
    <xdr:ext cx="200025" cy="200025"/>
    <xdr:pic>
      <xdr:nvPicPr>
        <xdr:cNvPr id="2309" name="image2.png">
          <a:extLst>
            <a:ext uri="{FF2B5EF4-FFF2-40B4-BE49-F238E27FC236}">
              <a16:creationId xmlns:a16="http://schemas.microsoft.com/office/drawing/2014/main" id="{00000000-0008-0000-0200-000005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1532</xdr:row>
      <xdr:rowOff>0</xdr:rowOff>
    </xdr:from>
    <xdr:ext cx="200025" cy="200025"/>
    <xdr:pic>
      <xdr:nvPicPr>
        <xdr:cNvPr id="2310" name="image5.png">
          <a:extLst>
            <a:ext uri="{FF2B5EF4-FFF2-40B4-BE49-F238E27FC236}">
              <a16:creationId xmlns:a16="http://schemas.microsoft.com/office/drawing/2014/main" id="{00000000-0008-0000-0200-000006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1532</xdr:row>
      <xdr:rowOff>0</xdr:rowOff>
    </xdr:from>
    <xdr:ext cx="200025" cy="200025"/>
    <xdr:pic>
      <xdr:nvPicPr>
        <xdr:cNvPr id="2311" name="image4.png">
          <a:extLst>
            <a:ext uri="{FF2B5EF4-FFF2-40B4-BE49-F238E27FC236}">
              <a16:creationId xmlns:a16="http://schemas.microsoft.com/office/drawing/2014/main" id="{00000000-0008-0000-0200-000007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1533</xdr:row>
      <xdr:rowOff>0</xdr:rowOff>
    </xdr:from>
    <xdr:ext cx="200025" cy="200025"/>
    <xdr:pic>
      <xdr:nvPicPr>
        <xdr:cNvPr id="2312" name="image9.png">
          <a:extLst>
            <a:ext uri="{FF2B5EF4-FFF2-40B4-BE49-F238E27FC236}">
              <a16:creationId xmlns:a16="http://schemas.microsoft.com/office/drawing/2014/main" id="{00000000-0008-0000-0200-000008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1534</xdr:row>
      <xdr:rowOff>0</xdr:rowOff>
    </xdr:from>
    <xdr:ext cx="200025" cy="200025"/>
    <xdr:pic>
      <xdr:nvPicPr>
        <xdr:cNvPr id="2313" name="image10.png">
          <a:extLst>
            <a:ext uri="{FF2B5EF4-FFF2-40B4-BE49-F238E27FC236}">
              <a16:creationId xmlns:a16="http://schemas.microsoft.com/office/drawing/2014/main" id="{00000000-0008-0000-0200-000009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1534</xdr:row>
      <xdr:rowOff>0</xdr:rowOff>
    </xdr:from>
    <xdr:ext cx="200025" cy="200025"/>
    <xdr:pic>
      <xdr:nvPicPr>
        <xdr:cNvPr id="2314" name="image6.png">
          <a:extLst>
            <a:ext uri="{FF2B5EF4-FFF2-40B4-BE49-F238E27FC236}">
              <a16:creationId xmlns:a16="http://schemas.microsoft.com/office/drawing/2014/main" id="{00000000-0008-0000-0200-00000A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1534</xdr:row>
      <xdr:rowOff>0</xdr:rowOff>
    </xdr:from>
    <xdr:ext cx="200025" cy="200025"/>
    <xdr:pic>
      <xdr:nvPicPr>
        <xdr:cNvPr id="2315" name="image7.png">
          <a:extLst>
            <a:ext uri="{FF2B5EF4-FFF2-40B4-BE49-F238E27FC236}">
              <a16:creationId xmlns:a16="http://schemas.microsoft.com/office/drawing/2014/main" id="{00000000-0008-0000-0200-00000B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1535</xdr:row>
      <xdr:rowOff>0</xdr:rowOff>
    </xdr:from>
    <xdr:ext cx="200025" cy="200025"/>
    <xdr:pic>
      <xdr:nvPicPr>
        <xdr:cNvPr id="2316" name="image12.png">
          <a:extLst>
            <a:ext uri="{FF2B5EF4-FFF2-40B4-BE49-F238E27FC236}">
              <a16:creationId xmlns:a16="http://schemas.microsoft.com/office/drawing/2014/main" id="{00000000-0008-0000-0200-00000C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1536</xdr:row>
      <xdr:rowOff>0</xdr:rowOff>
    </xdr:from>
    <xdr:ext cx="200025" cy="200025"/>
    <xdr:pic>
      <xdr:nvPicPr>
        <xdr:cNvPr id="2317" name="image6.png">
          <a:extLst>
            <a:ext uri="{FF2B5EF4-FFF2-40B4-BE49-F238E27FC236}">
              <a16:creationId xmlns:a16="http://schemas.microsoft.com/office/drawing/2014/main" id="{00000000-0008-0000-0200-00000D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1537</xdr:row>
      <xdr:rowOff>0</xdr:rowOff>
    </xdr:from>
    <xdr:ext cx="200025" cy="200025"/>
    <xdr:pic>
      <xdr:nvPicPr>
        <xdr:cNvPr id="2318" name="image10.png">
          <a:extLst>
            <a:ext uri="{FF2B5EF4-FFF2-40B4-BE49-F238E27FC236}">
              <a16:creationId xmlns:a16="http://schemas.microsoft.com/office/drawing/2014/main" id="{00000000-0008-0000-0200-00000E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1537</xdr:row>
      <xdr:rowOff>0</xdr:rowOff>
    </xdr:from>
    <xdr:ext cx="200025" cy="200025"/>
    <xdr:pic>
      <xdr:nvPicPr>
        <xdr:cNvPr id="2319" name="image6.png">
          <a:extLst>
            <a:ext uri="{FF2B5EF4-FFF2-40B4-BE49-F238E27FC236}">
              <a16:creationId xmlns:a16="http://schemas.microsoft.com/office/drawing/2014/main" id="{00000000-0008-0000-0200-00000F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1537</xdr:row>
      <xdr:rowOff>0</xdr:rowOff>
    </xdr:from>
    <xdr:ext cx="200025" cy="200025"/>
    <xdr:pic>
      <xdr:nvPicPr>
        <xdr:cNvPr id="2320" name="image7.png">
          <a:extLst>
            <a:ext uri="{FF2B5EF4-FFF2-40B4-BE49-F238E27FC236}">
              <a16:creationId xmlns:a16="http://schemas.microsoft.com/office/drawing/2014/main" id="{00000000-0008-0000-0200-000010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1538</xdr:row>
      <xdr:rowOff>0</xdr:rowOff>
    </xdr:from>
    <xdr:ext cx="200025" cy="200025"/>
    <xdr:pic>
      <xdr:nvPicPr>
        <xdr:cNvPr id="2321" name="image12.png">
          <a:extLst>
            <a:ext uri="{FF2B5EF4-FFF2-40B4-BE49-F238E27FC236}">
              <a16:creationId xmlns:a16="http://schemas.microsoft.com/office/drawing/2014/main" id="{00000000-0008-0000-0200-000011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1539</xdr:row>
      <xdr:rowOff>0</xdr:rowOff>
    </xdr:from>
    <xdr:ext cx="200025" cy="200025"/>
    <xdr:pic>
      <xdr:nvPicPr>
        <xdr:cNvPr id="2322" name="image6.png">
          <a:extLst>
            <a:ext uri="{FF2B5EF4-FFF2-40B4-BE49-F238E27FC236}">
              <a16:creationId xmlns:a16="http://schemas.microsoft.com/office/drawing/2014/main" id="{00000000-0008-0000-0200-000012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1540</xdr:row>
      <xdr:rowOff>0</xdr:rowOff>
    </xdr:from>
    <xdr:ext cx="200025" cy="200025"/>
    <xdr:pic>
      <xdr:nvPicPr>
        <xdr:cNvPr id="2323" name="image10.png">
          <a:extLst>
            <a:ext uri="{FF2B5EF4-FFF2-40B4-BE49-F238E27FC236}">
              <a16:creationId xmlns:a16="http://schemas.microsoft.com/office/drawing/2014/main" id="{00000000-0008-0000-0200-000013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1540</xdr:row>
      <xdr:rowOff>0</xdr:rowOff>
    </xdr:from>
    <xdr:ext cx="200025" cy="200025"/>
    <xdr:pic>
      <xdr:nvPicPr>
        <xdr:cNvPr id="2324" name="image2.png">
          <a:extLst>
            <a:ext uri="{FF2B5EF4-FFF2-40B4-BE49-F238E27FC236}">
              <a16:creationId xmlns:a16="http://schemas.microsoft.com/office/drawing/2014/main" id="{00000000-0008-0000-0200-000014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1540</xdr:row>
      <xdr:rowOff>0</xdr:rowOff>
    </xdr:from>
    <xdr:ext cx="200025" cy="200025"/>
    <xdr:pic>
      <xdr:nvPicPr>
        <xdr:cNvPr id="2325" name="image3.png">
          <a:extLst>
            <a:ext uri="{FF2B5EF4-FFF2-40B4-BE49-F238E27FC236}">
              <a16:creationId xmlns:a16="http://schemas.microsoft.com/office/drawing/2014/main" id="{00000000-0008-0000-0200-000015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1541</xdr:row>
      <xdr:rowOff>0</xdr:rowOff>
    </xdr:from>
    <xdr:ext cx="200025" cy="200025"/>
    <xdr:pic>
      <xdr:nvPicPr>
        <xdr:cNvPr id="2326" name="image1.png">
          <a:extLst>
            <a:ext uri="{FF2B5EF4-FFF2-40B4-BE49-F238E27FC236}">
              <a16:creationId xmlns:a16="http://schemas.microsoft.com/office/drawing/2014/main" id="{00000000-0008-0000-0200-000016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1542</xdr:row>
      <xdr:rowOff>0</xdr:rowOff>
    </xdr:from>
    <xdr:ext cx="200025" cy="200025"/>
    <xdr:pic>
      <xdr:nvPicPr>
        <xdr:cNvPr id="2327" name="image1.png">
          <a:extLst>
            <a:ext uri="{FF2B5EF4-FFF2-40B4-BE49-F238E27FC236}">
              <a16:creationId xmlns:a16="http://schemas.microsoft.com/office/drawing/2014/main" id="{00000000-0008-0000-0200-000017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1544</xdr:row>
      <xdr:rowOff>0</xdr:rowOff>
    </xdr:from>
    <xdr:ext cx="200025" cy="200025"/>
    <xdr:pic>
      <xdr:nvPicPr>
        <xdr:cNvPr id="2328" name="image10.png">
          <a:extLst>
            <a:ext uri="{FF2B5EF4-FFF2-40B4-BE49-F238E27FC236}">
              <a16:creationId xmlns:a16="http://schemas.microsoft.com/office/drawing/2014/main" id="{00000000-0008-0000-0200-000018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1544</xdr:row>
      <xdr:rowOff>0</xdr:rowOff>
    </xdr:from>
    <xdr:ext cx="200025" cy="200025"/>
    <xdr:pic>
      <xdr:nvPicPr>
        <xdr:cNvPr id="2329" name="image2.png">
          <a:extLst>
            <a:ext uri="{FF2B5EF4-FFF2-40B4-BE49-F238E27FC236}">
              <a16:creationId xmlns:a16="http://schemas.microsoft.com/office/drawing/2014/main" id="{00000000-0008-0000-0200-000019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1544</xdr:row>
      <xdr:rowOff>0</xdr:rowOff>
    </xdr:from>
    <xdr:ext cx="200025" cy="200025"/>
    <xdr:pic>
      <xdr:nvPicPr>
        <xdr:cNvPr id="2330" name="image5.png">
          <a:extLst>
            <a:ext uri="{FF2B5EF4-FFF2-40B4-BE49-F238E27FC236}">
              <a16:creationId xmlns:a16="http://schemas.microsoft.com/office/drawing/2014/main" id="{00000000-0008-0000-0200-00001A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1544</xdr:row>
      <xdr:rowOff>0</xdr:rowOff>
    </xdr:from>
    <xdr:ext cx="200025" cy="200025"/>
    <xdr:pic>
      <xdr:nvPicPr>
        <xdr:cNvPr id="2331" name="image4.png">
          <a:extLst>
            <a:ext uri="{FF2B5EF4-FFF2-40B4-BE49-F238E27FC236}">
              <a16:creationId xmlns:a16="http://schemas.microsoft.com/office/drawing/2014/main" id="{00000000-0008-0000-0200-00001B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1545</xdr:row>
      <xdr:rowOff>0</xdr:rowOff>
    </xdr:from>
    <xdr:ext cx="200025" cy="200025"/>
    <xdr:pic>
      <xdr:nvPicPr>
        <xdr:cNvPr id="2332" name="image9.png">
          <a:extLst>
            <a:ext uri="{FF2B5EF4-FFF2-40B4-BE49-F238E27FC236}">
              <a16:creationId xmlns:a16="http://schemas.microsoft.com/office/drawing/2014/main" id="{00000000-0008-0000-0200-00001C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1546</xdr:row>
      <xdr:rowOff>0</xdr:rowOff>
    </xdr:from>
    <xdr:ext cx="200025" cy="200025"/>
    <xdr:pic>
      <xdr:nvPicPr>
        <xdr:cNvPr id="2333" name="image9.png">
          <a:extLst>
            <a:ext uri="{FF2B5EF4-FFF2-40B4-BE49-F238E27FC236}">
              <a16:creationId xmlns:a16="http://schemas.microsoft.com/office/drawing/2014/main" id="{00000000-0008-0000-0200-00001D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1547</xdr:row>
      <xdr:rowOff>0</xdr:rowOff>
    </xdr:from>
    <xdr:ext cx="200025" cy="200025"/>
    <xdr:pic>
      <xdr:nvPicPr>
        <xdr:cNvPr id="2334" name="image10.png">
          <a:extLst>
            <a:ext uri="{FF2B5EF4-FFF2-40B4-BE49-F238E27FC236}">
              <a16:creationId xmlns:a16="http://schemas.microsoft.com/office/drawing/2014/main" id="{00000000-0008-0000-0200-00001E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1547</xdr:row>
      <xdr:rowOff>0</xdr:rowOff>
    </xdr:from>
    <xdr:ext cx="200025" cy="200025"/>
    <xdr:pic>
      <xdr:nvPicPr>
        <xdr:cNvPr id="2335" name="image2.png">
          <a:extLst>
            <a:ext uri="{FF2B5EF4-FFF2-40B4-BE49-F238E27FC236}">
              <a16:creationId xmlns:a16="http://schemas.microsoft.com/office/drawing/2014/main" id="{00000000-0008-0000-0200-00001F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1547</xdr:row>
      <xdr:rowOff>0</xdr:rowOff>
    </xdr:from>
    <xdr:ext cx="200025" cy="200025"/>
    <xdr:pic>
      <xdr:nvPicPr>
        <xdr:cNvPr id="2336" name="image5.png">
          <a:extLst>
            <a:ext uri="{FF2B5EF4-FFF2-40B4-BE49-F238E27FC236}">
              <a16:creationId xmlns:a16="http://schemas.microsoft.com/office/drawing/2014/main" id="{00000000-0008-0000-0200-000020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1547</xdr:row>
      <xdr:rowOff>0</xdr:rowOff>
    </xdr:from>
    <xdr:ext cx="200025" cy="200025"/>
    <xdr:pic>
      <xdr:nvPicPr>
        <xdr:cNvPr id="2337" name="image4.png">
          <a:extLst>
            <a:ext uri="{FF2B5EF4-FFF2-40B4-BE49-F238E27FC236}">
              <a16:creationId xmlns:a16="http://schemas.microsoft.com/office/drawing/2014/main" id="{00000000-0008-0000-0200-000021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1547</xdr:row>
      <xdr:rowOff>0</xdr:rowOff>
    </xdr:from>
    <xdr:ext cx="200025" cy="200025"/>
    <xdr:pic>
      <xdr:nvPicPr>
        <xdr:cNvPr id="2338" name="image9.png">
          <a:extLst>
            <a:ext uri="{FF2B5EF4-FFF2-40B4-BE49-F238E27FC236}">
              <a16:creationId xmlns:a16="http://schemas.microsoft.com/office/drawing/2014/main" id="{00000000-0008-0000-0200-000022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1549</xdr:row>
      <xdr:rowOff>0</xdr:rowOff>
    </xdr:from>
    <xdr:ext cx="200025" cy="200025"/>
    <xdr:pic>
      <xdr:nvPicPr>
        <xdr:cNvPr id="2339" name="image9.png">
          <a:extLst>
            <a:ext uri="{FF2B5EF4-FFF2-40B4-BE49-F238E27FC236}">
              <a16:creationId xmlns:a16="http://schemas.microsoft.com/office/drawing/2014/main" id="{00000000-0008-0000-0200-000023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1550</xdr:row>
      <xdr:rowOff>0</xdr:rowOff>
    </xdr:from>
    <xdr:ext cx="200025" cy="200025"/>
    <xdr:pic>
      <xdr:nvPicPr>
        <xdr:cNvPr id="2340" name="image2.png">
          <a:extLst>
            <a:ext uri="{FF2B5EF4-FFF2-40B4-BE49-F238E27FC236}">
              <a16:creationId xmlns:a16="http://schemas.microsoft.com/office/drawing/2014/main" id="{00000000-0008-0000-0200-000024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1550</xdr:row>
      <xdr:rowOff>0</xdr:rowOff>
    </xdr:from>
    <xdr:ext cx="200025" cy="200025"/>
    <xdr:pic>
      <xdr:nvPicPr>
        <xdr:cNvPr id="2341" name="image1.png">
          <a:extLst>
            <a:ext uri="{FF2B5EF4-FFF2-40B4-BE49-F238E27FC236}">
              <a16:creationId xmlns:a16="http://schemas.microsoft.com/office/drawing/2014/main" id="{00000000-0008-0000-0200-000025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1550</xdr:row>
      <xdr:rowOff>0</xdr:rowOff>
    </xdr:from>
    <xdr:ext cx="200025" cy="200025"/>
    <xdr:pic>
      <xdr:nvPicPr>
        <xdr:cNvPr id="2342" name="image6.png">
          <a:extLst>
            <a:ext uri="{FF2B5EF4-FFF2-40B4-BE49-F238E27FC236}">
              <a16:creationId xmlns:a16="http://schemas.microsoft.com/office/drawing/2014/main" id="{00000000-0008-0000-0200-000026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1551</xdr:row>
      <xdr:rowOff>0</xdr:rowOff>
    </xdr:from>
    <xdr:ext cx="200025" cy="200025"/>
    <xdr:pic>
      <xdr:nvPicPr>
        <xdr:cNvPr id="2343" name="image2.png">
          <a:extLst>
            <a:ext uri="{FF2B5EF4-FFF2-40B4-BE49-F238E27FC236}">
              <a16:creationId xmlns:a16="http://schemas.microsoft.com/office/drawing/2014/main" id="{00000000-0008-0000-0200-000027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1552</xdr:row>
      <xdr:rowOff>0</xdr:rowOff>
    </xdr:from>
    <xdr:ext cx="200025" cy="200025"/>
    <xdr:pic>
      <xdr:nvPicPr>
        <xdr:cNvPr id="2344" name="image2.png">
          <a:extLst>
            <a:ext uri="{FF2B5EF4-FFF2-40B4-BE49-F238E27FC236}">
              <a16:creationId xmlns:a16="http://schemas.microsoft.com/office/drawing/2014/main" id="{00000000-0008-0000-0200-000028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1553</xdr:row>
      <xdr:rowOff>0</xdr:rowOff>
    </xdr:from>
    <xdr:ext cx="200025" cy="200025"/>
    <xdr:pic>
      <xdr:nvPicPr>
        <xdr:cNvPr id="2345" name="image5.png">
          <a:extLst>
            <a:ext uri="{FF2B5EF4-FFF2-40B4-BE49-F238E27FC236}">
              <a16:creationId xmlns:a16="http://schemas.microsoft.com/office/drawing/2014/main" id="{00000000-0008-0000-0200-000029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1553</xdr:row>
      <xdr:rowOff>0</xdr:rowOff>
    </xdr:from>
    <xdr:ext cx="200025" cy="200025"/>
    <xdr:pic>
      <xdr:nvPicPr>
        <xdr:cNvPr id="2346" name="image12.png">
          <a:extLst>
            <a:ext uri="{FF2B5EF4-FFF2-40B4-BE49-F238E27FC236}">
              <a16:creationId xmlns:a16="http://schemas.microsoft.com/office/drawing/2014/main" id="{00000000-0008-0000-0200-00002A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1553</xdr:row>
      <xdr:rowOff>0</xdr:rowOff>
    </xdr:from>
    <xdr:ext cx="200025" cy="200025"/>
    <xdr:pic>
      <xdr:nvPicPr>
        <xdr:cNvPr id="2347" name="image11.png">
          <a:extLst>
            <a:ext uri="{FF2B5EF4-FFF2-40B4-BE49-F238E27FC236}">
              <a16:creationId xmlns:a16="http://schemas.microsoft.com/office/drawing/2014/main" id="{00000000-0008-0000-0200-00002B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1553</xdr:row>
      <xdr:rowOff>0</xdr:rowOff>
    </xdr:from>
    <xdr:ext cx="200025" cy="200025"/>
    <xdr:pic>
      <xdr:nvPicPr>
        <xdr:cNvPr id="2348" name="image4.png">
          <a:extLst>
            <a:ext uri="{FF2B5EF4-FFF2-40B4-BE49-F238E27FC236}">
              <a16:creationId xmlns:a16="http://schemas.microsoft.com/office/drawing/2014/main" id="{00000000-0008-0000-0200-00002C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1554</xdr:row>
      <xdr:rowOff>0</xdr:rowOff>
    </xdr:from>
    <xdr:ext cx="200025" cy="200025"/>
    <xdr:pic>
      <xdr:nvPicPr>
        <xdr:cNvPr id="2349" name="image3.png">
          <a:extLst>
            <a:ext uri="{FF2B5EF4-FFF2-40B4-BE49-F238E27FC236}">
              <a16:creationId xmlns:a16="http://schemas.microsoft.com/office/drawing/2014/main" id="{00000000-0008-0000-0200-00002D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1555</xdr:row>
      <xdr:rowOff>0</xdr:rowOff>
    </xdr:from>
    <xdr:ext cx="200025" cy="200025"/>
    <xdr:pic>
      <xdr:nvPicPr>
        <xdr:cNvPr id="2350" name="image6.png">
          <a:extLst>
            <a:ext uri="{FF2B5EF4-FFF2-40B4-BE49-F238E27FC236}">
              <a16:creationId xmlns:a16="http://schemas.microsoft.com/office/drawing/2014/main" id="{00000000-0008-0000-0200-00002E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1557</xdr:row>
      <xdr:rowOff>0</xdr:rowOff>
    </xdr:from>
    <xdr:ext cx="200025" cy="200025"/>
    <xdr:pic>
      <xdr:nvPicPr>
        <xdr:cNvPr id="2351" name="image10.png">
          <a:extLst>
            <a:ext uri="{FF2B5EF4-FFF2-40B4-BE49-F238E27FC236}">
              <a16:creationId xmlns:a16="http://schemas.microsoft.com/office/drawing/2014/main" id="{00000000-0008-0000-0200-00002F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1557</xdr:row>
      <xdr:rowOff>0</xdr:rowOff>
    </xdr:from>
    <xdr:ext cx="200025" cy="200025"/>
    <xdr:pic>
      <xdr:nvPicPr>
        <xdr:cNvPr id="2352" name="image8.png">
          <a:extLst>
            <a:ext uri="{FF2B5EF4-FFF2-40B4-BE49-F238E27FC236}">
              <a16:creationId xmlns:a16="http://schemas.microsoft.com/office/drawing/2014/main" id="{00000000-0008-0000-0200-000030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1557</xdr:row>
      <xdr:rowOff>0</xdr:rowOff>
    </xdr:from>
    <xdr:ext cx="200025" cy="200025"/>
    <xdr:pic>
      <xdr:nvPicPr>
        <xdr:cNvPr id="2353" name="image5.png">
          <a:extLst>
            <a:ext uri="{FF2B5EF4-FFF2-40B4-BE49-F238E27FC236}">
              <a16:creationId xmlns:a16="http://schemas.microsoft.com/office/drawing/2014/main" id="{00000000-0008-0000-0200-000031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1557</xdr:row>
      <xdr:rowOff>0</xdr:rowOff>
    </xdr:from>
    <xdr:ext cx="200025" cy="200025"/>
    <xdr:pic>
      <xdr:nvPicPr>
        <xdr:cNvPr id="2354" name="image3.png">
          <a:extLst>
            <a:ext uri="{FF2B5EF4-FFF2-40B4-BE49-F238E27FC236}">
              <a16:creationId xmlns:a16="http://schemas.microsoft.com/office/drawing/2014/main" id="{00000000-0008-0000-0200-000032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1557</xdr:row>
      <xdr:rowOff>0</xdr:rowOff>
    </xdr:from>
    <xdr:ext cx="200025" cy="200025"/>
    <xdr:pic>
      <xdr:nvPicPr>
        <xdr:cNvPr id="2355" name="image9.png">
          <a:extLst>
            <a:ext uri="{FF2B5EF4-FFF2-40B4-BE49-F238E27FC236}">
              <a16:creationId xmlns:a16="http://schemas.microsoft.com/office/drawing/2014/main" id="{00000000-0008-0000-0200-000033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1558</xdr:row>
      <xdr:rowOff>0</xdr:rowOff>
    </xdr:from>
    <xdr:ext cx="200025" cy="200025"/>
    <xdr:pic>
      <xdr:nvPicPr>
        <xdr:cNvPr id="2356" name="image9.png">
          <a:extLst>
            <a:ext uri="{FF2B5EF4-FFF2-40B4-BE49-F238E27FC236}">
              <a16:creationId xmlns:a16="http://schemas.microsoft.com/office/drawing/2014/main" id="{00000000-0008-0000-0200-000034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1562</xdr:row>
      <xdr:rowOff>0</xdr:rowOff>
    </xdr:from>
    <xdr:ext cx="200025" cy="200025"/>
    <xdr:pic>
      <xdr:nvPicPr>
        <xdr:cNvPr id="2357" name="image8.png">
          <a:extLst>
            <a:ext uri="{FF2B5EF4-FFF2-40B4-BE49-F238E27FC236}">
              <a16:creationId xmlns:a16="http://schemas.microsoft.com/office/drawing/2014/main" id="{00000000-0008-0000-0200-000035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1562</xdr:row>
      <xdr:rowOff>0</xdr:rowOff>
    </xdr:from>
    <xdr:ext cx="200025" cy="200025"/>
    <xdr:pic>
      <xdr:nvPicPr>
        <xdr:cNvPr id="2358" name="image9.png">
          <a:extLst>
            <a:ext uri="{FF2B5EF4-FFF2-40B4-BE49-F238E27FC236}">
              <a16:creationId xmlns:a16="http://schemas.microsoft.com/office/drawing/2014/main" id="{00000000-0008-0000-0200-000036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1562</xdr:row>
      <xdr:rowOff>0</xdr:rowOff>
    </xdr:from>
    <xdr:ext cx="200025" cy="200025"/>
    <xdr:pic>
      <xdr:nvPicPr>
        <xdr:cNvPr id="2359" name="image5.png">
          <a:extLst>
            <a:ext uri="{FF2B5EF4-FFF2-40B4-BE49-F238E27FC236}">
              <a16:creationId xmlns:a16="http://schemas.microsoft.com/office/drawing/2014/main" id="{00000000-0008-0000-0200-000037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1562</xdr:row>
      <xdr:rowOff>0</xdr:rowOff>
    </xdr:from>
    <xdr:ext cx="200025" cy="200025"/>
    <xdr:pic>
      <xdr:nvPicPr>
        <xdr:cNvPr id="2360" name="image10.png">
          <a:extLst>
            <a:ext uri="{FF2B5EF4-FFF2-40B4-BE49-F238E27FC236}">
              <a16:creationId xmlns:a16="http://schemas.microsoft.com/office/drawing/2014/main" id="{00000000-0008-0000-0200-000038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1563</xdr:row>
      <xdr:rowOff>0</xdr:rowOff>
    </xdr:from>
    <xdr:ext cx="200025" cy="200025"/>
    <xdr:pic>
      <xdr:nvPicPr>
        <xdr:cNvPr id="2361" name="image10.png">
          <a:extLst>
            <a:ext uri="{FF2B5EF4-FFF2-40B4-BE49-F238E27FC236}">
              <a16:creationId xmlns:a16="http://schemas.microsoft.com/office/drawing/2014/main" id="{00000000-0008-0000-0200-000039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1564</xdr:row>
      <xdr:rowOff>0</xdr:rowOff>
    </xdr:from>
    <xdr:ext cx="200025" cy="200025"/>
    <xdr:pic>
      <xdr:nvPicPr>
        <xdr:cNvPr id="2362" name="image10.png">
          <a:extLst>
            <a:ext uri="{FF2B5EF4-FFF2-40B4-BE49-F238E27FC236}">
              <a16:creationId xmlns:a16="http://schemas.microsoft.com/office/drawing/2014/main" id="{00000000-0008-0000-0200-00003A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1565</xdr:row>
      <xdr:rowOff>0</xdr:rowOff>
    </xdr:from>
    <xdr:ext cx="200025" cy="200025"/>
    <xdr:pic>
      <xdr:nvPicPr>
        <xdr:cNvPr id="2363" name="image10.png">
          <a:extLst>
            <a:ext uri="{FF2B5EF4-FFF2-40B4-BE49-F238E27FC236}">
              <a16:creationId xmlns:a16="http://schemas.microsoft.com/office/drawing/2014/main" id="{00000000-0008-0000-0200-00003B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1565</xdr:row>
      <xdr:rowOff>0</xdr:rowOff>
    </xdr:from>
    <xdr:ext cx="200025" cy="200025"/>
    <xdr:pic>
      <xdr:nvPicPr>
        <xdr:cNvPr id="2364" name="image2.png">
          <a:extLst>
            <a:ext uri="{FF2B5EF4-FFF2-40B4-BE49-F238E27FC236}">
              <a16:creationId xmlns:a16="http://schemas.microsoft.com/office/drawing/2014/main" id="{00000000-0008-0000-0200-00003C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1565</xdr:row>
      <xdr:rowOff>0</xdr:rowOff>
    </xdr:from>
    <xdr:ext cx="200025" cy="200025"/>
    <xdr:pic>
      <xdr:nvPicPr>
        <xdr:cNvPr id="2365" name="image12.png">
          <a:extLst>
            <a:ext uri="{FF2B5EF4-FFF2-40B4-BE49-F238E27FC236}">
              <a16:creationId xmlns:a16="http://schemas.microsoft.com/office/drawing/2014/main" id="{00000000-0008-0000-0200-00003D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1566</xdr:row>
      <xdr:rowOff>0</xdr:rowOff>
    </xdr:from>
    <xdr:ext cx="200025" cy="200025"/>
    <xdr:pic>
      <xdr:nvPicPr>
        <xdr:cNvPr id="2366" name="image1.png">
          <a:extLst>
            <a:ext uri="{FF2B5EF4-FFF2-40B4-BE49-F238E27FC236}">
              <a16:creationId xmlns:a16="http://schemas.microsoft.com/office/drawing/2014/main" id="{00000000-0008-0000-0200-00003E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1567</xdr:row>
      <xdr:rowOff>0</xdr:rowOff>
    </xdr:from>
    <xdr:ext cx="200025" cy="200025"/>
    <xdr:pic>
      <xdr:nvPicPr>
        <xdr:cNvPr id="2367" name="image1.png">
          <a:extLst>
            <a:ext uri="{FF2B5EF4-FFF2-40B4-BE49-F238E27FC236}">
              <a16:creationId xmlns:a16="http://schemas.microsoft.com/office/drawing/2014/main" id="{00000000-0008-0000-0200-00003F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1568</xdr:row>
      <xdr:rowOff>0</xdr:rowOff>
    </xdr:from>
    <xdr:ext cx="200025" cy="200025"/>
    <xdr:pic>
      <xdr:nvPicPr>
        <xdr:cNvPr id="2368" name="image2.png">
          <a:extLst>
            <a:ext uri="{FF2B5EF4-FFF2-40B4-BE49-F238E27FC236}">
              <a16:creationId xmlns:a16="http://schemas.microsoft.com/office/drawing/2014/main" id="{00000000-0008-0000-0200-000040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1568</xdr:row>
      <xdr:rowOff>0</xdr:rowOff>
    </xdr:from>
    <xdr:ext cx="200025" cy="200025"/>
    <xdr:pic>
      <xdr:nvPicPr>
        <xdr:cNvPr id="2369" name="image6.png">
          <a:extLst>
            <a:ext uri="{FF2B5EF4-FFF2-40B4-BE49-F238E27FC236}">
              <a16:creationId xmlns:a16="http://schemas.microsoft.com/office/drawing/2014/main" id="{00000000-0008-0000-0200-000041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1568</xdr:row>
      <xdr:rowOff>0</xdr:rowOff>
    </xdr:from>
    <xdr:ext cx="200025" cy="200025"/>
    <xdr:pic>
      <xdr:nvPicPr>
        <xdr:cNvPr id="2370" name="image12.png">
          <a:extLst>
            <a:ext uri="{FF2B5EF4-FFF2-40B4-BE49-F238E27FC236}">
              <a16:creationId xmlns:a16="http://schemas.microsoft.com/office/drawing/2014/main" id="{00000000-0008-0000-0200-000042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1568</xdr:row>
      <xdr:rowOff>0</xdr:rowOff>
    </xdr:from>
    <xdr:ext cx="200025" cy="200025"/>
    <xdr:pic>
      <xdr:nvPicPr>
        <xdr:cNvPr id="2371" name="image9.png">
          <a:extLst>
            <a:ext uri="{FF2B5EF4-FFF2-40B4-BE49-F238E27FC236}">
              <a16:creationId xmlns:a16="http://schemas.microsoft.com/office/drawing/2014/main" id="{00000000-0008-0000-0200-000043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1569</xdr:row>
      <xdr:rowOff>0</xdr:rowOff>
    </xdr:from>
    <xdr:ext cx="200025" cy="200025"/>
    <xdr:pic>
      <xdr:nvPicPr>
        <xdr:cNvPr id="2372" name="image9.png">
          <a:extLst>
            <a:ext uri="{FF2B5EF4-FFF2-40B4-BE49-F238E27FC236}">
              <a16:creationId xmlns:a16="http://schemas.microsoft.com/office/drawing/2014/main" id="{00000000-0008-0000-0200-000044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1570</xdr:row>
      <xdr:rowOff>0</xdr:rowOff>
    </xdr:from>
    <xdr:ext cx="200025" cy="200025"/>
    <xdr:pic>
      <xdr:nvPicPr>
        <xdr:cNvPr id="2373" name="image9.png">
          <a:extLst>
            <a:ext uri="{FF2B5EF4-FFF2-40B4-BE49-F238E27FC236}">
              <a16:creationId xmlns:a16="http://schemas.microsoft.com/office/drawing/2014/main" id="{00000000-0008-0000-0200-000045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1571</xdr:row>
      <xdr:rowOff>0</xdr:rowOff>
    </xdr:from>
    <xdr:ext cx="200025" cy="200025"/>
    <xdr:pic>
      <xdr:nvPicPr>
        <xdr:cNvPr id="2374" name="image10.png">
          <a:extLst>
            <a:ext uri="{FF2B5EF4-FFF2-40B4-BE49-F238E27FC236}">
              <a16:creationId xmlns:a16="http://schemas.microsoft.com/office/drawing/2014/main" id="{00000000-0008-0000-0200-000046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1571</xdr:row>
      <xdr:rowOff>0</xdr:rowOff>
    </xdr:from>
    <xdr:ext cx="200025" cy="200025"/>
    <xdr:pic>
      <xdr:nvPicPr>
        <xdr:cNvPr id="2375" name="image6.png">
          <a:extLst>
            <a:ext uri="{FF2B5EF4-FFF2-40B4-BE49-F238E27FC236}">
              <a16:creationId xmlns:a16="http://schemas.microsoft.com/office/drawing/2014/main" id="{00000000-0008-0000-0200-000047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1571</xdr:row>
      <xdr:rowOff>0</xdr:rowOff>
    </xdr:from>
    <xdr:ext cx="200025" cy="200025"/>
    <xdr:pic>
      <xdr:nvPicPr>
        <xdr:cNvPr id="2376" name="image3.png">
          <a:extLst>
            <a:ext uri="{FF2B5EF4-FFF2-40B4-BE49-F238E27FC236}">
              <a16:creationId xmlns:a16="http://schemas.microsoft.com/office/drawing/2014/main" id="{00000000-0008-0000-0200-000048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1571</xdr:row>
      <xdr:rowOff>0</xdr:rowOff>
    </xdr:from>
    <xdr:ext cx="200025" cy="200025"/>
    <xdr:pic>
      <xdr:nvPicPr>
        <xdr:cNvPr id="2377" name="image2.png">
          <a:extLst>
            <a:ext uri="{FF2B5EF4-FFF2-40B4-BE49-F238E27FC236}">
              <a16:creationId xmlns:a16="http://schemas.microsoft.com/office/drawing/2014/main" id="{00000000-0008-0000-0200-000049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1573</xdr:row>
      <xdr:rowOff>0</xdr:rowOff>
    </xdr:from>
    <xdr:ext cx="200025" cy="200025"/>
    <xdr:pic>
      <xdr:nvPicPr>
        <xdr:cNvPr id="2378" name="image2.png">
          <a:extLst>
            <a:ext uri="{FF2B5EF4-FFF2-40B4-BE49-F238E27FC236}">
              <a16:creationId xmlns:a16="http://schemas.microsoft.com/office/drawing/2014/main" id="{00000000-0008-0000-0200-00004A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1575</xdr:row>
      <xdr:rowOff>0</xdr:rowOff>
    </xdr:from>
    <xdr:ext cx="200025" cy="200025"/>
    <xdr:pic>
      <xdr:nvPicPr>
        <xdr:cNvPr id="2379" name="image10.png">
          <a:extLst>
            <a:ext uri="{FF2B5EF4-FFF2-40B4-BE49-F238E27FC236}">
              <a16:creationId xmlns:a16="http://schemas.microsoft.com/office/drawing/2014/main" id="{00000000-0008-0000-0200-00004B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1575</xdr:row>
      <xdr:rowOff>0</xdr:rowOff>
    </xdr:from>
    <xdr:ext cx="200025" cy="200025"/>
    <xdr:pic>
      <xdr:nvPicPr>
        <xdr:cNvPr id="2380" name="image2.png">
          <a:extLst>
            <a:ext uri="{FF2B5EF4-FFF2-40B4-BE49-F238E27FC236}">
              <a16:creationId xmlns:a16="http://schemas.microsoft.com/office/drawing/2014/main" id="{00000000-0008-0000-0200-00004C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1575</xdr:row>
      <xdr:rowOff>0</xdr:rowOff>
    </xdr:from>
    <xdr:ext cx="200025" cy="200025"/>
    <xdr:pic>
      <xdr:nvPicPr>
        <xdr:cNvPr id="2381" name="image3.png">
          <a:extLst>
            <a:ext uri="{FF2B5EF4-FFF2-40B4-BE49-F238E27FC236}">
              <a16:creationId xmlns:a16="http://schemas.microsoft.com/office/drawing/2014/main" id="{00000000-0008-0000-0200-00004D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1577</xdr:row>
      <xdr:rowOff>0</xdr:rowOff>
    </xdr:from>
    <xdr:ext cx="200025" cy="200025"/>
    <xdr:pic>
      <xdr:nvPicPr>
        <xdr:cNvPr id="2382" name="image8.png">
          <a:extLst>
            <a:ext uri="{FF2B5EF4-FFF2-40B4-BE49-F238E27FC236}">
              <a16:creationId xmlns:a16="http://schemas.microsoft.com/office/drawing/2014/main" id="{00000000-0008-0000-0200-00004E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1577</xdr:row>
      <xdr:rowOff>0</xdr:rowOff>
    </xdr:from>
    <xdr:ext cx="200025" cy="200025"/>
    <xdr:pic>
      <xdr:nvPicPr>
        <xdr:cNvPr id="2383" name="image1.png">
          <a:extLst>
            <a:ext uri="{FF2B5EF4-FFF2-40B4-BE49-F238E27FC236}">
              <a16:creationId xmlns:a16="http://schemas.microsoft.com/office/drawing/2014/main" id="{00000000-0008-0000-0200-00004F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1577</xdr:row>
      <xdr:rowOff>0</xdr:rowOff>
    </xdr:from>
    <xdr:ext cx="200025" cy="200025"/>
    <xdr:pic>
      <xdr:nvPicPr>
        <xdr:cNvPr id="2384" name="image3.png">
          <a:extLst>
            <a:ext uri="{FF2B5EF4-FFF2-40B4-BE49-F238E27FC236}">
              <a16:creationId xmlns:a16="http://schemas.microsoft.com/office/drawing/2014/main" id="{00000000-0008-0000-0200-000050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1578</xdr:row>
      <xdr:rowOff>0</xdr:rowOff>
    </xdr:from>
    <xdr:ext cx="200025" cy="200025"/>
    <xdr:pic>
      <xdr:nvPicPr>
        <xdr:cNvPr id="2385" name="image10.png">
          <a:extLst>
            <a:ext uri="{FF2B5EF4-FFF2-40B4-BE49-F238E27FC236}">
              <a16:creationId xmlns:a16="http://schemas.microsoft.com/office/drawing/2014/main" id="{00000000-0008-0000-0200-000051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1579</xdr:row>
      <xdr:rowOff>0</xdr:rowOff>
    </xdr:from>
    <xdr:ext cx="200025" cy="200025"/>
    <xdr:pic>
      <xdr:nvPicPr>
        <xdr:cNvPr id="2386" name="image10.png">
          <a:extLst>
            <a:ext uri="{FF2B5EF4-FFF2-40B4-BE49-F238E27FC236}">
              <a16:creationId xmlns:a16="http://schemas.microsoft.com/office/drawing/2014/main" id="{00000000-0008-0000-0200-000052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1580</xdr:row>
      <xdr:rowOff>0</xdr:rowOff>
    </xdr:from>
    <xdr:ext cx="200025" cy="200025"/>
    <xdr:pic>
      <xdr:nvPicPr>
        <xdr:cNvPr id="2387" name="image10.png">
          <a:extLst>
            <a:ext uri="{FF2B5EF4-FFF2-40B4-BE49-F238E27FC236}">
              <a16:creationId xmlns:a16="http://schemas.microsoft.com/office/drawing/2014/main" id="{00000000-0008-0000-0200-000053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1580</xdr:row>
      <xdr:rowOff>0</xdr:rowOff>
    </xdr:from>
    <xdr:ext cx="200025" cy="200025"/>
    <xdr:pic>
      <xdr:nvPicPr>
        <xdr:cNvPr id="2388" name="image6.png">
          <a:extLst>
            <a:ext uri="{FF2B5EF4-FFF2-40B4-BE49-F238E27FC236}">
              <a16:creationId xmlns:a16="http://schemas.microsoft.com/office/drawing/2014/main" id="{00000000-0008-0000-0200-000054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1580</xdr:row>
      <xdr:rowOff>0</xdr:rowOff>
    </xdr:from>
    <xdr:ext cx="200025" cy="200025"/>
    <xdr:pic>
      <xdr:nvPicPr>
        <xdr:cNvPr id="2389" name="image12.png">
          <a:extLst>
            <a:ext uri="{FF2B5EF4-FFF2-40B4-BE49-F238E27FC236}">
              <a16:creationId xmlns:a16="http://schemas.microsoft.com/office/drawing/2014/main" id="{00000000-0008-0000-0200-000055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1580</xdr:row>
      <xdr:rowOff>0</xdr:rowOff>
    </xdr:from>
    <xdr:ext cx="200025" cy="200025"/>
    <xdr:pic>
      <xdr:nvPicPr>
        <xdr:cNvPr id="2390" name="image1.png">
          <a:extLst>
            <a:ext uri="{FF2B5EF4-FFF2-40B4-BE49-F238E27FC236}">
              <a16:creationId xmlns:a16="http://schemas.microsoft.com/office/drawing/2014/main" id="{00000000-0008-0000-0200-000056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1582</xdr:row>
      <xdr:rowOff>0</xdr:rowOff>
    </xdr:from>
    <xdr:ext cx="200025" cy="200025"/>
    <xdr:pic>
      <xdr:nvPicPr>
        <xdr:cNvPr id="2391" name="image1.png">
          <a:extLst>
            <a:ext uri="{FF2B5EF4-FFF2-40B4-BE49-F238E27FC236}">
              <a16:creationId xmlns:a16="http://schemas.microsoft.com/office/drawing/2014/main" id="{00000000-0008-0000-0200-000057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1583</xdr:row>
      <xdr:rowOff>0</xdr:rowOff>
    </xdr:from>
    <xdr:ext cx="200025" cy="200025"/>
    <xdr:pic>
      <xdr:nvPicPr>
        <xdr:cNvPr id="2392" name="image8.png">
          <a:extLst>
            <a:ext uri="{FF2B5EF4-FFF2-40B4-BE49-F238E27FC236}">
              <a16:creationId xmlns:a16="http://schemas.microsoft.com/office/drawing/2014/main" id="{00000000-0008-0000-0200-000058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1583</xdr:row>
      <xdr:rowOff>0</xdr:rowOff>
    </xdr:from>
    <xdr:ext cx="200025" cy="200025"/>
    <xdr:pic>
      <xdr:nvPicPr>
        <xdr:cNvPr id="2393" name="image9.png">
          <a:extLst>
            <a:ext uri="{FF2B5EF4-FFF2-40B4-BE49-F238E27FC236}">
              <a16:creationId xmlns:a16="http://schemas.microsoft.com/office/drawing/2014/main" id="{00000000-0008-0000-0200-000059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1583</xdr:row>
      <xdr:rowOff>0</xdr:rowOff>
    </xdr:from>
    <xdr:ext cx="200025" cy="200025"/>
    <xdr:pic>
      <xdr:nvPicPr>
        <xdr:cNvPr id="2394" name="image4.png">
          <a:extLst>
            <a:ext uri="{FF2B5EF4-FFF2-40B4-BE49-F238E27FC236}">
              <a16:creationId xmlns:a16="http://schemas.microsoft.com/office/drawing/2014/main" id="{00000000-0008-0000-0200-00005A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1583</xdr:row>
      <xdr:rowOff>0</xdr:rowOff>
    </xdr:from>
    <xdr:ext cx="200025" cy="200025"/>
    <xdr:pic>
      <xdr:nvPicPr>
        <xdr:cNvPr id="2395" name="image10.png">
          <a:extLst>
            <a:ext uri="{FF2B5EF4-FFF2-40B4-BE49-F238E27FC236}">
              <a16:creationId xmlns:a16="http://schemas.microsoft.com/office/drawing/2014/main" id="{00000000-0008-0000-0200-00005B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1585</xdr:row>
      <xdr:rowOff>0</xdr:rowOff>
    </xdr:from>
    <xdr:ext cx="200025" cy="200025"/>
    <xdr:pic>
      <xdr:nvPicPr>
        <xdr:cNvPr id="2396" name="image10.png">
          <a:extLst>
            <a:ext uri="{FF2B5EF4-FFF2-40B4-BE49-F238E27FC236}">
              <a16:creationId xmlns:a16="http://schemas.microsoft.com/office/drawing/2014/main" id="{00000000-0008-0000-0200-00005C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1586</xdr:row>
      <xdr:rowOff>0</xdr:rowOff>
    </xdr:from>
    <xdr:ext cx="200025" cy="200025"/>
    <xdr:pic>
      <xdr:nvPicPr>
        <xdr:cNvPr id="2397" name="image5.png">
          <a:extLst>
            <a:ext uri="{FF2B5EF4-FFF2-40B4-BE49-F238E27FC236}">
              <a16:creationId xmlns:a16="http://schemas.microsoft.com/office/drawing/2014/main" id="{00000000-0008-0000-0200-00005D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1586</xdr:row>
      <xdr:rowOff>0</xdr:rowOff>
    </xdr:from>
    <xdr:ext cx="200025" cy="200025"/>
    <xdr:pic>
      <xdr:nvPicPr>
        <xdr:cNvPr id="2398" name="image4.png">
          <a:extLst>
            <a:ext uri="{FF2B5EF4-FFF2-40B4-BE49-F238E27FC236}">
              <a16:creationId xmlns:a16="http://schemas.microsoft.com/office/drawing/2014/main" id="{00000000-0008-0000-0200-00005E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1586</xdr:row>
      <xdr:rowOff>0</xdr:rowOff>
    </xdr:from>
    <xdr:ext cx="200025" cy="200025"/>
    <xdr:pic>
      <xdr:nvPicPr>
        <xdr:cNvPr id="2399" name="image7.png">
          <a:extLst>
            <a:ext uri="{FF2B5EF4-FFF2-40B4-BE49-F238E27FC236}">
              <a16:creationId xmlns:a16="http://schemas.microsoft.com/office/drawing/2014/main" id="{00000000-0008-0000-0200-00005F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1586</xdr:row>
      <xdr:rowOff>0</xdr:rowOff>
    </xdr:from>
    <xdr:ext cx="200025" cy="200025"/>
    <xdr:pic>
      <xdr:nvPicPr>
        <xdr:cNvPr id="2400" name="image8.png">
          <a:extLst>
            <a:ext uri="{FF2B5EF4-FFF2-40B4-BE49-F238E27FC236}">
              <a16:creationId xmlns:a16="http://schemas.microsoft.com/office/drawing/2014/main" id="{00000000-0008-0000-0200-000060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1587</xdr:row>
      <xdr:rowOff>0</xdr:rowOff>
    </xdr:from>
    <xdr:ext cx="200025" cy="200025"/>
    <xdr:pic>
      <xdr:nvPicPr>
        <xdr:cNvPr id="2401" name="image8.png">
          <a:extLst>
            <a:ext uri="{FF2B5EF4-FFF2-40B4-BE49-F238E27FC236}">
              <a16:creationId xmlns:a16="http://schemas.microsoft.com/office/drawing/2014/main" id="{00000000-0008-0000-0200-000061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1588</xdr:row>
      <xdr:rowOff>0</xdr:rowOff>
    </xdr:from>
    <xdr:ext cx="200025" cy="200025"/>
    <xdr:pic>
      <xdr:nvPicPr>
        <xdr:cNvPr id="2402" name="image8.png">
          <a:extLst>
            <a:ext uri="{FF2B5EF4-FFF2-40B4-BE49-F238E27FC236}">
              <a16:creationId xmlns:a16="http://schemas.microsoft.com/office/drawing/2014/main" id="{00000000-0008-0000-0200-000062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1589</xdr:row>
      <xdr:rowOff>0</xdr:rowOff>
    </xdr:from>
    <xdr:ext cx="200025" cy="200025"/>
    <xdr:pic>
      <xdr:nvPicPr>
        <xdr:cNvPr id="2403" name="image10.png">
          <a:extLst>
            <a:ext uri="{FF2B5EF4-FFF2-40B4-BE49-F238E27FC236}">
              <a16:creationId xmlns:a16="http://schemas.microsoft.com/office/drawing/2014/main" id="{00000000-0008-0000-0200-000063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1589</xdr:row>
      <xdr:rowOff>0</xdr:rowOff>
    </xdr:from>
    <xdr:ext cx="200025" cy="200025"/>
    <xdr:pic>
      <xdr:nvPicPr>
        <xdr:cNvPr id="2404" name="image3.png">
          <a:extLst>
            <a:ext uri="{FF2B5EF4-FFF2-40B4-BE49-F238E27FC236}">
              <a16:creationId xmlns:a16="http://schemas.microsoft.com/office/drawing/2014/main" id="{00000000-0008-0000-0200-000064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1589</xdr:row>
      <xdr:rowOff>0</xdr:rowOff>
    </xdr:from>
    <xdr:ext cx="200025" cy="200025"/>
    <xdr:pic>
      <xdr:nvPicPr>
        <xdr:cNvPr id="2405" name="image11.png">
          <a:extLst>
            <a:ext uri="{FF2B5EF4-FFF2-40B4-BE49-F238E27FC236}">
              <a16:creationId xmlns:a16="http://schemas.microsoft.com/office/drawing/2014/main" id="{00000000-0008-0000-0200-000065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1589</xdr:row>
      <xdr:rowOff>0</xdr:rowOff>
    </xdr:from>
    <xdr:ext cx="200025" cy="200025"/>
    <xdr:pic>
      <xdr:nvPicPr>
        <xdr:cNvPr id="2406" name="image7.png">
          <a:extLst>
            <a:ext uri="{FF2B5EF4-FFF2-40B4-BE49-F238E27FC236}">
              <a16:creationId xmlns:a16="http://schemas.microsoft.com/office/drawing/2014/main" id="{00000000-0008-0000-0200-000066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1590</xdr:row>
      <xdr:rowOff>0</xdr:rowOff>
    </xdr:from>
    <xdr:ext cx="200025" cy="200025"/>
    <xdr:pic>
      <xdr:nvPicPr>
        <xdr:cNvPr id="2407" name="image12.png">
          <a:extLst>
            <a:ext uri="{FF2B5EF4-FFF2-40B4-BE49-F238E27FC236}">
              <a16:creationId xmlns:a16="http://schemas.microsoft.com/office/drawing/2014/main" id="{00000000-0008-0000-0200-000067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1591</xdr:row>
      <xdr:rowOff>0</xdr:rowOff>
    </xdr:from>
    <xdr:ext cx="200025" cy="200025"/>
    <xdr:pic>
      <xdr:nvPicPr>
        <xdr:cNvPr id="2408" name="image6.png">
          <a:extLst>
            <a:ext uri="{FF2B5EF4-FFF2-40B4-BE49-F238E27FC236}">
              <a16:creationId xmlns:a16="http://schemas.microsoft.com/office/drawing/2014/main" id="{00000000-0008-0000-0200-000068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1592</xdr:row>
      <xdr:rowOff>0</xdr:rowOff>
    </xdr:from>
    <xdr:ext cx="200025" cy="200025"/>
    <xdr:pic>
      <xdr:nvPicPr>
        <xdr:cNvPr id="2409" name="image8.png">
          <a:extLst>
            <a:ext uri="{FF2B5EF4-FFF2-40B4-BE49-F238E27FC236}">
              <a16:creationId xmlns:a16="http://schemas.microsoft.com/office/drawing/2014/main" id="{00000000-0008-0000-0200-000069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1592</xdr:row>
      <xdr:rowOff>0</xdr:rowOff>
    </xdr:from>
    <xdr:ext cx="200025" cy="200025"/>
    <xdr:pic>
      <xdr:nvPicPr>
        <xdr:cNvPr id="2410" name="image2.png">
          <a:extLst>
            <a:ext uri="{FF2B5EF4-FFF2-40B4-BE49-F238E27FC236}">
              <a16:creationId xmlns:a16="http://schemas.microsoft.com/office/drawing/2014/main" id="{00000000-0008-0000-0200-00006A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1592</xdr:row>
      <xdr:rowOff>0</xdr:rowOff>
    </xdr:from>
    <xdr:ext cx="200025" cy="200025"/>
    <xdr:pic>
      <xdr:nvPicPr>
        <xdr:cNvPr id="2411" name="image4.png">
          <a:extLst>
            <a:ext uri="{FF2B5EF4-FFF2-40B4-BE49-F238E27FC236}">
              <a16:creationId xmlns:a16="http://schemas.microsoft.com/office/drawing/2014/main" id="{00000000-0008-0000-0200-00006B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1592</xdr:row>
      <xdr:rowOff>0</xdr:rowOff>
    </xdr:from>
    <xdr:ext cx="200025" cy="200025"/>
    <xdr:pic>
      <xdr:nvPicPr>
        <xdr:cNvPr id="2412" name="image9.png">
          <a:extLst>
            <a:ext uri="{FF2B5EF4-FFF2-40B4-BE49-F238E27FC236}">
              <a16:creationId xmlns:a16="http://schemas.microsoft.com/office/drawing/2014/main" id="{00000000-0008-0000-0200-00006C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1594</xdr:row>
      <xdr:rowOff>0</xdr:rowOff>
    </xdr:from>
    <xdr:ext cx="200025" cy="200025"/>
    <xdr:pic>
      <xdr:nvPicPr>
        <xdr:cNvPr id="2413" name="image9.png">
          <a:extLst>
            <a:ext uri="{FF2B5EF4-FFF2-40B4-BE49-F238E27FC236}">
              <a16:creationId xmlns:a16="http://schemas.microsoft.com/office/drawing/2014/main" id="{00000000-0008-0000-0200-00006D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1595</xdr:row>
      <xdr:rowOff>0</xdr:rowOff>
    </xdr:from>
    <xdr:ext cx="200025" cy="200025"/>
    <xdr:pic>
      <xdr:nvPicPr>
        <xdr:cNvPr id="2414" name="image8.png">
          <a:extLst>
            <a:ext uri="{FF2B5EF4-FFF2-40B4-BE49-F238E27FC236}">
              <a16:creationId xmlns:a16="http://schemas.microsoft.com/office/drawing/2014/main" id="{00000000-0008-0000-0200-00006E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1595</xdr:row>
      <xdr:rowOff>0</xdr:rowOff>
    </xdr:from>
    <xdr:ext cx="200025" cy="200025"/>
    <xdr:pic>
      <xdr:nvPicPr>
        <xdr:cNvPr id="2415" name="image2.png">
          <a:extLst>
            <a:ext uri="{FF2B5EF4-FFF2-40B4-BE49-F238E27FC236}">
              <a16:creationId xmlns:a16="http://schemas.microsoft.com/office/drawing/2014/main" id="{00000000-0008-0000-0200-00006F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1595</xdr:row>
      <xdr:rowOff>0</xdr:rowOff>
    </xdr:from>
    <xdr:ext cx="200025" cy="200025"/>
    <xdr:pic>
      <xdr:nvPicPr>
        <xdr:cNvPr id="2416" name="image11.png">
          <a:extLst>
            <a:ext uri="{FF2B5EF4-FFF2-40B4-BE49-F238E27FC236}">
              <a16:creationId xmlns:a16="http://schemas.microsoft.com/office/drawing/2014/main" id="{00000000-0008-0000-0200-000070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1596</xdr:row>
      <xdr:rowOff>0</xdr:rowOff>
    </xdr:from>
    <xdr:ext cx="200025" cy="200025"/>
    <xdr:pic>
      <xdr:nvPicPr>
        <xdr:cNvPr id="2417" name="image1.png">
          <a:extLst>
            <a:ext uri="{FF2B5EF4-FFF2-40B4-BE49-F238E27FC236}">
              <a16:creationId xmlns:a16="http://schemas.microsoft.com/office/drawing/2014/main" id="{00000000-0008-0000-0200-000071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1597</xdr:row>
      <xdr:rowOff>0</xdr:rowOff>
    </xdr:from>
    <xdr:ext cx="200025" cy="200025"/>
    <xdr:pic>
      <xdr:nvPicPr>
        <xdr:cNvPr id="2418" name="image1.png">
          <a:extLst>
            <a:ext uri="{FF2B5EF4-FFF2-40B4-BE49-F238E27FC236}">
              <a16:creationId xmlns:a16="http://schemas.microsoft.com/office/drawing/2014/main" id="{00000000-0008-0000-0200-000072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1598</xdr:row>
      <xdr:rowOff>0</xdr:rowOff>
    </xdr:from>
    <xdr:ext cx="200025" cy="200025"/>
    <xdr:pic>
      <xdr:nvPicPr>
        <xdr:cNvPr id="2419" name="image8.png">
          <a:extLst>
            <a:ext uri="{FF2B5EF4-FFF2-40B4-BE49-F238E27FC236}">
              <a16:creationId xmlns:a16="http://schemas.microsoft.com/office/drawing/2014/main" id="{00000000-0008-0000-0200-000073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1598</xdr:row>
      <xdr:rowOff>0</xdr:rowOff>
    </xdr:from>
    <xdr:ext cx="200025" cy="200025"/>
    <xdr:pic>
      <xdr:nvPicPr>
        <xdr:cNvPr id="2420" name="image9.png">
          <a:extLst>
            <a:ext uri="{FF2B5EF4-FFF2-40B4-BE49-F238E27FC236}">
              <a16:creationId xmlns:a16="http://schemas.microsoft.com/office/drawing/2014/main" id="{00000000-0008-0000-0200-000074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1598</xdr:row>
      <xdr:rowOff>0</xdr:rowOff>
    </xdr:from>
    <xdr:ext cx="200025" cy="200025"/>
    <xdr:pic>
      <xdr:nvPicPr>
        <xdr:cNvPr id="2421" name="image5.png">
          <a:extLst>
            <a:ext uri="{FF2B5EF4-FFF2-40B4-BE49-F238E27FC236}">
              <a16:creationId xmlns:a16="http://schemas.microsoft.com/office/drawing/2014/main" id="{00000000-0008-0000-0200-000075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1602</xdr:row>
      <xdr:rowOff>0</xdr:rowOff>
    </xdr:from>
    <xdr:ext cx="200025" cy="200025"/>
    <xdr:pic>
      <xdr:nvPicPr>
        <xdr:cNvPr id="2422" name="image8.png">
          <a:extLst>
            <a:ext uri="{FF2B5EF4-FFF2-40B4-BE49-F238E27FC236}">
              <a16:creationId xmlns:a16="http://schemas.microsoft.com/office/drawing/2014/main" id="{00000000-0008-0000-0200-000076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1602</xdr:row>
      <xdr:rowOff>0</xdr:rowOff>
    </xdr:from>
    <xdr:ext cx="200025" cy="200025"/>
    <xdr:pic>
      <xdr:nvPicPr>
        <xdr:cNvPr id="2423" name="image1.png">
          <a:extLst>
            <a:ext uri="{FF2B5EF4-FFF2-40B4-BE49-F238E27FC236}">
              <a16:creationId xmlns:a16="http://schemas.microsoft.com/office/drawing/2014/main" id="{00000000-0008-0000-0200-000077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1602</xdr:row>
      <xdr:rowOff>0</xdr:rowOff>
    </xdr:from>
    <xdr:ext cx="200025" cy="200025"/>
    <xdr:pic>
      <xdr:nvPicPr>
        <xdr:cNvPr id="2424" name="image7.png">
          <a:extLst>
            <a:ext uri="{FF2B5EF4-FFF2-40B4-BE49-F238E27FC236}">
              <a16:creationId xmlns:a16="http://schemas.microsoft.com/office/drawing/2014/main" id="{00000000-0008-0000-0200-000078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1602</xdr:row>
      <xdr:rowOff>0</xdr:rowOff>
    </xdr:from>
    <xdr:ext cx="200025" cy="200025"/>
    <xdr:pic>
      <xdr:nvPicPr>
        <xdr:cNvPr id="2425" name="image11.png">
          <a:extLst>
            <a:ext uri="{FF2B5EF4-FFF2-40B4-BE49-F238E27FC236}">
              <a16:creationId xmlns:a16="http://schemas.microsoft.com/office/drawing/2014/main" id="{00000000-0008-0000-0200-000079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1603</xdr:row>
      <xdr:rowOff>0</xdr:rowOff>
    </xdr:from>
    <xdr:ext cx="200025" cy="200025"/>
    <xdr:pic>
      <xdr:nvPicPr>
        <xdr:cNvPr id="2426" name="image4.png">
          <a:extLst>
            <a:ext uri="{FF2B5EF4-FFF2-40B4-BE49-F238E27FC236}">
              <a16:creationId xmlns:a16="http://schemas.microsoft.com/office/drawing/2014/main" id="{00000000-0008-0000-0200-00007A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1604</xdr:row>
      <xdr:rowOff>0</xdr:rowOff>
    </xdr:from>
    <xdr:ext cx="200025" cy="200025"/>
    <xdr:pic>
      <xdr:nvPicPr>
        <xdr:cNvPr id="2427" name="image6.png">
          <a:extLst>
            <a:ext uri="{FF2B5EF4-FFF2-40B4-BE49-F238E27FC236}">
              <a16:creationId xmlns:a16="http://schemas.microsoft.com/office/drawing/2014/main" id="{00000000-0008-0000-0200-00007B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1605</xdr:row>
      <xdr:rowOff>0</xdr:rowOff>
    </xdr:from>
    <xdr:ext cx="200025" cy="200025"/>
    <xdr:pic>
      <xdr:nvPicPr>
        <xdr:cNvPr id="2428" name="image10.png">
          <a:extLst>
            <a:ext uri="{FF2B5EF4-FFF2-40B4-BE49-F238E27FC236}">
              <a16:creationId xmlns:a16="http://schemas.microsoft.com/office/drawing/2014/main" id="{00000000-0008-0000-0200-00007C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1605</xdr:row>
      <xdr:rowOff>0</xdr:rowOff>
    </xdr:from>
    <xdr:ext cx="200025" cy="200025"/>
    <xdr:pic>
      <xdr:nvPicPr>
        <xdr:cNvPr id="2429" name="image2.png">
          <a:extLst>
            <a:ext uri="{FF2B5EF4-FFF2-40B4-BE49-F238E27FC236}">
              <a16:creationId xmlns:a16="http://schemas.microsoft.com/office/drawing/2014/main" id="{00000000-0008-0000-0200-00007D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1605</xdr:row>
      <xdr:rowOff>0</xdr:rowOff>
    </xdr:from>
    <xdr:ext cx="200025" cy="200025"/>
    <xdr:pic>
      <xdr:nvPicPr>
        <xdr:cNvPr id="2430" name="image3.png">
          <a:extLst>
            <a:ext uri="{FF2B5EF4-FFF2-40B4-BE49-F238E27FC236}">
              <a16:creationId xmlns:a16="http://schemas.microsoft.com/office/drawing/2014/main" id="{00000000-0008-0000-0200-00007E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1606</xdr:row>
      <xdr:rowOff>0</xdr:rowOff>
    </xdr:from>
    <xdr:ext cx="200025" cy="200025"/>
    <xdr:pic>
      <xdr:nvPicPr>
        <xdr:cNvPr id="2431" name="image8.png">
          <a:extLst>
            <a:ext uri="{FF2B5EF4-FFF2-40B4-BE49-F238E27FC236}">
              <a16:creationId xmlns:a16="http://schemas.microsoft.com/office/drawing/2014/main" id="{00000000-0008-0000-0200-00007F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1606</xdr:row>
      <xdr:rowOff>0</xdr:rowOff>
    </xdr:from>
    <xdr:ext cx="200025" cy="200025"/>
    <xdr:pic>
      <xdr:nvPicPr>
        <xdr:cNvPr id="2432" name="image2.png">
          <a:extLst>
            <a:ext uri="{FF2B5EF4-FFF2-40B4-BE49-F238E27FC236}">
              <a16:creationId xmlns:a16="http://schemas.microsoft.com/office/drawing/2014/main" id="{00000000-0008-0000-0200-000080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1606</xdr:row>
      <xdr:rowOff>0</xdr:rowOff>
    </xdr:from>
    <xdr:ext cx="200025" cy="200025"/>
    <xdr:pic>
      <xdr:nvPicPr>
        <xdr:cNvPr id="2433" name="image12.png">
          <a:extLst>
            <a:ext uri="{FF2B5EF4-FFF2-40B4-BE49-F238E27FC236}">
              <a16:creationId xmlns:a16="http://schemas.microsoft.com/office/drawing/2014/main" id="{00000000-0008-0000-0200-000081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9</xdr:col>
      <xdr:colOff>0</xdr:colOff>
      <xdr:row>1609</xdr:row>
      <xdr:rowOff>0</xdr:rowOff>
    </xdr:from>
    <xdr:ext cx="200025" cy="200025"/>
    <xdr:pic>
      <xdr:nvPicPr>
        <xdr:cNvPr id="2434" name="image8.png">
          <a:extLst>
            <a:ext uri="{FF2B5EF4-FFF2-40B4-BE49-F238E27FC236}">
              <a16:creationId xmlns:a16="http://schemas.microsoft.com/office/drawing/2014/main" id="{00000000-0008-0000-0200-000082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1609</xdr:row>
      <xdr:rowOff>0</xdr:rowOff>
    </xdr:from>
    <xdr:ext cx="200025" cy="200025"/>
    <xdr:pic>
      <xdr:nvPicPr>
        <xdr:cNvPr id="2435" name="image1.png">
          <a:extLst>
            <a:ext uri="{FF2B5EF4-FFF2-40B4-BE49-F238E27FC236}">
              <a16:creationId xmlns:a16="http://schemas.microsoft.com/office/drawing/2014/main" id="{00000000-0008-0000-0200-000083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1609</xdr:row>
      <xdr:rowOff>0</xdr:rowOff>
    </xdr:from>
    <xdr:ext cx="200025" cy="200025"/>
    <xdr:pic>
      <xdr:nvPicPr>
        <xdr:cNvPr id="2436" name="image11.png">
          <a:extLst>
            <a:ext uri="{FF2B5EF4-FFF2-40B4-BE49-F238E27FC236}">
              <a16:creationId xmlns:a16="http://schemas.microsoft.com/office/drawing/2014/main" id="{00000000-0008-0000-0200-000084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1609</xdr:row>
      <xdr:rowOff>0</xdr:rowOff>
    </xdr:from>
    <xdr:ext cx="200025" cy="200025"/>
    <xdr:pic>
      <xdr:nvPicPr>
        <xdr:cNvPr id="2437" name="image1.png">
          <a:extLst>
            <a:ext uri="{FF2B5EF4-FFF2-40B4-BE49-F238E27FC236}">
              <a16:creationId xmlns:a16="http://schemas.microsoft.com/office/drawing/2014/main" id="{00000000-0008-0000-0200-000085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1610</xdr:row>
      <xdr:rowOff>0</xdr:rowOff>
    </xdr:from>
    <xdr:ext cx="200025" cy="200025"/>
    <xdr:pic>
      <xdr:nvPicPr>
        <xdr:cNvPr id="2438" name="image1.png">
          <a:extLst>
            <a:ext uri="{FF2B5EF4-FFF2-40B4-BE49-F238E27FC236}">
              <a16:creationId xmlns:a16="http://schemas.microsoft.com/office/drawing/2014/main" id="{00000000-0008-0000-0200-000086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1612</xdr:row>
      <xdr:rowOff>0</xdr:rowOff>
    </xdr:from>
    <xdr:ext cx="200025" cy="200025"/>
    <xdr:pic>
      <xdr:nvPicPr>
        <xdr:cNvPr id="2439" name="image10.png">
          <a:extLst>
            <a:ext uri="{FF2B5EF4-FFF2-40B4-BE49-F238E27FC236}">
              <a16:creationId xmlns:a16="http://schemas.microsoft.com/office/drawing/2014/main" id="{00000000-0008-0000-0200-000087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1612</xdr:row>
      <xdr:rowOff>0</xdr:rowOff>
    </xdr:from>
    <xdr:ext cx="200025" cy="200025"/>
    <xdr:pic>
      <xdr:nvPicPr>
        <xdr:cNvPr id="2440" name="image2.png">
          <a:extLst>
            <a:ext uri="{FF2B5EF4-FFF2-40B4-BE49-F238E27FC236}">
              <a16:creationId xmlns:a16="http://schemas.microsoft.com/office/drawing/2014/main" id="{00000000-0008-0000-0200-000088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1612</xdr:row>
      <xdr:rowOff>0</xdr:rowOff>
    </xdr:from>
    <xdr:ext cx="200025" cy="200025"/>
    <xdr:pic>
      <xdr:nvPicPr>
        <xdr:cNvPr id="2441" name="image5.png">
          <a:extLst>
            <a:ext uri="{FF2B5EF4-FFF2-40B4-BE49-F238E27FC236}">
              <a16:creationId xmlns:a16="http://schemas.microsoft.com/office/drawing/2014/main" id="{00000000-0008-0000-0200-000089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1612</xdr:row>
      <xdr:rowOff>0</xdr:rowOff>
    </xdr:from>
    <xdr:ext cx="200025" cy="200025"/>
    <xdr:pic>
      <xdr:nvPicPr>
        <xdr:cNvPr id="2442" name="image11.png">
          <a:extLst>
            <a:ext uri="{FF2B5EF4-FFF2-40B4-BE49-F238E27FC236}">
              <a16:creationId xmlns:a16="http://schemas.microsoft.com/office/drawing/2014/main" id="{00000000-0008-0000-0200-00008A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1612</xdr:row>
      <xdr:rowOff>0</xdr:rowOff>
    </xdr:from>
    <xdr:ext cx="200025" cy="200025"/>
    <xdr:pic>
      <xdr:nvPicPr>
        <xdr:cNvPr id="2443" name="image6.png">
          <a:extLst>
            <a:ext uri="{FF2B5EF4-FFF2-40B4-BE49-F238E27FC236}">
              <a16:creationId xmlns:a16="http://schemas.microsoft.com/office/drawing/2014/main" id="{00000000-0008-0000-0200-00008B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1613</xdr:row>
      <xdr:rowOff>0</xdr:rowOff>
    </xdr:from>
    <xdr:ext cx="200025" cy="200025"/>
    <xdr:pic>
      <xdr:nvPicPr>
        <xdr:cNvPr id="2444" name="image6.png">
          <a:extLst>
            <a:ext uri="{FF2B5EF4-FFF2-40B4-BE49-F238E27FC236}">
              <a16:creationId xmlns:a16="http://schemas.microsoft.com/office/drawing/2014/main" id="{00000000-0008-0000-0200-00008C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1614</xdr:row>
      <xdr:rowOff>0</xdr:rowOff>
    </xdr:from>
    <xdr:ext cx="200025" cy="200025"/>
    <xdr:pic>
      <xdr:nvPicPr>
        <xdr:cNvPr id="2445" name="image8.png">
          <a:extLst>
            <a:ext uri="{FF2B5EF4-FFF2-40B4-BE49-F238E27FC236}">
              <a16:creationId xmlns:a16="http://schemas.microsoft.com/office/drawing/2014/main" id="{00000000-0008-0000-0200-00008D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1614</xdr:row>
      <xdr:rowOff>0</xdr:rowOff>
    </xdr:from>
    <xdr:ext cx="200025" cy="200025"/>
    <xdr:pic>
      <xdr:nvPicPr>
        <xdr:cNvPr id="2446" name="image1.png">
          <a:extLst>
            <a:ext uri="{FF2B5EF4-FFF2-40B4-BE49-F238E27FC236}">
              <a16:creationId xmlns:a16="http://schemas.microsoft.com/office/drawing/2014/main" id="{00000000-0008-0000-0200-00008E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1614</xdr:row>
      <xdr:rowOff>0</xdr:rowOff>
    </xdr:from>
    <xdr:ext cx="200025" cy="200025"/>
    <xdr:pic>
      <xdr:nvPicPr>
        <xdr:cNvPr id="2447" name="image11.png">
          <a:extLst>
            <a:ext uri="{FF2B5EF4-FFF2-40B4-BE49-F238E27FC236}">
              <a16:creationId xmlns:a16="http://schemas.microsoft.com/office/drawing/2014/main" id="{00000000-0008-0000-0200-00008F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1615</xdr:row>
      <xdr:rowOff>0</xdr:rowOff>
    </xdr:from>
    <xdr:ext cx="200025" cy="200025"/>
    <xdr:pic>
      <xdr:nvPicPr>
        <xdr:cNvPr id="2448" name="image1.png">
          <a:extLst>
            <a:ext uri="{FF2B5EF4-FFF2-40B4-BE49-F238E27FC236}">
              <a16:creationId xmlns:a16="http://schemas.microsoft.com/office/drawing/2014/main" id="{00000000-0008-0000-0200-000090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1616</xdr:row>
      <xdr:rowOff>0</xdr:rowOff>
    </xdr:from>
    <xdr:ext cx="200025" cy="200025"/>
    <xdr:pic>
      <xdr:nvPicPr>
        <xdr:cNvPr id="2449" name="image1.png">
          <a:extLst>
            <a:ext uri="{FF2B5EF4-FFF2-40B4-BE49-F238E27FC236}">
              <a16:creationId xmlns:a16="http://schemas.microsoft.com/office/drawing/2014/main" id="{00000000-0008-0000-0200-000091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1618</xdr:row>
      <xdr:rowOff>0</xdr:rowOff>
    </xdr:from>
    <xdr:ext cx="200025" cy="200025"/>
    <xdr:pic>
      <xdr:nvPicPr>
        <xdr:cNvPr id="2450" name="image10.png">
          <a:extLst>
            <a:ext uri="{FF2B5EF4-FFF2-40B4-BE49-F238E27FC236}">
              <a16:creationId xmlns:a16="http://schemas.microsoft.com/office/drawing/2014/main" id="{00000000-0008-0000-0200-000092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1618</xdr:row>
      <xdr:rowOff>0</xdr:rowOff>
    </xdr:from>
    <xdr:ext cx="200025" cy="200025"/>
    <xdr:pic>
      <xdr:nvPicPr>
        <xdr:cNvPr id="2451" name="image6.png">
          <a:extLst>
            <a:ext uri="{FF2B5EF4-FFF2-40B4-BE49-F238E27FC236}">
              <a16:creationId xmlns:a16="http://schemas.microsoft.com/office/drawing/2014/main" id="{00000000-0008-0000-0200-000093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1618</xdr:row>
      <xdr:rowOff>0</xdr:rowOff>
    </xdr:from>
    <xdr:ext cx="200025" cy="200025"/>
    <xdr:pic>
      <xdr:nvPicPr>
        <xdr:cNvPr id="2452" name="image11.png">
          <a:extLst>
            <a:ext uri="{FF2B5EF4-FFF2-40B4-BE49-F238E27FC236}">
              <a16:creationId xmlns:a16="http://schemas.microsoft.com/office/drawing/2014/main" id="{00000000-0008-0000-0200-000094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1624</xdr:row>
      <xdr:rowOff>0</xdr:rowOff>
    </xdr:from>
    <xdr:ext cx="200025" cy="200025"/>
    <xdr:pic>
      <xdr:nvPicPr>
        <xdr:cNvPr id="2453" name="image10.png">
          <a:extLst>
            <a:ext uri="{FF2B5EF4-FFF2-40B4-BE49-F238E27FC236}">
              <a16:creationId xmlns:a16="http://schemas.microsoft.com/office/drawing/2014/main" id="{00000000-0008-0000-0200-000095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1624</xdr:row>
      <xdr:rowOff>0</xdr:rowOff>
    </xdr:from>
    <xdr:ext cx="200025" cy="200025"/>
    <xdr:pic>
      <xdr:nvPicPr>
        <xdr:cNvPr id="2454" name="image2.png">
          <a:extLst>
            <a:ext uri="{FF2B5EF4-FFF2-40B4-BE49-F238E27FC236}">
              <a16:creationId xmlns:a16="http://schemas.microsoft.com/office/drawing/2014/main" id="{00000000-0008-0000-0200-000096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1624</xdr:row>
      <xdr:rowOff>0</xdr:rowOff>
    </xdr:from>
    <xdr:ext cx="200025" cy="200025"/>
    <xdr:pic>
      <xdr:nvPicPr>
        <xdr:cNvPr id="2455" name="image7.png">
          <a:extLst>
            <a:ext uri="{FF2B5EF4-FFF2-40B4-BE49-F238E27FC236}">
              <a16:creationId xmlns:a16="http://schemas.microsoft.com/office/drawing/2014/main" id="{00000000-0008-0000-0200-000097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1624</xdr:row>
      <xdr:rowOff>0</xdr:rowOff>
    </xdr:from>
    <xdr:ext cx="200025" cy="200025"/>
    <xdr:pic>
      <xdr:nvPicPr>
        <xdr:cNvPr id="2456" name="image8.png">
          <a:extLst>
            <a:ext uri="{FF2B5EF4-FFF2-40B4-BE49-F238E27FC236}">
              <a16:creationId xmlns:a16="http://schemas.microsoft.com/office/drawing/2014/main" id="{00000000-0008-0000-0200-000098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1625</xdr:row>
      <xdr:rowOff>0</xdr:rowOff>
    </xdr:from>
    <xdr:ext cx="200025" cy="200025"/>
    <xdr:pic>
      <xdr:nvPicPr>
        <xdr:cNvPr id="2457" name="image8.png">
          <a:extLst>
            <a:ext uri="{FF2B5EF4-FFF2-40B4-BE49-F238E27FC236}">
              <a16:creationId xmlns:a16="http://schemas.microsoft.com/office/drawing/2014/main" id="{00000000-0008-0000-0200-000099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1626</xdr:row>
      <xdr:rowOff>0</xdr:rowOff>
    </xdr:from>
    <xdr:ext cx="200025" cy="200025"/>
    <xdr:pic>
      <xdr:nvPicPr>
        <xdr:cNvPr id="2458" name="image8.png">
          <a:extLst>
            <a:ext uri="{FF2B5EF4-FFF2-40B4-BE49-F238E27FC236}">
              <a16:creationId xmlns:a16="http://schemas.microsoft.com/office/drawing/2014/main" id="{00000000-0008-0000-0200-00009A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1628</xdr:row>
      <xdr:rowOff>0</xdr:rowOff>
    </xdr:from>
    <xdr:ext cx="200025" cy="200025"/>
    <xdr:pic>
      <xdr:nvPicPr>
        <xdr:cNvPr id="2459" name="image2.png">
          <a:extLst>
            <a:ext uri="{FF2B5EF4-FFF2-40B4-BE49-F238E27FC236}">
              <a16:creationId xmlns:a16="http://schemas.microsoft.com/office/drawing/2014/main" id="{00000000-0008-0000-0200-00009B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1628</xdr:row>
      <xdr:rowOff>0</xdr:rowOff>
    </xdr:from>
    <xdr:ext cx="200025" cy="200025"/>
    <xdr:pic>
      <xdr:nvPicPr>
        <xdr:cNvPr id="2460" name="image6.png">
          <a:extLst>
            <a:ext uri="{FF2B5EF4-FFF2-40B4-BE49-F238E27FC236}">
              <a16:creationId xmlns:a16="http://schemas.microsoft.com/office/drawing/2014/main" id="{00000000-0008-0000-0200-00009C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1628</xdr:row>
      <xdr:rowOff>0</xdr:rowOff>
    </xdr:from>
    <xdr:ext cx="200025" cy="200025"/>
    <xdr:pic>
      <xdr:nvPicPr>
        <xdr:cNvPr id="2461" name="image12.png">
          <a:extLst>
            <a:ext uri="{FF2B5EF4-FFF2-40B4-BE49-F238E27FC236}">
              <a16:creationId xmlns:a16="http://schemas.microsoft.com/office/drawing/2014/main" id="{00000000-0008-0000-0200-00009D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1628</xdr:row>
      <xdr:rowOff>0</xdr:rowOff>
    </xdr:from>
    <xdr:ext cx="200025" cy="200025"/>
    <xdr:pic>
      <xdr:nvPicPr>
        <xdr:cNvPr id="2462" name="image9.png">
          <a:extLst>
            <a:ext uri="{FF2B5EF4-FFF2-40B4-BE49-F238E27FC236}">
              <a16:creationId xmlns:a16="http://schemas.microsoft.com/office/drawing/2014/main" id="{00000000-0008-0000-0200-00009E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1629</xdr:row>
      <xdr:rowOff>0</xdr:rowOff>
    </xdr:from>
    <xdr:ext cx="200025" cy="200025"/>
    <xdr:pic>
      <xdr:nvPicPr>
        <xdr:cNvPr id="2463" name="image9.png">
          <a:extLst>
            <a:ext uri="{FF2B5EF4-FFF2-40B4-BE49-F238E27FC236}">
              <a16:creationId xmlns:a16="http://schemas.microsoft.com/office/drawing/2014/main" id="{00000000-0008-0000-0200-00009F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1630</xdr:row>
      <xdr:rowOff>0</xdr:rowOff>
    </xdr:from>
    <xdr:ext cx="200025" cy="200025"/>
    <xdr:pic>
      <xdr:nvPicPr>
        <xdr:cNvPr id="2464" name="image9.png">
          <a:extLst>
            <a:ext uri="{FF2B5EF4-FFF2-40B4-BE49-F238E27FC236}">
              <a16:creationId xmlns:a16="http://schemas.microsoft.com/office/drawing/2014/main" id="{00000000-0008-0000-0200-0000A0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1635</xdr:row>
      <xdr:rowOff>0</xdr:rowOff>
    </xdr:from>
    <xdr:ext cx="200025" cy="200025"/>
    <xdr:pic>
      <xdr:nvPicPr>
        <xdr:cNvPr id="2465" name="image10.png">
          <a:extLst>
            <a:ext uri="{FF2B5EF4-FFF2-40B4-BE49-F238E27FC236}">
              <a16:creationId xmlns:a16="http://schemas.microsoft.com/office/drawing/2014/main" id="{00000000-0008-0000-0200-0000A1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1635</xdr:row>
      <xdr:rowOff>0</xdr:rowOff>
    </xdr:from>
    <xdr:ext cx="200025" cy="200025"/>
    <xdr:pic>
      <xdr:nvPicPr>
        <xdr:cNvPr id="2466" name="image6.png">
          <a:extLst>
            <a:ext uri="{FF2B5EF4-FFF2-40B4-BE49-F238E27FC236}">
              <a16:creationId xmlns:a16="http://schemas.microsoft.com/office/drawing/2014/main" id="{00000000-0008-0000-0200-0000A2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1635</xdr:row>
      <xdr:rowOff>0</xdr:rowOff>
    </xdr:from>
    <xdr:ext cx="200025" cy="200025"/>
    <xdr:pic>
      <xdr:nvPicPr>
        <xdr:cNvPr id="2467" name="image12.png">
          <a:extLst>
            <a:ext uri="{FF2B5EF4-FFF2-40B4-BE49-F238E27FC236}">
              <a16:creationId xmlns:a16="http://schemas.microsoft.com/office/drawing/2014/main" id="{00000000-0008-0000-0200-0000A3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1635</xdr:row>
      <xdr:rowOff>0</xdr:rowOff>
    </xdr:from>
    <xdr:ext cx="200025" cy="200025"/>
    <xdr:pic>
      <xdr:nvPicPr>
        <xdr:cNvPr id="2468" name="image5.png">
          <a:extLst>
            <a:ext uri="{FF2B5EF4-FFF2-40B4-BE49-F238E27FC236}">
              <a16:creationId xmlns:a16="http://schemas.microsoft.com/office/drawing/2014/main" id="{00000000-0008-0000-0200-0000A4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1636</xdr:row>
      <xdr:rowOff>0</xdr:rowOff>
    </xdr:from>
    <xdr:ext cx="200025" cy="200025"/>
    <xdr:pic>
      <xdr:nvPicPr>
        <xdr:cNvPr id="2469" name="image6.png">
          <a:extLst>
            <a:ext uri="{FF2B5EF4-FFF2-40B4-BE49-F238E27FC236}">
              <a16:creationId xmlns:a16="http://schemas.microsoft.com/office/drawing/2014/main" id="{00000000-0008-0000-0200-0000A5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1640</xdr:row>
      <xdr:rowOff>0</xdr:rowOff>
    </xdr:from>
    <xdr:ext cx="200025" cy="200025"/>
    <xdr:pic>
      <xdr:nvPicPr>
        <xdr:cNvPr id="2470" name="image10.png">
          <a:extLst>
            <a:ext uri="{FF2B5EF4-FFF2-40B4-BE49-F238E27FC236}">
              <a16:creationId xmlns:a16="http://schemas.microsoft.com/office/drawing/2014/main" id="{00000000-0008-0000-0200-0000A6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1640</xdr:row>
      <xdr:rowOff>0</xdr:rowOff>
    </xdr:from>
    <xdr:ext cx="200025" cy="200025"/>
    <xdr:pic>
      <xdr:nvPicPr>
        <xdr:cNvPr id="2471" name="image4.png">
          <a:extLst>
            <a:ext uri="{FF2B5EF4-FFF2-40B4-BE49-F238E27FC236}">
              <a16:creationId xmlns:a16="http://schemas.microsoft.com/office/drawing/2014/main" id="{00000000-0008-0000-0200-0000A7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1640</xdr:row>
      <xdr:rowOff>0</xdr:rowOff>
    </xdr:from>
    <xdr:ext cx="200025" cy="200025"/>
    <xdr:pic>
      <xdr:nvPicPr>
        <xdr:cNvPr id="2472" name="image7.png">
          <a:extLst>
            <a:ext uri="{FF2B5EF4-FFF2-40B4-BE49-F238E27FC236}">
              <a16:creationId xmlns:a16="http://schemas.microsoft.com/office/drawing/2014/main" id="{00000000-0008-0000-0200-0000A8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1641</xdr:row>
      <xdr:rowOff>0</xdr:rowOff>
    </xdr:from>
    <xdr:ext cx="200025" cy="200025"/>
    <xdr:pic>
      <xdr:nvPicPr>
        <xdr:cNvPr id="2473" name="image9.png">
          <a:extLst>
            <a:ext uri="{FF2B5EF4-FFF2-40B4-BE49-F238E27FC236}">
              <a16:creationId xmlns:a16="http://schemas.microsoft.com/office/drawing/2014/main" id="{00000000-0008-0000-0200-0000A9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1642</xdr:row>
      <xdr:rowOff>0</xdr:rowOff>
    </xdr:from>
    <xdr:ext cx="200025" cy="200025"/>
    <xdr:pic>
      <xdr:nvPicPr>
        <xdr:cNvPr id="2474" name="image9.png">
          <a:extLst>
            <a:ext uri="{FF2B5EF4-FFF2-40B4-BE49-F238E27FC236}">
              <a16:creationId xmlns:a16="http://schemas.microsoft.com/office/drawing/2014/main" id="{00000000-0008-0000-0200-0000AA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1644</xdr:row>
      <xdr:rowOff>0</xdr:rowOff>
    </xdr:from>
    <xdr:ext cx="200025" cy="200025"/>
    <xdr:pic>
      <xdr:nvPicPr>
        <xdr:cNvPr id="2475" name="image5.png">
          <a:extLst>
            <a:ext uri="{FF2B5EF4-FFF2-40B4-BE49-F238E27FC236}">
              <a16:creationId xmlns:a16="http://schemas.microsoft.com/office/drawing/2014/main" id="{00000000-0008-0000-0200-0000AB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1644</xdr:row>
      <xdr:rowOff>0</xdr:rowOff>
    </xdr:from>
    <xdr:ext cx="200025" cy="200025"/>
    <xdr:pic>
      <xdr:nvPicPr>
        <xdr:cNvPr id="2476" name="image3.png">
          <a:extLst>
            <a:ext uri="{FF2B5EF4-FFF2-40B4-BE49-F238E27FC236}">
              <a16:creationId xmlns:a16="http://schemas.microsoft.com/office/drawing/2014/main" id="{00000000-0008-0000-0200-0000AC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1644</xdr:row>
      <xdr:rowOff>0</xdr:rowOff>
    </xdr:from>
    <xdr:ext cx="200025" cy="200025"/>
    <xdr:pic>
      <xdr:nvPicPr>
        <xdr:cNvPr id="2477" name="image11.png">
          <a:extLst>
            <a:ext uri="{FF2B5EF4-FFF2-40B4-BE49-F238E27FC236}">
              <a16:creationId xmlns:a16="http://schemas.microsoft.com/office/drawing/2014/main" id="{00000000-0008-0000-0200-0000AD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1645</xdr:row>
      <xdr:rowOff>0</xdr:rowOff>
    </xdr:from>
    <xdr:ext cx="200025" cy="200025"/>
    <xdr:pic>
      <xdr:nvPicPr>
        <xdr:cNvPr id="2478" name="image10.png">
          <a:extLst>
            <a:ext uri="{FF2B5EF4-FFF2-40B4-BE49-F238E27FC236}">
              <a16:creationId xmlns:a16="http://schemas.microsoft.com/office/drawing/2014/main" id="{00000000-0008-0000-0200-0000AE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1645</xdr:row>
      <xdr:rowOff>0</xdr:rowOff>
    </xdr:from>
    <xdr:ext cx="200025" cy="200025"/>
    <xdr:pic>
      <xdr:nvPicPr>
        <xdr:cNvPr id="2479" name="image1.png">
          <a:extLst>
            <a:ext uri="{FF2B5EF4-FFF2-40B4-BE49-F238E27FC236}">
              <a16:creationId xmlns:a16="http://schemas.microsoft.com/office/drawing/2014/main" id="{00000000-0008-0000-0200-0000AF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1645</xdr:row>
      <xdr:rowOff>0</xdr:rowOff>
    </xdr:from>
    <xdr:ext cx="200025" cy="200025"/>
    <xdr:pic>
      <xdr:nvPicPr>
        <xdr:cNvPr id="2480" name="image12.png">
          <a:extLst>
            <a:ext uri="{FF2B5EF4-FFF2-40B4-BE49-F238E27FC236}">
              <a16:creationId xmlns:a16="http://schemas.microsoft.com/office/drawing/2014/main" id="{00000000-0008-0000-0200-0000B0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1645</xdr:row>
      <xdr:rowOff>0</xdr:rowOff>
    </xdr:from>
    <xdr:ext cx="200025" cy="200025"/>
    <xdr:pic>
      <xdr:nvPicPr>
        <xdr:cNvPr id="2481" name="image9.png">
          <a:extLst>
            <a:ext uri="{FF2B5EF4-FFF2-40B4-BE49-F238E27FC236}">
              <a16:creationId xmlns:a16="http://schemas.microsoft.com/office/drawing/2014/main" id="{00000000-0008-0000-0200-0000B1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1646</xdr:row>
      <xdr:rowOff>0</xdr:rowOff>
    </xdr:from>
    <xdr:ext cx="200025" cy="200025"/>
    <xdr:pic>
      <xdr:nvPicPr>
        <xdr:cNvPr id="2482" name="image9.png">
          <a:extLst>
            <a:ext uri="{FF2B5EF4-FFF2-40B4-BE49-F238E27FC236}">
              <a16:creationId xmlns:a16="http://schemas.microsoft.com/office/drawing/2014/main" id="{00000000-0008-0000-0200-0000B2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1648</xdr:row>
      <xdr:rowOff>0</xdr:rowOff>
    </xdr:from>
    <xdr:ext cx="200025" cy="200025"/>
    <xdr:pic>
      <xdr:nvPicPr>
        <xdr:cNvPr id="2483" name="image12.png">
          <a:extLst>
            <a:ext uri="{FF2B5EF4-FFF2-40B4-BE49-F238E27FC236}">
              <a16:creationId xmlns:a16="http://schemas.microsoft.com/office/drawing/2014/main" id="{00000000-0008-0000-0200-0000B3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10</xdr:col>
      <xdr:colOff>0</xdr:colOff>
      <xdr:row>1648</xdr:row>
      <xdr:rowOff>0</xdr:rowOff>
    </xdr:from>
    <xdr:ext cx="200025" cy="200025"/>
    <xdr:pic>
      <xdr:nvPicPr>
        <xdr:cNvPr id="2484" name="image3.png">
          <a:extLst>
            <a:ext uri="{FF2B5EF4-FFF2-40B4-BE49-F238E27FC236}">
              <a16:creationId xmlns:a16="http://schemas.microsoft.com/office/drawing/2014/main" id="{00000000-0008-0000-0200-0000B4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1648</xdr:row>
      <xdr:rowOff>0</xdr:rowOff>
    </xdr:from>
    <xdr:ext cx="200025" cy="200025"/>
    <xdr:pic>
      <xdr:nvPicPr>
        <xdr:cNvPr id="2485" name="image11.png">
          <a:extLst>
            <a:ext uri="{FF2B5EF4-FFF2-40B4-BE49-F238E27FC236}">
              <a16:creationId xmlns:a16="http://schemas.microsoft.com/office/drawing/2014/main" id="{00000000-0008-0000-0200-0000B5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1650</xdr:row>
      <xdr:rowOff>0</xdr:rowOff>
    </xdr:from>
    <xdr:ext cx="200025" cy="200025"/>
    <xdr:pic>
      <xdr:nvPicPr>
        <xdr:cNvPr id="2486" name="image8.png">
          <a:extLst>
            <a:ext uri="{FF2B5EF4-FFF2-40B4-BE49-F238E27FC236}">
              <a16:creationId xmlns:a16="http://schemas.microsoft.com/office/drawing/2014/main" id="{00000000-0008-0000-0200-0000B6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1650</xdr:row>
      <xdr:rowOff>0</xdr:rowOff>
    </xdr:from>
    <xdr:ext cx="200025" cy="200025"/>
    <xdr:pic>
      <xdr:nvPicPr>
        <xdr:cNvPr id="2487" name="image2.png">
          <a:extLst>
            <a:ext uri="{FF2B5EF4-FFF2-40B4-BE49-F238E27FC236}">
              <a16:creationId xmlns:a16="http://schemas.microsoft.com/office/drawing/2014/main" id="{00000000-0008-0000-0200-0000B7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1650</xdr:row>
      <xdr:rowOff>0</xdr:rowOff>
    </xdr:from>
    <xdr:ext cx="200025" cy="200025"/>
    <xdr:pic>
      <xdr:nvPicPr>
        <xdr:cNvPr id="2488" name="image12.png">
          <a:extLst>
            <a:ext uri="{FF2B5EF4-FFF2-40B4-BE49-F238E27FC236}">
              <a16:creationId xmlns:a16="http://schemas.microsoft.com/office/drawing/2014/main" id="{00000000-0008-0000-0200-0000B8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1650</xdr:row>
      <xdr:rowOff>0</xdr:rowOff>
    </xdr:from>
    <xdr:ext cx="200025" cy="200025"/>
    <xdr:pic>
      <xdr:nvPicPr>
        <xdr:cNvPr id="2489" name="image9.png">
          <a:extLst>
            <a:ext uri="{FF2B5EF4-FFF2-40B4-BE49-F238E27FC236}">
              <a16:creationId xmlns:a16="http://schemas.microsoft.com/office/drawing/2014/main" id="{00000000-0008-0000-0200-0000B9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1651</xdr:row>
      <xdr:rowOff>0</xdr:rowOff>
    </xdr:from>
    <xdr:ext cx="200025" cy="200025"/>
    <xdr:pic>
      <xdr:nvPicPr>
        <xdr:cNvPr id="2490" name="image9.png">
          <a:extLst>
            <a:ext uri="{FF2B5EF4-FFF2-40B4-BE49-F238E27FC236}">
              <a16:creationId xmlns:a16="http://schemas.microsoft.com/office/drawing/2014/main" id="{00000000-0008-0000-0200-0000BA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1652</xdr:row>
      <xdr:rowOff>0</xdr:rowOff>
    </xdr:from>
    <xdr:ext cx="200025" cy="200025"/>
    <xdr:pic>
      <xdr:nvPicPr>
        <xdr:cNvPr id="2491" name="image10.png">
          <a:extLst>
            <a:ext uri="{FF2B5EF4-FFF2-40B4-BE49-F238E27FC236}">
              <a16:creationId xmlns:a16="http://schemas.microsoft.com/office/drawing/2014/main" id="{00000000-0008-0000-0200-0000BB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1652</xdr:row>
      <xdr:rowOff>0</xdr:rowOff>
    </xdr:from>
    <xdr:ext cx="200025" cy="200025"/>
    <xdr:pic>
      <xdr:nvPicPr>
        <xdr:cNvPr id="2492" name="image2.png">
          <a:extLst>
            <a:ext uri="{FF2B5EF4-FFF2-40B4-BE49-F238E27FC236}">
              <a16:creationId xmlns:a16="http://schemas.microsoft.com/office/drawing/2014/main" id="{00000000-0008-0000-0200-0000BC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1652</xdr:row>
      <xdr:rowOff>0</xdr:rowOff>
    </xdr:from>
    <xdr:ext cx="200025" cy="200025"/>
    <xdr:pic>
      <xdr:nvPicPr>
        <xdr:cNvPr id="2493" name="image5.png">
          <a:extLst>
            <a:ext uri="{FF2B5EF4-FFF2-40B4-BE49-F238E27FC236}">
              <a16:creationId xmlns:a16="http://schemas.microsoft.com/office/drawing/2014/main" id="{00000000-0008-0000-0200-0000BD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1652</xdr:row>
      <xdr:rowOff>0</xdr:rowOff>
    </xdr:from>
    <xdr:ext cx="200025" cy="200025"/>
    <xdr:pic>
      <xdr:nvPicPr>
        <xdr:cNvPr id="2494" name="image8.png">
          <a:extLst>
            <a:ext uri="{FF2B5EF4-FFF2-40B4-BE49-F238E27FC236}">
              <a16:creationId xmlns:a16="http://schemas.microsoft.com/office/drawing/2014/main" id="{00000000-0008-0000-0200-0000BE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1653</xdr:row>
      <xdr:rowOff>0</xdr:rowOff>
    </xdr:from>
    <xdr:ext cx="200025" cy="200025"/>
    <xdr:pic>
      <xdr:nvPicPr>
        <xdr:cNvPr id="2495" name="image8.png">
          <a:extLst>
            <a:ext uri="{FF2B5EF4-FFF2-40B4-BE49-F238E27FC236}">
              <a16:creationId xmlns:a16="http://schemas.microsoft.com/office/drawing/2014/main" id="{00000000-0008-0000-0200-0000BF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1654</xdr:row>
      <xdr:rowOff>0</xdr:rowOff>
    </xdr:from>
    <xdr:ext cx="200025" cy="200025"/>
    <xdr:pic>
      <xdr:nvPicPr>
        <xdr:cNvPr id="2496" name="image10.png">
          <a:extLst>
            <a:ext uri="{FF2B5EF4-FFF2-40B4-BE49-F238E27FC236}">
              <a16:creationId xmlns:a16="http://schemas.microsoft.com/office/drawing/2014/main" id="{00000000-0008-0000-0200-0000C0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1654</xdr:row>
      <xdr:rowOff>0</xdr:rowOff>
    </xdr:from>
    <xdr:ext cx="200025" cy="200025"/>
    <xdr:pic>
      <xdr:nvPicPr>
        <xdr:cNvPr id="2497" name="image2.png">
          <a:extLst>
            <a:ext uri="{FF2B5EF4-FFF2-40B4-BE49-F238E27FC236}">
              <a16:creationId xmlns:a16="http://schemas.microsoft.com/office/drawing/2014/main" id="{00000000-0008-0000-0200-0000C1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1654</xdr:row>
      <xdr:rowOff>0</xdr:rowOff>
    </xdr:from>
    <xdr:ext cx="200025" cy="200025"/>
    <xdr:pic>
      <xdr:nvPicPr>
        <xdr:cNvPr id="2498" name="image12.png">
          <a:extLst>
            <a:ext uri="{FF2B5EF4-FFF2-40B4-BE49-F238E27FC236}">
              <a16:creationId xmlns:a16="http://schemas.microsoft.com/office/drawing/2014/main" id="{00000000-0008-0000-0200-0000C2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1655</xdr:row>
      <xdr:rowOff>0</xdr:rowOff>
    </xdr:from>
    <xdr:ext cx="200025" cy="200025"/>
    <xdr:pic>
      <xdr:nvPicPr>
        <xdr:cNvPr id="2499" name="image8.png">
          <a:extLst>
            <a:ext uri="{FF2B5EF4-FFF2-40B4-BE49-F238E27FC236}">
              <a16:creationId xmlns:a16="http://schemas.microsoft.com/office/drawing/2014/main" id="{00000000-0008-0000-0200-0000C3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1656</xdr:row>
      <xdr:rowOff>0</xdr:rowOff>
    </xdr:from>
    <xdr:ext cx="200025" cy="200025"/>
    <xdr:pic>
      <xdr:nvPicPr>
        <xdr:cNvPr id="2500" name="image8.png">
          <a:extLst>
            <a:ext uri="{FF2B5EF4-FFF2-40B4-BE49-F238E27FC236}">
              <a16:creationId xmlns:a16="http://schemas.microsoft.com/office/drawing/2014/main" id="{00000000-0008-0000-0200-0000C4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1657</xdr:row>
      <xdr:rowOff>0</xdr:rowOff>
    </xdr:from>
    <xdr:ext cx="200025" cy="200025"/>
    <xdr:pic>
      <xdr:nvPicPr>
        <xdr:cNvPr id="2501" name="image10.png">
          <a:extLst>
            <a:ext uri="{FF2B5EF4-FFF2-40B4-BE49-F238E27FC236}">
              <a16:creationId xmlns:a16="http://schemas.microsoft.com/office/drawing/2014/main" id="{00000000-0008-0000-0200-0000C5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1657</xdr:row>
      <xdr:rowOff>0</xdr:rowOff>
    </xdr:from>
    <xdr:ext cx="200025" cy="200025"/>
    <xdr:pic>
      <xdr:nvPicPr>
        <xdr:cNvPr id="2502" name="image9.png">
          <a:extLst>
            <a:ext uri="{FF2B5EF4-FFF2-40B4-BE49-F238E27FC236}">
              <a16:creationId xmlns:a16="http://schemas.microsoft.com/office/drawing/2014/main" id="{00000000-0008-0000-0200-0000C6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1657</xdr:row>
      <xdr:rowOff>0</xdr:rowOff>
    </xdr:from>
    <xdr:ext cx="200025" cy="200025"/>
    <xdr:pic>
      <xdr:nvPicPr>
        <xdr:cNvPr id="2503" name="image1.png">
          <a:extLst>
            <a:ext uri="{FF2B5EF4-FFF2-40B4-BE49-F238E27FC236}">
              <a16:creationId xmlns:a16="http://schemas.microsoft.com/office/drawing/2014/main" id="{00000000-0008-0000-0200-0000C7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1657</xdr:row>
      <xdr:rowOff>0</xdr:rowOff>
    </xdr:from>
    <xdr:ext cx="200025" cy="200025"/>
    <xdr:pic>
      <xdr:nvPicPr>
        <xdr:cNvPr id="2504" name="image10.png">
          <a:extLst>
            <a:ext uri="{FF2B5EF4-FFF2-40B4-BE49-F238E27FC236}">
              <a16:creationId xmlns:a16="http://schemas.microsoft.com/office/drawing/2014/main" id="{00000000-0008-0000-0200-0000C8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1658</xdr:row>
      <xdr:rowOff>0</xdr:rowOff>
    </xdr:from>
    <xdr:ext cx="200025" cy="200025"/>
    <xdr:pic>
      <xdr:nvPicPr>
        <xdr:cNvPr id="2505" name="image10.png">
          <a:extLst>
            <a:ext uri="{FF2B5EF4-FFF2-40B4-BE49-F238E27FC236}">
              <a16:creationId xmlns:a16="http://schemas.microsoft.com/office/drawing/2014/main" id="{00000000-0008-0000-0200-0000C9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1659</xdr:row>
      <xdr:rowOff>0</xdr:rowOff>
    </xdr:from>
    <xdr:ext cx="200025" cy="200025"/>
    <xdr:pic>
      <xdr:nvPicPr>
        <xdr:cNvPr id="2506" name="image10.png">
          <a:extLst>
            <a:ext uri="{FF2B5EF4-FFF2-40B4-BE49-F238E27FC236}">
              <a16:creationId xmlns:a16="http://schemas.microsoft.com/office/drawing/2014/main" id="{00000000-0008-0000-0200-0000CA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1660</xdr:row>
      <xdr:rowOff>0</xdr:rowOff>
    </xdr:from>
    <xdr:ext cx="200025" cy="200025"/>
    <xdr:pic>
      <xdr:nvPicPr>
        <xdr:cNvPr id="2507" name="image8.png">
          <a:extLst>
            <a:ext uri="{FF2B5EF4-FFF2-40B4-BE49-F238E27FC236}">
              <a16:creationId xmlns:a16="http://schemas.microsoft.com/office/drawing/2014/main" id="{00000000-0008-0000-0200-0000CB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1660</xdr:row>
      <xdr:rowOff>0</xdr:rowOff>
    </xdr:from>
    <xdr:ext cx="200025" cy="200025"/>
    <xdr:pic>
      <xdr:nvPicPr>
        <xdr:cNvPr id="2508" name="image3.png">
          <a:extLst>
            <a:ext uri="{FF2B5EF4-FFF2-40B4-BE49-F238E27FC236}">
              <a16:creationId xmlns:a16="http://schemas.microsoft.com/office/drawing/2014/main" id="{00000000-0008-0000-0200-0000CC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1661</xdr:row>
      <xdr:rowOff>0</xdr:rowOff>
    </xdr:from>
    <xdr:ext cx="200025" cy="200025"/>
    <xdr:pic>
      <xdr:nvPicPr>
        <xdr:cNvPr id="2509" name="image4.png">
          <a:extLst>
            <a:ext uri="{FF2B5EF4-FFF2-40B4-BE49-F238E27FC236}">
              <a16:creationId xmlns:a16="http://schemas.microsoft.com/office/drawing/2014/main" id="{00000000-0008-0000-0200-0000CD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1662</xdr:row>
      <xdr:rowOff>0</xdr:rowOff>
    </xdr:from>
    <xdr:ext cx="200025" cy="200025"/>
    <xdr:pic>
      <xdr:nvPicPr>
        <xdr:cNvPr id="2510" name="image2.png">
          <a:extLst>
            <a:ext uri="{FF2B5EF4-FFF2-40B4-BE49-F238E27FC236}">
              <a16:creationId xmlns:a16="http://schemas.microsoft.com/office/drawing/2014/main" id="{00000000-0008-0000-0200-0000CE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1663</xdr:row>
      <xdr:rowOff>0</xdr:rowOff>
    </xdr:from>
    <xdr:ext cx="200025" cy="200025"/>
    <xdr:pic>
      <xdr:nvPicPr>
        <xdr:cNvPr id="2511" name="image8.png">
          <a:extLst>
            <a:ext uri="{FF2B5EF4-FFF2-40B4-BE49-F238E27FC236}">
              <a16:creationId xmlns:a16="http://schemas.microsoft.com/office/drawing/2014/main" id="{00000000-0008-0000-0200-0000CF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1663</xdr:row>
      <xdr:rowOff>0</xdr:rowOff>
    </xdr:from>
    <xdr:ext cx="200025" cy="200025"/>
    <xdr:pic>
      <xdr:nvPicPr>
        <xdr:cNvPr id="2512" name="image2.png">
          <a:extLst>
            <a:ext uri="{FF2B5EF4-FFF2-40B4-BE49-F238E27FC236}">
              <a16:creationId xmlns:a16="http://schemas.microsoft.com/office/drawing/2014/main" id="{00000000-0008-0000-0200-0000D0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1663</xdr:row>
      <xdr:rowOff>0</xdr:rowOff>
    </xdr:from>
    <xdr:ext cx="200025" cy="200025"/>
    <xdr:pic>
      <xdr:nvPicPr>
        <xdr:cNvPr id="2513" name="image4.png">
          <a:extLst>
            <a:ext uri="{FF2B5EF4-FFF2-40B4-BE49-F238E27FC236}">
              <a16:creationId xmlns:a16="http://schemas.microsoft.com/office/drawing/2014/main" id="{00000000-0008-0000-0200-0000D1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1665</xdr:row>
      <xdr:rowOff>0</xdr:rowOff>
    </xdr:from>
    <xdr:ext cx="200025" cy="200025"/>
    <xdr:pic>
      <xdr:nvPicPr>
        <xdr:cNvPr id="2514" name="image8.png">
          <a:extLst>
            <a:ext uri="{FF2B5EF4-FFF2-40B4-BE49-F238E27FC236}">
              <a16:creationId xmlns:a16="http://schemas.microsoft.com/office/drawing/2014/main" id="{00000000-0008-0000-0200-0000D2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1665</xdr:row>
      <xdr:rowOff>0</xdr:rowOff>
    </xdr:from>
    <xdr:ext cx="200025" cy="200025"/>
    <xdr:pic>
      <xdr:nvPicPr>
        <xdr:cNvPr id="2515" name="image1.png">
          <a:extLst>
            <a:ext uri="{FF2B5EF4-FFF2-40B4-BE49-F238E27FC236}">
              <a16:creationId xmlns:a16="http://schemas.microsoft.com/office/drawing/2014/main" id="{00000000-0008-0000-0200-0000D3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1665</xdr:row>
      <xdr:rowOff>0</xdr:rowOff>
    </xdr:from>
    <xdr:ext cx="200025" cy="200025"/>
    <xdr:pic>
      <xdr:nvPicPr>
        <xdr:cNvPr id="2516" name="image5.png">
          <a:extLst>
            <a:ext uri="{FF2B5EF4-FFF2-40B4-BE49-F238E27FC236}">
              <a16:creationId xmlns:a16="http://schemas.microsoft.com/office/drawing/2014/main" id="{00000000-0008-0000-0200-0000D4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1666</xdr:row>
      <xdr:rowOff>0</xdr:rowOff>
    </xdr:from>
    <xdr:ext cx="200025" cy="200025"/>
    <xdr:pic>
      <xdr:nvPicPr>
        <xdr:cNvPr id="2517" name="image9.png">
          <a:extLst>
            <a:ext uri="{FF2B5EF4-FFF2-40B4-BE49-F238E27FC236}">
              <a16:creationId xmlns:a16="http://schemas.microsoft.com/office/drawing/2014/main" id="{00000000-0008-0000-0200-0000D5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1667</xdr:row>
      <xdr:rowOff>0</xdr:rowOff>
    </xdr:from>
    <xdr:ext cx="200025" cy="200025"/>
    <xdr:pic>
      <xdr:nvPicPr>
        <xdr:cNvPr id="2518" name="image9.png">
          <a:extLst>
            <a:ext uri="{FF2B5EF4-FFF2-40B4-BE49-F238E27FC236}">
              <a16:creationId xmlns:a16="http://schemas.microsoft.com/office/drawing/2014/main" id="{00000000-0008-0000-0200-0000D6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1668</xdr:row>
      <xdr:rowOff>0</xdr:rowOff>
    </xdr:from>
    <xdr:ext cx="200025" cy="200025"/>
    <xdr:pic>
      <xdr:nvPicPr>
        <xdr:cNvPr id="2519" name="image9.png">
          <a:extLst>
            <a:ext uri="{FF2B5EF4-FFF2-40B4-BE49-F238E27FC236}">
              <a16:creationId xmlns:a16="http://schemas.microsoft.com/office/drawing/2014/main" id="{00000000-0008-0000-0200-0000D7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1668</xdr:row>
      <xdr:rowOff>0</xdr:rowOff>
    </xdr:from>
    <xdr:ext cx="200025" cy="200025"/>
    <xdr:pic>
      <xdr:nvPicPr>
        <xdr:cNvPr id="2520" name="image1.png">
          <a:extLst>
            <a:ext uri="{FF2B5EF4-FFF2-40B4-BE49-F238E27FC236}">
              <a16:creationId xmlns:a16="http://schemas.microsoft.com/office/drawing/2014/main" id="{00000000-0008-0000-0200-0000D8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1668</xdr:row>
      <xdr:rowOff>0</xdr:rowOff>
    </xdr:from>
    <xdr:ext cx="200025" cy="200025"/>
    <xdr:pic>
      <xdr:nvPicPr>
        <xdr:cNvPr id="2521" name="image5.png">
          <a:extLst>
            <a:ext uri="{FF2B5EF4-FFF2-40B4-BE49-F238E27FC236}">
              <a16:creationId xmlns:a16="http://schemas.microsoft.com/office/drawing/2014/main" id="{00000000-0008-0000-0200-0000D9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1668</xdr:row>
      <xdr:rowOff>0</xdr:rowOff>
    </xdr:from>
    <xdr:ext cx="200025" cy="200025"/>
    <xdr:pic>
      <xdr:nvPicPr>
        <xdr:cNvPr id="2522" name="image12.png">
          <a:extLst>
            <a:ext uri="{FF2B5EF4-FFF2-40B4-BE49-F238E27FC236}">
              <a16:creationId xmlns:a16="http://schemas.microsoft.com/office/drawing/2014/main" id="{00000000-0008-0000-0200-0000DA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1668</xdr:row>
      <xdr:rowOff>0</xdr:rowOff>
    </xdr:from>
    <xdr:ext cx="200025" cy="200025"/>
    <xdr:pic>
      <xdr:nvPicPr>
        <xdr:cNvPr id="2523" name="image4.png">
          <a:extLst>
            <a:ext uri="{FF2B5EF4-FFF2-40B4-BE49-F238E27FC236}">
              <a16:creationId xmlns:a16="http://schemas.microsoft.com/office/drawing/2014/main" id="{00000000-0008-0000-0200-0000DB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1668</xdr:row>
      <xdr:rowOff>0</xdr:rowOff>
    </xdr:from>
    <xdr:ext cx="200025" cy="200025"/>
    <xdr:pic>
      <xdr:nvPicPr>
        <xdr:cNvPr id="2524" name="image8.png">
          <a:extLst>
            <a:ext uri="{FF2B5EF4-FFF2-40B4-BE49-F238E27FC236}">
              <a16:creationId xmlns:a16="http://schemas.microsoft.com/office/drawing/2014/main" id="{00000000-0008-0000-0200-0000DC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1669</xdr:row>
      <xdr:rowOff>0</xdr:rowOff>
    </xdr:from>
    <xdr:ext cx="200025" cy="200025"/>
    <xdr:pic>
      <xdr:nvPicPr>
        <xdr:cNvPr id="2525" name="image8.png">
          <a:extLst>
            <a:ext uri="{FF2B5EF4-FFF2-40B4-BE49-F238E27FC236}">
              <a16:creationId xmlns:a16="http://schemas.microsoft.com/office/drawing/2014/main" id="{00000000-0008-0000-0200-0000DD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1671</xdr:row>
      <xdr:rowOff>0</xdr:rowOff>
    </xdr:from>
    <xdr:ext cx="200025" cy="200025"/>
    <xdr:pic>
      <xdr:nvPicPr>
        <xdr:cNvPr id="2526" name="image8.png">
          <a:extLst>
            <a:ext uri="{FF2B5EF4-FFF2-40B4-BE49-F238E27FC236}">
              <a16:creationId xmlns:a16="http://schemas.microsoft.com/office/drawing/2014/main" id="{00000000-0008-0000-0200-0000DE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1671</xdr:row>
      <xdr:rowOff>0</xdr:rowOff>
    </xdr:from>
    <xdr:ext cx="200025" cy="200025"/>
    <xdr:pic>
      <xdr:nvPicPr>
        <xdr:cNvPr id="2527" name="image9.png">
          <a:extLst>
            <a:ext uri="{FF2B5EF4-FFF2-40B4-BE49-F238E27FC236}">
              <a16:creationId xmlns:a16="http://schemas.microsoft.com/office/drawing/2014/main" id="{00000000-0008-0000-0200-0000DF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1671</xdr:row>
      <xdr:rowOff>0</xdr:rowOff>
    </xdr:from>
    <xdr:ext cx="200025" cy="200025"/>
    <xdr:pic>
      <xdr:nvPicPr>
        <xdr:cNvPr id="2528" name="image5.png">
          <a:extLst>
            <a:ext uri="{FF2B5EF4-FFF2-40B4-BE49-F238E27FC236}">
              <a16:creationId xmlns:a16="http://schemas.microsoft.com/office/drawing/2014/main" id="{00000000-0008-0000-0200-0000E0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1672</xdr:row>
      <xdr:rowOff>0</xdr:rowOff>
    </xdr:from>
    <xdr:ext cx="200025" cy="200025"/>
    <xdr:pic>
      <xdr:nvPicPr>
        <xdr:cNvPr id="2529" name="image9.png">
          <a:extLst>
            <a:ext uri="{FF2B5EF4-FFF2-40B4-BE49-F238E27FC236}">
              <a16:creationId xmlns:a16="http://schemas.microsoft.com/office/drawing/2014/main" id="{00000000-0008-0000-0200-0000E1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1673</xdr:row>
      <xdr:rowOff>0</xdr:rowOff>
    </xdr:from>
    <xdr:ext cx="200025" cy="200025"/>
    <xdr:pic>
      <xdr:nvPicPr>
        <xdr:cNvPr id="2530" name="image9.png">
          <a:extLst>
            <a:ext uri="{FF2B5EF4-FFF2-40B4-BE49-F238E27FC236}">
              <a16:creationId xmlns:a16="http://schemas.microsoft.com/office/drawing/2014/main" id="{00000000-0008-0000-0200-0000E2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1676</xdr:row>
      <xdr:rowOff>0</xdr:rowOff>
    </xdr:from>
    <xdr:ext cx="200025" cy="200025"/>
    <xdr:pic>
      <xdr:nvPicPr>
        <xdr:cNvPr id="2531" name="image10.png">
          <a:extLst>
            <a:ext uri="{FF2B5EF4-FFF2-40B4-BE49-F238E27FC236}">
              <a16:creationId xmlns:a16="http://schemas.microsoft.com/office/drawing/2014/main" id="{00000000-0008-0000-0200-0000E3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1676</xdr:row>
      <xdr:rowOff>0</xdr:rowOff>
    </xdr:from>
    <xdr:ext cx="200025" cy="200025"/>
    <xdr:pic>
      <xdr:nvPicPr>
        <xdr:cNvPr id="2532" name="image4.png">
          <a:extLst>
            <a:ext uri="{FF2B5EF4-FFF2-40B4-BE49-F238E27FC236}">
              <a16:creationId xmlns:a16="http://schemas.microsoft.com/office/drawing/2014/main" id="{00000000-0008-0000-0200-0000E409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1677</xdr:row>
      <xdr:rowOff>0</xdr:rowOff>
    </xdr:from>
    <xdr:ext cx="200025" cy="200025"/>
    <xdr:pic>
      <xdr:nvPicPr>
        <xdr:cNvPr id="2533" name="image9.png">
          <a:extLst>
            <a:ext uri="{FF2B5EF4-FFF2-40B4-BE49-F238E27FC236}">
              <a16:creationId xmlns:a16="http://schemas.microsoft.com/office/drawing/2014/main" id="{00000000-0008-0000-0200-0000E5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1678</xdr:row>
      <xdr:rowOff>0</xdr:rowOff>
    </xdr:from>
    <xdr:ext cx="200025" cy="200025"/>
    <xdr:pic>
      <xdr:nvPicPr>
        <xdr:cNvPr id="2534" name="image9.png">
          <a:extLst>
            <a:ext uri="{FF2B5EF4-FFF2-40B4-BE49-F238E27FC236}">
              <a16:creationId xmlns:a16="http://schemas.microsoft.com/office/drawing/2014/main" id="{00000000-0008-0000-0200-0000E6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1679</xdr:row>
      <xdr:rowOff>0</xdr:rowOff>
    </xdr:from>
    <xdr:ext cx="200025" cy="200025"/>
    <xdr:pic>
      <xdr:nvPicPr>
        <xdr:cNvPr id="2535" name="image10.png">
          <a:extLst>
            <a:ext uri="{FF2B5EF4-FFF2-40B4-BE49-F238E27FC236}">
              <a16:creationId xmlns:a16="http://schemas.microsoft.com/office/drawing/2014/main" id="{00000000-0008-0000-0200-0000E7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1679</xdr:row>
      <xdr:rowOff>0</xdr:rowOff>
    </xdr:from>
    <xdr:ext cx="200025" cy="200025"/>
    <xdr:pic>
      <xdr:nvPicPr>
        <xdr:cNvPr id="2536" name="image2.png">
          <a:extLst>
            <a:ext uri="{FF2B5EF4-FFF2-40B4-BE49-F238E27FC236}">
              <a16:creationId xmlns:a16="http://schemas.microsoft.com/office/drawing/2014/main" id="{00000000-0008-0000-0200-0000E8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1679</xdr:row>
      <xdr:rowOff>0</xdr:rowOff>
    </xdr:from>
    <xdr:ext cx="200025" cy="200025"/>
    <xdr:pic>
      <xdr:nvPicPr>
        <xdr:cNvPr id="2537" name="image5.png">
          <a:extLst>
            <a:ext uri="{FF2B5EF4-FFF2-40B4-BE49-F238E27FC236}">
              <a16:creationId xmlns:a16="http://schemas.microsoft.com/office/drawing/2014/main" id="{00000000-0008-0000-0200-0000E909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1679</xdr:row>
      <xdr:rowOff>0</xdr:rowOff>
    </xdr:from>
    <xdr:ext cx="200025" cy="200025"/>
    <xdr:pic>
      <xdr:nvPicPr>
        <xdr:cNvPr id="2538" name="image3.png">
          <a:extLst>
            <a:ext uri="{FF2B5EF4-FFF2-40B4-BE49-F238E27FC236}">
              <a16:creationId xmlns:a16="http://schemas.microsoft.com/office/drawing/2014/main" id="{00000000-0008-0000-0200-0000EA09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1679</xdr:row>
      <xdr:rowOff>0</xdr:rowOff>
    </xdr:from>
    <xdr:ext cx="200025" cy="200025"/>
    <xdr:pic>
      <xdr:nvPicPr>
        <xdr:cNvPr id="2539" name="image9.png">
          <a:extLst>
            <a:ext uri="{FF2B5EF4-FFF2-40B4-BE49-F238E27FC236}">
              <a16:creationId xmlns:a16="http://schemas.microsoft.com/office/drawing/2014/main" id="{00000000-0008-0000-0200-0000EB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1680</xdr:row>
      <xdr:rowOff>0</xdr:rowOff>
    </xdr:from>
    <xdr:ext cx="200025" cy="200025"/>
    <xdr:pic>
      <xdr:nvPicPr>
        <xdr:cNvPr id="2540" name="image9.png">
          <a:extLst>
            <a:ext uri="{FF2B5EF4-FFF2-40B4-BE49-F238E27FC236}">
              <a16:creationId xmlns:a16="http://schemas.microsoft.com/office/drawing/2014/main" id="{00000000-0008-0000-0200-0000EC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1681</xdr:row>
      <xdr:rowOff>0</xdr:rowOff>
    </xdr:from>
    <xdr:ext cx="200025" cy="200025"/>
    <xdr:pic>
      <xdr:nvPicPr>
        <xdr:cNvPr id="2541" name="image8.png">
          <a:extLst>
            <a:ext uri="{FF2B5EF4-FFF2-40B4-BE49-F238E27FC236}">
              <a16:creationId xmlns:a16="http://schemas.microsoft.com/office/drawing/2014/main" id="{00000000-0008-0000-0200-0000ED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1681</xdr:row>
      <xdr:rowOff>0</xdr:rowOff>
    </xdr:from>
    <xdr:ext cx="200025" cy="200025"/>
    <xdr:pic>
      <xdr:nvPicPr>
        <xdr:cNvPr id="2542" name="image1.png">
          <a:extLst>
            <a:ext uri="{FF2B5EF4-FFF2-40B4-BE49-F238E27FC236}">
              <a16:creationId xmlns:a16="http://schemas.microsoft.com/office/drawing/2014/main" id="{00000000-0008-0000-0200-0000EE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1681</xdr:row>
      <xdr:rowOff>0</xdr:rowOff>
    </xdr:from>
    <xdr:ext cx="200025" cy="200025"/>
    <xdr:pic>
      <xdr:nvPicPr>
        <xdr:cNvPr id="2543" name="image12.png">
          <a:extLst>
            <a:ext uri="{FF2B5EF4-FFF2-40B4-BE49-F238E27FC236}">
              <a16:creationId xmlns:a16="http://schemas.microsoft.com/office/drawing/2014/main" id="{00000000-0008-0000-0200-0000EF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1681</xdr:row>
      <xdr:rowOff>0</xdr:rowOff>
    </xdr:from>
    <xdr:ext cx="200025" cy="200025"/>
    <xdr:pic>
      <xdr:nvPicPr>
        <xdr:cNvPr id="2544" name="image2.png">
          <a:extLst>
            <a:ext uri="{FF2B5EF4-FFF2-40B4-BE49-F238E27FC236}">
              <a16:creationId xmlns:a16="http://schemas.microsoft.com/office/drawing/2014/main" id="{00000000-0008-0000-0200-0000F0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1682</xdr:row>
      <xdr:rowOff>0</xdr:rowOff>
    </xdr:from>
    <xdr:ext cx="200025" cy="200025"/>
    <xdr:pic>
      <xdr:nvPicPr>
        <xdr:cNvPr id="2545" name="image2.png">
          <a:extLst>
            <a:ext uri="{FF2B5EF4-FFF2-40B4-BE49-F238E27FC236}">
              <a16:creationId xmlns:a16="http://schemas.microsoft.com/office/drawing/2014/main" id="{00000000-0008-0000-0200-0000F1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1683</xdr:row>
      <xdr:rowOff>0</xdr:rowOff>
    </xdr:from>
    <xdr:ext cx="200025" cy="200025"/>
    <xdr:pic>
      <xdr:nvPicPr>
        <xdr:cNvPr id="2546" name="image10.png">
          <a:extLst>
            <a:ext uri="{FF2B5EF4-FFF2-40B4-BE49-F238E27FC236}">
              <a16:creationId xmlns:a16="http://schemas.microsoft.com/office/drawing/2014/main" id="{00000000-0008-0000-0200-0000F2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1683</xdr:row>
      <xdr:rowOff>0</xdr:rowOff>
    </xdr:from>
    <xdr:ext cx="200025" cy="200025"/>
    <xdr:pic>
      <xdr:nvPicPr>
        <xdr:cNvPr id="2547" name="image2.png">
          <a:extLst>
            <a:ext uri="{FF2B5EF4-FFF2-40B4-BE49-F238E27FC236}">
              <a16:creationId xmlns:a16="http://schemas.microsoft.com/office/drawing/2014/main" id="{00000000-0008-0000-0200-0000F309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1683</xdr:row>
      <xdr:rowOff>0</xdr:rowOff>
    </xdr:from>
    <xdr:ext cx="200025" cy="200025"/>
    <xdr:pic>
      <xdr:nvPicPr>
        <xdr:cNvPr id="2548" name="image11.png">
          <a:extLst>
            <a:ext uri="{FF2B5EF4-FFF2-40B4-BE49-F238E27FC236}">
              <a16:creationId xmlns:a16="http://schemas.microsoft.com/office/drawing/2014/main" id="{00000000-0008-0000-0200-0000F409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1684</xdr:row>
      <xdr:rowOff>0</xdr:rowOff>
    </xdr:from>
    <xdr:ext cx="200025" cy="200025"/>
    <xdr:pic>
      <xdr:nvPicPr>
        <xdr:cNvPr id="2549" name="image8.png">
          <a:extLst>
            <a:ext uri="{FF2B5EF4-FFF2-40B4-BE49-F238E27FC236}">
              <a16:creationId xmlns:a16="http://schemas.microsoft.com/office/drawing/2014/main" id="{00000000-0008-0000-0200-0000F5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1684</xdr:row>
      <xdr:rowOff>0</xdr:rowOff>
    </xdr:from>
    <xdr:ext cx="200025" cy="200025"/>
    <xdr:pic>
      <xdr:nvPicPr>
        <xdr:cNvPr id="2550" name="image1.png">
          <a:extLst>
            <a:ext uri="{FF2B5EF4-FFF2-40B4-BE49-F238E27FC236}">
              <a16:creationId xmlns:a16="http://schemas.microsoft.com/office/drawing/2014/main" id="{00000000-0008-0000-0200-0000F609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1684</xdr:row>
      <xdr:rowOff>0</xdr:rowOff>
    </xdr:from>
    <xdr:ext cx="200025" cy="200025"/>
    <xdr:pic>
      <xdr:nvPicPr>
        <xdr:cNvPr id="2551" name="image7.png">
          <a:extLst>
            <a:ext uri="{FF2B5EF4-FFF2-40B4-BE49-F238E27FC236}">
              <a16:creationId xmlns:a16="http://schemas.microsoft.com/office/drawing/2014/main" id="{00000000-0008-0000-0200-0000F7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1684</xdr:row>
      <xdr:rowOff>0</xdr:rowOff>
    </xdr:from>
    <xdr:ext cx="200025" cy="200025"/>
    <xdr:pic>
      <xdr:nvPicPr>
        <xdr:cNvPr id="2552" name="image10.png">
          <a:extLst>
            <a:ext uri="{FF2B5EF4-FFF2-40B4-BE49-F238E27FC236}">
              <a16:creationId xmlns:a16="http://schemas.microsoft.com/office/drawing/2014/main" id="{00000000-0008-0000-0200-0000F8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1685</xdr:row>
      <xdr:rowOff>0</xdr:rowOff>
    </xdr:from>
    <xdr:ext cx="200025" cy="200025"/>
    <xdr:pic>
      <xdr:nvPicPr>
        <xdr:cNvPr id="2553" name="image10.png">
          <a:extLst>
            <a:ext uri="{FF2B5EF4-FFF2-40B4-BE49-F238E27FC236}">
              <a16:creationId xmlns:a16="http://schemas.microsoft.com/office/drawing/2014/main" id="{00000000-0008-0000-0200-0000F9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1686</xdr:row>
      <xdr:rowOff>0</xdr:rowOff>
    </xdr:from>
    <xdr:ext cx="200025" cy="200025"/>
    <xdr:pic>
      <xdr:nvPicPr>
        <xdr:cNvPr id="2554" name="image10.png">
          <a:extLst>
            <a:ext uri="{FF2B5EF4-FFF2-40B4-BE49-F238E27FC236}">
              <a16:creationId xmlns:a16="http://schemas.microsoft.com/office/drawing/2014/main" id="{00000000-0008-0000-0200-0000FA09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1687</xdr:row>
      <xdr:rowOff>0</xdr:rowOff>
    </xdr:from>
    <xdr:ext cx="200025" cy="200025"/>
    <xdr:pic>
      <xdr:nvPicPr>
        <xdr:cNvPr id="2555" name="image8.png">
          <a:extLst>
            <a:ext uri="{FF2B5EF4-FFF2-40B4-BE49-F238E27FC236}">
              <a16:creationId xmlns:a16="http://schemas.microsoft.com/office/drawing/2014/main" id="{00000000-0008-0000-0200-0000FB09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1687</xdr:row>
      <xdr:rowOff>0</xdr:rowOff>
    </xdr:from>
    <xdr:ext cx="200025" cy="200025"/>
    <xdr:pic>
      <xdr:nvPicPr>
        <xdr:cNvPr id="2556" name="image9.png">
          <a:extLst>
            <a:ext uri="{FF2B5EF4-FFF2-40B4-BE49-F238E27FC236}">
              <a16:creationId xmlns:a16="http://schemas.microsoft.com/office/drawing/2014/main" id="{00000000-0008-0000-0200-0000FC09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1687</xdr:row>
      <xdr:rowOff>0</xdr:rowOff>
    </xdr:from>
    <xdr:ext cx="200025" cy="200025"/>
    <xdr:pic>
      <xdr:nvPicPr>
        <xdr:cNvPr id="2557" name="image6.png">
          <a:extLst>
            <a:ext uri="{FF2B5EF4-FFF2-40B4-BE49-F238E27FC236}">
              <a16:creationId xmlns:a16="http://schemas.microsoft.com/office/drawing/2014/main" id="{00000000-0008-0000-0200-0000FD09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1687</xdr:row>
      <xdr:rowOff>0</xdr:rowOff>
    </xdr:from>
    <xdr:ext cx="200025" cy="200025"/>
    <xdr:pic>
      <xdr:nvPicPr>
        <xdr:cNvPr id="2558" name="image12.png">
          <a:extLst>
            <a:ext uri="{FF2B5EF4-FFF2-40B4-BE49-F238E27FC236}">
              <a16:creationId xmlns:a16="http://schemas.microsoft.com/office/drawing/2014/main" id="{00000000-0008-0000-0200-0000FE09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1687</xdr:row>
      <xdr:rowOff>0</xdr:rowOff>
    </xdr:from>
    <xdr:ext cx="200025" cy="200025"/>
    <xdr:pic>
      <xdr:nvPicPr>
        <xdr:cNvPr id="2559" name="image7.png">
          <a:extLst>
            <a:ext uri="{FF2B5EF4-FFF2-40B4-BE49-F238E27FC236}">
              <a16:creationId xmlns:a16="http://schemas.microsoft.com/office/drawing/2014/main" id="{00000000-0008-0000-0200-0000FF09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1687</xdr:row>
      <xdr:rowOff>0</xdr:rowOff>
    </xdr:from>
    <xdr:ext cx="200025" cy="200025"/>
    <xdr:pic>
      <xdr:nvPicPr>
        <xdr:cNvPr id="2560" name="image2.png">
          <a:extLst>
            <a:ext uri="{FF2B5EF4-FFF2-40B4-BE49-F238E27FC236}">
              <a16:creationId xmlns:a16="http://schemas.microsoft.com/office/drawing/2014/main" id="{00000000-0008-0000-0200-000000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1689</xdr:row>
      <xdr:rowOff>0</xdr:rowOff>
    </xdr:from>
    <xdr:ext cx="200025" cy="200025"/>
    <xdr:pic>
      <xdr:nvPicPr>
        <xdr:cNvPr id="2561" name="image2.png">
          <a:extLst>
            <a:ext uri="{FF2B5EF4-FFF2-40B4-BE49-F238E27FC236}">
              <a16:creationId xmlns:a16="http://schemas.microsoft.com/office/drawing/2014/main" id="{00000000-0008-0000-0200-000001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1690</xdr:row>
      <xdr:rowOff>0</xdr:rowOff>
    </xdr:from>
    <xdr:ext cx="200025" cy="200025"/>
    <xdr:pic>
      <xdr:nvPicPr>
        <xdr:cNvPr id="2562" name="image10.png">
          <a:extLst>
            <a:ext uri="{FF2B5EF4-FFF2-40B4-BE49-F238E27FC236}">
              <a16:creationId xmlns:a16="http://schemas.microsoft.com/office/drawing/2014/main" id="{00000000-0008-0000-0200-000002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1690</xdr:row>
      <xdr:rowOff>0</xdr:rowOff>
    </xdr:from>
    <xdr:ext cx="200025" cy="200025"/>
    <xdr:pic>
      <xdr:nvPicPr>
        <xdr:cNvPr id="2563" name="image8.png">
          <a:extLst>
            <a:ext uri="{FF2B5EF4-FFF2-40B4-BE49-F238E27FC236}">
              <a16:creationId xmlns:a16="http://schemas.microsoft.com/office/drawing/2014/main" id="{00000000-0008-0000-0200-000003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1690</xdr:row>
      <xdr:rowOff>0</xdr:rowOff>
    </xdr:from>
    <xdr:ext cx="200025" cy="200025"/>
    <xdr:pic>
      <xdr:nvPicPr>
        <xdr:cNvPr id="2564" name="image2.png">
          <a:extLst>
            <a:ext uri="{FF2B5EF4-FFF2-40B4-BE49-F238E27FC236}">
              <a16:creationId xmlns:a16="http://schemas.microsoft.com/office/drawing/2014/main" id="{00000000-0008-0000-0200-00000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1690</xdr:row>
      <xdr:rowOff>0</xdr:rowOff>
    </xdr:from>
    <xdr:ext cx="200025" cy="200025"/>
    <xdr:pic>
      <xdr:nvPicPr>
        <xdr:cNvPr id="2565" name="image7.png">
          <a:extLst>
            <a:ext uri="{FF2B5EF4-FFF2-40B4-BE49-F238E27FC236}">
              <a16:creationId xmlns:a16="http://schemas.microsoft.com/office/drawing/2014/main" id="{00000000-0008-0000-0200-000005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1690</xdr:row>
      <xdr:rowOff>0</xdr:rowOff>
    </xdr:from>
    <xdr:ext cx="200025" cy="200025"/>
    <xdr:pic>
      <xdr:nvPicPr>
        <xdr:cNvPr id="2566" name="image4.png">
          <a:extLst>
            <a:ext uri="{FF2B5EF4-FFF2-40B4-BE49-F238E27FC236}">
              <a16:creationId xmlns:a16="http://schemas.microsoft.com/office/drawing/2014/main" id="{00000000-0008-0000-0200-000006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1692</xdr:row>
      <xdr:rowOff>0</xdr:rowOff>
    </xdr:from>
    <xdr:ext cx="200025" cy="200025"/>
    <xdr:pic>
      <xdr:nvPicPr>
        <xdr:cNvPr id="2567" name="image6.png">
          <a:extLst>
            <a:ext uri="{FF2B5EF4-FFF2-40B4-BE49-F238E27FC236}">
              <a16:creationId xmlns:a16="http://schemas.microsoft.com/office/drawing/2014/main" id="{00000000-0008-0000-0200-000007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1693</xdr:row>
      <xdr:rowOff>0</xdr:rowOff>
    </xdr:from>
    <xdr:ext cx="200025" cy="200025"/>
    <xdr:pic>
      <xdr:nvPicPr>
        <xdr:cNvPr id="2568" name="image10.png">
          <a:extLst>
            <a:ext uri="{FF2B5EF4-FFF2-40B4-BE49-F238E27FC236}">
              <a16:creationId xmlns:a16="http://schemas.microsoft.com/office/drawing/2014/main" id="{00000000-0008-0000-0200-000008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1693</xdr:row>
      <xdr:rowOff>0</xdr:rowOff>
    </xdr:from>
    <xdr:ext cx="200025" cy="200025"/>
    <xdr:pic>
      <xdr:nvPicPr>
        <xdr:cNvPr id="2569" name="image1.png">
          <a:extLst>
            <a:ext uri="{FF2B5EF4-FFF2-40B4-BE49-F238E27FC236}">
              <a16:creationId xmlns:a16="http://schemas.microsoft.com/office/drawing/2014/main" id="{00000000-0008-0000-0200-000009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1693</xdr:row>
      <xdr:rowOff>0</xdr:rowOff>
    </xdr:from>
    <xdr:ext cx="200025" cy="200025"/>
    <xdr:pic>
      <xdr:nvPicPr>
        <xdr:cNvPr id="2570" name="image12.png">
          <a:extLst>
            <a:ext uri="{FF2B5EF4-FFF2-40B4-BE49-F238E27FC236}">
              <a16:creationId xmlns:a16="http://schemas.microsoft.com/office/drawing/2014/main" id="{00000000-0008-0000-0200-00000A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1694</xdr:row>
      <xdr:rowOff>0</xdr:rowOff>
    </xdr:from>
    <xdr:ext cx="200025" cy="200025"/>
    <xdr:pic>
      <xdr:nvPicPr>
        <xdr:cNvPr id="2571" name="image8.png">
          <a:extLst>
            <a:ext uri="{FF2B5EF4-FFF2-40B4-BE49-F238E27FC236}">
              <a16:creationId xmlns:a16="http://schemas.microsoft.com/office/drawing/2014/main" id="{00000000-0008-0000-0200-00000B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1695</xdr:row>
      <xdr:rowOff>0</xdr:rowOff>
    </xdr:from>
    <xdr:ext cx="200025" cy="200025"/>
    <xdr:pic>
      <xdr:nvPicPr>
        <xdr:cNvPr id="2572" name="image8.png">
          <a:extLst>
            <a:ext uri="{FF2B5EF4-FFF2-40B4-BE49-F238E27FC236}">
              <a16:creationId xmlns:a16="http://schemas.microsoft.com/office/drawing/2014/main" id="{00000000-0008-0000-0200-00000C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1696</xdr:row>
      <xdr:rowOff>0</xdr:rowOff>
    </xdr:from>
    <xdr:ext cx="200025" cy="200025"/>
    <xdr:pic>
      <xdr:nvPicPr>
        <xdr:cNvPr id="2573" name="image10.png">
          <a:extLst>
            <a:ext uri="{FF2B5EF4-FFF2-40B4-BE49-F238E27FC236}">
              <a16:creationId xmlns:a16="http://schemas.microsoft.com/office/drawing/2014/main" id="{00000000-0008-0000-0200-00000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1696</xdr:row>
      <xdr:rowOff>0</xdr:rowOff>
    </xdr:from>
    <xdr:ext cx="200025" cy="200025"/>
    <xdr:pic>
      <xdr:nvPicPr>
        <xdr:cNvPr id="2574" name="image9.png">
          <a:extLst>
            <a:ext uri="{FF2B5EF4-FFF2-40B4-BE49-F238E27FC236}">
              <a16:creationId xmlns:a16="http://schemas.microsoft.com/office/drawing/2014/main" id="{00000000-0008-0000-0200-00000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1696</xdr:row>
      <xdr:rowOff>0</xdr:rowOff>
    </xdr:from>
    <xdr:ext cx="200025" cy="200025"/>
    <xdr:pic>
      <xdr:nvPicPr>
        <xdr:cNvPr id="2575" name="image1.png">
          <a:extLst>
            <a:ext uri="{FF2B5EF4-FFF2-40B4-BE49-F238E27FC236}">
              <a16:creationId xmlns:a16="http://schemas.microsoft.com/office/drawing/2014/main" id="{00000000-0008-0000-0200-00000F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1696</xdr:row>
      <xdr:rowOff>0</xdr:rowOff>
    </xdr:from>
    <xdr:ext cx="200025" cy="200025"/>
    <xdr:pic>
      <xdr:nvPicPr>
        <xdr:cNvPr id="2576" name="image10.png">
          <a:extLst>
            <a:ext uri="{FF2B5EF4-FFF2-40B4-BE49-F238E27FC236}">
              <a16:creationId xmlns:a16="http://schemas.microsoft.com/office/drawing/2014/main" id="{00000000-0008-0000-0200-00001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1697</xdr:row>
      <xdr:rowOff>0</xdr:rowOff>
    </xdr:from>
    <xdr:ext cx="200025" cy="200025"/>
    <xdr:pic>
      <xdr:nvPicPr>
        <xdr:cNvPr id="2577" name="image10.png">
          <a:extLst>
            <a:ext uri="{FF2B5EF4-FFF2-40B4-BE49-F238E27FC236}">
              <a16:creationId xmlns:a16="http://schemas.microsoft.com/office/drawing/2014/main" id="{00000000-0008-0000-0200-000011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1698</xdr:row>
      <xdr:rowOff>0</xdr:rowOff>
    </xdr:from>
    <xdr:ext cx="200025" cy="200025"/>
    <xdr:pic>
      <xdr:nvPicPr>
        <xdr:cNvPr id="2578" name="image10.png">
          <a:extLst>
            <a:ext uri="{FF2B5EF4-FFF2-40B4-BE49-F238E27FC236}">
              <a16:creationId xmlns:a16="http://schemas.microsoft.com/office/drawing/2014/main" id="{00000000-0008-0000-0200-000012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1699</xdr:row>
      <xdr:rowOff>0</xdr:rowOff>
    </xdr:from>
    <xdr:ext cx="200025" cy="200025"/>
    <xdr:pic>
      <xdr:nvPicPr>
        <xdr:cNvPr id="2579" name="image8.png">
          <a:extLst>
            <a:ext uri="{FF2B5EF4-FFF2-40B4-BE49-F238E27FC236}">
              <a16:creationId xmlns:a16="http://schemas.microsoft.com/office/drawing/2014/main" id="{00000000-0008-0000-0200-000013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1699</xdr:row>
      <xdr:rowOff>0</xdr:rowOff>
    </xdr:from>
    <xdr:ext cx="200025" cy="200025"/>
    <xdr:pic>
      <xdr:nvPicPr>
        <xdr:cNvPr id="2580" name="image3.png">
          <a:extLst>
            <a:ext uri="{FF2B5EF4-FFF2-40B4-BE49-F238E27FC236}">
              <a16:creationId xmlns:a16="http://schemas.microsoft.com/office/drawing/2014/main" id="{00000000-0008-0000-0200-000014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1700</xdr:row>
      <xdr:rowOff>0</xdr:rowOff>
    </xdr:from>
    <xdr:ext cx="200025" cy="200025"/>
    <xdr:pic>
      <xdr:nvPicPr>
        <xdr:cNvPr id="2581" name="image4.png">
          <a:extLst>
            <a:ext uri="{FF2B5EF4-FFF2-40B4-BE49-F238E27FC236}">
              <a16:creationId xmlns:a16="http://schemas.microsoft.com/office/drawing/2014/main" id="{00000000-0008-0000-0200-000015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1701</xdr:row>
      <xdr:rowOff>0</xdr:rowOff>
    </xdr:from>
    <xdr:ext cx="200025" cy="200025"/>
    <xdr:pic>
      <xdr:nvPicPr>
        <xdr:cNvPr id="2582" name="image2.png">
          <a:extLst>
            <a:ext uri="{FF2B5EF4-FFF2-40B4-BE49-F238E27FC236}">
              <a16:creationId xmlns:a16="http://schemas.microsoft.com/office/drawing/2014/main" id="{00000000-0008-0000-0200-000016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1702</xdr:row>
      <xdr:rowOff>0</xdr:rowOff>
    </xdr:from>
    <xdr:ext cx="200025" cy="200025"/>
    <xdr:pic>
      <xdr:nvPicPr>
        <xdr:cNvPr id="2583" name="image5.png">
          <a:extLst>
            <a:ext uri="{FF2B5EF4-FFF2-40B4-BE49-F238E27FC236}">
              <a16:creationId xmlns:a16="http://schemas.microsoft.com/office/drawing/2014/main" id="{00000000-0008-0000-0200-000017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1702</xdr:row>
      <xdr:rowOff>0</xdr:rowOff>
    </xdr:from>
    <xdr:ext cx="200025" cy="200025"/>
    <xdr:pic>
      <xdr:nvPicPr>
        <xdr:cNvPr id="2584" name="image12.png">
          <a:extLst>
            <a:ext uri="{FF2B5EF4-FFF2-40B4-BE49-F238E27FC236}">
              <a16:creationId xmlns:a16="http://schemas.microsoft.com/office/drawing/2014/main" id="{00000000-0008-0000-0200-000018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1702</xdr:row>
      <xdr:rowOff>0</xdr:rowOff>
    </xdr:from>
    <xdr:ext cx="200025" cy="200025"/>
    <xdr:pic>
      <xdr:nvPicPr>
        <xdr:cNvPr id="2585" name="image4.png">
          <a:extLst>
            <a:ext uri="{FF2B5EF4-FFF2-40B4-BE49-F238E27FC236}">
              <a16:creationId xmlns:a16="http://schemas.microsoft.com/office/drawing/2014/main" id="{00000000-0008-0000-0200-000019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1702</xdr:row>
      <xdr:rowOff>0</xdr:rowOff>
    </xdr:from>
    <xdr:ext cx="200025" cy="200025"/>
    <xdr:pic>
      <xdr:nvPicPr>
        <xdr:cNvPr id="2586" name="image3.png">
          <a:extLst>
            <a:ext uri="{FF2B5EF4-FFF2-40B4-BE49-F238E27FC236}">
              <a16:creationId xmlns:a16="http://schemas.microsoft.com/office/drawing/2014/main" id="{00000000-0008-0000-0200-00001A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1702</xdr:row>
      <xdr:rowOff>0</xdr:rowOff>
    </xdr:from>
    <xdr:ext cx="200025" cy="200025"/>
    <xdr:pic>
      <xdr:nvPicPr>
        <xdr:cNvPr id="2587" name="image7.png">
          <a:extLst>
            <a:ext uri="{FF2B5EF4-FFF2-40B4-BE49-F238E27FC236}">
              <a16:creationId xmlns:a16="http://schemas.microsoft.com/office/drawing/2014/main" id="{00000000-0008-0000-0200-00001B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1702</xdr:row>
      <xdr:rowOff>0</xdr:rowOff>
    </xdr:from>
    <xdr:ext cx="200025" cy="200025"/>
    <xdr:pic>
      <xdr:nvPicPr>
        <xdr:cNvPr id="2588" name="image10.png">
          <a:extLst>
            <a:ext uri="{FF2B5EF4-FFF2-40B4-BE49-F238E27FC236}">
              <a16:creationId xmlns:a16="http://schemas.microsoft.com/office/drawing/2014/main" id="{00000000-0008-0000-0200-00001C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1704</xdr:row>
      <xdr:rowOff>0</xdr:rowOff>
    </xdr:from>
    <xdr:ext cx="200025" cy="200025"/>
    <xdr:pic>
      <xdr:nvPicPr>
        <xdr:cNvPr id="2589" name="image10.png">
          <a:extLst>
            <a:ext uri="{FF2B5EF4-FFF2-40B4-BE49-F238E27FC236}">
              <a16:creationId xmlns:a16="http://schemas.microsoft.com/office/drawing/2014/main" id="{00000000-0008-0000-0200-00001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1709</xdr:row>
      <xdr:rowOff>0</xdr:rowOff>
    </xdr:from>
    <xdr:ext cx="200025" cy="200025"/>
    <xdr:pic>
      <xdr:nvPicPr>
        <xdr:cNvPr id="2590" name="image9.png">
          <a:extLst>
            <a:ext uri="{FF2B5EF4-FFF2-40B4-BE49-F238E27FC236}">
              <a16:creationId xmlns:a16="http://schemas.microsoft.com/office/drawing/2014/main" id="{00000000-0008-0000-0200-00001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1709</xdr:row>
      <xdr:rowOff>0</xdr:rowOff>
    </xdr:from>
    <xdr:ext cx="200025" cy="200025"/>
    <xdr:pic>
      <xdr:nvPicPr>
        <xdr:cNvPr id="2591" name="image2.png">
          <a:extLst>
            <a:ext uri="{FF2B5EF4-FFF2-40B4-BE49-F238E27FC236}">
              <a16:creationId xmlns:a16="http://schemas.microsoft.com/office/drawing/2014/main" id="{00000000-0008-0000-0200-00001F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1709</xdr:row>
      <xdr:rowOff>0</xdr:rowOff>
    </xdr:from>
    <xdr:ext cx="200025" cy="200025"/>
    <xdr:pic>
      <xdr:nvPicPr>
        <xdr:cNvPr id="2592" name="image6.png">
          <a:extLst>
            <a:ext uri="{FF2B5EF4-FFF2-40B4-BE49-F238E27FC236}">
              <a16:creationId xmlns:a16="http://schemas.microsoft.com/office/drawing/2014/main" id="{00000000-0008-0000-0200-000020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1709</xdr:row>
      <xdr:rowOff>0</xdr:rowOff>
    </xdr:from>
    <xdr:ext cx="200025" cy="200025"/>
    <xdr:pic>
      <xdr:nvPicPr>
        <xdr:cNvPr id="2593" name="image5.png">
          <a:extLst>
            <a:ext uri="{FF2B5EF4-FFF2-40B4-BE49-F238E27FC236}">
              <a16:creationId xmlns:a16="http://schemas.microsoft.com/office/drawing/2014/main" id="{00000000-0008-0000-0200-000021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1709</xdr:row>
      <xdr:rowOff>0</xdr:rowOff>
    </xdr:from>
    <xdr:ext cx="200025" cy="200025"/>
    <xdr:pic>
      <xdr:nvPicPr>
        <xdr:cNvPr id="2594" name="image11.png">
          <a:extLst>
            <a:ext uri="{FF2B5EF4-FFF2-40B4-BE49-F238E27FC236}">
              <a16:creationId xmlns:a16="http://schemas.microsoft.com/office/drawing/2014/main" id="{00000000-0008-0000-0200-000022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1712</xdr:row>
      <xdr:rowOff>0</xdr:rowOff>
    </xdr:from>
    <xdr:ext cx="200025" cy="200025"/>
    <xdr:pic>
      <xdr:nvPicPr>
        <xdr:cNvPr id="2595" name="image8.png">
          <a:extLst>
            <a:ext uri="{FF2B5EF4-FFF2-40B4-BE49-F238E27FC236}">
              <a16:creationId xmlns:a16="http://schemas.microsoft.com/office/drawing/2014/main" id="{00000000-0008-0000-0200-000023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1712</xdr:row>
      <xdr:rowOff>0</xdr:rowOff>
    </xdr:from>
    <xdr:ext cx="200025" cy="200025"/>
    <xdr:pic>
      <xdr:nvPicPr>
        <xdr:cNvPr id="2596" name="image1.png">
          <a:extLst>
            <a:ext uri="{FF2B5EF4-FFF2-40B4-BE49-F238E27FC236}">
              <a16:creationId xmlns:a16="http://schemas.microsoft.com/office/drawing/2014/main" id="{00000000-0008-0000-0200-000024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1712</xdr:row>
      <xdr:rowOff>0</xdr:rowOff>
    </xdr:from>
    <xdr:ext cx="200025" cy="200025"/>
    <xdr:pic>
      <xdr:nvPicPr>
        <xdr:cNvPr id="2597" name="image9.png">
          <a:extLst>
            <a:ext uri="{FF2B5EF4-FFF2-40B4-BE49-F238E27FC236}">
              <a16:creationId xmlns:a16="http://schemas.microsoft.com/office/drawing/2014/main" id="{00000000-0008-0000-0200-000025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1713</xdr:row>
      <xdr:rowOff>0</xdr:rowOff>
    </xdr:from>
    <xdr:ext cx="200025" cy="200025"/>
    <xdr:pic>
      <xdr:nvPicPr>
        <xdr:cNvPr id="2598" name="image9.png">
          <a:extLst>
            <a:ext uri="{FF2B5EF4-FFF2-40B4-BE49-F238E27FC236}">
              <a16:creationId xmlns:a16="http://schemas.microsoft.com/office/drawing/2014/main" id="{00000000-0008-0000-0200-000026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1714</xdr:row>
      <xdr:rowOff>0</xdr:rowOff>
    </xdr:from>
    <xdr:ext cx="200025" cy="200025"/>
    <xdr:pic>
      <xdr:nvPicPr>
        <xdr:cNvPr id="2599" name="image9.png">
          <a:extLst>
            <a:ext uri="{FF2B5EF4-FFF2-40B4-BE49-F238E27FC236}">
              <a16:creationId xmlns:a16="http://schemas.microsoft.com/office/drawing/2014/main" id="{00000000-0008-0000-0200-000027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1715</xdr:row>
      <xdr:rowOff>0</xdr:rowOff>
    </xdr:from>
    <xdr:ext cx="200025" cy="200025"/>
    <xdr:pic>
      <xdr:nvPicPr>
        <xdr:cNvPr id="2600" name="image8.png">
          <a:extLst>
            <a:ext uri="{FF2B5EF4-FFF2-40B4-BE49-F238E27FC236}">
              <a16:creationId xmlns:a16="http://schemas.microsoft.com/office/drawing/2014/main" id="{00000000-0008-0000-0200-000028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1715</xdr:row>
      <xdr:rowOff>0</xdr:rowOff>
    </xdr:from>
    <xdr:ext cx="200025" cy="200025"/>
    <xdr:pic>
      <xdr:nvPicPr>
        <xdr:cNvPr id="2601" name="image9.png">
          <a:extLst>
            <a:ext uri="{FF2B5EF4-FFF2-40B4-BE49-F238E27FC236}">
              <a16:creationId xmlns:a16="http://schemas.microsoft.com/office/drawing/2014/main" id="{00000000-0008-0000-0200-000029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1715</xdr:row>
      <xdr:rowOff>0</xdr:rowOff>
    </xdr:from>
    <xdr:ext cx="200025" cy="200025"/>
    <xdr:pic>
      <xdr:nvPicPr>
        <xdr:cNvPr id="2602" name="image1.png">
          <a:extLst>
            <a:ext uri="{FF2B5EF4-FFF2-40B4-BE49-F238E27FC236}">
              <a16:creationId xmlns:a16="http://schemas.microsoft.com/office/drawing/2014/main" id="{00000000-0008-0000-0200-00002A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1715</xdr:row>
      <xdr:rowOff>0</xdr:rowOff>
    </xdr:from>
    <xdr:ext cx="200025" cy="200025"/>
    <xdr:pic>
      <xdr:nvPicPr>
        <xdr:cNvPr id="2603" name="image10.png">
          <a:extLst>
            <a:ext uri="{FF2B5EF4-FFF2-40B4-BE49-F238E27FC236}">
              <a16:creationId xmlns:a16="http://schemas.microsoft.com/office/drawing/2014/main" id="{00000000-0008-0000-0200-00002B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1716</xdr:row>
      <xdr:rowOff>0</xdr:rowOff>
    </xdr:from>
    <xdr:ext cx="200025" cy="200025"/>
    <xdr:pic>
      <xdr:nvPicPr>
        <xdr:cNvPr id="2604" name="image10.png">
          <a:extLst>
            <a:ext uri="{FF2B5EF4-FFF2-40B4-BE49-F238E27FC236}">
              <a16:creationId xmlns:a16="http://schemas.microsoft.com/office/drawing/2014/main" id="{00000000-0008-0000-0200-00002C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1717</xdr:row>
      <xdr:rowOff>0</xdr:rowOff>
    </xdr:from>
    <xdr:ext cx="200025" cy="200025"/>
    <xdr:pic>
      <xdr:nvPicPr>
        <xdr:cNvPr id="2605" name="image10.png">
          <a:extLst>
            <a:ext uri="{FF2B5EF4-FFF2-40B4-BE49-F238E27FC236}">
              <a16:creationId xmlns:a16="http://schemas.microsoft.com/office/drawing/2014/main" id="{00000000-0008-0000-0200-00002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1718</xdr:row>
      <xdr:rowOff>0</xdr:rowOff>
    </xdr:from>
    <xdr:ext cx="200025" cy="200025"/>
    <xdr:pic>
      <xdr:nvPicPr>
        <xdr:cNvPr id="2606" name="image10.png">
          <a:extLst>
            <a:ext uri="{FF2B5EF4-FFF2-40B4-BE49-F238E27FC236}">
              <a16:creationId xmlns:a16="http://schemas.microsoft.com/office/drawing/2014/main" id="{00000000-0008-0000-0200-00002E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1718</xdr:row>
      <xdr:rowOff>0</xdr:rowOff>
    </xdr:from>
    <xdr:ext cx="200025" cy="200025"/>
    <xdr:pic>
      <xdr:nvPicPr>
        <xdr:cNvPr id="2607" name="image8.png">
          <a:extLst>
            <a:ext uri="{FF2B5EF4-FFF2-40B4-BE49-F238E27FC236}">
              <a16:creationId xmlns:a16="http://schemas.microsoft.com/office/drawing/2014/main" id="{00000000-0008-0000-0200-00002F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1718</xdr:row>
      <xdr:rowOff>0</xdr:rowOff>
    </xdr:from>
    <xdr:ext cx="200025" cy="200025"/>
    <xdr:pic>
      <xdr:nvPicPr>
        <xdr:cNvPr id="2608" name="image10.png">
          <a:extLst>
            <a:ext uri="{FF2B5EF4-FFF2-40B4-BE49-F238E27FC236}">
              <a16:creationId xmlns:a16="http://schemas.microsoft.com/office/drawing/2014/main" id="{00000000-0008-0000-0200-00003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1719</xdr:row>
      <xdr:rowOff>0</xdr:rowOff>
    </xdr:from>
    <xdr:ext cx="200025" cy="200025"/>
    <xdr:pic>
      <xdr:nvPicPr>
        <xdr:cNvPr id="2609" name="image10.png">
          <a:extLst>
            <a:ext uri="{FF2B5EF4-FFF2-40B4-BE49-F238E27FC236}">
              <a16:creationId xmlns:a16="http://schemas.microsoft.com/office/drawing/2014/main" id="{00000000-0008-0000-0200-000031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1720</xdr:row>
      <xdr:rowOff>0</xdr:rowOff>
    </xdr:from>
    <xdr:ext cx="200025" cy="200025"/>
    <xdr:pic>
      <xdr:nvPicPr>
        <xdr:cNvPr id="2610" name="image10.png">
          <a:extLst>
            <a:ext uri="{FF2B5EF4-FFF2-40B4-BE49-F238E27FC236}">
              <a16:creationId xmlns:a16="http://schemas.microsoft.com/office/drawing/2014/main" id="{00000000-0008-0000-0200-000032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1721</xdr:row>
      <xdr:rowOff>0</xdr:rowOff>
    </xdr:from>
    <xdr:ext cx="200025" cy="200025"/>
    <xdr:pic>
      <xdr:nvPicPr>
        <xdr:cNvPr id="2611" name="image10.png">
          <a:extLst>
            <a:ext uri="{FF2B5EF4-FFF2-40B4-BE49-F238E27FC236}">
              <a16:creationId xmlns:a16="http://schemas.microsoft.com/office/drawing/2014/main" id="{00000000-0008-0000-0200-000033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1721</xdr:row>
      <xdr:rowOff>0</xdr:rowOff>
    </xdr:from>
    <xdr:ext cx="200025" cy="200025"/>
    <xdr:pic>
      <xdr:nvPicPr>
        <xdr:cNvPr id="2612" name="image2.png">
          <a:extLst>
            <a:ext uri="{FF2B5EF4-FFF2-40B4-BE49-F238E27FC236}">
              <a16:creationId xmlns:a16="http://schemas.microsoft.com/office/drawing/2014/main" id="{00000000-0008-0000-0200-00003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1721</xdr:row>
      <xdr:rowOff>0</xdr:rowOff>
    </xdr:from>
    <xdr:ext cx="200025" cy="200025"/>
    <xdr:pic>
      <xdr:nvPicPr>
        <xdr:cNvPr id="2613" name="image6.png">
          <a:extLst>
            <a:ext uri="{FF2B5EF4-FFF2-40B4-BE49-F238E27FC236}">
              <a16:creationId xmlns:a16="http://schemas.microsoft.com/office/drawing/2014/main" id="{00000000-0008-0000-0200-000035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1721</xdr:row>
      <xdr:rowOff>0</xdr:rowOff>
    </xdr:from>
    <xdr:ext cx="200025" cy="200025"/>
    <xdr:pic>
      <xdr:nvPicPr>
        <xdr:cNvPr id="2614" name="image10.png">
          <a:extLst>
            <a:ext uri="{FF2B5EF4-FFF2-40B4-BE49-F238E27FC236}">
              <a16:creationId xmlns:a16="http://schemas.microsoft.com/office/drawing/2014/main" id="{00000000-0008-0000-0200-000036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1722</xdr:row>
      <xdr:rowOff>0</xdr:rowOff>
    </xdr:from>
    <xdr:ext cx="200025" cy="200025"/>
    <xdr:pic>
      <xdr:nvPicPr>
        <xdr:cNvPr id="2615" name="image10.png">
          <a:extLst>
            <a:ext uri="{FF2B5EF4-FFF2-40B4-BE49-F238E27FC236}">
              <a16:creationId xmlns:a16="http://schemas.microsoft.com/office/drawing/2014/main" id="{00000000-0008-0000-0200-000037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1723</xdr:row>
      <xdr:rowOff>0</xdr:rowOff>
    </xdr:from>
    <xdr:ext cx="200025" cy="200025"/>
    <xdr:pic>
      <xdr:nvPicPr>
        <xdr:cNvPr id="2616" name="image10.png">
          <a:extLst>
            <a:ext uri="{FF2B5EF4-FFF2-40B4-BE49-F238E27FC236}">
              <a16:creationId xmlns:a16="http://schemas.microsoft.com/office/drawing/2014/main" id="{00000000-0008-0000-0200-000038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1724</xdr:row>
      <xdr:rowOff>0</xdr:rowOff>
    </xdr:from>
    <xdr:ext cx="200025" cy="200025"/>
    <xdr:pic>
      <xdr:nvPicPr>
        <xdr:cNvPr id="2617" name="image10.png">
          <a:extLst>
            <a:ext uri="{FF2B5EF4-FFF2-40B4-BE49-F238E27FC236}">
              <a16:creationId xmlns:a16="http://schemas.microsoft.com/office/drawing/2014/main" id="{00000000-0008-0000-0200-000039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1724</xdr:row>
      <xdr:rowOff>0</xdr:rowOff>
    </xdr:from>
    <xdr:ext cx="200025" cy="200025"/>
    <xdr:pic>
      <xdr:nvPicPr>
        <xdr:cNvPr id="2618" name="image9.png">
          <a:extLst>
            <a:ext uri="{FF2B5EF4-FFF2-40B4-BE49-F238E27FC236}">
              <a16:creationId xmlns:a16="http://schemas.microsoft.com/office/drawing/2014/main" id="{00000000-0008-0000-0200-00003A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1724</xdr:row>
      <xdr:rowOff>0</xdr:rowOff>
    </xdr:from>
    <xdr:ext cx="200025" cy="200025"/>
    <xdr:pic>
      <xdr:nvPicPr>
        <xdr:cNvPr id="2619" name="image2.png">
          <a:extLst>
            <a:ext uri="{FF2B5EF4-FFF2-40B4-BE49-F238E27FC236}">
              <a16:creationId xmlns:a16="http://schemas.microsoft.com/office/drawing/2014/main" id="{00000000-0008-0000-0200-00003B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1724</xdr:row>
      <xdr:rowOff>0</xdr:rowOff>
    </xdr:from>
    <xdr:ext cx="200025" cy="200025"/>
    <xdr:pic>
      <xdr:nvPicPr>
        <xdr:cNvPr id="2620" name="image10.png">
          <a:extLst>
            <a:ext uri="{FF2B5EF4-FFF2-40B4-BE49-F238E27FC236}">
              <a16:creationId xmlns:a16="http://schemas.microsoft.com/office/drawing/2014/main" id="{00000000-0008-0000-0200-00003C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1725</xdr:row>
      <xdr:rowOff>0</xdr:rowOff>
    </xdr:from>
    <xdr:ext cx="200025" cy="200025"/>
    <xdr:pic>
      <xdr:nvPicPr>
        <xdr:cNvPr id="2621" name="image10.png">
          <a:extLst>
            <a:ext uri="{FF2B5EF4-FFF2-40B4-BE49-F238E27FC236}">
              <a16:creationId xmlns:a16="http://schemas.microsoft.com/office/drawing/2014/main" id="{00000000-0008-0000-0200-00003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1726</xdr:row>
      <xdr:rowOff>0</xdr:rowOff>
    </xdr:from>
    <xdr:ext cx="200025" cy="200025"/>
    <xdr:pic>
      <xdr:nvPicPr>
        <xdr:cNvPr id="2622" name="image10.png">
          <a:extLst>
            <a:ext uri="{FF2B5EF4-FFF2-40B4-BE49-F238E27FC236}">
              <a16:creationId xmlns:a16="http://schemas.microsoft.com/office/drawing/2014/main" id="{00000000-0008-0000-0200-00003E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1736</xdr:row>
      <xdr:rowOff>0</xdr:rowOff>
    </xdr:from>
    <xdr:ext cx="200025" cy="200025"/>
    <xdr:pic>
      <xdr:nvPicPr>
        <xdr:cNvPr id="2623" name="image9.png">
          <a:extLst>
            <a:ext uri="{FF2B5EF4-FFF2-40B4-BE49-F238E27FC236}">
              <a16:creationId xmlns:a16="http://schemas.microsoft.com/office/drawing/2014/main" id="{00000000-0008-0000-0200-00003F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1736</xdr:row>
      <xdr:rowOff>0</xdr:rowOff>
    </xdr:from>
    <xdr:ext cx="200025" cy="200025"/>
    <xdr:pic>
      <xdr:nvPicPr>
        <xdr:cNvPr id="2624" name="image1.png">
          <a:extLst>
            <a:ext uri="{FF2B5EF4-FFF2-40B4-BE49-F238E27FC236}">
              <a16:creationId xmlns:a16="http://schemas.microsoft.com/office/drawing/2014/main" id="{00000000-0008-0000-0200-000040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1736</xdr:row>
      <xdr:rowOff>0</xdr:rowOff>
    </xdr:from>
    <xdr:ext cx="200025" cy="200025"/>
    <xdr:pic>
      <xdr:nvPicPr>
        <xdr:cNvPr id="2625" name="image5.png">
          <a:extLst>
            <a:ext uri="{FF2B5EF4-FFF2-40B4-BE49-F238E27FC236}">
              <a16:creationId xmlns:a16="http://schemas.microsoft.com/office/drawing/2014/main" id="{00000000-0008-0000-0200-000041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1736</xdr:row>
      <xdr:rowOff>0</xdr:rowOff>
    </xdr:from>
    <xdr:ext cx="200025" cy="200025"/>
    <xdr:pic>
      <xdr:nvPicPr>
        <xdr:cNvPr id="2626" name="image12.png">
          <a:extLst>
            <a:ext uri="{FF2B5EF4-FFF2-40B4-BE49-F238E27FC236}">
              <a16:creationId xmlns:a16="http://schemas.microsoft.com/office/drawing/2014/main" id="{00000000-0008-0000-0200-000042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1736</xdr:row>
      <xdr:rowOff>0</xdr:rowOff>
    </xdr:from>
    <xdr:ext cx="200025" cy="200025"/>
    <xdr:pic>
      <xdr:nvPicPr>
        <xdr:cNvPr id="2627" name="image4.png">
          <a:extLst>
            <a:ext uri="{FF2B5EF4-FFF2-40B4-BE49-F238E27FC236}">
              <a16:creationId xmlns:a16="http://schemas.microsoft.com/office/drawing/2014/main" id="{00000000-0008-0000-0200-000043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1736</xdr:row>
      <xdr:rowOff>0</xdr:rowOff>
    </xdr:from>
    <xdr:ext cx="200025" cy="200025"/>
    <xdr:pic>
      <xdr:nvPicPr>
        <xdr:cNvPr id="2628" name="image10.png">
          <a:extLst>
            <a:ext uri="{FF2B5EF4-FFF2-40B4-BE49-F238E27FC236}">
              <a16:creationId xmlns:a16="http://schemas.microsoft.com/office/drawing/2014/main" id="{00000000-0008-0000-0200-000044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1737</xdr:row>
      <xdr:rowOff>0</xdr:rowOff>
    </xdr:from>
    <xdr:ext cx="200025" cy="200025"/>
    <xdr:pic>
      <xdr:nvPicPr>
        <xdr:cNvPr id="2629" name="image10.png">
          <a:extLst>
            <a:ext uri="{FF2B5EF4-FFF2-40B4-BE49-F238E27FC236}">
              <a16:creationId xmlns:a16="http://schemas.microsoft.com/office/drawing/2014/main" id="{00000000-0008-0000-0200-000045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1738</xdr:row>
      <xdr:rowOff>0</xdr:rowOff>
    </xdr:from>
    <xdr:ext cx="200025" cy="200025"/>
    <xdr:pic>
      <xdr:nvPicPr>
        <xdr:cNvPr id="2630" name="image10.png">
          <a:extLst>
            <a:ext uri="{FF2B5EF4-FFF2-40B4-BE49-F238E27FC236}">
              <a16:creationId xmlns:a16="http://schemas.microsoft.com/office/drawing/2014/main" id="{00000000-0008-0000-0200-000046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1739</xdr:row>
      <xdr:rowOff>0</xdr:rowOff>
    </xdr:from>
    <xdr:ext cx="200025" cy="200025"/>
    <xdr:pic>
      <xdr:nvPicPr>
        <xdr:cNvPr id="2631" name="image10.png">
          <a:extLst>
            <a:ext uri="{FF2B5EF4-FFF2-40B4-BE49-F238E27FC236}">
              <a16:creationId xmlns:a16="http://schemas.microsoft.com/office/drawing/2014/main" id="{00000000-0008-0000-0200-000047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1739</xdr:row>
      <xdr:rowOff>0</xdr:rowOff>
    </xdr:from>
    <xdr:ext cx="200025" cy="200025"/>
    <xdr:pic>
      <xdr:nvPicPr>
        <xdr:cNvPr id="2632" name="image6.png">
          <a:extLst>
            <a:ext uri="{FF2B5EF4-FFF2-40B4-BE49-F238E27FC236}">
              <a16:creationId xmlns:a16="http://schemas.microsoft.com/office/drawing/2014/main" id="{00000000-0008-0000-0200-000048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1739</xdr:row>
      <xdr:rowOff>0</xdr:rowOff>
    </xdr:from>
    <xdr:ext cx="200025" cy="200025"/>
    <xdr:pic>
      <xdr:nvPicPr>
        <xdr:cNvPr id="2633" name="image3.png">
          <a:extLst>
            <a:ext uri="{FF2B5EF4-FFF2-40B4-BE49-F238E27FC236}">
              <a16:creationId xmlns:a16="http://schemas.microsoft.com/office/drawing/2014/main" id="{00000000-0008-0000-0200-000049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1739</xdr:row>
      <xdr:rowOff>0</xdr:rowOff>
    </xdr:from>
    <xdr:ext cx="200025" cy="200025"/>
    <xdr:pic>
      <xdr:nvPicPr>
        <xdr:cNvPr id="2634" name="image1.png">
          <a:extLst>
            <a:ext uri="{FF2B5EF4-FFF2-40B4-BE49-F238E27FC236}">
              <a16:creationId xmlns:a16="http://schemas.microsoft.com/office/drawing/2014/main" id="{00000000-0008-0000-0200-00004A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1740</xdr:row>
      <xdr:rowOff>0</xdr:rowOff>
    </xdr:from>
    <xdr:ext cx="200025" cy="200025"/>
    <xdr:pic>
      <xdr:nvPicPr>
        <xdr:cNvPr id="2635" name="image1.png">
          <a:extLst>
            <a:ext uri="{FF2B5EF4-FFF2-40B4-BE49-F238E27FC236}">
              <a16:creationId xmlns:a16="http://schemas.microsoft.com/office/drawing/2014/main" id="{00000000-0008-0000-0200-00004B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1741</xdr:row>
      <xdr:rowOff>0</xdr:rowOff>
    </xdr:from>
    <xdr:ext cx="200025" cy="200025"/>
    <xdr:pic>
      <xdr:nvPicPr>
        <xdr:cNvPr id="2636" name="image1.png">
          <a:extLst>
            <a:ext uri="{FF2B5EF4-FFF2-40B4-BE49-F238E27FC236}">
              <a16:creationId xmlns:a16="http://schemas.microsoft.com/office/drawing/2014/main" id="{00000000-0008-0000-0200-00004C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1744</xdr:row>
      <xdr:rowOff>0</xdr:rowOff>
    </xdr:from>
    <xdr:ext cx="200025" cy="200025"/>
    <xdr:pic>
      <xdr:nvPicPr>
        <xdr:cNvPr id="2637" name="image10.png">
          <a:extLst>
            <a:ext uri="{FF2B5EF4-FFF2-40B4-BE49-F238E27FC236}">
              <a16:creationId xmlns:a16="http://schemas.microsoft.com/office/drawing/2014/main" id="{00000000-0008-0000-0200-00004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1744</xdr:row>
      <xdr:rowOff>0</xdr:rowOff>
    </xdr:from>
    <xdr:ext cx="200025" cy="200025"/>
    <xdr:pic>
      <xdr:nvPicPr>
        <xdr:cNvPr id="2638" name="image9.png">
          <a:extLst>
            <a:ext uri="{FF2B5EF4-FFF2-40B4-BE49-F238E27FC236}">
              <a16:creationId xmlns:a16="http://schemas.microsoft.com/office/drawing/2014/main" id="{00000000-0008-0000-0200-00004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1744</xdr:row>
      <xdr:rowOff>0</xdr:rowOff>
    </xdr:from>
    <xdr:ext cx="200025" cy="200025"/>
    <xdr:pic>
      <xdr:nvPicPr>
        <xdr:cNvPr id="2639" name="image7.png">
          <a:extLst>
            <a:ext uri="{FF2B5EF4-FFF2-40B4-BE49-F238E27FC236}">
              <a16:creationId xmlns:a16="http://schemas.microsoft.com/office/drawing/2014/main" id="{00000000-0008-0000-0200-00004F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1744</xdr:row>
      <xdr:rowOff>0</xdr:rowOff>
    </xdr:from>
    <xdr:ext cx="200025" cy="200025"/>
    <xdr:pic>
      <xdr:nvPicPr>
        <xdr:cNvPr id="2640" name="image8.png">
          <a:extLst>
            <a:ext uri="{FF2B5EF4-FFF2-40B4-BE49-F238E27FC236}">
              <a16:creationId xmlns:a16="http://schemas.microsoft.com/office/drawing/2014/main" id="{00000000-0008-0000-0200-000050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1745</xdr:row>
      <xdr:rowOff>0</xdr:rowOff>
    </xdr:from>
    <xdr:ext cx="200025" cy="200025"/>
    <xdr:pic>
      <xdr:nvPicPr>
        <xdr:cNvPr id="2641" name="image8.png">
          <a:extLst>
            <a:ext uri="{FF2B5EF4-FFF2-40B4-BE49-F238E27FC236}">
              <a16:creationId xmlns:a16="http://schemas.microsoft.com/office/drawing/2014/main" id="{00000000-0008-0000-0200-000051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1746</xdr:row>
      <xdr:rowOff>0</xdr:rowOff>
    </xdr:from>
    <xdr:ext cx="200025" cy="200025"/>
    <xdr:pic>
      <xdr:nvPicPr>
        <xdr:cNvPr id="2642" name="image8.png">
          <a:extLst>
            <a:ext uri="{FF2B5EF4-FFF2-40B4-BE49-F238E27FC236}">
              <a16:creationId xmlns:a16="http://schemas.microsoft.com/office/drawing/2014/main" id="{00000000-0008-0000-0200-000052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1747</xdr:row>
      <xdr:rowOff>0</xdr:rowOff>
    </xdr:from>
    <xdr:ext cx="200025" cy="200025"/>
    <xdr:pic>
      <xdr:nvPicPr>
        <xdr:cNvPr id="2643" name="image12.png">
          <a:extLst>
            <a:ext uri="{FF2B5EF4-FFF2-40B4-BE49-F238E27FC236}">
              <a16:creationId xmlns:a16="http://schemas.microsoft.com/office/drawing/2014/main" id="{00000000-0008-0000-0200-000053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10</xdr:col>
      <xdr:colOff>0</xdr:colOff>
      <xdr:row>1747</xdr:row>
      <xdr:rowOff>0</xdr:rowOff>
    </xdr:from>
    <xdr:ext cx="200025" cy="200025"/>
    <xdr:pic>
      <xdr:nvPicPr>
        <xdr:cNvPr id="2644" name="image4.png">
          <a:extLst>
            <a:ext uri="{FF2B5EF4-FFF2-40B4-BE49-F238E27FC236}">
              <a16:creationId xmlns:a16="http://schemas.microsoft.com/office/drawing/2014/main" id="{00000000-0008-0000-0200-000054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1747</xdr:row>
      <xdr:rowOff>0</xdr:rowOff>
    </xdr:from>
    <xdr:ext cx="200025" cy="200025"/>
    <xdr:pic>
      <xdr:nvPicPr>
        <xdr:cNvPr id="2645" name="image11.png">
          <a:extLst>
            <a:ext uri="{FF2B5EF4-FFF2-40B4-BE49-F238E27FC236}">
              <a16:creationId xmlns:a16="http://schemas.microsoft.com/office/drawing/2014/main" id="{00000000-0008-0000-0200-000055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1747</xdr:row>
      <xdr:rowOff>0</xdr:rowOff>
    </xdr:from>
    <xdr:ext cx="200025" cy="200025"/>
    <xdr:pic>
      <xdr:nvPicPr>
        <xdr:cNvPr id="2646" name="image5.png">
          <a:extLst>
            <a:ext uri="{FF2B5EF4-FFF2-40B4-BE49-F238E27FC236}">
              <a16:creationId xmlns:a16="http://schemas.microsoft.com/office/drawing/2014/main" id="{00000000-0008-0000-0200-000056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1748</xdr:row>
      <xdr:rowOff>0</xdr:rowOff>
    </xdr:from>
    <xdr:ext cx="200025" cy="200025"/>
    <xdr:pic>
      <xdr:nvPicPr>
        <xdr:cNvPr id="2647" name="image6.png">
          <a:extLst>
            <a:ext uri="{FF2B5EF4-FFF2-40B4-BE49-F238E27FC236}">
              <a16:creationId xmlns:a16="http://schemas.microsoft.com/office/drawing/2014/main" id="{00000000-0008-0000-0200-000057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1749</xdr:row>
      <xdr:rowOff>0</xdr:rowOff>
    </xdr:from>
    <xdr:ext cx="200025" cy="200025"/>
    <xdr:pic>
      <xdr:nvPicPr>
        <xdr:cNvPr id="2648" name="image8.png">
          <a:extLst>
            <a:ext uri="{FF2B5EF4-FFF2-40B4-BE49-F238E27FC236}">
              <a16:creationId xmlns:a16="http://schemas.microsoft.com/office/drawing/2014/main" id="{00000000-0008-0000-0200-000058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1749</xdr:row>
      <xdr:rowOff>0</xdr:rowOff>
    </xdr:from>
    <xdr:ext cx="200025" cy="200025"/>
    <xdr:pic>
      <xdr:nvPicPr>
        <xdr:cNvPr id="2649" name="image1.png">
          <a:extLst>
            <a:ext uri="{FF2B5EF4-FFF2-40B4-BE49-F238E27FC236}">
              <a16:creationId xmlns:a16="http://schemas.microsoft.com/office/drawing/2014/main" id="{00000000-0008-0000-0200-000059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1749</xdr:row>
      <xdr:rowOff>0</xdr:rowOff>
    </xdr:from>
    <xdr:ext cx="200025" cy="200025"/>
    <xdr:pic>
      <xdr:nvPicPr>
        <xdr:cNvPr id="2650" name="image3.png">
          <a:extLst>
            <a:ext uri="{FF2B5EF4-FFF2-40B4-BE49-F238E27FC236}">
              <a16:creationId xmlns:a16="http://schemas.microsoft.com/office/drawing/2014/main" id="{00000000-0008-0000-0200-00005A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1749</xdr:row>
      <xdr:rowOff>0</xdr:rowOff>
    </xdr:from>
    <xdr:ext cx="200025" cy="200025"/>
    <xdr:pic>
      <xdr:nvPicPr>
        <xdr:cNvPr id="2651" name="image9.png">
          <a:extLst>
            <a:ext uri="{FF2B5EF4-FFF2-40B4-BE49-F238E27FC236}">
              <a16:creationId xmlns:a16="http://schemas.microsoft.com/office/drawing/2014/main" id="{00000000-0008-0000-0200-00005B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1750</xdr:row>
      <xdr:rowOff>0</xdr:rowOff>
    </xdr:from>
    <xdr:ext cx="200025" cy="200025"/>
    <xdr:pic>
      <xdr:nvPicPr>
        <xdr:cNvPr id="2652" name="image9.png">
          <a:extLst>
            <a:ext uri="{FF2B5EF4-FFF2-40B4-BE49-F238E27FC236}">
              <a16:creationId xmlns:a16="http://schemas.microsoft.com/office/drawing/2014/main" id="{00000000-0008-0000-0200-00005C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1752</xdr:row>
      <xdr:rowOff>0</xdr:rowOff>
    </xdr:from>
    <xdr:ext cx="200025" cy="200025"/>
    <xdr:pic>
      <xdr:nvPicPr>
        <xdr:cNvPr id="2653" name="image10.png">
          <a:extLst>
            <a:ext uri="{FF2B5EF4-FFF2-40B4-BE49-F238E27FC236}">
              <a16:creationId xmlns:a16="http://schemas.microsoft.com/office/drawing/2014/main" id="{00000000-0008-0000-0200-00005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1752</xdr:row>
      <xdr:rowOff>0</xdr:rowOff>
    </xdr:from>
    <xdr:ext cx="200025" cy="200025"/>
    <xdr:pic>
      <xdr:nvPicPr>
        <xdr:cNvPr id="2654" name="image2.png">
          <a:extLst>
            <a:ext uri="{FF2B5EF4-FFF2-40B4-BE49-F238E27FC236}">
              <a16:creationId xmlns:a16="http://schemas.microsoft.com/office/drawing/2014/main" id="{00000000-0008-0000-0200-00005E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1752</xdr:row>
      <xdr:rowOff>0</xdr:rowOff>
    </xdr:from>
    <xdr:ext cx="200025" cy="200025"/>
    <xdr:pic>
      <xdr:nvPicPr>
        <xdr:cNvPr id="2655" name="image5.png">
          <a:extLst>
            <a:ext uri="{FF2B5EF4-FFF2-40B4-BE49-F238E27FC236}">
              <a16:creationId xmlns:a16="http://schemas.microsoft.com/office/drawing/2014/main" id="{00000000-0008-0000-0200-00005F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1752</xdr:row>
      <xdr:rowOff>0</xdr:rowOff>
    </xdr:from>
    <xdr:ext cx="200025" cy="200025"/>
    <xdr:pic>
      <xdr:nvPicPr>
        <xdr:cNvPr id="2656" name="image9.png">
          <a:extLst>
            <a:ext uri="{FF2B5EF4-FFF2-40B4-BE49-F238E27FC236}">
              <a16:creationId xmlns:a16="http://schemas.microsoft.com/office/drawing/2014/main" id="{00000000-0008-0000-0200-000060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1753</xdr:row>
      <xdr:rowOff>0</xdr:rowOff>
    </xdr:from>
    <xdr:ext cx="200025" cy="200025"/>
    <xdr:pic>
      <xdr:nvPicPr>
        <xdr:cNvPr id="2657" name="image9.png">
          <a:extLst>
            <a:ext uri="{FF2B5EF4-FFF2-40B4-BE49-F238E27FC236}">
              <a16:creationId xmlns:a16="http://schemas.microsoft.com/office/drawing/2014/main" id="{00000000-0008-0000-0200-000061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1758</xdr:row>
      <xdr:rowOff>0</xdr:rowOff>
    </xdr:from>
    <xdr:ext cx="200025" cy="200025"/>
    <xdr:pic>
      <xdr:nvPicPr>
        <xdr:cNvPr id="2658" name="image10.png">
          <a:extLst>
            <a:ext uri="{FF2B5EF4-FFF2-40B4-BE49-F238E27FC236}">
              <a16:creationId xmlns:a16="http://schemas.microsoft.com/office/drawing/2014/main" id="{00000000-0008-0000-0200-000062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1758</xdr:row>
      <xdr:rowOff>0</xdr:rowOff>
    </xdr:from>
    <xdr:ext cx="200025" cy="200025"/>
    <xdr:pic>
      <xdr:nvPicPr>
        <xdr:cNvPr id="2659" name="image1.png">
          <a:extLst>
            <a:ext uri="{FF2B5EF4-FFF2-40B4-BE49-F238E27FC236}">
              <a16:creationId xmlns:a16="http://schemas.microsoft.com/office/drawing/2014/main" id="{00000000-0008-0000-0200-000063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1758</xdr:row>
      <xdr:rowOff>0</xdr:rowOff>
    </xdr:from>
    <xdr:ext cx="200025" cy="200025"/>
    <xdr:pic>
      <xdr:nvPicPr>
        <xdr:cNvPr id="2660" name="image5.png">
          <a:extLst>
            <a:ext uri="{FF2B5EF4-FFF2-40B4-BE49-F238E27FC236}">
              <a16:creationId xmlns:a16="http://schemas.microsoft.com/office/drawing/2014/main" id="{00000000-0008-0000-0200-000064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1758</xdr:row>
      <xdr:rowOff>0</xdr:rowOff>
    </xdr:from>
    <xdr:ext cx="200025" cy="200025"/>
    <xdr:pic>
      <xdr:nvPicPr>
        <xdr:cNvPr id="2661" name="image3.png">
          <a:extLst>
            <a:ext uri="{FF2B5EF4-FFF2-40B4-BE49-F238E27FC236}">
              <a16:creationId xmlns:a16="http://schemas.microsoft.com/office/drawing/2014/main" id="{00000000-0008-0000-0200-000065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1760</xdr:row>
      <xdr:rowOff>0</xdr:rowOff>
    </xdr:from>
    <xdr:ext cx="200025" cy="200025"/>
    <xdr:pic>
      <xdr:nvPicPr>
        <xdr:cNvPr id="2662" name="image9.png">
          <a:extLst>
            <a:ext uri="{FF2B5EF4-FFF2-40B4-BE49-F238E27FC236}">
              <a16:creationId xmlns:a16="http://schemas.microsoft.com/office/drawing/2014/main" id="{00000000-0008-0000-0200-000066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1760</xdr:row>
      <xdr:rowOff>0</xdr:rowOff>
    </xdr:from>
    <xdr:ext cx="200025" cy="200025"/>
    <xdr:pic>
      <xdr:nvPicPr>
        <xdr:cNvPr id="2663" name="image6.png">
          <a:extLst>
            <a:ext uri="{FF2B5EF4-FFF2-40B4-BE49-F238E27FC236}">
              <a16:creationId xmlns:a16="http://schemas.microsoft.com/office/drawing/2014/main" id="{00000000-0008-0000-0200-000067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1760</xdr:row>
      <xdr:rowOff>0</xdr:rowOff>
    </xdr:from>
    <xdr:ext cx="200025" cy="200025"/>
    <xdr:pic>
      <xdr:nvPicPr>
        <xdr:cNvPr id="2664" name="image12.png">
          <a:extLst>
            <a:ext uri="{FF2B5EF4-FFF2-40B4-BE49-F238E27FC236}">
              <a16:creationId xmlns:a16="http://schemas.microsoft.com/office/drawing/2014/main" id="{00000000-0008-0000-0200-000068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1761</xdr:row>
      <xdr:rowOff>0</xdr:rowOff>
    </xdr:from>
    <xdr:ext cx="200025" cy="200025"/>
    <xdr:pic>
      <xdr:nvPicPr>
        <xdr:cNvPr id="2665" name="image1.png">
          <a:extLst>
            <a:ext uri="{FF2B5EF4-FFF2-40B4-BE49-F238E27FC236}">
              <a16:creationId xmlns:a16="http://schemas.microsoft.com/office/drawing/2014/main" id="{00000000-0008-0000-0200-000069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1762</xdr:row>
      <xdr:rowOff>0</xdr:rowOff>
    </xdr:from>
    <xdr:ext cx="200025" cy="200025"/>
    <xdr:pic>
      <xdr:nvPicPr>
        <xdr:cNvPr id="2666" name="image1.png">
          <a:extLst>
            <a:ext uri="{FF2B5EF4-FFF2-40B4-BE49-F238E27FC236}">
              <a16:creationId xmlns:a16="http://schemas.microsoft.com/office/drawing/2014/main" id="{00000000-0008-0000-0200-00006A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1763</xdr:row>
      <xdr:rowOff>0</xdr:rowOff>
    </xdr:from>
    <xdr:ext cx="200025" cy="200025"/>
    <xdr:pic>
      <xdr:nvPicPr>
        <xdr:cNvPr id="2667" name="image10.png">
          <a:extLst>
            <a:ext uri="{FF2B5EF4-FFF2-40B4-BE49-F238E27FC236}">
              <a16:creationId xmlns:a16="http://schemas.microsoft.com/office/drawing/2014/main" id="{00000000-0008-0000-0200-00006B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1763</xdr:row>
      <xdr:rowOff>0</xdr:rowOff>
    </xdr:from>
    <xdr:ext cx="200025" cy="200025"/>
    <xdr:pic>
      <xdr:nvPicPr>
        <xdr:cNvPr id="2668" name="image1.png">
          <a:extLst>
            <a:ext uri="{FF2B5EF4-FFF2-40B4-BE49-F238E27FC236}">
              <a16:creationId xmlns:a16="http://schemas.microsoft.com/office/drawing/2014/main" id="{00000000-0008-0000-0200-00006C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1763</xdr:row>
      <xdr:rowOff>0</xdr:rowOff>
    </xdr:from>
    <xdr:ext cx="200025" cy="200025"/>
    <xdr:pic>
      <xdr:nvPicPr>
        <xdr:cNvPr id="2669" name="image11.png">
          <a:extLst>
            <a:ext uri="{FF2B5EF4-FFF2-40B4-BE49-F238E27FC236}">
              <a16:creationId xmlns:a16="http://schemas.microsoft.com/office/drawing/2014/main" id="{00000000-0008-0000-0200-00006D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1764</xdr:row>
      <xdr:rowOff>0</xdr:rowOff>
    </xdr:from>
    <xdr:ext cx="200025" cy="200025"/>
    <xdr:pic>
      <xdr:nvPicPr>
        <xdr:cNvPr id="2670" name="image9.png">
          <a:extLst>
            <a:ext uri="{FF2B5EF4-FFF2-40B4-BE49-F238E27FC236}">
              <a16:creationId xmlns:a16="http://schemas.microsoft.com/office/drawing/2014/main" id="{00000000-0008-0000-0200-00006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1765</xdr:row>
      <xdr:rowOff>0</xdr:rowOff>
    </xdr:from>
    <xdr:ext cx="200025" cy="200025"/>
    <xdr:pic>
      <xdr:nvPicPr>
        <xdr:cNvPr id="2671" name="image9.png">
          <a:extLst>
            <a:ext uri="{FF2B5EF4-FFF2-40B4-BE49-F238E27FC236}">
              <a16:creationId xmlns:a16="http://schemas.microsoft.com/office/drawing/2014/main" id="{00000000-0008-0000-0200-00006F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1767</xdr:row>
      <xdr:rowOff>0</xdr:rowOff>
    </xdr:from>
    <xdr:ext cx="200025" cy="200025"/>
    <xdr:pic>
      <xdr:nvPicPr>
        <xdr:cNvPr id="2672" name="image10.png">
          <a:extLst>
            <a:ext uri="{FF2B5EF4-FFF2-40B4-BE49-F238E27FC236}">
              <a16:creationId xmlns:a16="http://schemas.microsoft.com/office/drawing/2014/main" id="{00000000-0008-0000-0200-00007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1767</xdr:row>
      <xdr:rowOff>0</xdr:rowOff>
    </xdr:from>
    <xdr:ext cx="200025" cy="200025"/>
    <xdr:pic>
      <xdr:nvPicPr>
        <xdr:cNvPr id="2673" name="image9.png">
          <a:extLst>
            <a:ext uri="{FF2B5EF4-FFF2-40B4-BE49-F238E27FC236}">
              <a16:creationId xmlns:a16="http://schemas.microsoft.com/office/drawing/2014/main" id="{00000000-0008-0000-0200-000071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1767</xdr:row>
      <xdr:rowOff>0</xdr:rowOff>
    </xdr:from>
    <xdr:ext cx="200025" cy="200025"/>
    <xdr:pic>
      <xdr:nvPicPr>
        <xdr:cNvPr id="2674" name="image12.png">
          <a:extLst>
            <a:ext uri="{FF2B5EF4-FFF2-40B4-BE49-F238E27FC236}">
              <a16:creationId xmlns:a16="http://schemas.microsoft.com/office/drawing/2014/main" id="{00000000-0008-0000-0200-000072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1767</xdr:row>
      <xdr:rowOff>0</xdr:rowOff>
    </xdr:from>
    <xdr:ext cx="200025" cy="200025"/>
    <xdr:pic>
      <xdr:nvPicPr>
        <xdr:cNvPr id="2675" name="image5.png">
          <a:extLst>
            <a:ext uri="{FF2B5EF4-FFF2-40B4-BE49-F238E27FC236}">
              <a16:creationId xmlns:a16="http://schemas.microsoft.com/office/drawing/2014/main" id="{00000000-0008-0000-0200-000073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1768</xdr:row>
      <xdr:rowOff>0</xdr:rowOff>
    </xdr:from>
    <xdr:ext cx="200025" cy="200025"/>
    <xdr:pic>
      <xdr:nvPicPr>
        <xdr:cNvPr id="2676" name="image5.png">
          <a:extLst>
            <a:ext uri="{FF2B5EF4-FFF2-40B4-BE49-F238E27FC236}">
              <a16:creationId xmlns:a16="http://schemas.microsoft.com/office/drawing/2014/main" id="{00000000-0008-0000-0200-000074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1769</xdr:row>
      <xdr:rowOff>0</xdr:rowOff>
    </xdr:from>
    <xdr:ext cx="200025" cy="200025"/>
    <xdr:pic>
      <xdr:nvPicPr>
        <xdr:cNvPr id="2677" name="image6.png">
          <a:extLst>
            <a:ext uri="{FF2B5EF4-FFF2-40B4-BE49-F238E27FC236}">
              <a16:creationId xmlns:a16="http://schemas.microsoft.com/office/drawing/2014/main" id="{00000000-0008-0000-0200-000075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1770</xdr:row>
      <xdr:rowOff>0</xdr:rowOff>
    </xdr:from>
    <xdr:ext cx="200025" cy="200025"/>
    <xdr:pic>
      <xdr:nvPicPr>
        <xdr:cNvPr id="2678" name="image9.png">
          <a:extLst>
            <a:ext uri="{FF2B5EF4-FFF2-40B4-BE49-F238E27FC236}">
              <a16:creationId xmlns:a16="http://schemas.microsoft.com/office/drawing/2014/main" id="{00000000-0008-0000-0200-000076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1770</xdr:row>
      <xdr:rowOff>0</xdr:rowOff>
    </xdr:from>
    <xdr:ext cx="200025" cy="200025"/>
    <xdr:pic>
      <xdr:nvPicPr>
        <xdr:cNvPr id="2679" name="image2.png">
          <a:extLst>
            <a:ext uri="{FF2B5EF4-FFF2-40B4-BE49-F238E27FC236}">
              <a16:creationId xmlns:a16="http://schemas.microsoft.com/office/drawing/2014/main" id="{00000000-0008-0000-0200-000077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1770</xdr:row>
      <xdr:rowOff>0</xdr:rowOff>
    </xdr:from>
    <xdr:ext cx="200025" cy="200025"/>
    <xdr:pic>
      <xdr:nvPicPr>
        <xdr:cNvPr id="2680" name="image4.png">
          <a:extLst>
            <a:ext uri="{FF2B5EF4-FFF2-40B4-BE49-F238E27FC236}">
              <a16:creationId xmlns:a16="http://schemas.microsoft.com/office/drawing/2014/main" id="{00000000-0008-0000-0200-000078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1771</xdr:row>
      <xdr:rowOff>0</xdr:rowOff>
    </xdr:from>
    <xdr:ext cx="200025" cy="200025"/>
    <xdr:pic>
      <xdr:nvPicPr>
        <xdr:cNvPr id="2681" name="image8.png">
          <a:extLst>
            <a:ext uri="{FF2B5EF4-FFF2-40B4-BE49-F238E27FC236}">
              <a16:creationId xmlns:a16="http://schemas.microsoft.com/office/drawing/2014/main" id="{00000000-0008-0000-0200-000079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1772</xdr:row>
      <xdr:rowOff>0</xdr:rowOff>
    </xdr:from>
    <xdr:ext cx="200025" cy="200025"/>
    <xdr:pic>
      <xdr:nvPicPr>
        <xdr:cNvPr id="2682" name="image8.png">
          <a:extLst>
            <a:ext uri="{FF2B5EF4-FFF2-40B4-BE49-F238E27FC236}">
              <a16:creationId xmlns:a16="http://schemas.microsoft.com/office/drawing/2014/main" id="{00000000-0008-0000-0200-00007A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1773</xdr:row>
      <xdr:rowOff>0</xdr:rowOff>
    </xdr:from>
    <xdr:ext cx="200025" cy="200025"/>
    <xdr:pic>
      <xdr:nvPicPr>
        <xdr:cNvPr id="2683" name="image2.png">
          <a:extLst>
            <a:ext uri="{FF2B5EF4-FFF2-40B4-BE49-F238E27FC236}">
              <a16:creationId xmlns:a16="http://schemas.microsoft.com/office/drawing/2014/main" id="{00000000-0008-0000-0200-00007B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1773</xdr:row>
      <xdr:rowOff>0</xdr:rowOff>
    </xdr:from>
    <xdr:ext cx="200025" cy="200025"/>
    <xdr:pic>
      <xdr:nvPicPr>
        <xdr:cNvPr id="2684" name="image6.png">
          <a:extLst>
            <a:ext uri="{FF2B5EF4-FFF2-40B4-BE49-F238E27FC236}">
              <a16:creationId xmlns:a16="http://schemas.microsoft.com/office/drawing/2014/main" id="{00000000-0008-0000-0200-00007C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1773</xdr:row>
      <xdr:rowOff>0</xdr:rowOff>
    </xdr:from>
    <xdr:ext cx="200025" cy="200025"/>
    <xdr:pic>
      <xdr:nvPicPr>
        <xdr:cNvPr id="2685" name="image7.png">
          <a:extLst>
            <a:ext uri="{FF2B5EF4-FFF2-40B4-BE49-F238E27FC236}">
              <a16:creationId xmlns:a16="http://schemas.microsoft.com/office/drawing/2014/main" id="{00000000-0008-0000-0200-00007D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1774</xdr:row>
      <xdr:rowOff>0</xdr:rowOff>
    </xdr:from>
    <xdr:ext cx="200025" cy="200025"/>
    <xdr:pic>
      <xdr:nvPicPr>
        <xdr:cNvPr id="2686" name="image9.png">
          <a:extLst>
            <a:ext uri="{FF2B5EF4-FFF2-40B4-BE49-F238E27FC236}">
              <a16:creationId xmlns:a16="http://schemas.microsoft.com/office/drawing/2014/main" id="{00000000-0008-0000-0200-00007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1775</xdr:row>
      <xdr:rowOff>0</xdr:rowOff>
    </xdr:from>
    <xdr:ext cx="200025" cy="200025"/>
    <xdr:pic>
      <xdr:nvPicPr>
        <xdr:cNvPr id="2687" name="image9.png">
          <a:extLst>
            <a:ext uri="{FF2B5EF4-FFF2-40B4-BE49-F238E27FC236}">
              <a16:creationId xmlns:a16="http://schemas.microsoft.com/office/drawing/2014/main" id="{00000000-0008-0000-0200-00007F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1777</xdr:row>
      <xdr:rowOff>0</xdr:rowOff>
    </xdr:from>
    <xdr:ext cx="200025" cy="200025"/>
    <xdr:pic>
      <xdr:nvPicPr>
        <xdr:cNvPr id="2688" name="image9.png">
          <a:extLst>
            <a:ext uri="{FF2B5EF4-FFF2-40B4-BE49-F238E27FC236}">
              <a16:creationId xmlns:a16="http://schemas.microsoft.com/office/drawing/2014/main" id="{00000000-0008-0000-0200-000080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1777</xdr:row>
      <xdr:rowOff>0</xdr:rowOff>
    </xdr:from>
    <xdr:ext cx="200025" cy="200025"/>
    <xdr:pic>
      <xdr:nvPicPr>
        <xdr:cNvPr id="2689" name="image2.png">
          <a:extLst>
            <a:ext uri="{FF2B5EF4-FFF2-40B4-BE49-F238E27FC236}">
              <a16:creationId xmlns:a16="http://schemas.microsoft.com/office/drawing/2014/main" id="{00000000-0008-0000-0200-000081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1777</xdr:row>
      <xdr:rowOff>0</xdr:rowOff>
    </xdr:from>
    <xdr:ext cx="200025" cy="200025"/>
    <xdr:pic>
      <xdr:nvPicPr>
        <xdr:cNvPr id="2690" name="image4.png">
          <a:extLst>
            <a:ext uri="{FF2B5EF4-FFF2-40B4-BE49-F238E27FC236}">
              <a16:creationId xmlns:a16="http://schemas.microsoft.com/office/drawing/2014/main" id="{00000000-0008-0000-0200-000082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1778</xdr:row>
      <xdr:rowOff>0</xdr:rowOff>
    </xdr:from>
    <xdr:ext cx="200025" cy="200025"/>
    <xdr:pic>
      <xdr:nvPicPr>
        <xdr:cNvPr id="2691" name="image8.png">
          <a:extLst>
            <a:ext uri="{FF2B5EF4-FFF2-40B4-BE49-F238E27FC236}">
              <a16:creationId xmlns:a16="http://schemas.microsoft.com/office/drawing/2014/main" id="{00000000-0008-0000-0200-000083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1779</xdr:row>
      <xdr:rowOff>0</xdr:rowOff>
    </xdr:from>
    <xdr:ext cx="200025" cy="200025"/>
    <xdr:pic>
      <xdr:nvPicPr>
        <xdr:cNvPr id="2692" name="image8.png">
          <a:extLst>
            <a:ext uri="{FF2B5EF4-FFF2-40B4-BE49-F238E27FC236}">
              <a16:creationId xmlns:a16="http://schemas.microsoft.com/office/drawing/2014/main" id="{00000000-0008-0000-0200-000084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1780</xdr:row>
      <xdr:rowOff>0</xdr:rowOff>
    </xdr:from>
    <xdr:ext cx="200025" cy="200025"/>
    <xdr:pic>
      <xdr:nvPicPr>
        <xdr:cNvPr id="2693" name="image10.png">
          <a:extLst>
            <a:ext uri="{FF2B5EF4-FFF2-40B4-BE49-F238E27FC236}">
              <a16:creationId xmlns:a16="http://schemas.microsoft.com/office/drawing/2014/main" id="{00000000-0008-0000-0200-000085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1780</xdr:row>
      <xdr:rowOff>0</xdr:rowOff>
    </xdr:from>
    <xdr:ext cx="200025" cy="200025"/>
    <xdr:pic>
      <xdr:nvPicPr>
        <xdr:cNvPr id="2694" name="image1.png">
          <a:extLst>
            <a:ext uri="{FF2B5EF4-FFF2-40B4-BE49-F238E27FC236}">
              <a16:creationId xmlns:a16="http://schemas.microsoft.com/office/drawing/2014/main" id="{00000000-0008-0000-0200-000086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1780</xdr:row>
      <xdr:rowOff>0</xdr:rowOff>
    </xdr:from>
    <xdr:ext cx="200025" cy="200025"/>
    <xdr:pic>
      <xdr:nvPicPr>
        <xdr:cNvPr id="2695" name="image5.png">
          <a:extLst>
            <a:ext uri="{FF2B5EF4-FFF2-40B4-BE49-F238E27FC236}">
              <a16:creationId xmlns:a16="http://schemas.microsoft.com/office/drawing/2014/main" id="{00000000-0008-0000-0200-000087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1780</xdr:row>
      <xdr:rowOff>0</xdr:rowOff>
    </xdr:from>
    <xdr:ext cx="200025" cy="200025"/>
    <xdr:pic>
      <xdr:nvPicPr>
        <xdr:cNvPr id="2696" name="image3.png">
          <a:extLst>
            <a:ext uri="{FF2B5EF4-FFF2-40B4-BE49-F238E27FC236}">
              <a16:creationId xmlns:a16="http://schemas.microsoft.com/office/drawing/2014/main" id="{00000000-0008-0000-0200-000088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1781</xdr:row>
      <xdr:rowOff>0</xdr:rowOff>
    </xdr:from>
    <xdr:ext cx="200025" cy="200025"/>
    <xdr:pic>
      <xdr:nvPicPr>
        <xdr:cNvPr id="2697" name="image8.png">
          <a:extLst>
            <a:ext uri="{FF2B5EF4-FFF2-40B4-BE49-F238E27FC236}">
              <a16:creationId xmlns:a16="http://schemas.microsoft.com/office/drawing/2014/main" id="{00000000-0008-0000-0200-000089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1782</xdr:row>
      <xdr:rowOff>0</xdr:rowOff>
    </xdr:from>
    <xdr:ext cx="200025" cy="200025"/>
    <xdr:pic>
      <xdr:nvPicPr>
        <xdr:cNvPr id="2698" name="image8.png">
          <a:extLst>
            <a:ext uri="{FF2B5EF4-FFF2-40B4-BE49-F238E27FC236}">
              <a16:creationId xmlns:a16="http://schemas.microsoft.com/office/drawing/2014/main" id="{00000000-0008-0000-0200-00008A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1783</xdr:row>
      <xdr:rowOff>0</xdr:rowOff>
    </xdr:from>
    <xdr:ext cx="200025" cy="200025"/>
    <xdr:pic>
      <xdr:nvPicPr>
        <xdr:cNvPr id="2699" name="image10.png">
          <a:extLst>
            <a:ext uri="{FF2B5EF4-FFF2-40B4-BE49-F238E27FC236}">
              <a16:creationId xmlns:a16="http://schemas.microsoft.com/office/drawing/2014/main" id="{00000000-0008-0000-0200-00008B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1783</xdr:row>
      <xdr:rowOff>0</xdr:rowOff>
    </xdr:from>
    <xdr:ext cx="200025" cy="200025"/>
    <xdr:pic>
      <xdr:nvPicPr>
        <xdr:cNvPr id="2700" name="image6.png">
          <a:extLst>
            <a:ext uri="{FF2B5EF4-FFF2-40B4-BE49-F238E27FC236}">
              <a16:creationId xmlns:a16="http://schemas.microsoft.com/office/drawing/2014/main" id="{00000000-0008-0000-0200-00008C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1783</xdr:row>
      <xdr:rowOff>0</xdr:rowOff>
    </xdr:from>
    <xdr:ext cx="200025" cy="200025"/>
    <xdr:pic>
      <xdr:nvPicPr>
        <xdr:cNvPr id="2701" name="image4.png">
          <a:extLst>
            <a:ext uri="{FF2B5EF4-FFF2-40B4-BE49-F238E27FC236}">
              <a16:creationId xmlns:a16="http://schemas.microsoft.com/office/drawing/2014/main" id="{00000000-0008-0000-0200-00008D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1783</xdr:row>
      <xdr:rowOff>0</xdr:rowOff>
    </xdr:from>
    <xdr:ext cx="200025" cy="200025"/>
    <xdr:pic>
      <xdr:nvPicPr>
        <xdr:cNvPr id="2702" name="image10.png">
          <a:extLst>
            <a:ext uri="{FF2B5EF4-FFF2-40B4-BE49-F238E27FC236}">
              <a16:creationId xmlns:a16="http://schemas.microsoft.com/office/drawing/2014/main" id="{00000000-0008-0000-0200-00008E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1784</xdr:row>
      <xdr:rowOff>0</xdr:rowOff>
    </xdr:from>
    <xdr:ext cx="200025" cy="200025"/>
    <xdr:pic>
      <xdr:nvPicPr>
        <xdr:cNvPr id="2703" name="image10.png">
          <a:extLst>
            <a:ext uri="{FF2B5EF4-FFF2-40B4-BE49-F238E27FC236}">
              <a16:creationId xmlns:a16="http://schemas.microsoft.com/office/drawing/2014/main" id="{00000000-0008-0000-0200-00008F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1785</xdr:row>
      <xdr:rowOff>0</xdr:rowOff>
    </xdr:from>
    <xdr:ext cx="200025" cy="200025"/>
    <xdr:pic>
      <xdr:nvPicPr>
        <xdr:cNvPr id="2704" name="image10.png">
          <a:extLst>
            <a:ext uri="{FF2B5EF4-FFF2-40B4-BE49-F238E27FC236}">
              <a16:creationId xmlns:a16="http://schemas.microsoft.com/office/drawing/2014/main" id="{00000000-0008-0000-0200-00009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1785</xdr:row>
      <xdr:rowOff>0</xdr:rowOff>
    </xdr:from>
    <xdr:ext cx="200025" cy="200025"/>
    <xdr:pic>
      <xdr:nvPicPr>
        <xdr:cNvPr id="2705" name="image1.png">
          <a:extLst>
            <a:ext uri="{FF2B5EF4-FFF2-40B4-BE49-F238E27FC236}">
              <a16:creationId xmlns:a16="http://schemas.microsoft.com/office/drawing/2014/main" id="{00000000-0008-0000-0200-000091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1785</xdr:row>
      <xdr:rowOff>0</xdr:rowOff>
    </xdr:from>
    <xdr:ext cx="200025" cy="200025"/>
    <xdr:pic>
      <xdr:nvPicPr>
        <xdr:cNvPr id="2706" name="image11.png">
          <a:extLst>
            <a:ext uri="{FF2B5EF4-FFF2-40B4-BE49-F238E27FC236}">
              <a16:creationId xmlns:a16="http://schemas.microsoft.com/office/drawing/2014/main" id="{00000000-0008-0000-0200-000092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1785</xdr:row>
      <xdr:rowOff>0</xdr:rowOff>
    </xdr:from>
    <xdr:ext cx="200025" cy="200025"/>
    <xdr:pic>
      <xdr:nvPicPr>
        <xdr:cNvPr id="2707" name="image2.png">
          <a:extLst>
            <a:ext uri="{FF2B5EF4-FFF2-40B4-BE49-F238E27FC236}">
              <a16:creationId xmlns:a16="http://schemas.microsoft.com/office/drawing/2014/main" id="{00000000-0008-0000-0200-000093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1786</xdr:row>
      <xdr:rowOff>0</xdr:rowOff>
    </xdr:from>
    <xdr:ext cx="200025" cy="200025"/>
    <xdr:pic>
      <xdr:nvPicPr>
        <xdr:cNvPr id="2708" name="image2.png">
          <a:extLst>
            <a:ext uri="{FF2B5EF4-FFF2-40B4-BE49-F238E27FC236}">
              <a16:creationId xmlns:a16="http://schemas.microsoft.com/office/drawing/2014/main" id="{00000000-0008-0000-0200-00009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1787</xdr:row>
      <xdr:rowOff>0</xdr:rowOff>
    </xdr:from>
    <xdr:ext cx="200025" cy="200025"/>
    <xdr:pic>
      <xdr:nvPicPr>
        <xdr:cNvPr id="2709" name="image8.png">
          <a:extLst>
            <a:ext uri="{FF2B5EF4-FFF2-40B4-BE49-F238E27FC236}">
              <a16:creationId xmlns:a16="http://schemas.microsoft.com/office/drawing/2014/main" id="{00000000-0008-0000-0200-000095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1787</xdr:row>
      <xdr:rowOff>0</xdr:rowOff>
    </xdr:from>
    <xdr:ext cx="200025" cy="200025"/>
    <xdr:pic>
      <xdr:nvPicPr>
        <xdr:cNvPr id="2710" name="image1.png">
          <a:extLst>
            <a:ext uri="{FF2B5EF4-FFF2-40B4-BE49-F238E27FC236}">
              <a16:creationId xmlns:a16="http://schemas.microsoft.com/office/drawing/2014/main" id="{00000000-0008-0000-0200-000096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1787</xdr:row>
      <xdr:rowOff>0</xdr:rowOff>
    </xdr:from>
    <xdr:ext cx="200025" cy="200025"/>
    <xdr:pic>
      <xdr:nvPicPr>
        <xdr:cNvPr id="2711" name="image4.png">
          <a:extLst>
            <a:ext uri="{FF2B5EF4-FFF2-40B4-BE49-F238E27FC236}">
              <a16:creationId xmlns:a16="http://schemas.microsoft.com/office/drawing/2014/main" id="{00000000-0008-0000-0200-000097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1788</xdr:row>
      <xdr:rowOff>0</xdr:rowOff>
    </xdr:from>
    <xdr:ext cx="200025" cy="200025"/>
    <xdr:pic>
      <xdr:nvPicPr>
        <xdr:cNvPr id="2712" name="image9.png">
          <a:extLst>
            <a:ext uri="{FF2B5EF4-FFF2-40B4-BE49-F238E27FC236}">
              <a16:creationId xmlns:a16="http://schemas.microsoft.com/office/drawing/2014/main" id="{00000000-0008-0000-0200-000098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1789</xdr:row>
      <xdr:rowOff>0</xdr:rowOff>
    </xdr:from>
    <xdr:ext cx="200025" cy="200025"/>
    <xdr:pic>
      <xdr:nvPicPr>
        <xdr:cNvPr id="2713" name="image9.png">
          <a:extLst>
            <a:ext uri="{FF2B5EF4-FFF2-40B4-BE49-F238E27FC236}">
              <a16:creationId xmlns:a16="http://schemas.microsoft.com/office/drawing/2014/main" id="{00000000-0008-0000-0200-000099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1790</xdr:row>
      <xdr:rowOff>0</xdr:rowOff>
    </xdr:from>
    <xdr:ext cx="200025" cy="200025"/>
    <xdr:pic>
      <xdr:nvPicPr>
        <xdr:cNvPr id="2714" name="image9.png">
          <a:extLst>
            <a:ext uri="{FF2B5EF4-FFF2-40B4-BE49-F238E27FC236}">
              <a16:creationId xmlns:a16="http://schemas.microsoft.com/office/drawing/2014/main" id="{00000000-0008-0000-0200-00009A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1790</xdr:row>
      <xdr:rowOff>0</xdr:rowOff>
    </xdr:from>
    <xdr:ext cx="200025" cy="200025"/>
    <xdr:pic>
      <xdr:nvPicPr>
        <xdr:cNvPr id="2715" name="image2.png">
          <a:extLst>
            <a:ext uri="{FF2B5EF4-FFF2-40B4-BE49-F238E27FC236}">
              <a16:creationId xmlns:a16="http://schemas.microsoft.com/office/drawing/2014/main" id="{00000000-0008-0000-0200-00009B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1790</xdr:row>
      <xdr:rowOff>0</xdr:rowOff>
    </xdr:from>
    <xdr:ext cx="200025" cy="200025"/>
    <xdr:pic>
      <xdr:nvPicPr>
        <xdr:cNvPr id="2716" name="image12.png">
          <a:extLst>
            <a:ext uri="{FF2B5EF4-FFF2-40B4-BE49-F238E27FC236}">
              <a16:creationId xmlns:a16="http://schemas.microsoft.com/office/drawing/2014/main" id="{00000000-0008-0000-0200-00009C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1790</xdr:row>
      <xdr:rowOff>0</xdr:rowOff>
    </xdr:from>
    <xdr:ext cx="200025" cy="200025"/>
    <xdr:pic>
      <xdr:nvPicPr>
        <xdr:cNvPr id="2717" name="image11.png">
          <a:extLst>
            <a:ext uri="{FF2B5EF4-FFF2-40B4-BE49-F238E27FC236}">
              <a16:creationId xmlns:a16="http://schemas.microsoft.com/office/drawing/2014/main" id="{00000000-0008-0000-0200-00009D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1791</xdr:row>
      <xdr:rowOff>0</xdr:rowOff>
    </xdr:from>
    <xdr:ext cx="200025" cy="200025"/>
    <xdr:pic>
      <xdr:nvPicPr>
        <xdr:cNvPr id="2718" name="image8.png">
          <a:extLst>
            <a:ext uri="{FF2B5EF4-FFF2-40B4-BE49-F238E27FC236}">
              <a16:creationId xmlns:a16="http://schemas.microsoft.com/office/drawing/2014/main" id="{00000000-0008-0000-0200-00009E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1792</xdr:row>
      <xdr:rowOff>0</xdr:rowOff>
    </xdr:from>
    <xdr:ext cx="200025" cy="200025"/>
    <xdr:pic>
      <xdr:nvPicPr>
        <xdr:cNvPr id="2719" name="image8.png">
          <a:extLst>
            <a:ext uri="{FF2B5EF4-FFF2-40B4-BE49-F238E27FC236}">
              <a16:creationId xmlns:a16="http://schemas.microsoft.com/office/drawing/2014/main" id="{00000000-0008-0000-0200-00009F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1793</xdr:row>
      <xdr:rowOff>0</xdr:rowOff>
    </xdr:from>
    <xdr:ext cx="200025" cy="200025"/>
    <xdr:pic>
      <xdr:nvPicPr>
        <xdr:cNvPr id="2720" name="image8.png">
          <a:extLst>
            <a:ext uri="{FF2B5EF4-FFF2-40B4-BE49-F238E27FC236}">
              <a16:creationId xmlns:a16="http://schemas.microsoft.com/office/drawing/2014/main" id="{00000000-0008-0000-0200-0000A0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1793</xdr:row>
      <xdr:rowOff>0</xdr:rowOff>
    </xdr:from>
    <xdr:ext cx="200025" cy="200025"/>
    <xdr:pic>
      <xdr:nvPicPr>
        <xdr:cNvPr id="2721" name="image1.png">
          <a:extLst>
            <a:ext uri="{FF2B5EF4-FFF2-40B4-BE49-F238E27FC236}">
              <a16:creationId xmlns:a16="http://schemas.microsoft.com/office/drawing/2014/main" id="{00000000-0008-0000-0200-0000A1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1793</xdr:row>
      <xdr:rowOff>0</xdr:rowOff>
    </xdr:from>
    <xdr:ext cx="200025" cy="200025"/>
    <xdr:pic>
      <xdr:nvPicPr>
        <xdr:cNvPr id="2722" name="image4.png">
          <a:extLst>
            <a:ext uri="{FF2B5EF4-FFF2-40B4-BE49-F238E27FC236}">
              <a16:creationId xmlns:a16="http://schemas.microsoft.com/office/drawing/2014/main" id="{00000000-0008-0000-0200-0000A2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1793</xdr:row>
      <xdr:rowOff>0</xdr:rowOff>
    </xdr:from>
    <xdr:ext cx="200025" cy="200025"/>
    <xdr:pic>
      <xdr:nvPicPr>
        <xdr:cNvPr id="2723" name="image11.png">
          <a:extLst>
            <a:ext uri="{FF2B5EF4-FFF2-40B4-BE49-F238E27FC236}">
              <a16:creationId xmlns:a16="http://schemas.microsoft.com/office/drawing/2014/main" id="{00000000-0008-0000-0200-0000A3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1793</xdr:row>
      <xdr:rowOff>0</xdr:rowOff>
    </xdr:from>
    <xdr:ext cx="200025" cy="200025"/>
    <xdr:pic>
      <xdr:nvPicPr>
        <xdr:cNvPr id="2724" name="image2.png">
          <a:extLst>
            <a:ext uri="{FF2B5EF4-FFF2-40B4-BE49-F238E27FC236}">
              <a16:creationId xmlns:a16="http://schemas.microsoft.com/office/drawing/2014/main" id="{00000000-0008-0000-0200-0000A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1794</xdr:row>
      <xdr:rowOff>0</xdr:rowOff>
    </xdr:from>
    <xdr:ext cx="200025" cy="200025"/>
    <xdr:pic>
      <xdr:nvPicPr>
        <xdr:cNvPr id="2725" name="image2.png">
          <a:extLst>
            <a:ext uri="{FF2B5EF4-FFF2-40B4-BE49-F238E27FC236}">
              <a16:creationId xmlns:a16="http://schemas.microsoft.com/office/drawing/2014/main" id="{00000000-0008-0000-0200-0000A5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1796</xdr:row>
      <xdr:rowOff>0</xdr:rowOff>
    </xdr:from>
    <xdr:ext cx="200025" cy="200025"/>
    <xdr:pic>
      <xdr:nvPicPr>
        <xdr:cNvPr id="2726" name="image10.png">
          <a:extLst>
            <a:ext uri="{FF2B5EF4-FFF2-40B4-BE49-F238E27FC236}">
              <a16:creationId xmlns:a16="http://schemas.microsoft.com/office/drawing/2014/main" id="{00000000-0008-0000-0200-0000A6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1796</xdr:row>
      <xdr:rowOff>0</xdr:rowOff>
    </xdr:from>
    <xdr:ext cx="200025" cy="200025"/>
    <xdr:pic>
      <xdr:nvPicPr>
        <xdr:cNvPr id="2727" name="image6.png">
          <a:extLst>
            <a:ext uri="{FF2B5EF4-FFF2-40B4-BE49-F238E27FC236}">
              <a16:creationId xmlns:a16="http://schemas.microsoft.com/office/drawing/2014/main" id="{00000000-0008-0000-0200-0000A7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1796</xdr:row>
      <xdr:rowOff>0</xdr:rowOff>
    </xdr:from>
    <xdr:ext cx="200025" cy="200025"/>
    <xdr:pic>
      <xdr:nvPicPr>
        <xdr:cNvPr id="2728" name="image12.png">
          <a:extLst>
            <a:ext uri="{FF2B5EF4-FFF2-40B4-BE49-F238E27FC236}">
              <a16:creationId xmlns:a16="http://schemas.microsoft.com/office/drawing/2014/main" id="{00000000-0008-0000-0200-0000A8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1797</xdr:row>
      <xdr:rowOff>0</xdr:rowOff>
    </xdr:from>
    <xdr:ext cx="200025" cy="200025"/>
    <xdr:pic>
      <xdr:nvPicPr>
        <xdr:cNvPr id="2729" name="image2.png">
          <a:extLst>
            <a:ext uri="{FF2B5EF4-FFF2-40B4-BE49-F238E27FC236}">
              <a16:creationId xmlns:a16="http://schemas.microsoft.com/office/drawing/2014/main" id="{00000000-0008-0000-0200-0000A9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1798</xdr:row>
      <xdr:rowOff>0</xdr:rowOff>
    </xdr:from>
    <xdr:ext cx="200025" cy="200025"/>
    <xdr:pic>
      <xdr:nvPicPr>
        <xdr:cNvPr id="2730" name="image2.png">
          <a:extLst>
            <a:ext uri="{FF2B5EF4-FFF2-40B4-BE49-F238E27FC236}">
              <a16:creationId xmlns:a16="http://schemas.microsoft.com/office/drawing/2014/main" id="{00000000-0008-0000-0200-0000AA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1799</xdr:row>
      <xdr:rowOff>0</xdr:rowOff>
    </xdr:from>
    <xdr:ext cx="200025" cy="200025"/>
    <xdr:pic>
      <xdr:nvPicPr>
        <xdr:cNvPr id="2731" name="image2.png">
          <a:extLst>
            <a:ext uri="{FF2B5EF4-FFF2-40B4-BE49-F238E27FC236}">
              <a16:creationId xmlns:a16="http://schemas.microsoft.com/office/drawing/2014/main" id="{00000000-0008-0000-0200-0000AB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1799</xdr:row>
      <xdr:rowOff>0</xdr:rowOff>
    </xdr:from>
    <xdr:ext cx="200025" cy="200025"/>
    <xdr:pic>
      <xdr:nvPicPr>
        <xdr:cNvPr id="2732" name="image1.png">
          <a:extLst>
            <a:ext uri="{FF2B5EF4-FFF2-40B4-BE49-F238E27FC236}">
              <a16:creationId xmlns:a16="http://schemas.microsoft.com/office/drawing/2014/main" id="{00000000-0008-0000-0200-0000AC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1799</xdr:row>
      <xdr:rowOff>0</xdr:rowOff>
    </xdr:from>
    <xdr:ext cx="200025" cy="200025"/>
    <xdr:pic>
      <xdr:nvPicPr>
        <xdr:cNvPr id="2733" name="image6.png">
          <a:extLst>
            <a:ext uri="{FF2B5EF4-FFF2-40B4-BE49-F238E27FC236}">
              <a16:creationId xmlns:a16="http://schemas.microsoft.com/office/drawing/2014/main" id="{00000000-0008-0000-0200-0000AD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1799</xdr:row>
      <xdr:rowOff>0</xdr:rowOff>
    </xdr:from>
    <xdr:ext cx="200025" cy="200025"/>
    <xdr:pic>
      <xdr:nvPicPr>
        <xdr:cNvPr id="2734" name="image8.png">
          <a:extLst>
            <a:ext uri="{FF2B5EF4-FFF2-40B4-BE49-F238E27FC236}">
              <a16:creationId xmlns:a16="http://schemas.microsoft.com/office/drawing/2014/main" id="{00000000-0008-0000-0200-0000AE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1800</xdr:row>
      <xdr:rowOff>0</xdr:rowOff>
    </xdr:from>
    <xdr:ext cx="200025" cy="200025"/>
    <xdr:pic>
      <xdr:nvPicPr>
        <xdr:cNvPr id="2735" name="image8.png">
          <a:extLst>
            <a:ext uri="{FF2B5EF4-FFF2-40B4-BE49-F238E27FC236}">
              <a16:creationId xmlns:a16="http://schemas.microsoft.com/office/drawing/2014/main" id="{00000000-0008-0000-0200-0000AF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1801</xdr:row>
      <xdr:rowOff>0</xdr:rowOff>
    </xdr:from>
    <xdr:ext cx="200025" cy="200025"/>
    <xdr:pic>
      <xdr:nvPicPr>
        <xdr:cNvPr id="2736" name="image8.png">
          <a:extLst>
            <a:ext uri="{FF2B5EF4-FFF2-40B4-BE49-F238E27FC236}">
              <a16:creationId xmlns:a16="http://schemas.microsoft.com/office/drawing/2014/main" id="{00000000-0008-0000-0200-0000B0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1802</xdr:row>
      <xdr:rowOff>0</xdr:rowOff>
    </xdr:from>
    <xdr:ext cx="200025" cy="200025"/>
    <xdr:pic>
      <xdr:nvPicPr>
        <xdr:cNvPr id="2737" name="image10.png">
          <a:extLst>
            <a:ext uri="{FF2B5EF4-FFF2-40B4-BE49-F238E27FC236}">
              <a16:creationId xmlns:a16="http://schemas.microsoft.com/office/drawing/2014/main" id="{00000000-0008-0000-0200-0000B1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1802</xdr:row>
      <xdr:rowOff>0</xdr:rowOff>
    </xdr:from>
    <xdr:ext cx="200025" cy="200025"/>
    <xdr:pic>
      <xdr:nvPicPr>
        <xdr:cNvPr id="2738" name="image9.png">
          <a:extLst>
            <a:ext uri="{FF2B5EF4-FFF2-40B4-BE49-F238E27FC236}">
              <a16:creationId xmlns:a16="http://schemas.microsoft.com/office/drawing/2014/main" id="{00000000-0008-0000-0200-0000B2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1802</xdr:row>
      <xdr:rowOff>0</xdr:rowOff>
    </xdr:from>
    <xdr:ext cx="200025" cy="200025"/>
    <xdr:pic>
      <xdr:nvPicPr>
        <xdr:cNvPr id="2739" name="image12.png">
          <a:extLst>
            <a:ext uri="{FF2B5EF4-FFF2-40B4-BE49-F238E27FC236}">
              <a16:creationId xmlns:a16="http://schemas.microsoft.com/office/drawing/2014/main" id="{00000000-0008-0000-0200-0000B3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1802</xdr:row>
      <xdr:rowOff>0</xdr:rowOff>
    </xdr:from>
    <xdr:ext cx="200025" cy="200025"/>
    <xdr:pic>
      <xdr:nvPicPr>
        <xdr:cNvPr id="2740" name="image6.png">
          <a:extLst>
            <a:ext uri="{FF2B5EF4-FFF2-40B4-BE49-F238E27FC236}">
              <a16:creationId xmlns:a16="http://schemas.microsoft.com/office/drawing/2014/main" id="{00000000-0008-0000-0200-0000B4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1803</xdr:row>
      <xdr:rowOff>0</xdr:rowOff>
    </xdr:from>
    <xdr:ext cx="200025" cy="200025"/>
    <xdr:pic>
      <xdr:nvPicPr>
        <xdr:cNvPr id="2741" name="image6.png">
          <a:extLst>
            <a:ext uri="{FF2B5EF4-FFF2-40B4-BE49-F238E27FC236}">
              <a16:creationId xmlns:a16="http://schemas.microsoft.com/office/drawing/2014/main" id="{00000000-0008-0000-0200-0000B5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1804</xdr:row>
      <xdr:rowOff>0</xdr:rowOff>
    </xdr:from>
    <xdr:ext cx="200025" cy="200025"/>
    <xdr:pic>
      <xdr:nvPicPr>
        <xdr:cNvPr id="2742" name="image8.png">
          <a:extLst>
            <a:ext uri="{FF2B5EF4-FFF2-40B4-BE49-F238E27FC236}">
              <a16:creationId xmlns:a16="http://schemas.microsoft.com/office/drawing/2014/main" id="{00000000-0008-0000-0200-0000B6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1804</xdr:row>
      <xdr:rowOff>0</xdr:rowOff>
    </xdr:from>
    <xdr:ext cx="200025" cy="200025"/>
    <xdr:pic>
      <xdr:nvPicPr>
        <xdr:cNvPr id="2743" name="image9.png">
          <a:extLst>
            <a:ext uri="{FF2B5EF4-FFF2-40B4-BE49-F238E27FC236}">
              <a16:creationId xmlns:a16="http://schemas.microsoft.com/office/drawing/2014/main" id="{00000000-0008-0000-0200-0000B7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1804</xdr:row>
      <xdr:rowOff>0</xdr:rowOff>
    </xdr:from>
    <xdr:ext cx="200025" cy="200025"/>
    <xdr:pic>
      <xdr:nvPicPr>
        <xdr:cNvPr id="2744" name="image5.png">
          <a:extLst>
            <a:ext uri="{FF2B5EF4-FFF2-40B4-BE49-F238E27FC236}">
              <a16:creationId xmlns:a16="http://schemas.microsoft.com/office/drawing/2014/main" id="{00000000-0008-0000-0200-0000B8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1805</xdr:row>
      <xdr:rowOff>0</xdr:rowOff>
    </xdr:from>
    <xdr:ext cx="200025" cy="200025"/>
    <xdr:pic>
      <xdr:nvPicPr>
        <xdr:cNvPr id="2745" name="image10.png">
          <a:extLst>
            <a:ext uri="{FF2B5EF4-FFF2-40B4-BE49-F238E27FC236}">
              <a16:creationId xmlns:a16="http://schemas.microsoft.com/office/drawing/2014/main" id="{00000000-0008-0000-0200-0000B9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1806</xdr:row>
      <xdr:rowOff>0</xdr:rowOff>
    </xdr:from>
    <xdr:ext cx="200025" cy="200025"/>
    <xdr:pic>
      <xdr:nvPicPr>
        <xdr:cNvPr id="2746" name="image10.png">
          <a:extLst>
            <a:ext uri="{FF2B5EF4-FFF2-40B4-BE49-F238E27FC236}">
              <a16:creationId xmlns:a16="http://schemas.microsoft.com/office/drawing/2014/main" id="{00000000-0008-0000-0200-0000BA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1807</xdr:row>
      <xdr:rowOff>0</xdr:rowOff>
    </xdr:from>
    <xdr:ext cx="200025" cy="200025"/>
    <xdr:pic>
      <xdr:nvPicPr>
        <xdr:cNvPr id="2747" name="image10.png">
          <a:extLst>
            <a:ext uri="{FF2B5EF4-FFF2-40B4-BE49-F238E27FC236}">
              <a16:creationId xmlns:a16="http://schemas.microsoft.com/office/drawing/2014/main" id="{00000000-0008-0000-0200-0000BB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1807</xdr:row>
      <xdr:rowOff>0</xdr:rowOff>
    </xdr:from>
    <xdr:ext cx="200025" cy="200025"/>
    <xdr:pic>
      <xdr:nvPicPr>
        <xdr:cNvPr id="2748" name="image2.png">
          <a:extLst>
            <a:ext uri="{FF2B5EF4-FFF2-40B4-BE49-F238E27FC236}">
              <a16:creationId xmlns:a16="http://schemas.microsoft.com/office/drawing/2014/main" id="{00000000-0008-0000-0200-0000BC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1807</xdr:row>
      <xdr:rowOff>0</xdr:rowOff>
    </xdr:from>
    <xdr:ext cx="200025" cy="200025"/>
    <xdr:pic>
      <xdr:nvPicPr>
        <xdr:cNvPr id="2749" name="image5.png">
          <a:extLst>
            <a:ext uri="{FF2B5EF4-FFF2-40B4-BE49-F238E27FC236}">
              <a16:creationId xmlns:a16="http://schemas.microsoft.com/office/drawing/2014/main" id="{00000000-0008-0000-0200-0000BD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1807</xdr:row>
      <xdr:rowOff>0</xdr:rowOff>
    </xdr:from>
    <xdr:ext cx="200025" cy="200025"/>
    <xdr:pic>
      <xdr:nvPicPr>
        <xdr:cNvPr id="2750" name="image8.png">
          <a:extLst>
            <a:ext uri="{FF2B5EF4-FFF2-40B4-BE49-F238E27FC236}">
              <a16:creationId xmlns:a16="http://schemas.microsoft.com/office/drawing/2014/main" id="{00000000-0008-0000-0200-0000BE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1808</xdr:row>
      <xdr:rowOff>0</xdr:rowOff>
    </xdr:from>
    <xdr:ext cx="200025" cy="200025"/>
    <xdr:pic>
      <xdr:nvPicPr>
        <xdr:cNvPr id="2751" name="image8.png">
          <a:extLst>
            <a:ext uri="{FF2B5EF4-FFF2-40B4-BE49-F238E27FC236}">
              <a16:creationId xmlns:a16="http://schemas.microsoft.com/office/drawing/2014/main" id="{00000000-0008-0000-0200-0000BF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1809</xdr:row>
      <xdr:rowOff>0</xdr:rowOff>
    </xdr:from>
    <xdr:ext cx="200025" cy="200025"/>
    <xdr:pic>
      <xdr:nvPicPr>
        <xdr:cNvPr id="2752" name="image8.png">
          <a:extLst>
            <a:ext uri="{FF2B5EF4-FFF2-40B4-BE49-F238E27FC236}">
              <a16:creationId xmlns:a16="http://schemas.microsoft.com/office/drawing/2014/main" id="{00000000-0008-0000-0200-0000C0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1810</xdr:row>
      <xdr:rowOff>0</xdr:rowOff>
    </xdr:from>
    <xdr:ext cx="200025" cy="200025"/>
    <xdr:pic>
      <xdr:nvPicPr>
        <xdr:cNvPr id="2753" name="image10.png">
          <a:extLst>
            <a:ext uri="{FF2B5EF4-FFF2-40B4-BE49-F238E27FC236}">
              <a16:creationId xmlns:a16="http://schemas.microsoft.com/office/drawing/2014/main" id="{00000000-0008-0000-0200-0000C1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1810</xdr:row>
      <xdr:rowOff>0</xdr:rowOff>
    </xdr:from>
    <xdr:ext cx="200025" cy="200025"/>
    <xdr:pic>
      <xdr:nvPicPr>
        <xdr:cNvPr id="2754" name="image3.png">
          <a:extLst>
            <a:ext uri="{FF2B5EF4-FFF2-40B4-BE49-F238E27FC236}">
              <a16:creationId xmlns:a16="http://schemas.microsoft.com/office/drawing/2014/main" id="{00000000-0008-0000-0200-0000C2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1810</xdr:row>
      <xdr:rowOff>0</xdr:rowOff>
    </xdr:from>
    <xdr:ext cx="200025" cy="200025"/>
    <xdr:pic>
      <xdr:nvPicPr>
        <xdr:cNvPr id="2755" name="image11.png">
          <a:extLst>
            <a:ext uri="{FF2B5EF4-FFF2-40B4-BE49-F238E27FC236}">
              <a16:creationId xmlns:a16="http://schemas.microsoft.com/office/drawing/2014/main" id="{00000000-0008-0000-0200-0000C3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1810</xdr:row>
      <xdr:rowOff>0</xdr:rowOff>
    </xdr:from>
    <xdr:ext cx="200025" cy="200025"/>
    <xdr:pic>
      <xdr:nvPicPr>
        <xdr:cNvPr id="2756" name="image9.png">
          <a:extLst>
            <a:ext uri="{FF2B5EF4-FFF2-40B4-BE49-F238E27FC236}">
              <a16:creationId xmlns:a16="http://schemas.microsoft.com/office/drawing/2014/main" id="{00000000-0008-0000-0200-0000C4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1811</xdr:row>
      <xdr:rowOff>0</xdr:rowOff>
    </xdr:from>
    <xdr:ext cx="200025" cy="200025"/>
    <xdr:pic>
      <xdr:nvPicPr>
        <xdr:cNvPr id="2757" name="image9.png">
          <a:extLst>
            <a:ext uri="{FF2B5EF4-FFF2-40B4-BE49-F238E27FC236}">
              <a16:creationId xmlns:a16="http://schemas.microsoft.com/office/drawing/2014/main" id="{00000000-0008-0000-0200-0000C5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1812</xdr:row>
      <xdr:rowOff>0</xdr:rowOff>
    </xdr:from>
    <xdr:ext cx="200025" cy="200025"/>
    <xdr:pic>
      <xdr:nvPicPr>
        <xdr:cNvPr id="2758" name="image9.png">
          <a:extLst>
            <a:ext uri="{FF2B5EF4-FFF2-40B4-BE49-F238E27FC236}">
              <a16:creationId xmlns:a16="http://schemas.microsoft.com/office/drawing/2014/main" id="{00000000-0008-0000-0200-0000C6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1813</xdr:row>
      <xdr:rowOff>0</xdr:rowOff>
    </xdr:from>
    <xdr:ext cx="200025" cy="200025"/>
    <xdr:pic>
      <xdr:nvPicPr>
        <xdr:cNvPr id="2759" name="image10.png">
          <a:extLst>
            <a:ext uri="{FF2B5EF4-FFF2-40B4-BE49-F238E27FC236}">
              <a16:creationId xmlns:a16="http://schemas.microsoft.com/office/drawing/2014/main" id="{00000000-0008-0000-0200-0000C7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1813</xdr:row>
      <xdr:rowOff>0</xdr:rowOff>
    </xdr:from>
    <xdr:ext cx="200025" cy="200025"/>
    <xdr:pic>
      <xdr:nvPicPr>
        <xdr:cNvPr id="2760" name="image12.png">
          <a:extLst>
            <a:ext uri="{FF2B5EF4-FFF2-40B4-BE49-F238E27FC236}">
              <a16:creationId xmlns:a16="http://schemas.microsoft.com/office/drawing/2014/main" id="{00000000-0008-0000-0200-0000C8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1813</xdr:row>
      <xdr:rowOff>0</xdr:rowOff>
    </xdr:from>
    <xdr:ext cx="200025" cy="200025"/>
    <xdr:pic>
      <xdr:nvPicPr>
        <xdr:cNvPr id="2761" name="image7.png">
          <a:extLst>
            <a:ext uri="{FF2B5EF4-FFF2-40B4-BE49-F238E27FC236}">
              <a16:creationId xmlns:a16="http://schemas.microsoft.com/office/drawing/2014/main" id="{00000000-0008-0000-0200-0000C9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1814</xdr:row>
      <xdr:rowOff>0</xdr:rowOff>
    </xdr:from>
    <xdr:ext cx="200025" cy="200025"/>
    <xdr:pic>
      <xdr:nvPicPr>
        <xdr:cNvPr id="2762" name="image8.png">
          <a:extLst>
            <a:ext uri="{FF2B5EF4-FFF2-40B4-BE49-F238E27FC236}">
              <a16:creationId xmlns:a16="http://schemas.microsoft.com/office/drawing/2014/main" id="{00000000-0008-0000-0200-0000CA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1815</xdr:row>
      <xdr:rowOff>0</xdr:rowOff>
    </xdr:from>
    <xdr:ext cx="200025" cy="200025"/>
    <xdr:pic>
      <xdr:nvPicPr>
        <xdr:cNvPr id="2763" name="image8.png">
          <a:extLst>
            <a:ext uri="{FF2B5EF4-FFF2-40B4-BE49-F238E27FC236}">
              <a16:creationId xmlns:a16="http://schemas.microsoft.com/office/drawing/2014/main" id="{00000000-0008-0000-0200-0000CB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1818</xdr:row>
      <xdr:rowOff>0</xdr:rowOff>
    </xdr:from>
    <xdr:ext cx="200025" cy="200025"/>
    <xdr:pic>
      <xdr:nvPicPr>
        <xdr:cNvPr id="2764" name="image8.png">
          <a:extLst>
            <a:ext uri="{FF2B5EF4-FFF2-40B4-BE49-F238E27FC236}">
              <a16:creationId xmlns:a16="http://schemas.microsoft.com/office/drawing/2014/main" id="{00000000-0008-0000-0200-0000CC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1818</xdr:row>
      <xdr:rowOff>0</xdr:rowOff>
    </xdr:from>
    <xdr:ext cx="200025" cy="200025"/>
    <xdr:pic>
      <xdr:nvPicPr>
        <xdr:cNvPr id="2765" name="image9.png">
          <a:extLst>
            <a:ext uri="{FF2B5EF4-FFF2-40B4-BE49-F238E27FC236}">
              <a16:creationId xmlns:a16="http://schemas.microsoft.com/office/drawing/2014/main" id="{00000000-0008-0000-0200-0000CD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1818</xdr:row>
      <xdr:rowOff>0</xdr:rowOff>
    </xdr:from>
    <xdr:ext cx="200025" cy="200025"/>
    <xdr:pic>
      <xdr:nvPicPr>
        <xdr:cNvPr id="2766" name="image5.png">
          <a:extLst>
            <a:ext uri="{FF2B5EF4-FFF2-40B4-BE49-F238E27FC236}">
              <a16:creationId xmlns:a16="http://schemas.microsoft.com/office/drawing/2014/main" id="{00000000-0008-0000-0200-0000CE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1819</xdr:row>
      <xdr:rowOff>0</xdr:rowOff>
    </xdr:from>
    <xdr:ext cx="200025" cy="200025"/>
    <xdr:pic>
      <xdr:nvPicPr>
        <xdr:cNvPr id="2767" name="image10.png">
          <a:extLst>
            <a:ext uri="{FF2B5EF4-FFF2-40B4-BE49-F238E27FC236}">
              <a16:creationId xmlns:a16="http://schemas.microsoft.com/office/drawing/2014/main" id="{00000000-0008-0000-0200-0000CF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1820</xdr:row>
      <xdr:rowOff>0</xdr:rowOff>
    </xdr:from>
    <xdr:ext cx="200025" cy="200025"/>
    <xdr:pic>
      <xdr:nvPicPr>
        <xdr:cNvPr id="2768" name="image10.png">
          <a:extLst>
            <a:ext uri="{FF2B5EF4-FFF2-40B4-BE49-F238E27FC236}">
              <a16:creationId xmlns:a16="http://schemas.microsoft.com/office/drawing/2014/main" id="{00000000-0008-0000-0200-0000D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1821</xdr:row>
      <xdr:rowOff>0</xdr:rowOff>
    </xdr:from>
    <xdr:ext cx="200025" cy="200025"/>
    <xdr:pic>
      <xdr:nvPicPr>
        <xdr:cNvPr id="2769" name="image8.png">
          <a:extLst>
            <a:ext uri="{FF2B5EF4-FFF2-40B4-BE49-F238E27FC236}">
              <a16:creationId xmlns:a16="http://schemas.microsoft.com/office/drawing/2014/main" id="{00000000-0008-0000-0200-0000D1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1821</xdr:row>
      <xdr:rowOff>0</xdr:rowOff>
    </xdr:from>
    <xdr:ext cx="200025" cy="200025"/>
    <xdr:pic>
      <xdr:nvPicPr>
        <xdr:cNvPr id="2770" name="image2.png">
          <a:extLst>
            <a:ext uri="{FF2B5EF4-FFF2-40B4-BE49-F238E27FC236}">
              <a16:creationId xmlns:a16="http://schemas.microsoft.com/office/drawing/2014/main" id="{00000000-0008-0000-0200-0000D2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1821</xdr:row>
      <xdr:rowOff>0</xdr:rowOff>
    </xdr:from>
    <xdr:ext cx="200025" cy="200025"/>
    <xdr:pic>
      <xdr:nvPicPr>
        <xdr:cNvPr id="2771" name="image4.png">
          <a:extLst>
            <a:ext uri="{FF2B5EF4-FFF2-40B4-BE49-F238E27FC236}">
              <a16:creationId xmlns:a16="http://schemas.microsoft.com/office/drawing/2014/main" id="{00000000-0008-0000-0200-0000D3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1821</xdr:row>
      <xdr:rowOff>0</xdr:rowOff>
    </xdr:from>
    <xdr:ext cx="200025" cy="200025"/>
    <xdr:pic>
      <xdr:nvPicPr>
        <xdr:cNvPr id="2772" name="image9.png">
          <a:extLst>
            <a:ext uri="{FF2B5EF4-FFF2-40B4-BE49-F238E27FC236}">
              <a16:creationId xmlns:a16="http://schemas.microsoft.com/office/drawing/2014/main" id="{00000000-0008-0000-0200-0000D4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1822</xdr:row>
      <xdr:rowOff>0</xdr:rowOff>
    </xdr:from>
    <xdr:ext cx="200025" cy="200025"/>
    <xdr:pic>
      <xdr:nvPicPr>
        <xdr:cNvPr id="2773" name="image9.png">
          <a:extLst>
            <a:ext uri="{FF2B5EF4-FFF2-40B4-BE49-F238E27FC236}">
              <a16:creationId xmlns:a16="http://schemas.microsoft.com/office/drawing/2014/main" id="{00000000-0008-0000-0200-0000D5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1823</xdr:row>
      <xdr:rowOff>0</xdr:rowOff>
    </xdr:from>
    <xdr:ext cx="200025" cy="200025"/>
    <xdr:pic>
      <xdr:nvPicPr>
        <xdr:cNvPr id="2774" name="image9.png">
          <a:extLst>
            <a:ext uri="{FF2B5EF4-FFF2-40B4-BE49-F238E27FC236}">
              <a16:creationId xmlns:a16="http://schemas.microsoft.com/office/drawing/2014/main" id="{00000000-0008-0000-0200-0000D6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1829</xdr:row>
      <xdr:rowOff>0</xdr:rowOff>
    </xdr:from>
    <xdr:ext cx="200025" cy="200025"/>
    <xdr:pic>
      <xdr:nvPicPr>
        <xdr:cNvPr id="2775" name="image10.png">
          <a:extLst>
            <a:ext uri="{FF2B5EF4-FFF2-40B4-BE49-F238E27FC236}">
              <a16:creationId xmlns:a16="http://schemas.microsoft.com/office/drawing/2014/main" id="{00000000-0008-0000-0200-0000D7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1829</xdr:row>
      <xdr:rowOff>0</xdr:rowOff>
    </xdr:from>
    <xdr:ext cx="200025" cy="200025"/>
    <xdr:pic>
      <xdr:nvPicPr>
        <xdr:cNvPr id="2776" name="image9.png">
          <a:extLst>
            <a:ext uri="{FF2B5EF4-FFF2-40B4-BE49-F238E27FC236}">
              <a16:creationId xmlns:a16="http://schemas.microsoft.com/office/drawing/2014/main" id="{00000000-0008-0000-0200-0000D8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1829</xdr:row>
      <xdr:rowOff>0</xdr:rowOff>
    </xdr:from>
    <xdr:ext cx="200025" cy="200025"/>
    <xdr:pic>
      <xdr:nvPicPr>
        <xdr:cNvPr id="2777" name="image3.png">
          <a:extLst>
            <a:ext uri="{FF2B5EF4-FFF2-40B4-BE49-F238E27FC236}">
              <a16:creationId xmlns:a16="http://schemas.microsoft.com/office/drawing/2014/main" id="{00000000-0008-0000-0200-0000D9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1833</xdr:row>
      <xdr:rowOff>0</xdr:rowOff>
    </xdr:from>
    <xdr:ext cx="200025" cy="200025"/>
    <xdr:pic>
      <xdr:nvPicPr>
        <xdr:cNvPr id="2778" name="image8.png">
          <a:extLst>
            <a:ext uri="{FF2B5EF4-FFF2-40B4-BE49-F238E27FC236}">
              <a16:creationId xmlns:a16="http://schemas.microsoft.com/office/drawing/2014/main" id="{00000000-0008-0000-0200-0000DA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1833</xdr:row>
      <xdr:rowOff>0</xdr:rowOff>
    </xdr:from>
    <xdr:ext cx="200025" cy="200025"/>
    <xdr:pic>
      <xdr:nvPicPr>
        <xdr:cNvPr id="2779" name="image1.png">
          <a:extLst>
            <a:ext uri="{FF2B5EF4-FFF2-40B4-BE49-F238E27FC236}">
              <a16:creationId xmlns:a16="http://schemas.microsoft.com/office/drawing/2014/main" id="{00000000-0008-0000-0200-0000DB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1833</xdr:row>
      <xdr:rowOff>0</xdr:rowOff>
    </xdr:from>
    <xdr:ext cx="200025" cy="200025"/>
    <xdr:pic>
      <xdr:nvPicPr>
        <xdr:cNvPr id="2780" name="image12.png">
          <a:extLst>
            <a:ext uri="{FF2B5EF4-FFF2-40B4-BE49-F238E27FC236}">
              <a16:creationId xmlns:a16="http://schemas.microsoft.com/office/drawing/2014/main" id="{00000000-0008-0000-0200-0000DC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1833</xdr:row>
      <xdr:rowOff>0</xdr:rowOff>
    </xdr:from>
    <xdr:ext cx="200025" cy="200025"/>
    <xdr:pic>
      <xdr:nvPicPr>
        <xdr:cNvPr id="2781" name="image5.png">
          <a:extLst>
            <a:ext uri="{FF2B5EF4-FFF2-40B4-BE49-F238E27FC236}">
              <a16:creationId xmlns:a16="http://schemas.microsoft.com/office/drawing/2014/main" id="{00000000-0008-0000-0200-0000DD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1834</xdr:row>
      <xdr:rowOff>0</xdr:rowOff>
    </xdr:from>
    <xdr:ext cx="200025" cy="200025"/>
    <xdr:pic>
      <xdr:nvPicPr>
        <xdr:cNvPr id="2782" name="image5.png">
          <a:extLst>
            <a:ext uri="{FF2B5EF4-FFF2-40B4-BE49-F238E27FC236}">
              <a16:creationId xmlns:a16="http://schemas.microsoft.com/office/drawing/2014/main" id="{00000000-0008-0000-0200-0000DE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1835</xdr:row>
      <xdr:rowOff>0</xdr:rowOff>
    </xdr:from>
    <xdr:ext cx="200025" cy="200025"/>
    <xdr:pic>
      <xdr:nvPicPr>
        <xdr:cNvPr id="2783" name="image6.png">
          <a:extLst>
            <a:ext uri="{FF2B5EF4-FFF2-40B4-BE49-F238E27FC236}">
              <a16:creationId xmlns:a16="http://schemas.microsoft.com/office/drawing/2014/main" id="{00000000-0008-0000-0200-0000DF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1837</xdr:row>
      <xdr:rowOff>0</xdr:rowOff>
    </xdr:from>
    <xdr:ext cx="200025" cy="200025"/>
    <xdr:pic>
      <xdr:nvPicPr>
        <xdr:cNvPr id="2784" name="image10.png">
          <a:extLst>
            <a:ext uri="{FF2B5EF4-FFF2-40B4-BE49-F238E27FC236}">
              <a16:creationId xmlns:a16="http://schemas.microsoft.com/office/drawing/2014/main" id="{00000000-0008-0000-0200-0000E0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1837</xdr:row>
      <xdr:rowOff>0</xdr:rowOff>
    </xdr:from>
    <xdr:ext cx="200025" cy="200025"/>
    <xdr:pic>
      <xdr:nvPicPr>
        <xdr:cNvPr id="2785" name="image1.png">
          <a:extLst>
            <a:ext uri="{FF2B5EF4-FFF2-40B4-BE49-F238E27FC236}">
              <a16:creationId xmlns:a16="http://schemas.microsoft.com/office/drawing/2014/main" id="{00000000-0008-0000-0200-0000E10A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1837</xdr:row>
      <xdr:rowOff>0</xdr:rowOff>
    </xdr:from>
    <xdr:ext cx="200025" cy="200025"/>
    <xdr:pic>
      <xdr:nvPicPr>
        <xdr:cNvPr id="2786" name="image4.png">
          <a:extLst>
            <a:ext uri="{FF2B5EF4-FFF2-40B4-BE49-F238E27FC236}">
              <a16:creationId xmlns:a16="http://schemas.microsoft.com/office/drawing/2014/main" id="{00000000-0008-0000-0200-0000E20A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1837</xdr:row>
      <xdr:rowOff>0</xdr:rowOff>
    </xdr:from>
    <xdr:ext cx="200025" cy="200025"/>
    <xdr:pic>
      <xdr:nvPicPr>
        <xdr:cNvPr id="2787" name="image2.png">
          <a:extLst>
            <a:ext uri="{FF2B5EF4-FFF2-40B4-BE49-F238E27FC236}">
              <a16:creationId xmlns:a16="http://schemas.microsoft.com/office/drawing/2014/main" id="{00000000-0008-0000-0200-0000E3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1838</xdr:row>
      <xdr:rowOff>0</xdr:rowOff>
    </xdr:from>
    <xdr:ext cx="200025" cy="200025"/>
    <xdr:pic>
      <xdr:nvPicPr>
        <xdr:cNvPr id="2788" name="image2.png">
          <a:extLst>
            <a:ext uri="{FF2B5EF4-FFF2-40B4-BE49-F238E27FC236}">
              <a16:creationId xmlns:a16="http://schemas.microsoft.com/office/drawing/2014/main" id="{00000000-0008-0000-0200-0000E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1840</xdr:row>
      <xdr:rowOff>0</xdr:rowOff>
    </xdr:from>
    <xdr:ext cx="200025" cy="200025"/>
    <xdr:pic>
      <xdr:nvPicPr>
        <xdr:cNvPr id="2789" name="image8.png">
          <a:extLst>
            <a:ext uri="{FF2B5EF4-FFF2-40B4-BE49-F238E27FC236}">
              <a16:creationId xmlns:a16="http://schemas.microsoft.com/office/drawing/2014/main" id="{00000000-0008-0000-0200-0000E5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1840</xdr:row>
      <xdr:rowOff>0</xdr:rowOff>
    </xdr:from>
    <xdr:ext cx="200025" cy="200025"/>
    <xdr:pic>
      <xdr:nvPicPr>
        <xdr:cNvPr id="2790" name="image2.png">
          <a:extLst>
            <a:ext uri="{FF2B5EF4-FFF2-40B4-BE49-F238E27FC236}">
              <a16:creationId xmlns:a16="http://schemas.microsoft.com/office/drawing/2014/main" id="{00000000-0008-0000-0200-0000E6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1840</xdr:row>
      <xdr:rowOff>0</xdr:rowOff>
    </xdr:from>
    <xdr:ext cx="200025" cy="200025"/>
    <xdr:pic>
      <xdr:nvPicPr>
        <xdr:cNvPr id="2791" name="image11.png">
          <a:extLst>
            <a:ext uri="{FF2B5EF4-FFF2-40B4-BE49-F238E27FC236}">
              <a16:creationId xmlns:a16="http://schemas.microsoft.com/office/drawing/2014/main" id="{00000000-0008-0000-0200-0000E70A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1840</xdr:row>
      <xdr:rowOff>0</xdr:rowOff>
    </xdr:from>
    <xdr:ext cx="200025" cy="200025"/>
    <xdr:pic>
      <xdr:nvPicPr>
        <xdr:cNvPr id="2792" name="image9.png">
          <a:extLst>
            <a:ext uri="{FF2B5EF4-FFF2-40B4-BE49-F238E27FC236}">
              <a16:creationId xmlns:a16="http://schemas.microsoft.com/office/drawing/2014/main" id="{00000000-0008-0000-0200-0000E8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1841</xdr:row>
      <xdr:rowOff>0</xdr:rowOff>
    </xdr:from>
    <xdr:ext cx="200025" cy="200025"/>
    <xdr:pic>
      <xdr:nvPicPr>
        <xdr:cNvPr id="2793" name="image9.png">
          <a:extLst>
            <a:ext uri="{FF2B5EF4-FFF2-40B4-BE49-F238E27FC236}">
              <a16:creationId xmlns:a16="http://schemas.microsoft.com/office/drawing/2014/main" id="{00000000-0008-0000-0200-0000E9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1842</xdr:row>
      <xdr:rowOff>0</xdr:rowOff>
    </xdr:from>
    <xdr:ext cx="200025" cy="200025"/>
    <xdr:pic>
      <xdr:nvPicPr>
        <xdr:cNvPr id="2794" name="image10.png">
          <a:extLst>
            <a:ext uri="{FF2B5EF4-FFF2-40B4-BE49-F238E27FC236}">
              <a16:creationId xmlns:a16="http://schemas.microsoft.com/office/drawing/2014/main" id="{00000000-0008-0000-0200-0000EA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1842</xdr:row>
      <xdr:rowOff>0</xdr:rowOff>
    </xdr:from>
    <xdr:ext cx="200025" cy="200025"/>
    <xdr:pic>
      <xdr:nvPicPr>
        <xdr:cNvPr id="2795" name="image9.png">
          <a:extLst>
            <a:ext uri="{FF2B5EF4-FFF2-40B4-BE49-F238E27FC236}">
              <a16:creationId xmlns:a16="http://schemas.microsoft.com/office/drawing/2014/main" id="{00000000-0008-0000-0200-0000EB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1842</xdr:row>
      <xdr:rowOff>0</xdr:rowOff>
    </xdr:from>
    <xdr:ext cx="200025" cy="200025"/>
    <xdr:pic>
      <xdr:nvPicPr>
        <xdr:cNvPr id="2796" name="image5.png">
          <a:extLst>
            <a:ext uri="{FF2B5EF4-FFF2-40B4-BE49-F238E27FC236}">
              <a16:creationId xmlns:a16="http://schemas.microsoft.com/office/drawing/2014/main" id="{00000000-0008-0000-0200-0000EC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1842</xdr:row>
      <xdr:rowOff>0</xdr:rowOff>
    </xdr:from>
    <xdr:ext cx="200025" cy="200025"/>
    <xdr:pic>
      <xdr:nvPicPr>
        <xdr:cNvPr id="2797" name="image7.png">
          <a:extLst>
            <a:ext uri="{FF2B5EF4-FFF2-40B4-BE49-F238E27FC236}">
              <a16:creationId xmlns:a16="http://schemas.microsoft.com/office/drawing/2014/main" id="{00000000-0008-0000-0200-0000ED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1843</xdr:row>
      <xdr:rowOff>0</xdr:rowOff>
    </xdr:from>
    <xdr:ext cx="200025" cy="200025"/>
    <xdr:pic>
      <xdr:nvPicPr>
        <xdr:cNvPr id="2798" name="image8.png">
          <a:extLst>
            <a:ext uri="{FF2B5EF4-FFF2-40B4-BE49-F238E27FC236}">
              <a16:creationId xmlns:a16="http://schemas.microsoft.com/office/drawing/2014/main" id="{00000000-0008-0000-0200-0000EE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1844</xdr:row>
      <xdr:rowOff>0</xdr:rowOff>
    </xdr:from>
    <xdr:ext cx="200025" cy="200025"/>
    <xdr:pic>
      <xdr:nvPicPr>
        <xdr:cNvPr id="2799" name="image8.png">
          <a:extLst>
            <a:ext uri="{FF2B5EF4-FFF2-40B4-BE49-F238E27FC236}">
              <a16:creationId xmlns:a16="http://schemas.microsoft.com/office/drawing/2014/main" id="{00000000-0008-0000-0200-0000EF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1845</xdr:row>
      <xdr:rowOff>0</xdr:rowOff>
    </xdr:from>
    <xdr:ext cx="200025" cy="200025"/>
    <xdr:pic>
      <xdr:nvPicPr>
        <xdr:cNvPr id="2800" name="image8.png">
          <a:extLst>
            <a:ext uri="{FF2B5EF4-FFF2-40B4-BE49-F238E27FC236}">
              <a16:creationId xmlns:a16="http://schemas.microsoft.com/office/drawing/2014/main" id="{00000000-0008-0000-0200-0000F0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1845</xdr:row>
      <xdr:rowOff>0</xdr:rowOff>
    </xdr:from>
    <xdr:ext cx="200025" cy="200025"/>
    <xdr:pic>
      <xdr:nvPicPr>
        <xdr:cNvPr id="2801" name="image6.png">
          <a:extLst>
            <a:ext uri="{FF2B5EF4-FFF2-40B4-BE49-F238E27FC236}">
              <a16:creationId xmlns:a16="http://schemas.microsoft.com/office/drawing/2014/main" id="{00000000-0008-0000-0200-0000F10A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1845</xdr:row>
      <xdr:rowOff>0</xdr:rowOff>
    </xdr:from>
    <xdr:ext cx="200025" cy="200025"/>
    <xdr:pic>
      <xdr:nvPicPr>
        <xdr:cNvPr id="2802" name="image3.png">
          <a:extLst>
            <a:ext uri="{FF2B5EF4-FFF2-40B4-BE49-F238E27FC236}">
              <a16:creationId xmlns:a16="http://schemas.microsoft.com/office/drawing/2014/main" id="{00000000-0008-0000-0200-0000F20A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1847</xdr:row>
      <xdr:rowOff>0</xdr:rowOff>
    </xdr:from>
    <xdr:ext cx="200025" cy="200025"/>
    <xdr:pic>
      <xdr:nvPicPr>
        <xdr:cNvPr id="2803" name="image10.png">
          <a:extLst>
            <a:ext uri="{FF2B5EF4-FFF2-40B4-BE49-F238E27FC236}">
              <a16:creationId xmlns:a16="http://schemas.microsoft.com/office/drawing/2014/main" id="{00000000-0008-0000-0200-0000F3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1847</xdr:row>
      <xdr:rowOff>0</xdr:rowOff>
    </xdr:from>
    <xdr:ext cx="200025" cy="200025"/>
    <xdr:pic>
      <xdr:nvPicPr>
        <xdr:cNvPr id="2804" name="image2.png">
          <a:extLst>
            <a:ext uri="{FF2B5EF4-FFF2-40B4-BE49-F238E27FC236}">
              <a16:creationId xmlns:a16="http://schemas.microsoft.com/office/drawing/2014/main" id="{00000000-0008-0000-0200-0000F4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1847</xdr:row>
      <xdr:rowOff>0</xdr:rowOff>
    </xdr:from>
    <xdr:ext cx="200025" cy="200025"/>
    <xdr:pic>
      <xdr:nvPicPr>
        <xdr:cNvPr id="2805" name="image12.png">
          <a:extLst>
            <a:ext uri="{FF2B5EF4-FFF2-40B4-BE49-F238E27FC236}">
              <a16:creationId xmlns:a16="http://schemas.microsoft.com/office/drawing/2014/main" id="{00000000-0008-0000-0200-0000F5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1849</xdr:row>
      <xdr:rowOff>0</xdr:rowOff>
    </xdr:from>
    <xdr:ext cx="200025" cy="200025"/>
    <xdr:pic>
      <xdr:nvPicPr>
        <xdr:cNvPr id="2806" name="image8.png">
          <a:extLst>
            <a:ext uri="{FF2B5EF4-FFF2-40B4-BE49-F238E27FC236}">
              <a16:creationId xmlns:a16="http://schemas.microsoft.com/office/drawing/2014/main" id="{00000000-0008-0000-0200-0000F6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1850</xdr:row>
      <xdr:rowOff>0</xdr:rowOff>
    </xdr:from>
    <xdr:ext cx="200025" cy="200025"/>
    <xdr:pic>
      <xdr:nvPicPr>
        <xdr:cNvPr id="2807" name="image8.png">
          <a:extLst>
            <a:ext uri="{FF2B5EF4-FFF2-40B4-BE49-F238E27FC236}">
              <a16:creationId xmlns:a16="http://schemas.microsoft.com/office/drawing/2014/main" id="{00000000-0008-0000-0200-0000F70A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1850</xdr:row>
      <xdr:rowOff>0</xdr:rowOff>
    </xdr:from>
    <xdr:ext cx="200025" cy="200025"/>
    <xdr:pic>
      <xdr:nvPicPr>
        <xdr:cNvPr id="2808" name="image2.png">
          <a:extLst>
            <a:ext uri="{FF2B5EF4-FFF2-40B4-BE49-F238E27FC236}">
              <a16:creationId xmlns:a16="http://schemas.microsoft.com/office/drawing/2014/main" id="{00000000-0008-0000-0200-0000F8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1850</xdr:row>
      <xdr:rowOff>0</xdr:rowOff>
    </xdr:from>
    <xdr:ext cx="200025" cy="200025"/>
    <xdr:pic>
      <xdr:nvPicPr>
        <xdr:cNvPr id="2809" name="image5.png">
          <a:extLst>
            <a:ext uri="{FF2B5EF4-FFF2-40B4-BE49-F238E27FC236}">
              <a16:creationId xmlns:a16="http://schemas.microsoft.com/office/drawing/2014/main" id="{00000000-0008-0000-0200-0000F90A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1850</xdr:row>
      <xdr:rowOff>0</xdr:rowOff>
    </xdr:from>
    <xdr:ext cx="200025" cy="200025"/>
    <xdr:pic>
      <xdr:nvPicPr>
        <xdr:cNvPr id="2810" name="image12.png">
          <a:extLst>
            <a:ext uri="{FF2B5EF4-FFF2-40B4-BE49-F238E27FC236}">
              <a16:creationId xmlns:a16="http://schemas.microsoft.com/office/drawing/2014/main" id="{00000000-0008-0000-0200-0000FA0A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1851</xdr:row>
      <xdr:rowOff>0</xdr:rowOff>
    </xdr:from>
    <xdr:ext cx="200025" cy="200025"/>
    <xdr:pic>
      <xdr:nvPicPr>
        <xdr:cNvPr id="2811" name="image2.png">
          <a:extLst>
            <a:ext uri="{FF2B5EF4-FFF2-40B4-BE49-F238E27FC236}">
              <a16:creationId xmlns:a16="http://schemas.microsoft.com/office/drawing/2014/main" id="{00000000-0008-0000-0200-0000FB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1852</xdr:row>
      <xdr:rowOff>0</xdr:rowOff>
    </xdr:from>
    <xdr:ext cx="200025" cy="200025"/>
    <xdr:pic>
      <xdr:nvPicPr>
        <xdr:cNvPr id="2812" name="image2.png">
          <a:extLst>
            <a:ext uri="{FF2B5EF4-FFF2-40B4-BE49-F238E27FC236}">
              <a16:creationId xmlns:a16="http://schemas.microsoft.com/office/drawing/2014/main" id="{00000000-0008-0000-0200-0000FC0A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1853</xdr:row>
      <xdr:rowOff>0</xdr:rowOff>
    </xdr:from>
    <xdr:ext cx="200025" cy="200025"/>
    <xdr:pic>
      <xdr:nvPicPr>
        <xdr:cNvPr id="2813" name="image10.png">
          <a:extLst>
            <a:ext uri="{FF2B5EF4-FFF2-40B4-BE49-F238E27FC236}">
              <a16:creationId xmlns:a16="http://schemas.microsoft.com/office/drawing/2014/main" id="{00000000-0008-0000-0200-0000FD0A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1853</xdr:row>
      <xdr:rowOff>0</xdr:rowOff>
    </xdr:from>
    <xdr:ext cx="200025" cy="200025"/>
    <xdr:pic>
      <xdr:nvPicPr>
        <xdr:cNvPr id="2814" name="image9.png">
          <a:extLst>
            <a:ext uri="{FF2B5EF4-FFF2-40B4-BE49-F238E27FC236}">
              <a16:creationId xmlns:a16="http://schemas.microsoft.com/office/drawing/2014/main" id="{00000000-0008-0000-0200-0000FE0A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1853</xdr:row>
      <xdr:rowOff>0</xdr:rowOff>
    </xdr:from>
    <xdr:ext cx="200025" cy="200025"/>
    <xdr:pic>
      <xdr:nvPicPr>
        <xdr:cNvPr id="2815" name="image7.png">
          <a:extLst>
            <a:ext uri="{FF2B5EF4-FFF2-40B4-BE49-F238E27FC236}">
              <a16:creationId xmlns:a16="http://schemas.microsoft.com/office/drawing/2014/main" id="{00000000-0008-0000-0200-0000FF0A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1854</xdr:row>
      <xdr:rowOff>0</xdr:rowOff>
    </xdr:from>
    <xdr:ext cx="200025" cy="200025"/>
    <xdr:pic>
      <xdr:nvPicPr>
        <xdr:cNvPr id="2816" name="image8.png">
          <a:extLst>
            <a:ext uri="{FF2B5EF4-FFF2-40B4-BE49-F238E27FC236}">
              <a16:creationId xmlns:a16="http://schemas.microsoft.com/office/drawing/2014/main" id="{00000000-0008-0000-0200-000000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1855</xdr:row>
      <xdr:rowOff>0</xdr:rowOff>
    </xdr:from>
    <xdr:ext cx="200025" cy="200025"/>
    <xdr:pic>
      <xdr:nvPicPr>
        <xdr:cNvPr id="2817" name="image8.png">
          <a:extLst>
            <a:ext uri="{FF2B5EF4-FFF2-40B4-BE49-F238E27FC236}">
              <a16:creationId xmlns:a16="http://schemas.microsoft.com/office/drawing/2014/main" id="{00000000-0008-0000-0200-000001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1857</xdr:row>
      <xdr:rowOff>0</xdr:rowOff>
    </xdr:from>
    <xdr:ext cx="200025" cy="200025"/>
    <xdr:pic>
      <xdr:nvPicPr>
        <xdr:cNvPr id="2818" name="image5.png">
          <a:extLst>
            <a:ext uri="{FF2B5EF4-FFF2-40B4-BE49-F238E27FC236}">
              <a16:creationId xmlns:a16="http://schemas.microsoft.com/office/drawing/2014/main" id="{00000000-0008-0000-0200-000002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1857</xdr:row>
      <xdr:rowOff>0</xdr:rowOff>
    </xdr:from>
    <xdr:ext cx="200025" cy="200025"/>
    <xdr:pic>
      <xdr:nvPicPr>
        <xdr:cNvPr id="2819" name="image4.png">
          <a:extLst>
            <a:ext uri="{FF2B5EF4-FFF2-40B4-BE49-F238E27FC236}">
              <a16:creationId xmlns:a16="http://schemas.microsoft.com/office/drawing/2014/main" id="{00000000-0008-0000-0200-000003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1857</xdr:row>
      <xdr:rowOff>0</xdr:rowOff>
    </xdr:from>
    <xdr:ext cx="200025" cy="200025"/>
    <xdr:pic>
      <xdr:nvPicPr>
        <xdr:cNvPr id="2820" name="image7.png">
          <a:extLst>
            <a:ext uri="{FF2B5EF4-FFF2-40B4-BE49-F238E27FC236}">
              <a16:creationId xmlns:a16="http://schemas.microsoft.com/office/drawing/2014/main" id="{00000000-0008-0000-0200-000004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1857</xdr:row>
      <xdr:rowOff>0</xdr:rowOff>
    </xdr:from>
    <xdr:ext cx="200025" cy="200025"/>
    <xdr:pic>
      <xdr:nvPicPr>
        <xdr:cNvPr id="2821" name="image8.png">
          <a:extLst>
            <a:ext uri="{FF2B5EF4-FFF2-40B4-BE49-F238E27FC236}">
              <a16:creationId xmlns:a16="http://schemas.microsoft.com/office/drawing/2014/main" id="{00000000-0008-0000-0200-000005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1858</xdr:row>
      <xdr:rowOff>0</xdr:rowOff>
    </xdr:from>
    <xdr:ext cx="200025" cy="200025"/>
    <xdr:pic>
      <xdr:nvPicPr>
        <xdr:cNvPr id="2822" name="image8.png">
          <a:extLst>
            <a:ext uri="{FF2B5EF4-FFF2-40B4-BE49-F238E27FC236}">
              <a16:creationId xmlns:a16="http://schemas.microsoft.com/office/drawing/2014/main" id="{00000000-0008-0000-0200-000006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1859</xdr:row>
      <xdr:rowOff>0</xdr:rowOff>
    </xdr:from>
    <xdr:ext cx="200025" cy="200025"/>
    <xdr:pic>
      <xdr:nvPicPr>
        <xdr:cNvPr id="2823" name="image8.png">
          <a:extLst>
            <a:ext uri="{FF2B5EF4-FFF2-40B4-BE49-F238E27FC236}">
              <a16:creationId xmlns:a16="http://schemas.microsoft.com/office/drawing/2014/main" id="{00000000-0008-0000-0200-000007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1860</xdr:row>
      <xdr:rowOff>0</xdr:rowOff>
    </xdr:from>
    <xdr:ext cx="200025" cy="200025"/>
    <xdr:pic>
      <xdr:nvPicPr>
        <xdr:cNvPr id="2824" name="image10.png">
          <a:extLst>
            <a:ext uri="{FF2B5EF4-FFF2-40B4-BE49-F238E27FC236}">
              <a16:creationId xmlns:a16="http://schemas.microsoft.com/office/drawing/2014/main" id="{00000000-0008-0000-0200-000008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1860</xdr:row>
      <xdr:rowOff>0</xdr:rowOff>
    </xdr:from>
    <xdr:ext cx="200025" cy="200025"/>
    <xdr:pic>
      <xdr:nvPicPr>
        <xdr:cNvPr id="2825" name="image6.png">
          <a:extLst>
            <a:ext uri="{FF2B5EF4-FFF2-40B4-BE49-F238E27FC236}">
              <a16:creationId xmlns:a16="http://schemas.microsoft.com/office/drawing/2014/main" id="{00000000-0008-0000-0200-000009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1860</xdr:row>
      <xdr:rowOff>0</xdr:rowOff>
    </xdr:from>
    <xdr:ext cx="200025" cy="200025"/>
    <xdr:pic>
      <xdr:nvPicPr>
        <xdr:cNvPr id="2826" name="image11.png">
          <a:extLst>
            <a:ext uri="{FF2B5EF4-FFF2-40B4-BE49-F238E27FC236}">
              <a16:creationId xmlns:a16="http://schemas.microsoft.com/office/drawing/2014/main" id="{00000000-0008-0000-0200-00000A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1860</xdr:row>
      <xdr:rowOff>0</xdr:rowOff>
    </xdr:from>
    <xdr:ext cx="200025" cy="200025"/>
    <xdr:pic>
      <xdr:nvPicPr>
        <xdr:cNvPr id="2827" name="image10.png">
          <a:extLst>
            <a:ext uri="{FF2B5EF4-FFF2-40B4-BE49-F238E27FC236}">
              <a16:creationId xmlns:a16="http://schemas.microsoft.com/office/drawing/2014/main" id="{00000000-0008-0000-0200-00000B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1861</xdr:row>
      <xdr:rowOff>0</xdr:rowOff>
    </xdr:from>
    <xdr:ext cx="200025" cy="200025"/>
    <xdr:pic>
      <xdr:nvPicPr>
        <xdr:cNvPr id="2828" name="image10.png">
          <a:extLst>
            <a:ext uri="{FF2B5EF4-FFF2-40B4-BE49-F238E27FC236}">
              <a16:creationId xmlns:a16="http://schemas.microsoft.com/office/drawing/2014/main" id="{00000000-0008-0000-0200-00000C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1862</xdr:row>
      <xdr:rowOff>0</xdr:rowOff>
    </xdr:from>
    <xdr:ext cx="200025" cy="200025"/>
    <xdr:pic>
      <xdr:nvPicPr>
        <xdr:cNvPr id="2829" name="image10.png">
          <a:extLst>
            <a:ext uri="{FF2B5EF4-FFF2-40B4-BE49-F238E27FC236}">
              <a16:creationId xmlns:a16="http://schemas.microsoft.com/office/drawing/2014/main" id="{00000000-0008-0000-0200-00000D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1864</xdr:row>
      <xdr:rowOff>0</xdr:rowOff>
    </xdr:from>
    <xdr:ext cx="200025" cy="200025"/>
    <xdr:pic>
      <xdr:nvPicPr>
        <xdr:cNvPr id="2830" name="image10.png">
          <a:extLst>
            <a:ext uri="{FF2B5EF4-FFF2-40B4-BE49-F238E27FC236}">
              <a16:creationId xmlns:a16="http://schemas.microsoft.com/office/drawing/2014/main" id="{00000000-0008-0000-0200-00000E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1864</xdr:row>
      <xdr:rowOff>0</xdr:rowOff>
    </xdr:from>
    <xdr:ext cx="200025" cy="200025"/>
    <xdr:pic>
      <xdr:nvPicPr>
        <xdr:cNvPr id="2831" name="image9.png">
          <a:extLst>
            <a:ext uri="{FF2B5EF4-FFF2-40B4-BE49-F238E27FC236}">
              <a16:creationId xmlns:a16="http://schemas.microsoft.com/office/drawing/2014/main" id="{00000000-0008-0000-0200-00000F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1864</xdr:row>
      <xdr:rowOff>0</xdr:rowOff>
    </xdr:from>
    <xdr:ext cx="200025" cy="200025"/>
    <xdr:pic>
      <xdr:nvPicPr>
        <xdr:cNvPr id="2832" name="image1.png">
          <a:extLst>
            <a:ext uri="{FF2B5EF4-FFF2-40B4-BE49-F238E27FC236}">
              <a16:creationId xmlns:a16="http://schemas.microsoft.com/office/drawing/2014/main" id="{00000000-0008-0000-0200-000010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1864</xdr:row>
      <xdr:rowOff>0</xdr:rowOff>
    </xdr:from>
    <xdr:ext cx="200025" cy="200025"/>
    <xdr:pic>
      <xdr:nvPicPr>
        <xdr:cNvPr id="2833" name="image12.png">
          <a:extLst>
            <a:ext uri="{FF2B5EF4-FFF2-40B4-BE49-F238E27FC236}">
              <a16:creationId xmlns:a16="http://schemas.microsoft.com/office/drawing/2014/main" id="{00000000-0008-0000-0200-000011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1864</xdr:row>
      <xdr:rowOff>0</xdr:rowOff>
    </xdr:from>
    <xdr:ext cx="200025" cy="200025"/>
    <xdr:pic>
      <xdr:nvPicPr>
        <xdr:cNvPr id="2834" name="image7.png">
          <a:extLst>
            <a:ext uri="{FF2B5EF4-FFF2-40B4-BE49-F238E27FC236}">
              <a16:creationId xmlns:a16="http://schemas.microsoft.com/office/drawing/2014/main" id="{00000000-0008-0000-0200-000012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1870</xdr:row>
      <xdr:rowOff>0</xdr:rowOff>
    </xdr:from>
    <xdr:ext cx="200025" cy="200025"/>
    <xdr:pic>
      <xdr:nvPicPr>
        <xdr:cNvPr id="2835" name="image10.png">
          <a:extLst>
            <a:ext uri="{FF2B5EF4-FFF2-40B4-BE49-F238E27FC236}">
              <a16:creationId xmlns:a16="http://schemas.microsoft.com/office/drawing/2014/main" id="{00000000-0008-0000-0200-000013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1870</xdr:row>
      <xdr:rowOff>0</xdr:rowOff>
    </xdr:from>
    <xdr:ext cx="200025" cy="200025"/>
    <xdr:pic>
      <xdr:nvPicPr>
        <xdr:cNvPr id="2836" name="image8.png">
          <a:extLst>
            <a:ext uri="{FF2B5EF4-FFF2-40B4-BE49-F238E27FC236}">
              <a16:creationId xmlns:a16="http://schemas.microsoft.com/office/drawing/2014/main" id="{00000000-0008-0000-0200-000014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1870</xdr:row>
      <xdr:rowOff>0</xdr:rowOff>
    </xdr:from>
    <xdr:ext cx="200025" cy="200025"/>
    <xdr:pic>
      <xdr:nvPicPr>
        <xdr:cNvPr id="2837" name="image2.png">
          <a:extLst>
            <a:ext uri="{FF2B5EF4-FFF2-40B4-BE49-F238E27FC236}">
              <a16:creationId xmlns:a16="http://schemas.microsoft.com/office/drawing/2014/main" id="{00000000-0008-0000-0200-000015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1870</xdr:row>
      <xdr:rowOff>0</xdr:rowOff>
    </xdr:from>
    <xdr:ext cx="200025" cy="200025"/>
    <xdr:pic>
      <xdr:nvPicPr>
        <xdr:cNvPr id="2838" name="image6.png">
          <a:extLst>
            <a:ext uri="{FF2B5EF4-FFF2-40B4-BE49-F238E27FC236}">
              <a16:creationId xmlns:a16="http://schemas.microsoft.com/office/drawing/2014/main" id="{00000000-0008-0000-0200-000016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13</xdr:col>
      <xdr:colOff>0</xdr:colOff>
      <xdr:row>1870</xdr:row>
      <xdr:rowOff>0</xdr:rowOff>
    </xdr:from>
    <xdr:ext cx="200025" cy="200025"/>
    <xdr:pic>
      <xdr:nvPicPr>
        <xdr:cNvPr id="2839" name="image11.png">
          <a:extLst>
            <a:ext uri="{FF2B5EF4-FFF2-40B4-BE49-F238E27FC236}">
              <a16:creationId xmlns:a16="http://schemas.microsoft.com/office/drawing/2014/main" id="{00000000-0008-0000-0200-000017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1870</xdr:row>
      <xdr:rowOff>0</xdr:rowOff>
    </xdr:from>
    <xdr:ext cx="200025" cy="200025"/>
    <xdr:pic>
      <xdr:nvPicPr>
        <xdr:cNvPr id="2840" name="image7.png">
          <a:extLst>
            <a:ext uri="{FF2B5EF4-FFF2-40B4-BE49-F238E27FC236}">
              <a16:creationId xmlns:a16="http://schemas.microsoft.com/office/drawing/2014/main" id="{00000000-0008-0000-0200-000018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1871</xdr:row>
      <xdr:rowOff>0</xdr:rowOff>
    </xdr:from>
    <xdr:ext cx="200025" cy="200025"/>
    <xdr:pic>
      <xdr:nvPicPr>
        <xdr:cNvPr id="2841" name="image6.png">
          <a:extLst>
            <a:ext uri="{FF2B5EF4-FFF2-40B4-BE49-F238E27FC236}">
              <a16:creationId xmlns:a16="http://schemas.microsoft.com/office/drawing/2014/main" id="{00000000-0008-0000-0200-000019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1872</xdr:row>
      <xdr:rowOff>0</xdr:rowOff>
    </xdr:from>
    <xdr:ext cx="200025" cy="200025"/>
    <xdr:pic>
      <xdr:nvPicPr>
        <xdr:cNvPr id="2842" name="image10.png">
          <a:extLst>
            <a:ext uri="{FF2B5EF4-FFF2-40B4-BE49-F238E27FC236}">
              <a16:creationId xmlns:a16="http://schemas.microsoft.com/office/drawing/2014/main" id="{00000000-0008-0000-0200-00001A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1872</xdr:row>
      <xdr:rowOff>0</xdr:rowOff>
    </xdr:from>
    <xdr:ext cx="200025" cy="200025"/>
    <xdr:pic>
      <xdr:nvPicPr>
        <xdr:cNvPr id="2843" name="image8.png">
          <a:extLst>
            <a:ext uri="{FF2B5EF4-FFF2-40B4-BE49-F238E27FC236}">
              <a16:creationId xmlns:a16="http://schemas.microsoft.com/office/drawing/2014/main" id="{00000000-0008-0000-0200-00001B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1872</xdr:row>
      <xdr:rowOff>0</xdr:rowOff>
    </xdr:from>
    <xdr:ext cx="200025" cy="200025"/>
    <xdr:pic>
      <xdr:nvPicPr>
        <xdr:cNvPr id="2844" name="image9.png">
          <a:extLst>
            <a:ext uri="{FF2B5EF4-FFF2-40B4-BE49-F238E27FC236}">
              <a16:creationId xmlns:a16="http://schemas.microsoft.com/office/drawing/2014/main" id="{00000000-0008-0000-0200-00001C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1872</xdr:row>
      <xdr:rowOff>0</xdr:rowOff>
    </xdr:from>
    <xdr:ext cx="200025" cy="200025"/>
    <xdr:pic>
      <xdr:nvPicPr>
        <xdr:cNvPr id="2845" name="image2.png">
          <a:extLst>
            <a:ext uri="{FF2B5EF4-FFF2-40B4-BE49-F238E27FC236}">
              <a16:creationId xmlns:a16="http://schemas.microsoft.com/office/drawing/2014/main" id="{00000000-0008-0000-0200-00001D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1872</xdr:row>
      <xdr:rowOff>0</xdr:rowOff>
    </xdr:from>
    <xdr:ext cx="200025" cy="200025"/>
    <xdr:pic>
      <xdr:nvPicPr>
        <xdr:cNvPr id="2846" name="image3.png">
          <a:extLst>
            <a:ext uri="{FF2B5EF4-FFF2-40B4-BE49-F238E27FC236}">
              <a16:creationId xmlns:a16="http://schemas.microsoft.com/office/drawing/2014/main" id="{00000000-0008-0000-0200-00001E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1872</xdr:row>
      <xdr:rowOff>0</xdr:rowOff>
    </xdr:from>
    <xdr:ext cx="200025" cy="200025"/>
    <xdr:pic>
      <xdr:nvPicPr>
        <xdr:cNvPr id="2847" name="image2.png">
          <a:extLst>
            <a:ext uri="{FF2B5EF4-FFF2-40B4-BE49-F238E27FC236}">
              <a16:creationId xmlns:a16="http://schemas.microsoft.com/office/drawing/2014/main" id="{00000000-0008-0000-0200-00001F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1873</xdr:row>
      <xdr:rowOff>0</xdr:rowOff>
    </xdr:from>
    <xdr:ext cx="200025" cy="200025"/>
    <xdr:pic>
      <xdr:nvPicPr>
        <xdr:cNvPr id="2848" name="image2.png">
          <a:extLst>
            <a:ext uri="{FF2B5EF4-FFF2-40B4-BE49-F238E27FC236}">
              <a16:creationId xmlns:a16="http://schemas.microsoft.com/office/drawing/2014/main" id="{00000000-0008-0000-0200-000020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1875</xdr:row>
      <xdr:rowOff>0</xdr:rowOff>
    </xdr:from>
    <xdr:ext cx="200025" cy="200025"/>
    <xdr:pic>
      <xdr:nvPicPr>
        <xdr:cNvPr id="2849" name="image10.png">
          <a:extLst>
            <a:ext uri="{FF2B5EF4-FFF2-40B4-BE49-F238E27FC236}">
              <a16:creationId xmlns:a16="http://schemas.microsoft.com/office/drawing/2014/main" id="{00000000-0008-0000-0200-000021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1875</xdr:row>
      <xdr:rowOff>0</xdr:rowOff>
    </xdr:from>
    <xdr:ext cx="200025" cy="200025"/>
    <xdr:pic>
      <xdr:nvPicPr>
        <xdr:cNvPr id="2850" name="image9.png">
          <a:extLst>
            <a:ext uri="{FF2B5EF4-FFF2-40B4-BE49-F238E27FC236}">
              <a16:creationId xmlns:a16="http://schemas.microsoft.com/office/drawing/2014/main" id="{00000000-0008-0000-0200-000022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1875</xdr:row>
      <xdr:rowOff>0</xdr:rowOff>
    </xdr:from>
    <xdr:ext cx="200025" cy="200025"/>
    <xdr:pic>
      <xdr:nvPicPr>
        <xdr:cNvPr id="2851" name="image5.png">
          <a:extLst>
            <a:ext uri="{FF2B5EF4-FFF2-40B4-BE49-F238E27FC236}">
              <a16:creationId xmlns:a16="http://schemas.microsoft.com/office/drawing/2014/main" id="{00000000-0008-0000-0200-000023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1875</xdr:row>
      <xdr:rowOff>0</xdr:rowOff>
    </xdr:from>
    <xdr:ext cx="200025" cy="200025"/>
    <xdr:pic>
      <xdr:nvPicPr>
        <xdr:cNvPr id="2852" name="image1.png">
          <a:extLst>
            <a:ext uri="{FF2B5EF4-FFF2-40B4-BE49-F238E27FC236}">
              <a16:creationId xmlns:a16="http://schemas.microsoft.com/office/drawing/2014/main" id="{00000000-0008-0000-0200-000024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1876</xdr:row>
      <xdr:rowOff>0</xdr:rowOff>
    </xdr:from>
    <xdr:ext cx="200025" cy="200025"/>
    <xdr:pic>
      <xdr:nvPicPr>
        <xdr:cNvPr id="2853" name="image1.png">
          <a:extLst>
            <a:ext uri="{FF2B5EF4-FFF2-40B4-BE49-F238E27FC236}">
              <a16:creationId xmlns:a16="http://schemas.microsoft.com/office/drawing/2014/main" id="{00000000-0008-0000-0200-000025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1877</xdr:row>
      <xdr:rowOff>0</xdr:rowOff>
    </xdr:from>
    <xdr:ext cx="200025" cy="200025"/>
    <xdr:pic>
      <xdr:nvPicPr>
        <xdr:cNvPr id="2854" name="image1.png">
          <a:extLst>
            <a:ext uri="{FF2B5EF4-FFF2-40B4-BE49-F238E27FC236}">
              <a16:creationId xmlns:a16="http://schemas.microsoft.com/office/drawing/2014/main" id="{00000000-0008-0000-0200-000026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1878</xdr:row>
      <xdr:rowOff>0</xdr:rowOff>
    </xdr:from>
    <xdr:ext cx="200025" cy="200025"/>
    <xdr:pic>
      <xdr:nvPicPr>
        <xdr:cNvPr id="2855" name="image10.png">
          <a:extLst>
            <a:ext uri="{FF2B5EF4-FFF2-40B4-BE49-F238E27FC236}">
              <a16:creationId xmlns:a16="http://schemas.microsoft.com/office/drawing/2014/main" id="{00000000-0008-0000-0200-000027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1878</xdr:row>
      <xdr:rowOff>0</xdr:rowOff>
    </xdr:from>
    <xdr:ext cx="200025" cy="200025"/>
    <xdr:pic>
      <xdr:nvPicPr>
        <xdr:cNvPr id="2856" name="image9.png">
          <a:extLst>
            <a:ext uri="{FF2B5EF4-FFF2-40B4-BE49-F238E27FC236}">
              <a16:creationId xmlns:a16="http://schemas.microsoft.com/office/drawing/2014/main" id="{00000000-0008-0000-0200-000028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1878</xdr:row>
      <xdr:rowOff>0</xdr:rowOff>
    </xdr:from>
    <xdr:ext cx="200025" cy="200025"/>
    <xdr:pic>
      <xdr:nvPicPr>
        <xdr:cNvPr id="2857" name="image5.png">
          <a:extLst>
            <a:ext uri="{FF2B5EF4-FFF2-40B4-BE49-F238E27FC236}">
              <a16:creationId xmlns:a16="http://schemas.microsoft.com/office/drawing/2014/main" id="{00000000-0008-0000-0200-000029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1880</xdr:row>
      <xdr:rowOff>0</xdr:rowOff>
    </xdr:from>
    <xdr:ext cx="200025" cy="200025"/>
    <xdr:pic>
      <xdr:nvPicPr>
        <xdr:cNvPr id="2858" name="image10.png">
          <a:extLst>
            <a:ext uri="{FF2B5EF4-FFF2-40B4-BE49-F238E27FC236}">
              <a16:creationId xmlns:a16="http://schemas.microsoft.com/office/drawing/2014/main" id="{00000000-0008-0000-0200-00002A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1880</xdr:row>
      <xdr:rowOff>0</xdr:rowOff>
    </xdr:from>
    <xdr:ext cx="200025" cy="200025"/>
    <xdr:pic>
      <xdr:nvPicPr>
        <xdr:cNvPr id="2859" name="image8.png">
          <a:extLst>
            <a:ext uri="{FF2B5EF4-FFF2-40B4-BE49-F238E27FC236}">
              <a16:creationId xmlns:a16="http://schemas.microsoft.com/office/drawing/2014/main" id="{00000000-0008-0000-0200-00002B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1880</xdr:row>
      <xdr:rowOff>0</xdr:rowOff>
    </xdr:from>
    <xdr:ext cx="200025" cy="200025"/>
    <xdr:pic>
      <xdr:nvPicPr>
        <xdr:cNvPr id="2860" name="image2.png">
          <a:extLst>
            <a:ext uri="{FF2B5EF4-FFF2-40B4-BE49-F238E27FC236}">
              <a16:creationId xmlns:a16="http://schemas.microsoft.com/office/drawing/2014/main" id="{00000000-0008-0000-0200-00002C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1880</xdr:row>
      <xdr:rowOff>0</xdr:rowOff>
    </xdr:from>
    <xdr:ext cx="200025" cy="200025"/>
    <xdr:pic>
      <xdr:nvPicPr>
        <xdr:cNvPr id="2861" name="image12.png">
          <a:extLst>
            <a:ext uri="{FF2B5EF4-FFF2-40B4-BE49-F238E27FC236}">
              <a16:creationId xmlns:a16="http://schemas.microsoft.com/office/drawing/2014/main" id="{00000000-0008-0000-0200-00002D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1880</xdr:row>
      <xdr:rowOff>0</xdr:rowOff>
    </xdr:from>
    <xdr:ext cx="200025" cy="200025"/>
    <xdr:pic>
      <xdr:nvPicPr>
        <xdr:cNvPr id="2862" name="image2.png">
          <a:extLst>
            <a:ext uri="{FF2B5EF4-FFF2-40B4-BE49-F238E27FC236}">
              <a16:creationId xmlns:a16="http://schemas.microsoft.com/office/drawing/2014/main" id="{00000000-0008-0000-0200-00002E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1881</xdr:row>
      <xdr:rowOff>0</xdr:rowOff>
    </xdr:from>
    <xdr:ext cx="200025" cy="200025"/>
    <xdr:pic>
      <xdr:nvPicPr>
        <xdr:cNvPr id="2863" name="image2.png">
          <a:extLst>
            <a:ext uri="{FF2B5EF4-FFF2-40B4-BE49-F238E27FC236}">
              <a16:creationId xmlns:a16="http://schemas.microsoft.com/office/drawing/2014/main" id="{00000000-0008-0000-0200-00002F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1882</xdr:row>
      <xdr:rowOff>0</xdr:rowOff>
    </xdr:from>
    <xdr:ext cx="200025" cy="200025"/>
    <xdr:pic>
      <xdr:nvPicPr>
        <xdr:cNvPr id="2864" name="image2.png">
          <a:extLst>
            <a:ext uri="{FF2B5EF4-FFF2-40B4-BE49-F238E27FC236}">
              <a16:creationId xmlns:a16="http://schemas.microsoft.com/office/drawing/2014/main" id="{00000000-0008-0000-0200-000030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1883</xdr:row>
      <xdr:rowOff>0</xdr:rowOff>
    </xdr:from>
    <xdr:ext cx="200025" cy="200025"/>
    <xdr:pic>
      <xdr:nvPicPr>
        <xdr:cNvPr id="2865" name="image10.png">
          <a:extLst>
            <a:ext uri="{FF2B5EF4-FFF2-40B4-BE49-F238E27FC236}">
              <a16:creationId xmlns:a16="http://schemas.microsoft.com/office/drawing/2014/main" id="{00000000-0008-0000-0200-000031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1883</xdr:row>
      <xdr:rowOff>0</xdr:rowOff>
    </xdr:from>
    <xdr:ext cx="200025" cy="200025"/>
    <xdr:pic>
      <xdr:nvPicPr>
        <xdr:cNvPr id="2866" name="image8.png">
          <a:extLst>
            <a:ext uri="{FF2B5EF4-FFF2-40B4-BE49-F238E27FC236}">
              <a16:creationId xmlns:a16="http://schemas.microsoft.com/office/drawing/2014/main" id="{00000000-0008-0000-0200-000032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1883</xdr:row>
      <xdr:rowOff>0</xdr:rowOff>
    </xdr:from>
    <xdr:ext cx="200025" cy="200025"/>
    <xdr:pic>
      <xdr:nvPicPr>
        <xdr:cNvPr id="2867" name="image2.png">
          <a:extLst>
            <a:ext uri="{FF2B5EF4-FFF2-40B4-BE49-F238E27FC236}">
              <a16:creationId xmlns:a16="http://schemas.microsoft.com/office/drawing/2014/main" id="{00000000-0008-0000-0200-000033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1883</xdr:row>
      <xdr:rowOff>0</xdr:rowOff>
    </xdr:from>
    <xdr:ext cx="200025" cy="200025"/>
    <xdr:pic>
      <xdr:nvPicPr>
        <xdr:cNvPr id="2868" name="image1.png">
          <a:extLst>
            <a:ext uri="{FF2B5EF4-FFF2-40B4-BE49-F238E27FC236}">
              <a16:creationId xmlns:a16="http://schemas.microsoft.com/office/drawing/2014/main" id="{00000000-0008-0000-0200-000034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xdr:col>
      <xdr:colOff>0</xdr:colOff>
      <xdr:row>1883</xdr:row>
      <xdr:rowOff>0</xdr:rowOff>
    </xdr:from>
    <xdr:ext cx="200025" cy="200025"/>
    <xdr:pic>
      <xdr:nvPicPr>
        <xdr:cNvPr id="2869" name="image4.png">
          <a:extLst>
            <a:ext uri="{FF2B5EF4-FFF2-40B4-BE49-F238E27FC236}">
              <a16:creationId xmlns:a16="http://schemas.microsoft.com/office/drawing/2014/main" id="{00000000-0008-0000-0200-000035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1883</xdr:row>
      <xdr:rowOff>0</xdr:rowOff>
    </xdr:from>
    <xdr:ext cx="200025" cy="200025"/>
    <xdr:pic>
      <xdr:nvPicPr>
        <xdr:cNvPr id="2870" name="image1.png">
          <a:extLst>
            <a:ext uri="{FF2B5EF4-FFF2-40B4-BE49-F238E27FC236}">
              <a16:creationId xmlns:a16="http://schemas.microsoft.com/office/drawing/2014/main" id="{00000000-0008-0000-0200-000036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1884</xdr:row>
      <xdr:rowOff>0</xdr:rowOff>
    </xdr:from>
    <xdr:ext cx="200025" cy="200025"/>
    <xdr:pic>
      <xdr:nvPicPr>
        <xdr:cNvPr id="2871" name="image1.png">
          <a:extLst>
            <a:ext uri="{FF2B5EF4-FFF2-40B4-BE49-F238E27FC236}">
              <a16:creationId xmlns:a16="http://schemas.microsoft.com/office/drawing/2014/main" id="{00000000-0008-0000-0200-000037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1886</xdr:row>
      <xdr:rowOff>0</xdr:rowOff>
    </xdr:from>
    <xdr:ext cx="200025" cy="200025"/>
    <xdr:pic>
      <xdr:nvPicPr>
        <xdr:cNvPr id="2872" name="image10.png">
          <a:extLst>
            <a:ext uri="{FF2B5EF4-FFF2-40B4-BE49-F238E27FC236}">
              <a16:creationId xmlns:a16="http://schemas.microsoft.com/office/drawing/2014/main" id="{00000000-0008-0000-0200-000038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1886</xdr:row>
      <xdr:rowOff>0</xdr:rowOff>
    </xdr:from>
    <xdr:ext cx="200025" cy="200025"/>
    <xdr:pic>
      <xdr:nvPicPr>
        <xdr:cNvPr id="2873" name="image9.png">
          <a:extLst>
            <a:ext uri="{FF2B5EF4-FFF2-40B4-BE49-F238E27FC236}">
              <a16:creationId xmlns:a16="http://schemas.microsoft.com/office/drawing/2014/main" id="{00000000-0008-0000-0200-000039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1886</xdr:row>
      <xdr:rowOff>0</xdr:rowOff>
    </xdr:from>
    <xdr:ext cx="200025" cy="200025"/>
    <xdr:pic>
      <xdr:nvPicPr>
        <xdr:cNvPr id="2874" name="image3.png">
          <a:extLst>
            <a:ext uri="{FF2B5EF4-FFF2-40B4-BE49-F238E27FC236}">
              <a16:creationId xmlns:a16="http://schemas.microsoft.com/office/drawing/2014/main" id="{00000000-0008-0000-0200-00003A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1886</xdr:row>
      <xdr:rowOff>0</xdr:rowOff>
    </xdr:from>
    <xdr:ext cx="200025" cy="200025"/>
    <xdr:pic>
      <xdr:nvPicPr>
        <xdr:cNvPr id="2875" name="image11.png">
          <a:extLst>
            <a:ext uri="{FF2B5EF4-FFF2-40B4-BE49-F238E27FC236}">
              <a16:creationId xmlns:a16="http://schemas.microsoft.com/office/drawing/2014/main" id="{00000000-0008-0000-0200-00003B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1888</xdr:row>
      <xdr:rowOff>0</xdr:rowOff>
    </xdr:from>
    <xdr:ext cx="200025" cy="200025"/>
    <xdr:pic>
      <xdr:nvPicPr>
        <xdr:cNvPr id="2876" name="image8.png">
          <a:extLst>
            <a:ext uri="{FF2B5EF4-FFF2-40B4-BE49-F238E27FC236}">
              <a16:creationId xmlns:a16="http://schemas.microsoft.com/office/drawing/2014/main" id="{00000000-0008-0000-0200-00003C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1888</xdr:row>
      <xdr:rowOff>0</xdr:rowOff>
    </xdr:from>
    <xdr:ext cx="200025" cy="200025"/>
    <xdr:pic>
      <xdr:nvPicPr>
        <xdr:cNvPr id="2877" name="image1.png">
          <a:extLst>
            <a:ext uri="{FF2B5EF4-FFF2-40B4-BE49-F238E27FC236}">
              <a16:creationId xmlns:a16="http://schemas.microsoft.com/office/drawing/2014/main" id="{00000000-0008-0000-0200-00003D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1888</xdr:row>
      <xdr:rowOff>0</xdr:rowOff>
    </xdr:from>
    <xdr:ext cx="200025" cy="200025"/>
    <xdr:pic>
      <xdr:nvPicPr>
        <xdr:cNvPr id="2878" name="image3.png">
          <a:extLst>
            <a:ext uri="{FF2B5EF4-FFF2-40B4-BE49-F238E27FC236}">
              <a16:creationId xmlns:a16="http://schemas.microsoft.com/office/drawing/2014/main" id="{00000000-0008-0000-0200-00003E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1889</xdr:row>
      <xdr:rowOff>0</xdr:rowOff>
    </xdr:from>
    <xdr:ext cx="200025" cy="200025"/>
    <xdr:pic>
      <xdr:nvPicPr>
        <xdr:cNvPr id="2879" name="image10.png">
          <a:extLst>
            <a:ext uri="{FF2B5EF4-FFF2-40B4-BE49-F238E27FC236}">
              <a16:creationId xmlns:a16="http://schemas.microsoft.com/office/drawing/2014/main" id="{00000000-0008-0000-0200-00003F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1889</xdr:row>
      <xdr:rowOff>0</xdr:rowOff>
    </xdr:from>
    <xdr:ext cx="200025" cy="200025"/>
    <xdr:pic>
      <xdr:nvPicPr>
        <xdr:cNvPr id="2880" name="image1.png">
          <a:extLst>
            <a:ext uri="{FF2B5EF4-FFF2-40B4-BE49-F238E27FC236}">
              <a16:creationId xmlns:a16="http://schemas.microsoft.com/office/drawing/2014/main" id="{00000000-0008-0000-0200-000040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1889</xdr:row>
      <xdr:rowOff>0</xdr:rowOff>
    </xdr:from>
    <xdr:ext cx="200025" cy="200025"/>
    <xdr:pic>
      <xdr:nvPicPr>
        <xdr:cNvPr id="2881" name="image1.png">
          <a:extLst>
            <a:ext uri="{FF2B5EF4-FFF2-40B4-BE49-F238E27FC236}">
              <a16:creationId xmlns:a16="http://schemas.microsoft.com/office/drawing/2014/main" id="{00000000-0008-0000-0200-000041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1890</xdr:row>
      <xdr:rowOff>0</xdr:rowOff>
    </xdr:from>
    <xdr:ext cx="200025" cy="200025"/>
    <xdr:pic>
      <xdr:nvPicPr>
        <xdr:cNvPr id="2882" name="image1.png">
          <a:extLst>
            <a:ext uri="{FF2B5EF4-FFF2-40B4-BE49-F238E27FC236}">
              <a16:creationId xmlns:a16="http://schemas.microsoft.com/office/drawing/2014/main" id="{00000000-0008-0000-0200-000042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1891</xdr:row>
      <xdr:rowOff>0</xdr:rowOff>
    </xdr:from>
    <xdr:ext cx="200025" cy="200025"/>
    <xdr:pic>
      <xdr:nvPicPr>
        <xdr:cNvPr id="2883" name="image9.png">
          <a:extLst>
            <a:ext uri="{FF2B5EF4-FFF2-40B4-BE49-F238E27FC236}">
              <a16:creationId xmlns:a16="http://schemas.microsoft.com/office/drawing/2014/main" id="{00000000-0008-0000-0200-000043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1891</xdr:row>
      <xdr:rowOff>0</xdr:rowOff>
    </xdr:from>
    <xdr:ext cx="200025" cy="200025"/>
    <xdr:pic>
      <xdr:nvPicPr>
        <xdr:cNvPr id="2884" name="image2.png">
          <a:extLst>
            <a:ext uri="{FF2B5EF4-FFF2-40B4-BE49-F238E27FC236}">
              <a16:creationId xmlns:a16="http://schemas.microsoft.com/office/drawing/2014/main" id="{00000000-0008-0000-0200-000044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1891</xdr:row>
      <xdr:rowOff>0</xdr:rowOff>
    </xdr:from>
    <xdr:ext cx="200025" cy="200025"/>
    <xdr:pic>
      <xdr:nvPicPr>
        <xdr:cNvPr id="2885" name="image5.png">
          <a:extLst>
            <a:ext uri="{FF2B5EF4-FFF2-40B4-BE49-F238E27FC236}">
              <a16:creationId xmlns:a16="http://schemas.microsoft.com/office/drawing/2014/main" id="{00000000-0008-0000-0200-000045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1891</xdr:row>
      <xdr:rowOff>0</xdr:rowOff>
    </xdr:from>
    <xdr:ext cx="200025" cy="200025"/>
    <xdr:pic>
      <xdr:nvPicPr>
        <xdr:cNvPr id="2886" name="image1.png">
          <a:extLst>
            <a:ext uri="{FF2B5EF4-FFF2-40B4-BE49-F238E27FC236}">
              <a16:creationId xmlns:a16="http://schemas.microsoft.com/office/drawing/2014/main" id="{00000000-0008-0000-0200-000046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1892</xdr:row>
      <xdr:rowOff>0</xdr:rowOff>
    </xdr:from>
    <xdr:ext cx="200025" cy="200025"/>
    <xdr:pic>
      <xdr:nvPicPr>
        <xdr:cNvPr id="2887" name="image1.png">
          <a:extLst>
            <a:ext uri="{FF2B5EF4-FFF2-40B4-BE49-F238E27FC236}">
              <a16:creationId xmlns:a16="http://schemas.microsoft.com/office/drawing/2014/main" id="{00000000-0008-0000-0200-000047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1893</xdr:row>
      <xdr:rowOff>0</xdr:rowOff>
    </xdr:from>
    <xdr:ext cx="200025" cy="200025"/>
    <xdr:pic>
      <xdr:nvPicPr>
        <xdr:cNvPr id="2888" name="image1.png">
          <a:extLst>
            <a:ext uri="{FF2B5EF4-FFF2-40B4-BE49-F238E27FC236}">
              <a16:creationId xmlns:a16="http://schemas.microsoft.com/office/drawing/2014/main" id="{00000000-0008-0000-0200-000048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1894</xdr:row>
      <xdr:rowOff>0</xdr:rowOff>
    </xdr:from>
    <xdr:ext cx="200025" cy="200025"/>
    <xdr:pic>
      <xdr:nvPicPr>
        <xdr:cNvPr id="2889" name="image10.png">
          <a:extLst>
            <a:ext uri="{FF2B5EF4-FFF2-40B4-BE49-F238E27FC236}">
              <a16:creationId xmlns:a16="http://schemas.microsoft.com/office/drawing/2014/main" id="{00000000-0008-0000-0200-000049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1894</xdr:row>
      <xdr:rowOff>0</xdr:rowOff>
    </xdr:from>
    <xdr:ext cx="200025" cy="200025"/>
    <xdr:pic>
      <xdr:nvPicPr>
        <xdr:cNvPr id="2890" name="image6.png">
          <a:extLst>
            <a:ext uri="{FF2B5EF4-FFF2-40B4-BE49-F238E27FC236}">
              <a16:creationId xmlns:a16="http://schemas.microsoft.com/office/drawing/2014/main" id="{00000000-0008-0000-0200-00004A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1894</xdr:row>
      <xdr:rowOff>0</xdr:rowOff>
    </xdr:from>
    <xdr:ext cx="200025" cy="200025"/>
    <xdr:pic>
      <xdr:nvPicPr>
        <xdr:cNvPr id="2891" name="image7.png">
          <a:extLst>
            <a:ext uri="{FF2B5EF4-FFF2-40B4-BE49-F238E27FC236}">
              <a16:creationId xmlns:a16="http://schemas.microsoft.com/office/drawing/2014/main" id="{00000000-0008-0000-0200-00004B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1895</xdr:row>
      <xdr:rowOff>0</xdr:rowOff>
    </xdr:from>
    <xdr:ext cx="200025" cy="200025"/>
    <xdr:pic>
      <xdr:nvPicPr>
        <xdr:cNvPr id="2892" name="image8.png">
          <a:extLst>
            <a:ext uri="{FF2B5EF4-FFF2-40B4-BE49-F238E27FC236}">
              <a16:creationId xmlns:a16="http://schemas.microsoft.com/office/drawing/2014/main" id="{00000000-0008-0000-0200-00004C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1896</xdr:row>
      <xdr:rowOff>0</xdr:rowOff>
    </xdr:from>
    <xdr:ext cx="200025" cy="200025"/>
    <xdr:pic>
      <xdr:nvPicPr>
        <xdr:cNvPr id="2893" name="image9.png">
          <a:extLst>
            <a:ext uri="{FF2B5EF4-FFF2-40B4-BE49-F238E27FC236}">
              <a16:creationId xmlns:a16="http://schemas.microsoft.com/office/drawing/2014/main" id="{00000000-0008-0000-0200-00004D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1896</xdr:row>
      <xdr:rowOff>0</xdr:rowOff>
    </xdr:from>
    <xdr:ext cx="200025" cy="200025"/>
    <xdr:pic>
      <xdr:nvPicPr>
        <xdr:cNvPr id="2894" name="image6.png">
          <a:extLst>
            <a:ext uri="{FF2B5EF4-FFF2-40B4-BE49-F238E27FC236}">
              <a16:creationId xmlns:a16="http://schemas.microsoft.com/office/drawing/2014/main" id="{00000000-0008-0000-0200-00004E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1896</xdr:row>
      <xdr:rowOff>0</xdr:rowOff>
    </xdr:from>
    <xdr:ext cx="200025" cy="200025"/>
    <xdr:pic>
      <xdr:nvPicPr>
        <xdr:cNvPr id="2895" name="image5.png">
          <a:extLst>
            <a:ext uri="{FF2B5EF4-FFF2-40B4-BE49-F238E27FC236}">
              <a16:creationId xmlns:a16="http://schemas.microsoft.com/office/drawing/2014/main" id="{00000000-0008-0000-0200-00004F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1896</xdr:row>
      <xdr:rowOff>0</xdr:rowOff>
    </xdr:from>
    <xdr:ext cx="200025" cy="200025"/>
    <xdr:pic>
      <xdr:nvPicPr>
        <xdr:cNvPr id="2896" name="image4.png">
          <a:extLst>
            <a:ext uri="{FF2B5EF4-FFF2-40B4-BE49-F238E27FC236}">
              <a16:creationId xmlns:a16="http://schemas.microsoft.com/office/drawing/2014/main" id="{00000000-0008-0000-0200-000050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1896</xdr:row>
      <xdr:rowOff>0</xdr:rowOff>
    </xdr:from>
    <xdr:ext cx="200025" cy="200025"/>
    <xdr:pic>
      <xdr:nvPicPr>
        <xdr:cNvPr id="2897" name="image1.png">
          <a:extLst>
            <a:ext uri="{FF2B5EF4-FFF2-40B4-BE49-F238E27FC236}">
              <a16:creationId xmlns:a16="http://schemas.microsoft.com/office/drawing/2014/main" id="{00000000-0008-0000-0200-000051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1897</xdr:row>
      <xdr:rowOff>0</xdr:rowOff>
    </xdr:from>
    <xdr:ext cx="200025" cy="200025"/>
    <xdr:pic>
      <xdr:nvPicPr>
        <xdr:cNvPr id="2898" name="image1.png">
          <a:extLst>
            <a:ext uri="{FF2B5EF4-FFF2-40B4-BE49-F238E27FC236}">
              <a16:creationId xmlns:a16="http://schemas.microsoft.com/office/drawing/2014/main" id="{00000000-0008-0000-0200-000052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1898</xdr:row>
      <xdr:rowOff>0</xdr:rowOff>
    </xdr:from>
    <xdr:ext cx="200025" cy="200025"/>
    <xdr:pic>
      <xdr:nvPicPr>
        <xdr:cNvPr id="2899" name="image1.png">
          <a:extLst>
            <a:ext uri="{FF2B5EF4-FFF2-40B4-BE49-F238E27FC236}">
              <a16:creationId xmlns:a16="http://schemas.microsoft.com/office/drawing/2014/main" id="{00000000-0008-0000-0200-000053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1899</xdr:row>
      <xdr:rowOff>0</xdr:rowOff>
    </xdr:from>
    <xdr:ext cx="200025" cy="200025"/>
    <xdr:pic>
      <xdr:nvPicPr>
        <xdr:cNvPr id="2900" name="image10.png">
          <a:extLst>
            <a:ext uri="{FF2B5EF4-FFF2-40B4-BE49-F238E27FC236}">
              <a16:creationId xmlns:a16="http://schemas.microsoft.com/office/drawing/2014/main" id="{00000000-0008-0000-0200-000054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1899</xdr:row>
      <xdr:rowOff>0</xdr:rowOff>
    </xdr:from>
    <xdr:ext cx="200025" cy="200025"/>
    <xdr:pic>
      <xdr:nvPicPr>
        <xdr:cNvPr id="2901" name="image8.png">
          <a:extLst>
            <a:ext uri="{FF2B5EF4-FFF2-40B4-BE49-F238E27FC236}">
              <a16:creationId xmlns:a16="http://schemas.microsoft.com/office/drawing/2014/main" id="{00000000-0008-0000-0200-000055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1899</xdr:row>
      <xdr:rowOff>0</xdr:rowOff>
    </xdr:from>
    <xdr:ext cx="200025" cy="200025"/>
    <xdr:pic>
      <xdr:nvPicPr>
        <xdr:cNvPr id="2902" name="image2.png">
          <a:extLst>
            <a:ext uri="{FF2B5EF4-FFF2-40B4-BE49-F238E27FC236}">
              <a16:creationId xmlns:a16="http://schemas.microsoft.com/office/drawing/2014/main" id="{00000000-0008-0000-0200-000056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1899</xdr:row>
      <xdr:rowOff>0</xdr:rowOff>
    </xdr:from>
    <xdr:ext cx="200025" cy="200025"/>
    <xdr:pic>
      <xdr:nvPicPr>
        <xdr:cNvPr id="2903" name="image4.png">
          <a:extLst>
            <a:ext uri="{FF2B5EF4-FFF2-40B4-BE49-F238E27FC236}">
              <a16:creationId xmlns:a16="http://schemas.microsoft.com/office/drawing/2014/main" id="{00000000-0008-0000-0200-000057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13</xdr:col>
      <xdr:colOff>0</xdr:colOff>
      <xdr:row>1899</xdr:row>
      <xdr:rowOff>0</xdr:rowOff>
    </xdr:from>
    <xdr:ext cx="200025" cy="200025"/>
    <xdr:pic>
      <xdr:nvPicPr>
        <xdr:cNvPr id="2904" name="image3.png">
          <a:extLst>
            <a:ext uri="{FF2B5EF4-FFF2-40B4-BE49-F238E27FC236}">
              <a16:creationId xmlns:a16="http://schemas.microsoft.com/office/drawing/2014/main" id="{00000000-0008-0000-0200-000058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1902</xdr:row>
      <xdr:rowOff>0</xdr:rowOff>
    </xdr:from>
    <xdr:ext cx="200025" cy="200025"/>
    <xdr:pic>
      <xdr:nvPicPr>
        <xdr:cNvPr id="2905" name="image8.png">
          <a:extLst>
            <a:ext uri="{FF2B5EF4-FFF2-40B4-BE49-F238E27FC236}">
              <a16:creationId xmlns:a16="http://schemas.microsoft.com/office/drawing/2014/main" id="{00000000-0008-0000-0200-000059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1902</xdr:row>
      <xdr:rowOff>0</xdr:rowOff>
    </xdr:from>
    <xdr:ext cx="200025" cy="200025"/>
    <xdr:pic>
      <xdr:nvPicPr>
        <xdr:cNvPr id="2906" name="image2.png">
          <a:extLst>
            <a:ext uri="{FF2B5EF4-FFF2-40B4-BE49-F238E27FC236}">
              <a16:creationId xmlns:a16="http://schemas.microsoft.com/office/drawing/2014/main" id="{00000000-0008-0000-0200-00005A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1902</xdr:row>
      <xdr:rowOff>0</xdr:rowOff>
    </xdr:from>
    <xdr:ext cx="200025" cy="200025"/>
    <xdr:pic>
      <xdr:nvPicPr>
        <xdr:cNvPr id="2907" name="image12.png">
          <a:extLst>
            <a:ext uri="{FF2B5EF4-FFF2-40B4-BE49-F238E27FC236}">
              <a16:creationId xmlns:a16="http://schemas.microsoft.com/office/drawing/2014/main" id="{00000000-0008-0000-0200-00005B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1902</xdr:row>
      <xdr:rowOff>0</xdr:rowOff>
    </xdr:from>
    <xdr:ext cx="200025" cy="200025"/>
    <xdr:pic>
      <xdr:nvPicPr>
        <xdr:cNvPr id="2908" name="image9.png">
          <a:extLst>
            <a:ext uri="{FF2B5EF4-FFF2-40B4-BE49-F238E27FC236}">
              <a16:creationId xmlns:a16="http://schemas.microsoft.com/office/drawing/2014/main" id="{00000000-0008-0000-0200-00005C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1903</xdr:row>
      <xdr:rowOff>0</xdr:rowOff>
    </xdr:from>
    <xdr:ext cx="200025" cy="200025"/>
    <xdr:pic>
      <xdr:nvPicPr>
        <xdr:cNvPr id="2909" name="image9.png">
          <a:extLst>
            <a:ext uri="{FF2B5EF4-FFF2-40B4-BE49-F238E27FC236}">
              <a16:creationId xmlns:a16="http://schemas.microsoft.com/office/drawing/2014/main" id="{00000000-0008-0000-0200-00005D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1904</xdr:row>
      <xdr:rowOff>0</xdr:rowOff>
    </xdr:from>
    <xdr:ext cx="200025" cy="200025"/>
    <xdr:pic>
      <xdr:nvPicPr>
        <xdr:cNvPr id="2910" name="image10.png">
          <a:extLst>
            <a:ext uri="{FF2B5EF4-FFF2-40B4-BE49-F238E27FC236}">
              <a16:creationId xmlns:a16="http://schemas.microsoft.com/office/drawing/2014/main" id="{00000000-0008-0000-0200-00005E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1904</xdr:row>
      <xdr:rowOff>0</xdr:rowOff>
    </xdr:from>
    <xdr:ext cx="200025" cy="200025"/>
    <xdr:pic>
      <xdr:nvPicPr>
        <xdr:cNvPr id="2911" name="image8.png">
          <a:extLst>
            <a:ext uri="{FF2B5EF4-FFF2-40B4-BE49-F238E27FC236}">
              <a16:creationId xmlns:a16="http://schemas.microsoft.com/office/drawing/2014/main" id="{00000000-0008-0000-0200-00005F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1904</xdr:row>
      <xdr:rowOff>0</xdr:rowOff>
    </xdr:from>
    <xdr:ext cx="200025" cy="200025"/>
    <xdr:pic>
      <xdr:nvPicPr>
        <xdr:cNvPr id="2912" name="image2.png">
          <a:extLst>
            <a:ext uri="{FF2B5EF4-FFF2-40B4-BE49-F238E27FC236}">
              <a16:creationId xmlns:a16="http://schemas.microsoft.com/office/drawing/2014/main" id="{00000000-0008-0000-0200-000060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12</xdr:col>
      <xdr:colOff>0</xdr:colOff>
      <xdr:row>1904</xdr:row>
      <xdr:rowOff>0</xdr:rowOff>
    </xdr:from>
    <xdr:ext cx="200025" cy="200025"/>
    <xdr:pic>
      <xdr:nvPicPr>
        <xdr:cNvPr id="2913" name="image1.png">
          <a:extLst>
            <a:ext uri="{FF2B5EF4-FFF2-40B4-BE49-F238E27FC236}">
              <a16:creationId xmlns:a16="http://schemas.microsoft.com/office/drawing/2014/main" id="{00000000-0008-0000-0200-000061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xdr:col>
      <xdr:colOff>0</xdr:colOff>
      <xdr:row>1904</xdr:row>
      <xdr:rowOff>0</xdr:rowOff>
    </xdr:from>
    <xdr:ext cx="200025" cy="200025"/>
    <xdr:pic>
      <xdr:nvPicPr>
        <xdr:cNvPr id="2914" name="image5.png">
          <a:extLst>
            <a:ext uri="{FF2B5EF4-FFF2-40B4-BE49-F238E27FC236}">
              <a16:creationId xmlns:a16="http://schemas.microsoft.com/office/drawing/2014/main" id="{00000000-0008-0000-0200-000062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1904</xdr:row>
      <xdr:rowOff>0</xdr:rowOff>
    </xdr:from>
    <xdr:ext cx="200025" cy="200025"/>
    <xdr:pic>
      <xdr:nvPicPr>
        <xdr:cNvPr id="2915" name="image9.png">
          <a:extLst>
            <a:ext uri="{FF2B5EF4-FFF2-40B4-BE49-F238E27FC236}">
              <a16:creationId xmlns:a16="http://schemas.microsoft.com/office/drawing/2014/main" id="{00000000-0008-0000-0200-000063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1905</xdr:row>
      <xdr:rowOff>0</xdr:rowOff>
    </xdr:from>
    <xdr:ext cx="200025" cy="200025"/>
    <xdr:pic>
      <xdr:nvPicPr>
        <xdr:cNvPr id="2916" name="image9.png">
          <a:extLst>
            <a:ext uri="{FF2B5EF4-FFF2-40B4-BE49-F238E27FC236}">
              <a16:creationId xmlns:a16="http://schemas.microsoft.com/office/drawing/2014/main" id="{00000000-0008-0000-0200-000064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1906</xdr:row>
      <xdr:rowOff>0</xdr:rowOff>
    </xdr:from>
    <xdr:ext cx="200025" cy="200025"/>
    <xdr:pic>
      <xdr:nvPicPr>
        <xdr:cNvPr id="2917" name="image9.png">
          <a:extLst>
            <a:ext uri="{FF2B5EF4-FFF2-40B4-BE49-F238E27FC236}">
              <a16:creationId xmlns:a16="http://schemas.microsoft.com/office/drawing/2014/main" id="{00000000-0008-0000-0200-000065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1907</xdr:row>
      <xdr:rowOff>0</xdr:rowOff>
    </xdr:from>
    <xdr:ext cx="200025" cy="200025"/>
    <xdr:pic>
      <xdr:nvPicPr>
        <xdr:cNvPr id="2918" name="image10.png">
          <a:extLst>
            <a:ext uri="{FF2B5EF4-FFF2-40B4-BE49-F238E27FC236}">
              <a16:creationId xmlns:a16="http://schemas.microsoft.com/office/drawing/2014/main" id="{00000000-0008-0000-0200-000066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1907</xdr:row>
      <xdr:rowOff>0</xdr:rowOff>
    </xdr:from>
    <xdr:ext cx="200025" cy="200025"/>
    <xdr:pic>
      <xdr:nvPicPr>
        <xdr:cNvPr id="2919" name="image8.png">
          <a:extLst>
            <a:ext uri="{FF2B5EF4-FFF2-40B4-BE49-F238E27FC236}">
              <a16:creationId xmlns:a16="http://schemas.microsoft.com/office/drawing/2014/main" id="{00000000-0008-0000-0200-000067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1907</xdr:row>
      <xdr:rowOff>0</xdr:rowOff>
    </xdr:from>
    <xdr:ext cx="200025" cy="200025"/>
    <xdr:pic>
      <xdr:nvPicPr>
        <xdr:cNvPr id="2920" name="image1.png">
          <a:extLst>
            <a:ext uri="{FF2B5EF4-FFF2-40B4-BE49-F238E27FC236}">
              <a16:creationId xmlns:a16="http://schemas.microsoft.com/office/drawing/2014/main" id="{00000000-0008-0000-0200-000068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1907</xdr:row>
      <xdr:rowOff>0</xdr:rowOff>
    </xdr:from>
    <xdr:ext cx="200025" cy="200025"/>
    <xdr:pic>
      <xdr:nvPicPr>
        <xdr:cNvPr id="2921" name="image7.png">
          <a:extLst>
            <a:ext uri="{FF2B5EF4-FFF2-40B4-BE49-F238E27FC236}">
              <a16:creationId xmlns:a16="http://schemas.microsoft.com/office/drawing/2014/main" id="{00000000-0008-0000-0200-000069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0</xdr:colOff>
      <xdr:row>1909</xdr:row>
      <xdr:rowOff>0</xdr:rowOff>
    </xdr:from>
    <xdr:ext cx="200025" cy="200025"/>
    <xdr:pic>
      <xdr:nvPicPr>
        <xdr:cNvPr id="2922" name="image9.png">
          <a:extLst>
            <a:ext uri="{FF2B5EF4-FFF2-40B4-BE49-F238E27FC236}">
              <a16:creationId xmlns:a16="http://schemas.microsoft.com/office/drawing/2014/main" id="{00000000-0008-0000-0200-00006A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1909</xdr:row>
      <xdr:rowOff>0</xdr:rowOff>
    </xdr:from>
    <xdr:ext cx="200025" cy="200025"/>
    <xdr:pic>
      <xdr:nvPicPr>
        <xdr:cNvPr id="2923" name="image6.png">
          <a:extLst>
            <a:ext uri="{FF2B5EF4-FFF2-40B4-BE49-F238E27FC236}">
              <a16:creationId xmlns:a16="http://schemas.microsoft.com/office/drawing/2014/main" id="{00000000-0008-0000-0200-00006B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1909</xdr:row>
      <xdr:rowOff>0</xdr:rowOff>
    </xdr:from>
    <xdr:ext cx="200025" cy="200025"/>
    <xdr:pic>
      <xdr:nvPicPr>
        <xdr:cNvPr id="2924" name="image12.png">
          <a:extLst>
            <a:ext uri="{FF2B5EF4-FFF2-40B4-BE49-F238E27FC236}">
              <a16:creationId xmlns:a16="http://schemas.microsoft.com/office/drawing/2014/main" id="{00000000-0008-0000-0200-00006C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1909</xdr:row>
      <xdr:rowOff>0</xdr:rowOff>
    </xdr:from>
    <xdr:ext cx="200025" cy="200025"/>
    <xdr:pic>
      <xdr:nvPicPr>
        <xdr:cNvPr id="2925" name="image11.png">
          <a:extLst>
            <a:ext uri="{FF2B5EF4-FFF2-40B4-BE49-F238E27FC236}">
              <a16:creationId xmlns:a16="http://schemas.microsoft.com/office/drawing/2014/main" id="{00000000-0008-0000-0200-00006D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1909</xdr:row>
      <xdr:rowOff>0</xdr:rowOff>
    </xdr:from>
    <xdr:ext cx="200025" cy="200025"/>
    <xdr:pic>
      <xdr:nvPicPr>
        <xdr:cNvPr id="2926" name="image1.png">
          <a:extLst>
            <a:ext uri="{FF2B5EF4-FFF2-40B4-BE49-F238E27FC236}">
              <a16:creationId xmlns:a16="http://schemas.microsoft.com/office/drawing/2014/main" id="{00000000-0008-0000-0200-00006E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1910</xdr:row>
      <xdr:rowOff>0</xdr:rowOff>
    </xdr:from>
    <xdr:ext cx="200025" cy="200025"/>
    <xdr:pic>
      <xdr:nvPicPr>
        <xdr:cNvPr id="2927" name="image1.png">
          <a:extLst>
            <a:ext uri="{FF2B5EF4-FFF2-40B4-BE49-F238E27FC236}">
              <a16:creationId xmlns:a16="http://schemas.microsoft.com/office/drawing/2014/main" id="{00000000-0008-0000-0200-00006F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1911</xdr:row>
      <xdr:rowOff>0</xdr:rowOff>
    </xdr:from>
    <xdr:ext cx="200025" cy="200025"/>
    <xdr:pic>
      <xdr:nvPicPr>
        <xdr:cNvPr id="2928" name="image1.png">
          <a:extLst>
            <a:ext uri="{FF2B5EF4-FFF2-40B4-BE49-F238E27FC236}">
              <a16:creationId xmlns:a16="http://schemas.microsoft.com/office/drawing/2014/main" id="{00000000-0008-0000-0200-000070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1912</xdr:row>
      <xdr:rowOff>0</xdr:rowOff>
    </xdr:from>
    <xdr:ext cx="200025" cy="200025"/>
    <xdr:pic>
      <xdr:nvPicPr>
        <xdr:cNvPr id="2929" name="image10.png">
          <a:extLst>
            <a:ext uri="{FF2B5EF4-FFF2-40B4-BE49-F238E27FC236}">
              <a16:creationId xmlns:a16="http://schemas.microsoft.com/office/drawing/2014/main" id="{00000000-0008-0000-0200-000071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1912</xdr:row>
      <xdr:rowOff>0</xdr:rowOff>
    </xdr:from>
    <xdr:ext cx="200025" cy="200025"/>
    <xdr:pic>
      <xdr:nvPicPr>
        <xdr:cNvPr id="2930" name="image8.png">
          <a:extLst>
            <a:ext uri="{FF2B5EF4-FFF2-40B4-BE49-F238E27FC236}">
              <a16:creationId xmlns:a16="http://schemas.microsoft.com/office/drawing/2014/main" id="{00000000-0008-0000-0200-000072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1912</xdr:row>
      <xdr:rowOff>0</xdr:rowOff>
    </xdr:from>
    <xdr:ext cx="200025" cy="200025"/>
    <xdr:pic>
      <xdr:nvPicPr>
        <xdr:cNvPr id="2931" name="image5.png">
          <a:extLst>
            <a:ext uri="{FF2B5EF4-FFF2-40B4-BE49-F238E27FC236}">
              <a16:creationId xmlns:a16="http://schemas.microsoft.com/office/drawing/2014/main" id="{00000000-0008-0000-0200-000073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1912</xdr:row>
      <xdr:rowOff>0</xdr:rowOff>
    </xdr:from>
    <xdr:ext cx="200025" cy="200025"/>
    <xdr:pic>
      <xdr:nvPicPr>
        <xdr:cNvPr id="2932" name="image12.png">
          <a:extLst>
            <a:ext uri="{FF2B5EF4-FFF2-40B4-BE49-F238E27FC236}">
              <a16:creationId xmlns:a16="http://schemas.microsoft.com/office/drawing/2014/main" id="{00000000-0008-0000-0200-000074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1912</xdr:row>
      <xdr:rowOff>0</xdr:rowOff>
    </xdr:from>
    <xdr:ext cx="200025" cy="200025"/>
    <xdr:pic>
      <xdr:nvPicPr>
        <xdr:cNvPr id="2933" name="image7.png">
          <a:extLst>
            <a:ext uri="{FF2B5EF4-FFF2-40B4-BE49-F238E27FC236}">
              <a16:creationId xmlns:a16="http://schemas.microsoft.com/office/drawing/2014/main" id="{00000000-0008-0000-0200-000075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1912</xdr:row>
      <xdr:rowOff>0</xdr:rowOff>
    </xdr:from>
    <xdr:ext cx="200025" cy="200025"/>
    <xdr:pic>
      <xdr:nvPicPr>
        <xdr:cNvPr id="2934" name="image1.png">
          <a:extLst>
            <a:ext uri="{FF2B5EF4-FFF2-40B4-BE49-F238E27FC236}">
              <a16:creationId xmlns:a16="http://schemas.microsoft.com/office/drawing/2014/main" id="{00000000-0008-0000-0200-000076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1913</xdr:row>
      <xdr:rowOff>0</xdr:rowOff>
    </xdr:from>
    <xdr:ext cx="200025" cy="200025"/>
    <xdr:pic>
      <xdr:nvPicPr>
        <xdr:cNvPr id="2935" name="image1.png">
          <a:extLst>
            <a:ext uri="{FF2B5EF4-FFF2-40B4-BE49-F238E27FC236}">
              <a16:creationId xmlns:a16="http://schemas.microsoft.com/office/drawing/2014/main" id="{00000000-0008-0000-0200-000077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1914</xdr:row>
      <xdr:rowOff>0</xdr:rowOff>
    </xdr:from>
    <xdr:ext cx="200025" cy="200025"/>
    <xdr:pic>
      <xdr:nvPicPr>
        <xdr:cNvPr id="2936" name="image1.png">
          <a:extLst>
            <a:ext uri="{FF2B5EF4-FFF2-40B4-BE49-F238E27FC236}">
              <a16:creationId xmlns:a16="http://schemas.microsoft.com/office/drawing/2014/main" id="{00000000-0008-0000-0200-000078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1916</xdr:row>
      <xdr:rowOff>0</xdr:rowOff>
    </xdr:from>
    <xdr:ext cx="200025" cy="200025"/>
    <xdr:pic>
      <xdr:nvPicPr>
        <xdr:cNvPr id="2937" name="image10.png">
          <a:extLst>
            <a:ext uri="{FF2B5EF4-FFF2-40B4-BE49-F238E27FC236}">
              <a16:creationId xmlns:a16="http://schemas.microsoft.com/office/drawing/2014/main" id="{00000000-0008-0000-0200-000079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1916</xdr:row>
      <xdr:rowOff>0</xdr:rowOff>
    </xdr:from>
    <xdr:ext cx="200025" cy="200025"/>
    <xdr:pic>
      <xdr:nvPicPr>
        <xdr:cNvPr id="2938" name="image9.png">
          <a:extLst>
            <a:ext uri="{FF2B5EF4-FFF2-40B4-BE49-F238E27FC236}">
              <a16:creationId xmlns:a16="http://schemas.microsoft.com/office/drawing/2014/main" id="{00000000-0008-0000-0200-00007A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1916</xdr:row>
      <xdr:rowOff>0</xdr:rowOff>
    </xdr:from>
    <xdr:ext cx="200025" cy="200025"/>
    <xdr:pic>
      <xdr:nvPicPr>
        <xdr:cNvPr id="2939" name="image6.png">
          <a:extLst>
            <a:ext uri="{FF2B5EF4-FFF2-40B4-BE49-F238E27FC236}">
              <a16:creationId xmlns:a16="http://schemas.microsoft.com/office/drawing/2014/main" id="{00000000-0008-0000-0200-00007B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1916</xdr:row>
      <xdr:rowOff>0</xdr:rowOff>
    </xdr:from>
    <xdr:ext cx="200025" cy="200025"/>
    <xdr:pic>
      <xdr:nvPicPr>
        <xdr:cNvPr id="2940" name="image4.png">
          <a:extLst>
            <a:ext uri="{FF2B5EF4-FFF2-40B4-BE49-F238E27FC236}">
              <a16:creationId xmlns:a16="http://schemas.microsoft.com/office/drawing/2014/main" id="{00000000-0008-0000-0200-00007C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13</xdr:col>
      <xdr:colOff>0</xdr:colOff>
      <xdr:row>1916</xdr:row>
      <xdr:rowOff>0</xdr:rowOff>
    </xdr:from>
    <xdr:ext cx="200025" cy="200025"/>
    <xdr:pic>
      <xdr:nvPicPr>
        <xdr:cNvPr id="2941" name="image11.png">
          <a:extLst>
            <a:ext uri="{FF2B5EF4-FFF2-40B4-BE49-F238E27FC236}">
              <a16:creationId xmlns:a16="http://schemas.microsoft.com/office/drawing/2014/main" id="{00000000-0008-0000-0200-00007D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1917</xdr:row>
      <xdr:rowOff>0</xdr:rowOff>
    </xdr:from>
    <xdr:ext cx="200025" cy="200025"/>
    <xdr:pic>
      <xdr:nvPicPr>
        <xdr:cNvPr id="2942" name="image8.png">
          <a:extLst>
            <a:ext uri="{FF2B5EF4-FFF2-40B4-BE49-F238E27FC236}">
              <a16:creationId xmlns:a16="http://schemas.microsoft.com/office/drawing/2014/main" id="{00000000-0008-0000-0200-00007E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1918</xdr:row>
      <xdr:rowOff>0</xdr:rowOff>
    </xdr:from>
    <xdr:ext cx="200025" cy="200025"/>
    <xdr:pic>
      <xdr:nvPicPr>
        <xdr:cNvPr id="2943" name="image8.png">
          <a:extLst>
            <a:ext uri="{FF2B5EF4-FFF2-40B4-BE49-F238E27FC236}">
              <a16:creationId xmlns:a16="http://schemas.microsoft.com/office/drawing/2014/main" id="{00000000-0008-0000-0200-00007F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1919</xdr:row>
      <xdr:rowOff>0</xdr:rowOff>
    </xdr:from>
    <xdr:ext cx="200025" cy="200025"/>
    <xdr:pic>
      <xdr:nvPicPr>
        <xdr:cNvPr id="2944" name="image8.png">
          <a:extLst>
            <a:ext uri="{FF2B5EF4-FFF2-40B4-BE49-F238E27FC236}">
              <a16:creationId xmlns:a16="http://schemas.microsoft.com/office/drawing/2014/main" id="{00000000-0008-0000-0200-000080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1919</xdr:row>
      <xdr:rowOff>0</xdr:rowOff>
    </xdr:from>
    <xdr:ext cx="200025" cy="200025"/>
    <xdr:pic>
      <xdr:nvPicPr>
        <xdr:cNvPr id="2945" name="image1.png">
          <a:extLst>
            <a:ext uri="{FF2B5EF4-FFF2-40B4-BE49-F238E27FC236}">
              <a16:creationId xmlns:a16="http://schemas.microsoft.com/office/drawing/2014/main" id="{00000000-0008-0000-0200-000081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1919</xdr:row>
      <xdr:rowOff>0</xdr:rowOff>
    </xdr:from>
    <xdr:ext cx="200025" cy="200025"/>
    <xdr:pic>
      <xdr:nvPicPr>
        <xdr:cNvPr id="2946" name="image5.png">
          <a:extLst>
            <a:ext uri="{FF2B5EF4-FFF2-40B4-BE49-F238E27FC236}">
              <a16:creationId xmlns:a16="http://schemas.microsoft.com/office/drawing/2014/main" id="{00000000-0008-0000-0200-000082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1919</xdr:row>
      <xdr:rowOff>0</xdr:rowOff>
    </xdr:from>
    <xdr:ext cx="200025" cy="200025"/>
    <xdr:pic>
      <xdr:nvPicPr>
        <xdr:cNvPr id="2947" name="image11.png">
          <a:extLst>
            <a:ext uri="{FF2B5EF4-FFF2-40B4-BE49-F238E27FC236}">
              <a16:creationId xmlns:a16="http://schemas.microsoft.com/office/drawing/2014/main" id="{00000000-0008-0000-0200-000083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1919</xdr:row>
      <xdr:rowOff>0</xdr:rowOff>
    </xdr:from>
    <xdr:ext cx="200025" cy="200025"/>
    <xdr:pic>
      <xdr:nvPicPr>
        <xdr:cNvPr id="2948" name="image4.png">
          <a:extLst>
            <a:ext uri="{FF2B5EF4-FFF2-40B4-BE49-F238E27FC236}">
              <a16:creationId xmlns:a16="http://schemas.microsoft.com/office/drawing/2014/main" id="{00000000-0008-0000-0200-000084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1920</xdr:row>
      <xdr:rowOff>0</xdr:rowOff>
    </xdr:from>
    <xdr:ext cx="200025" cy="200025"/>
    <xdr:pic>
      <xdr:nvPicPr>
        <xdr:cNvPr id="2949" name="image9.png">
          <a:extLst>
            <a:ext uri="{FF2B5EF4-FFF2-40B4-BE49-F238E27FC236}">
              <a16:creationId xmlns:a16="http://schemas.microsoft.com/office/drawing/2014/main" id="{00000000-0008-0000-0200-000085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1925</xdr:row>
      <xdr:rowOff>0</xdr:rowOff>
    </xdr:from>
    <xdr:ext cx="200025" cy="200025"/>
    <xdr:pic>
      <xdr:nvPicPr>
        <xdr:cNvPr id="2950" name="image9.png">
          <a:extLst>
            <a:ext uri="{FF2B5EF4-FFF2-40B4-BE49-F238E27FC236}">
              <a16:creationId xmlns:a16="http://schemas.microsoft.com/office/drawing/2014/main" id="{00000000-0008-0000-0200-000086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1925</xdr:row>
      <xdr:rowOff>0</xdr:rowOff>
    </xdr:from>
    <xdr:ext cx="200025" cy="200025"/>
    <xdr:pic>
      <xdr:nvPicPr>
        <xdr:cNvPr id="2951" name="image2.png">
          <a:extLst>
            <a:ext uri="{FF2B5EF4-FFF2-40B4-BE49-F238E27FC236}">
              <a16:creationId xmlns:a16="http://schemas.microsoft.com/office/drawing/2014/main" id="{00000000-0008-0000-0200-000087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1925</xdr:row>
      <xdr:rowOff>0</xdr:rowOff>
    </xdr:from>
    <xdr:ext cx="200025" cy="200025"/>
    <xdr:pic>
      <xdr:nvPicPr>
        <xdr:cNvPr id="2952" name="image6.png">
          <a:extLst>
            <a:ext uri="{FF2B5EF4-FFF2-40B4-BE49-F238E27FC236}">
              <a16:creationId xmlns:a16="http://schemas.microsoft.com/office/drawing/2014/main" id="{00000000-0008-0000-0200-000088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1925</xdr:row>
      <xdr:rowOff>0</xdr:rowOff>
    </xdr:from>
    <xdr:ext cx="200025" cy="200025"/>
    <xdr:pic>
      <xdr:nvPicPr>
        <xdr:cNvPr id="2953" name="image5.png">
          <a:extLst>
            <a:ext uri="{FF2B5EF4-FFF2-40B4-BE49-F238E27FC236}">
              <a16:creationId xmlns:a16="http://schemas.microsoft.com/office/drawing/2014/main" id="{00000000-0008-0000-0200-000089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1925</xdr:row>
      <xdr:rowOff>0</xdr:rowOff>
    </xdr:from>
    <xdr:ext cx="200025" cy="200025"/>
    <xdr:pic>
      <xdr:nvPicPr>
        <xdr:cNvPr id="2954" name="image11.png">
          <a:extLst>
            <a:ext uri="{FF2B5EF4-FFF2-40B4-BE49-F238E27FC236}">
              <a16:creationId xmlns:a16="http://schemas.microsoft.com/office/drawing/2014/main" id="{00000000-0008-0000-0200-00008A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1930</xdr:row>
      <xdr:rowOff>0</xdr:rowOff>
    </xdr:from>
    <xdr:ext cx="200025" cy="200025"/>
    <xdr:pic>
      <xdr:nvPicPr>
        <xdr:cNvPr id="2955" name="image10.png">
          <a:extLst>
            <a:ext uri="{FF2B5EF4-FFF2-40B4-BE49-F238E27FC236}">
              <a16:creationId xmlns:a16="http://schemas.microsoft.com/office/drawing/2014/main" id="{00000000-0008-0000-0200-00008B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1930</xdr:row>
      <xdr:rowOff>0</xdr:rowOff>
    </xdr:from>
    <xdr:ext cx="200025" cy="200025"/>
    <xdr:pic>
      <xdr:nvPicPr>
        <xdr:cNvPr id="2956" name="image3.png">
          <a:extLst>
            <a:ext uri="{FF2B5EF4-FFF2-40B4-BE49-F238E27FC236}">
              <a16:creationId xmlns:a16="http://schemas.microsoft.com/office/drawing/2014/main" id="{00000000-0008-0000-0200-00008C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1930</xdr:row>
      <xdr:rowOff>0</xdr:rowOff>
    </xdr:from>
    <xdr:ext cx="200025" cy="200025"/>
    <xdr:pic>
      <xdr:nvPicPr>
        <xdr:cNvPr id="2957" name="image11.png">
          <a:extLst>
            <a:ext uri="{FF2B5EF4-FFF2-40B4-BE49-F238E27FC236}">
              <a16:creationId xmlns:a16="http://schemas.microsoft.com/office/drawing/2014/main" id="{00000000-0008-0000-0200-00008D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1931</xdr:row>
      <xdr:rowOff>0</xdr:rowOff>
    </xdr:from>
    <xdr:ext cx="200025" cy="200025"/>
    <xdr:pic>
      <xdr:nvPicPr>
        <xdr:cNvPr id="2958" name="image8.png">
          <a:extLst>
            <a:ext uri="{FF2B5EF4-FFF2-40B4-BE49-F238E27FC236}">
              <a16:creationId xmlns:a16="http://schemas.microsoft.com/office/drawing/2014/main" id="{00000000-0008-0000-0200-00008E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1933</xdr:row>
      <xdr:rowOff>0</xdr:rowOff>
    </xdr:from>
    <xdr:ext cx="200025" cy="200025"/>
    <xdr:pic>
      <xdr:nvPicPr>
        <xdr:cNvPr id="2959" name="image10.png">
          <a:extLst>
            <a:ext uri="{FF2B5EF4-FFF2-40B4-BE49-F238E27FC236}">
              <a16:creationId xmlns:a16="http://schemas.microsoft.com/office/drawing/2014/main" id="{00000000-0008-0000-0200-00008F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1933</xdr:row>
      <xdr:rowOff>0</xdr:rowOff>
    </xdr:from>
    <xdr:ext cx="200025" cy="200025"/>
    <xdr:pic>
      <xdr:nvPicPr>
        <xdr:cNvPr id="2960" name="image9.png">
          <a:extLst>
            <a:ext uri="{FF2B5EF4-FFF2-40B4-BE49-F238E27FC236}">
              <a16:creationId xmlns:a16="http://schemas.microsoft.com/office/drawing/2014/main" id="{00000000-0008-0000-0200-000090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1933</xdr:row>
      <xdr:rowOff>0</xdr:rowOff>
    </xdr:from>
    <xdr:ext cx="200025" cy="200025"/>
    <xdr:pic>
      <xdr:nvPicPr>
        <xdr:cNvPr id="2961" name="image5.png">
          <a:extLst>
            <a:ext uri="{FF2B5EF4-FFF2-40B4-BE49-F238E27FC236}">
              <a16:creationId xmlns:a16="http://schemas.microsoft.com/office/drawing/2014/main" id="{00000000-0008-0000-0200-000091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1933</xdr:row>
      <xdr:rowOff>0</xdr:rowOff>
    </xdr:from>
    <xdr:ext cx="200025" cy="200025"/>
    <xdr:pic>
      <xdr:nvPicPr>
        <xdr:cNvPr id="2962" name="image4.png">
          <a:extLst>
            <a:ext uri="{FF2B5EF4-FFF2-40B4-BE49-F238E27FC236}">
              <a16:creationId xmlns:a16="http://schemas.microsoft.com/office/drawing/2014/main" id="{00000000-0008-0000-0200-000092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1934</xdr:row>
      <xdr:rowOff>0</xdr:rowOff>
    </xdr:from>
    <xdr:ext cx="200025" cy="200025"/>
    <xdr:pic>
      <xdr:nvPicPr>
        <xdr:cNvPr id="2963" name="image10.png">
          <a:extLst>
            <a:ext uri="{FF2B5EF4-FFF2-40B4-BE49-F238E27FC236}">
              <a16:creationId xmlns:a16="http://schemas.microsoft.com/office/drawing/2014/main" id="{00000000-0008-0000-0200-000093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1934</xdr:row>
      <xdr:rowOff>0</xdr:rowOff>
    </xdr:from>
    <xdr:ext cx="200025" cy="200025"/>
    <xdr:pic>
      <xdr:nvPicPr>
        <xdr:cNvPr id="2964" name="image9.png">
          <a:extLst>
            <a:ext uri="{FF2B5EF4-FFF2-40B4-BE49-F238E27FC236}">
              <a16:creationId xmlns:a16="http://schemas.microsoft.com/office/drawing/2014/main" id="{00000000-0008-0000-0200-000094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1934</xdr:row>
      <xdr:rowOff>0</xdr:rowOff>
    </xdr:from>
    <xdr:ext cx="200025" cy="200025"/>
    <xdr:pic>
      <xdr:nvPicPr>
        <xdr:cNvPr id="2965" name="image5.png">
          <a:extLst>
            <a:ext uri="{FF2B5EF4-FFF2-40B4-BE49-F238E27FC236}">
              <a16:creationId xmlns:a16="http://schemas.microsoft.com/office/drawing/2014/main" id="{00000000-0008-0000-0200-000095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1934</xdr:row>
      <xdr:rowOff>0</xdr:rowOff>
    </xdr:from>
    <xdr:ext cx="200025" cy="200025"/>
    <xdr:pic>
      <xdr:nvPicPr>
        <xdr:cNvPr id="2966" name="image8.png">
          <a:extLst>
            <a:ext uri="{FF2B5EF4-FFF2-40B4-BE49-F238E27FC236}">
              <a16:creationId xmlns:a16="http://schemas.microsoft.com/office/drawing/2014/main" id="{00000000-0008-0000-0200-000096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1935</xdr:row>
      <xdr:rowOff>0</xdr:rowOff>
    </xdr:from>
    <xdr:ext cx="200025" cy="200025"/>
    <xdr:pic>
      <xdr:nvPicPr>
        <xdr:cNvPr id="2967" name="image8.png">
          <a:extLst>
            <a:ext uri="{FF2B5EF4-FFF2-40B4-BE49-F238E27FC236}">
              <a16:creationId xmlns:a16="http://schemas.microsoft.com/office/drawing/2014/main" id="{00000000-0008-0000-0200-000097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1936</xdr:row>
      <xdr:rowOff>0</xdr:rowOff>
    </xdr:from>
    <xdr:ext cx="200025" cy="200025"/>
    <xdr:pic>
      <xdr:nvPicPr>
        <xdr:cNvPr id="2968" name="image8.png">
          <a:extLst>
            <a:ext uri="{FF2B5EF4-FFF2-40B4-BE49-F238E27FC236}">
              <a16:creationId xmlns:a16="http://schemas.microsoft.com/office/drawing/2014/main" id="{00000000-0008-0000-0200-000098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1937</xdr:row>
      <xdr:rowOff>0</xdr:rowOff>
    </xdr:from>
    <xdr:ext cx="200025" cy="200025"/>
    <xdr:pic>
      <xdr:nvPicPr>
        <xdr:cNvPr id="2969" name="image10.png">
          <a:extLst>
            <a:ext uri="{FF2B5EF4-FFF2-40B4-BE49-F238E27FC236}">
              <a16:creationId xmlns:a16="http://schemas.microsoft.com/office/drawing/2014/main" id="{00000000-0008-0000-0200-000099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1937</xdr:row>
      <xdr:rowOff>0</xdr:rowOff>
    </xdr:from>
    <xdr:ext cx="200025" cy="200025"/>
    <xdr:pic>
      <xdr:nvPicPr>
        <xdr:cNvPr id="2970" name="image8.png">
          <a:extLst>
            <a:ext uri="{FF2B5EF4-FFF2-40B4-BE49-F238E27FC236}">
              <a16:creationId xmlns:a16="http://schemas.microsoft.com/office/drawing/2014/main" id="{00000000-0008-0000-0200-00009A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1937</xdr:row>
      <xdr:rowOff>0</xdr:rowOff>
    </xdr:from>
    <xdr:ext cx="200025" cy="200025"/>
    <xdr:pic>
      <xdr:nvPicPr>
        <xdr:cNvPr id="2971" name="image9.png">
          <a:extLst>
            <a:ext uri="{FF2B5EF4-FFF2-40B4-BE49-F238E27FC236}">
              <a16:creationId xmlns:a16="http://schemas.microsoft.com/office/drawing/2014/main" id="{00000000-0008-0000-0200-00009B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1937</xdr:row>
      <xdr:rowOff>0</xdr:rowOff>
    </xdr:from>
    <xdr:ext cx="200025" cy="200025"/>
    <xdr:pic>
      <xdr:nvPicPr>
        <xdr:cNvPr id="2972" name="image6.png">
          <a:extLst>
            <a:ext uri="{FF2B5EF4-FFF2-40B4-BE49-F238E27FC236}">
              <a16:creationId xmlns:a16="http://schemas.microsoft.com/office/drawing/2014/main" id="{00000000-0008-0000-0200-00009C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13</xdr:col>
      <xdr:colOff>0</xdr:colOff>
      <xdr:row>1937</xdr:row>
      <xdr:rowOff>0</xdr:rowOff>
    </xdr:from>
    <xdr:ext cx="200025" cy="200025"/>
    <xdr:pic>
      <xdr:nvPicPr>
        <xdr:cNvPr id="2973" name="image11.png">
          <a:extLst>
            <a:ext uri="{FF2B5EF4-FFF2-40B4-BE49-F238E27FC236}">
              <a16:creationId xmlns:a16="http://schemas.microsoft.com/office/drawing/2014/main" id="{00000000-0008-0000-0200-00009D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1937</xdr:row>
      <xdr:rowOff>0</xdr:rowOff>
    </xdr:from>
    <xdr:ext cx="200025" cy="200025"/>
    <xdr:pic>
      <xdr:nvPicPr>
        <xdr:cNvPr id="2974" name="image9.png">
          <a:extLst>
            <a:ext uri="{FF2B5EF4-FFF2-40B4-BE49-F238E27FC236}">
              <a16:creationId xmlns:a16="http://schemas.microsoft.com/office/drawing/2014/main" id="{00000000-0008-0000-0200-00009E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1938</xdr:row>
      <xdr:rowOff>0</xdr:rowOff>
    </xdr:from>
    <xdr:ext cx="200025" cy="200025"/>
    <xdr:pic>
      <xdr:nvPicPr>
        <xdr:cNvPr id="2975" name="image9.png">
          <a:extLst>
            <a:ext uri="{FF2B5EF4-FFF2-40B4-BE49-F238E27FC236}">
              <a16:creationId xmlns:a16="http://schemas.microsoft.com/office/drawing/2014/main" id="{00000000-0008-0000-0200-00009F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1939</xdr:row>
      <xdr:rowOff>0</xdr:rowOff>
    </xdr:from>
    <xdr:ext cx="200025" cy="200025"/>
    <xdr:pic>
      <xdr:nvPicPr>
        <xdr:cNvPr id="2976" name="image9.png">
          <a:extLst>
            <a:ext uri="{FF2B5EF4-FFF2-40B4-BE49-F238E27FC236}">
              <a16:creationId xmlns:a16="http://schemas.microsoft.com/office/drawing/2014/main" id="{00000000-0008-0000-0200-0000A0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1940</xdr:row>
      <xdr:rowOff>0</xdr:rowOff>
    </xdr:from>
    <xdr:ext cx="200025" cy="200025"/>
    <xdr:pic>
      <xdr:nvPicPr>
        <xdr:cNvPr id="2977" name="image10.png">
          <a:extLst>
            <a:ext uri="{FF2B5EF4-FFF2-40B4-BE49-F238E27FC236}">
              <a16:creationId xmlns:a16="http://schemas.microsoft.com/office/drawing/2014/main" id="{00000000-0008-0000-0200-0000A1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1940</xdr:row>
      <xdr:rowOff>0</xdr:rowOff>
    </xdr:from>
    <xdr:ext cx="200025" cy="200025"/>
    <xdr:pic>
      <xdr:nvPicPr>
        <xdr:cNvPr id="2978" name="image9.png">
          <a:extLst>
            <a:ext uri="{FF2B5EF4-FFF2-40B4-BE49-F238E27FC236}">
              <a16:creationId xmlns:a16="http://schemas.microsoft.com/office/drawing/2014/main" id="{00000000-0008-0000-0200-0000A2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1940</xdr:row>
      <xdr:rowOff>0</xdr:rowOff>
    </xdr:from>
    <xdr:ext cx="200025" cy="200025"/>
    <xdr:pic>
      <xdr:nvPicPr>
        <xdr:cNvPr id="2979" name="image12.png">
          <a:extLst>
            <a:ext uri="{FF2B5EF4-FFF2-40B4-BE49-F238E27FC236}">
              <a16:creationId xmlns:a16="http://schemas.microsoft.com/office/drawing/2014/main" id="{00000000-0008-0000-0200-0000A3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1941</xdr:row>
      <xdr:rowOff>0</xdr:rowOff>
    </xdr:from>
    <xdr:ext cx="200025" cy="200025"/>
    <xdr:pic>
      <xdr:nvPicPr>
        <xdr:cNvPr id="2980" name="image10.png">
          <a:extLst>
            <a:ext uri="{FF2B5EF4-FFF2-40B4-BE49-F238E27FC236}">
              <a16:creationId xmlns:a16="http://schemas.microsoft.com/office/drawing/2014/main" id="{00000000-0008-0000-0200-0000A4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1942</xdr:row>
      <xdr:rowOff>0</xdr:rowOff>
    </xdr:from>
    <xdr:ext cx="200025" cy="200025"/>
    <xdr:pic>
      <xdr:nvPicPr>
        <xdr:cNvPr id="2981" name="image10.png">
          <a:extLst>
            <a:ext uri="{FF2B5EF4-FFF2-40B4-BE49-F238E27FC236}">
              <a16:creationId xmlns:a16="http://schemas.microsoft.com/office/drawing/2014/main" id="{00000000-0008-0000-0200-0000A5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1942</xdr:row>
      <xdr:rowOff>0</xdr:rowOff>
    </xdr:from>
    <xdr:ext cx="200025" cy="200025"/>
    <xdr:pic>
      <xdr:nvPicPr>
        <xdr:cNvPr id="2982" name="image9.png">
          <a:extLst>
            <a:ext uri="{FF2B5EF4-FFF2-40B4-BE49-F238E27FC236}">
              <a16:creationId xmlns:a16="http://schemas.microsoft.com/office/drawing/2014/main" id="{00000000-0008-0000-0200-0000A6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1942</xdr:row>
      <xdr:rowOff>0</xdr:rowOff>
    </xdr:from>
    <xdr:ext cx="200025" cy="200025"/>
    <xdr:pic>
      <xdr:nvPicPr>
        <xdr:cNvPr id="2983" name="image6.png">
          <a:extLst>
            <a:ext uri="{FF2B5EF4-FFF2-40B4-BE49-F238E27FC236}">
              <a16:creationId xmlns:a16="http://schemas.microsoft.com/office/drawing/2014/main" id="{00000000-0008-0000-0200-0000A7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1942</xdr:row>
      <xdr:rowOff>0</xdr:rowOff>
    </xdr:from>
    <xdr:ext cx="200025" cy="200025"/>
    <xdr:pic>
      <xdr:nvPicPr>
        <xdr:cNvPr id="2984" name="image12.png">
          <a:extLst>
            <a:ext uri="{FF2B5EF4-FFF2-40B4-BE49-F238E27FC236}">
              <a16:creationId xmlns:a16="http://schemas.microsoft.com/office/drawing/2014/main" id="{00000000-0008-0000-0200-0000A8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1943</xdr:row>
      <xdr:rowOff>0</xdr:rowOff>
    </xdr:from>
    <xdr:ext cx="200025" cy="200025"/>
    <xdr:pic>
      <xdr:nvPicPr>
        <xdr:cNvPr id="2985" name="image9.png">
          <a:extLst>
            <a:ext uri="{FF2B5EF4-FFF2-40B4-BE49-F238E27FC236}">
              <a16:creationId xmlns:a16="http://schemas.microsoft.com/office/drawing/2014/main" id="{00000000-0008-0000-0200-0000A9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1945</xdr:row>
      <xdr:rowOff>0</xdr:rowOff>
    </xdr:from>
    <xdr:ext cx="200025" cy="200025"/>
    <xdr:pic>
      <xdr:nvPicPr>
        <xdr:cNvPr id="2986" name="image2.png">
          <a:extLst>
            <a:ext uri="{FF2B5EF4-FFF2-40B4-BE49-F238E27FC236}">
              <a16:creationId xmlns:a16="http://schemas.microsoft.com/office/drawing/2014/main" id="{00000000-0008-0000-0200-0000AA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10</xdr:col>
      <xdr:colOff>0</xdr:colOff>
      <xdr:row>1945</xdr:row>
      <xdr:rowOff>0</xdr:rowOff>
    </xdr:from>
    <xdr:ext cx="200025" cy="200025"/>
    <xdr:pic>
      <xdr:nvPicPr>
        <xdr:cNvPr id="2987" name="image4.png">
          <a:extLst>
            <a:ext uri="{FF2B5EF4-FFF2-40B4-BE49-F238E27FC236}">
              <a16:creationId xmlns:a16="http://schemas.microsoft.com/office/drawing/2014/main" id="{00000000-0008-0000-0200-0000AB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1946</xdr:row>
      <xdr:rowOff>0</xdr:rowOff>
    </xdr:from>
    <xdr:ext cx="200025" cy="200025"/>
    <xdr:pic>
      <xdr:nvPicPr>
        <xdr:cNvPr id="2988" name="image9.png">
          <a:extLst>
            <a:ext uri="{FF2B5EF4-FFF2-40B4-BE49-F238E27FC236}">
              <a16:creationId xmlns:a16="http://schemas.microsoft.com/office/drawing/2014/main" id="{00000000-0008-0000-0200-0000AC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1947</xdr:row>
      <xdr:rowOff>0</xdr:rowOff>
    </xdr:from>
    <xdr:ext cx="200025" cy="200025"/>
    <xdr:pic>
      <xdr:nvPicPr>
        <xdr:cNvPr id="2989" name="image5.png">
          <a:extLst>
            <a:ext uri="{FF2B5EF4-FFF2-40B4-BE49-F238E27FC236}">
              <a16:creationId xmlns:a16="http://schemas.microsoft.com/office/drawing/2014/main" id="{00000000-0008-0000-0200-0000AD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1947</xdr:row>
      <xdr:rowOff>0</xdr:rowOff>
    </xdr:from>
    <xdr:ext cx="200025" cy="200025"/>
    <xdr:pic>
      <xdr:nvPicPr>
        <xdr:cNvPr id="2990" name="image12.png">
          <a:extLst>
            <a:ext uri="{FF2B5EF4-FFF2-40B4-BE49-F238E27FC236}">
              <a16:creationId xmlns:a16="http://schemas.microsoft.com/office/drawing/2014/main" id="{00000000-0008-0000-0200-0000AE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1947</xdr:row>
      <xdr:rowOff>0</xdr:rowOff>
    </xdr:from>
    <xdr:ext cx="200025" cy="200025"/>
    <xdr:pic>
      <xdr:nvPicPr>
        <xdr:cNvPr id="2991" name="image3.png">
          <a:extLst>
            <a:ext uri="{FF2B5EF4-FFF2-40B4-BE49-F238E27FC236}">
              <a16:creationId xmlns:a16="http://schemas.microsoft.com/office/drawing/2014/main" id="{00000000-0008-0000-0200-0000AF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1947</xdr:row>
      <xdr:rowOff>0</xdr:rowOff>
    </xdr:from>
    <xdr:ext cx="200025" cy="200025"/>
    <xdr:pic>
      <xdr:nvPicPr>
        <xdr:cNvPr id="2992" name="image11.png">
          <a:extLst>
            <a:ext uri="{FF2B5EF4-FFF2-40B4-BE49-F238E27FC236}">
              <a16:creationId xmlns:a16="http://schemas.microsoft.com/office/drawing/2014/main" id="{00000000-0008-0000-0200-0000B0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1947</xdr:row>
      <xdr:rowOff>0</xdr:rowOff>
    </xdr:from>
    <xdr:ext cx="200025" cy="200025"/>
    <xdr:pic>
      <xdr:nvPicPr>
        <xdr:cNvPr id="2993" name="image2.png">
          <a:extLst>
            <a:ext uri="{FF2B5EF4-FFF2-40B4-BE49-F238E27FC236}">
              <a16:creationId xmlns:a16="http://schemas.microsoft.com/office/drawing/2014/main" id="{00000000-0008-0000-0200-0000B1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1948</xdr:row>
      <xdr:rowOff>0</xdr:rowOff>
    </xdr:from>
    <xdr:ext cx="200025" cy="200025"/>
    <xdr:pic>
      <xdr:nvPicPr>
        <xdr:cNvPr id="2994" name="image2.png">
          <a:extLst>
            <a:ext uri="{FF2B5EF4-FFF2-40B4-BE49-F238E27FC236}">
              <a16:creationId xmlns:a16="http://schemas.microsoft.com/office/drawing/2014/main" id="{00000000-0008-0000-0200-0000B2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1949</xdr:row>
      <xdr:rowOff>0</xdr:rowOff>
    </xdr:from>
    <xdr:ext cx="200025" cy="200025"/>
    <xdr:pic>
      <xdr:nvPicPr>
        <xdr:cNvPr id="2995" name="image2.png">
          <a:extLst>
            <a:ext uri="{FF2B5EF4-FFF2-40B4-BE49-F238E27FC236}">
              <a16:creationId xmlns:a16="http://schemas.microsoft.com/office/drawing/2014/main" id="{00000000-0008-0000-0200-0000B3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1950</xdr:row>
      <xdr:rowOff>0</xdr:rowOff>
    </xdr:from>
    <xdr:ext cx="200025" cy="200025"/>
    <xdr:pic>
      <xdr:nvPicPr>
        <xdr:cNvPr id="2996" name="image10.png">
          <a:extLst>
            <a:ext uri="{FF2B5EF4-FFF2-40B4-BE49-F238E27FC236}">
              <a16:creationId xmlns:a16="http://schemas.microsoft.com/office/drawing/2014/main" id="{00000000-0008-0000-0200-0000B4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1950</xdr:row>
      <xdr:rowOff>0</xdr:rowOff>
    </xdr:from>
    <xdr:ext cx="200025" cy="200025"/>
    <xdr:pic>
      <xdr:nvPicPr>
        <xdr:cNvPr id="2997" name="image9.png">
          <a:extLst>
            <a:ext uri="{FF2B5EF4-FFF2-40B4-BE49-F238E27FC236}">
              <a16:creationId xmlns:a16="http://schemas.microsoft.com/office/drawing/2014/main" id="{00000000-0008-0000-0200-0000B5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1950</xdr:row>
      <xdr:rowOff>0</xdr:rowOff>
    </xdr:from>
    <xdr:ext cx="200025" cy="200025"/>
    <xdr:pic>
      <xdr:nvPicPr>
        <xdr:cNvPr id="2998" name="image4.png">
          <a:extLst>
            <a:ext uri="{FF2B5EF4-FFF2-40B4-BE49-F238E27FC236}">
              <a16:creationId xmlns:a16="http://schemas.microsoft.com/office/drawing/2014/main" id="{00000000-0008-0000-0200-0000B6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1951</xdr:row>
      <xdr:rowOff>0</xdr:rowOff>
    </xdr:from>
    <xdr:ext cx="200025" cy="200025"/>
    <xdr:pic>
      <xdr:nvPicPr>
        <xdr:cNvPr id="2999" name="image8.png">
          <a:extLst>
            <a:ext uri="{FF2B5EF4-FFF2-40B4-BE49-F238E27FC236}">
              <a16:creationId xmlns:a16="http://schemas.microsoft.com/office/drawing/2014/main" id="{00000000-0008-0000-0200-0000B7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1952</xdr:row>
      <xdr:rowOff>0</xdr:rowOff>
    </xdr:from>
    <xdr:ext cx="200025" cy="200025"/>
    <xdr:pic>
      <xdr:nvPicPr>
        <xdr:cNvPr id="3000" name="image8.png">
          <a:extLst>
            <a:ext uri="{FF2B5EF4-FFF2-40B4-BE49-F238E27FC236}">
              <a16:creationId xmlns:a16="http://schemas.microsoft.com/office/drawing/2014/main" id="{00000000-0008-0000-0200-0000B8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1955</xdr:row>
      <xdr:rowOff>0</xdr:rowOff>
    </xdr:from>
    <xdr:ext cx="200025" cy="200025"/>
    <xdr:pic>
      <xdr:nvPicPr>
        <xdr:cNvPr id="3001" name="image8.png">
          <a:extLst>
            <a:ext uri="{FF2B5EF4-FFF2-40B4-BE49-F238E27FC236}">
              <a16:creationId xmlns:a16="http://schemas.microsoft.com/office/drawing/2014/main" id="{00000000-0008-0000-0200-0000B9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1955</xdr:row>
      <xdr:rowOff>0</xdr:rowOff>
    </xdr:from>
    <xdr:ext cx="200025" cy="200025"/>
    <xdr:pic>
      <xdr:nvPicPr>
        <xdr:cNvPr id="3002" name="image2.png">
          <a:extLst>
            <a:ext uri="{FF2B5EF4-FFF2-40B4-BE49-F238E27FC236}">
              <a16:creationId xmlns:a16="http://schemas.microsoft.com/office/drawing/2014/main" id="{00000000-0008-0000-0200-0000BA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1955</xdr:row>
      <xdr:rowOff>0</xdr:rowOff>
    </xdr:from>
    <xdr:ext cx="200025" cy="200025"/>
    <xdr:pic>
      <xdr:nvPicPr>
        <xdr:cNvPr id="3003" name="image4.png">
          <a:extLst>
            <a:ext uri="{FF2B5EF4-FFF2-40B4-BE49-F238E27FC236}">
              <a16:creationId xmlns:a16="http://schemas.microsoft.com/office/drawing/2014/main" id="{00000000-0008-0000-0200-0000BB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1955</xdr:row>
      <xdr:rowOff>0</xdr:rowOff>
    </xdr:from>
    <xdr:ext cx="200025" cy="200025"/>
    <xdr:pic>
      <xdr:nvPicPr>
        <xdr:cNvPr id="3004" name="image3.png">
          <a:extLst>
            <a:ext uri="{FF2B5EF4-FFF2-40B4-BE49-F238E27FC236}">
              <a16:creationId xmlns:a16="http://schemas.microsoft.com/office/drawing/2014/main" id="{00000000-0008-0000-0200-0000BC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1957</xdr:row>
      <xdr:rowOff>0</xdr:rowOff>
    </xdr:from>
    <xdr:ext cx="200025" cy="200025"/>
    <xdr:pic>
      <xdr:nvPicPr>
        <xdr:cNvPr id="3005" name="image1.png">
          <a:extLst>
            <a:ext uri="{FF2B5EF4-FFF2-40B4-BE49-F238E27FC236}">
              <a16:creationId xmlns:a16="http://schemas.microsoft.com/office/drawing/2014/main" id="{00000000-0008-0000-0200-0000BD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0</xdr:colOff>
      <xdr:row>1957</xdr:row>
      <xdr:rowOff>0</xdr:rowOff>
    </xdr:from>
    <xdr:ext cx="200025" cy="200025"/>
    <xdr:pic>
      <xdr:nvPicPr>
        <xdr:cNvPr id="3006" name="image6.png">
          <a:extLst>
            <a:ext uri="{FF2B5EF4-FFF2-40B4-BE49-F238E27FC236}">
              <a16:creationId xmlns:a16="http://schemas.microsoft.com/office/drawing/2014/main" id="{00000000-0008-0000-0200-0000BE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1957</xdr:row>
      <xdr:rowOff>0</xdr:rowOff>
    </xdr:from>
    <xdr:ext cx="200025" cy="200025"/>
    <xdr:pic>
      <xdr:nvPicPr>
        <xdr:cNvPr id="3007" name="image5.png">
          <a:extLst>
            <a:ext uri="{FF2B5EF4-FFF2-40B4-BE49-F238E27FC236}">
              <a16:creationId xmlns:a16="http://schemas.microsoft.com/office/drawing/2014/main" id="{00000000-0008-0000-0200-0000BF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1957</xdr:row>
      <xdr:rowOff>0</xdr:rowOff>
    </xdr:from>
    <xdr:ext cx="200025" cy="200025"/>
    <xdr:pic>
      <xdr:nvPicPr>
        <xdr:cNvPr id="3008" name="image3.png">
          <a:extLst>
            <a:ext uri="{FF2B5EF4-FFF2-40B4-BE49-F238E27FC236}">
              <a16:creationId xmlns:a16="http://schemas.microsoft.com/office/drawing/2014/main" id="{00000000-0008-0000-0200-0000C0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9</xdr:col>
      <xdr:colOff>0</xdr:colOff>
      <xdr:row>1959</xdr:row>
      <xdr:rowOff>0</xdr:rowOff>
    </xdr:from>
    <xdr:ext cx="200025" cy="200025"/>
    <xdr:pic>
      <xdr:nvPicPr>
        <xdr:cNvPr id="3009" name="image8.png">
          <a:extLst>
            <a:ext uri="{FF2B5EF4-FFF2-40B4-BE49-F238E27FC236}">
              <a16:creationId xmlns:a16="http://schemas.microsoft.com/office/drawing/2014/main" id="{00000000-0008-0000-0200-0000C1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1959</xdr:row>
      <xdr:rowOff>0</xdr:rowOff>
    </xdr:from>
    <xdr:ext cx="200025" cy="200025"/>
    <xdr:pic>
      <xdr:nvPicPr>
        <xdr:cNvPr id="3010" name="image9.png">
          <a:extLst>
            <a:ext uri="{FF2B5EF4-FFF2-40B4-BE49-F238E27FC236}">
              <a16:creationId xmlns:a16="http://schemas.microsoft.com/office/drawing/2014/main" id="{00000000-0008-0000-0200-0000C2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1959</xdr:row>
      <xdr:rowOff>0</xdr:rowOff>
    </xdr:from>
    <xdr:ext cx="200025" cy="200025"/>
    <xdr:pic>
      <xdr:nvPicPr>
        <xdr:cNvPr id="3011" name="image5.png">
          <a:extLst>
            <a:ext uri="{FF2B5EF4-FFF2-40B4-BE49-F238E27FC236}">
              <a16:creationId xmlns:a16="http://schemas.microsoft.com/office/drawing/2014/main" id="{00000000-0008-0000-0200-0000C3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1959</xdr:row>
      <xdr:rowOff>0</xdr:rowOff>
    </xdr:from>
    <xdr:ext cx="200025" cy="200025"/>
    <xdr:pic>
      <xdr:nvPicPr>
        <xdr:cNvPr id="3012" name="image12.png">
          <a:extLst>
            <a:ext uri="{FF2B5EF4-FFF2-40B4-BE49-F238E27FC236}">
              <a16:creationId xmlns:a16="http://schemas.microsoft.com/office/drawing/2014/main" id="{00000000-0008-0000-0200-0000C4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1959</xdr:row>
      <xdr:rowOff>0</xdr:rowOff>
    </xdr:from>
    <xdr:ext cx="200025" cy="200025"/>
    <xdr:pic>
      <xdr:nvPicPr>
        <xdr:cNvPr id="3013" name="image1.png">
          <a:extLst>
            <a:ext uri="{FF2B5EF4-FFF2-40B4-BE49-F238E27FC236}">
              <a16:creationId xmlns:a16="http://schemas.microsoft.com/office/drawing/2014/main" id="{00000000-0008-0000-0200-0000C5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1960</xdr:row>
      <xdr:rowOff>0</xdr:rowOff>
    </xdr:from>
    <xdr:ext cx="200025" cy="200025"/>
    <xdr:pic>
      <xdr:nvPicPr>
        <xdr:cNvPr id="3014" name="image1.png">
          <a:extLst>
            <a:ext uri="{FF2B5EF4-FFF2-40B4-BE49-F238E27FC236}">
              <a16:creationId xmlns:a16="http://schemas.microsoft.com/office/drawing/2014/main" id="{00000000-0008-0000-0200-0000C6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1963</xdr:row>
      <xdr:rowOff>0</xdr:rowOff>
    </xdr:from>
    <xdr:ext cx="200025" cy="200025"/>
    <xdr:pic>
      <xdr:nvPicPr>
        <xdr:cNvPr id="3015" name="image10.png">
          <a:extLst>
            <a:ext uri="{FF2B5EF4-FFF2-40B4-BE49-F238E27FC236}">
              <a16:creationId xmlns:a16="http://schemas.microsoft.com/office/drawing/2014/main" id="{00000000-0008-0000-0200-0000C7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1963</xdr:row>
      <xdr:rowOff>0</xdr:rowOff>
    </xdr:from>
    <xdr:ext cx="200025" cy="200025"/>
    <xdr:pic>
      <xdr:nvPicPr>
        <xdr:cNvPr id="3016" name="image9.png">
          <a:extLst>
            <a:ext uri="{FF2B5EF4-FFF2-40B4-BE49-F238E27FC236}">
              <a16:creationId xmlns:a16="http://schemas.microsoft.com/office/drawing/2014/main" id="{00000000-0008-0000-0200-0000C8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1963</xdr:row>
      <xdr:rowOff>0</xdr:rowOff>
    </xdr:from>
    <xdr:ext cx="200025" cy="200025"/>
    <xdr:pic>
      <xdr:nvPicPr>
        <xdr:cNvPr id="3017" name="image11.png">
          <a:extLst>
            <a:ext uri="{FF2B5EF4-FFF2-40B4-BE49-F238E27FC236}">
              <a16:creationId xmlns:a16="http://schemas.microsoft.com/office/drawing/2014/main" id="{00000000-0008-0000-0200-0000C9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1969</xdr:row>
      <xdr:rowOff>0</xdr:rowOff>
    </xdr:from>
    <xdr:ext cx="200025" cy="200025"/>
    <xdr:pic>
      <xdr:nvPicPr>
        <xdr:cNvPr id="3018" name="image8.png">
          <a:extLst>
            <a:ext uri="{FF2B5EF4-FFF2-40B4-BE49-F238E27FC236}">
              <a16:creationId xmlns:a16="http://schemas.microsoft.com/office/drawing/2014/main" id="{00000000-0008-0000-0200-0000CA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1969</xdr:row>
      <xdr:rowOff>0</xdr:rowOff>
    </xdr:from>
    <xdr:ext cx="200025" cy="200025"/>
    <xdr:pic>
      <xdr:nvPicPr>
        <xdr:cNvPr id="3019" name="image9.png">
          <a:extLst>
            <a:ext uri="{FF2B5EF4-FFF2-40B4-BE49-F238E27FC236}">
              <a16:creationId xmlns:a16="http://schemas.microsoft.com/office/drawing/2014/main" id="{00000000-0008-0000-0200-0000CB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1969</xdr:row>
      <xdr:rowOff>0</xdr:rowOff>
    </xdr:from>
    <xdr:ext cx="200025" cy="200025"/>
    <xdr:pic>
      <xdr:nvPicPr>
        <xdr:cNvPr id="3020" name="image2.png">
          <a:extLst>
            <a:ext uri="{FF2B5EF4-FFF2-40B4-BE49-F238E27FC236}">
              <a16:creationId xmlns:a16="http://schemas.microsoft.com/office/drawing/2014/main" id="{00000000-0008-0000-0200-0000CC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1971</xdr:row>
      <xdr:rowOff>0</xdr:rowOff>
    </xdr:from>
    <xdr:ext cx="200025" cy="200025"/>
    <xdr:pic>
      <xdr:nvPicPr>
        <xdr:cNvPr id="3021" name="image2.png">
          <a:extLst>
            <a:ext uri="{FF2B5EF4-FFF2-40B4-BE49-F238E27FC236}">
              <a16:creationId xmlns:a16="http://schemas.microsoft.com/office/drawing/2014/main" id="{00000000-0008-0000-0200-0000CD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1973</xdr:row>
      <xdr:rowOff>0</xdr:rowOff>
    </xdr:from>
    <xdr:ext cx="200025" cy="200025"/>
    <xdr:pic>
      <xdr:nvPicPr>
        <xdr:cNvPr id="3022" name="image9.png">
          <a:extLst>
            <a:ext uri="{FF2B5EF4-FFF2-40B4-BE49-F238E27FC236}">
              <a16:creationId xmlns:a16="http://schemas.microsoft.com/office/drawing/2014/main" id="{00000000-0008-0000-0200-0000CE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1974</xdr:row>
      <xdr:rowOff>0</xdr:rowOff>
    </xdr:from>
    <xdr:ext cx="200025" cy="200025"/>
    <xdr:pic>
      <xdr:nvPicPr>
        <xdr:cNvPr id="3023" name="image8.png">
          <a:extLst>
            <a:ext uri="{FF2B5EF4-FFF2-40B4-BE49-F238E27FC236}">
              <a16:creationId xmlns:a16="http://schemas.microsoft.com/office/drawing/2014/main" id="{00000000-0008-0000-0200-0000CF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1974</xdr:row>
      <xdr:rowOff>0</xdr:rowOff>
    </xdr:from>
    <xdr:ext cx="200025" cy="200025"/>
    <xdr:pic>
      <xdr:nvPicPr>
        <xdr:cNvPr id="3024" name="image1.png">
          <a:extLst>
            <a:ext uri="{FF2B5EF4-FFF2-40B4-BE49-F238E27FC236}">
              <a16:creationId xmlns:a16="http://schemas.microsoft.com/office/drawing/2014/main" id="{00000000-0008-0000-0200-0000D0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1974</xdr:row>
      <xdr:rowOff>0</xdr:rowOff>
    </xdr:from>
    <xdr:ext cx="200025" cy="200025"/>
    <xdr:pic>
      <xdr:nvPicPr>
        <xdr:cNvPr id="3025" name="image6.png">
          <a:extLst>
            <a:ext uri="{FF2B5EF4-FFF2-40B4-BE49-F238E27FC236}">
              <a16:creationId xmlns:a16="http://schemas.microsoft.com/office/drawing/2014/main" id="{00000000-0008-0000-0200-0000D1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1974</xdr:row>
      <xdr:rowOff>0</xdr:rowOff>
    </xdr:from>
    <xdr:ext cx="200025" cy="200025"/>
    <xdr:pic>
      <xdr:nvPicPr>
        <xdr:cNvPr id="3026" name="image5.png">
          <a:extLst>
            <a:ext uri="{FF2B5EF4-FFF2-40B4-BE49-F238E27FC236}">
              <a16:creationId xmlns:a16="http://schemas.microsoft.com/office/drawing/2014/main" id="{00000000-0008-0000-0200-0000D2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1974</xdr:row>
      <xdr:rowOff>0</xdr:rowOff>
    </xdr:from>
    <xdr:ext cx="200025" cy="200025"/>
    <xdr:pic>
      <xdr:nvPicPr>
        <xdr:cNvPr id="3027" name="image7.png">
          <a:extLst>
            <a:ext uri="{FF2B5EF4-FFF2-40B4-BE49-F238E27FC236}">
              <a16:creationId xmlns:a16="http://schemas.microsoft.com/office/drawing/2014/main" id="{00000000-0008-0000-0200-0000D30B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1974</xdr:row>
      <xdr:rowOff>0</xdr:rowOff>
    </xdr:from>
    <xdr:ext cx="200025" cy="200025"/>
    <xdr:pic>
      <xdr:nvPicPr>
        <xdr:cNvPr id="3028" name="image2.png">
          <a:extLst>
            <a:ext uri="{FF2B5EF4-FFF2-40B4-BE49-F238E27FC236}">
              <a16:creationId xmlns:a16="http://schemas.microsoft.com/office/drawing/2014/main" id="{00000000-0008-0000-0200-0000D4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1975</xdr:row>
      <xdr:rowOff>0</xdr:rowOff>
    </xdr:from>
    <xdr:ext cx="200025" cy="200025"/>
    <xdr:pic>
      <xdr:nvPicPr>
        <xdr:cNvPr id="3029" name="image2.png">
          <a:extLst>
            <a:ext uri="{FF2B5EF4-FFF2-40B4-BE49-F238E27FC236}">
              <a16:creationId xmlns:a16="http://schemas.microsoft.com/office/drawing/2014/main" id="{00000000-0008-0000-0200-0000D5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1976</xdr:row>
      <xdr:rowOff>0</xdr:rowOff>
    </xdr:from>
    <xdr:ext cx="200025" cy="200025"/>
    <xdr:pic>
      <xdr:nvPicPr>
        <xdr:cNvPr id="3030" name="image8.png">
          <a:extLst>
            <a:ext uri="{FF2B5EF4-FFF2-40B4-BE49-F238E27FC236}">
              <a16:creationId xmlns:a16="http://schemas.microsoft.com/office/drawing/2014/main" id="{00000000-0008-0000-0200-0000D6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1976</xdr:row>
      <xdr:rowOff>0</xdr:rowOff>
    </xdr:from>
    <xdr:ext cx="200025" cy="200025"/>
    <xdr:pic>
      <xdr:nvPicPr>
        <xdr:cNvPr id="3031" name="image1.png">
          <a:extLst>
            <a:ext uri="{FF2B5EF4-FFF2-40B4-BE49-F238E27FC236}">
              <a16:creationId xmlns:a16="http://schemas.microsoft.com/office/drawing/2014/main" id="{00000000-0008-0000-0200-0000D7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1976</xdr:row>
      <xdr:rowOff>0</xdr:rowOff>
    </xdr:from>
    <xdr:ext cx="200025" cy="200025"/>
    <xdr:pic>
      <xdr:nvPicPr>
        <xdr:cNvPr id="3032" name="image3.png">
          <a:extLst>
            <a:ext uri="{FF2B5EF4-FFF2-40B4-BE49-F238E27FC236}">
              <a16:creationId xmlns:a16="http://schemas.microsoft.com/office/drawing/2014/main" id="{00000000-0008-0000-0200-0000D8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12</xdr:col>
      <xdr:colOff>0</xdr:colOff>
      <xdr:row>1976</xdr:row>
      <xdr:rowOff>0</xdr:rowOff>
    </xdr:from>
    <xdr:ext cx="200025" cy="200025"/>
    <xdr:pic>
      <xdr:nvPicPr>
        <xdr:cNvPr id="3033" name="image11.png">
          <a:extLst>
            <a:ext uri="{FF2B5EF4-FFF2-40B4-BE49-F238E27FC236}">
              <a16:creationId xmlns:a16="http://schemas.microsoft.com/office/drawing/2014/main" id="{00000000-0008-0000-0200-0000D9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1977</xdr:row>
      <xdr:rowOff>0</xdr:rowOff>
    </xdr:from>
    <xdr:ext cx="200025" cy="200025"/>
    <xdr:pic>
      <xdr:nvPicPr>
        <xdr:cNvPr id="3034" name="image8.png">
          <a:extLst>
            <a:ext uri="{FF2B5EF4-FFF2-40B4-BE49-F238E27FC236}">
              <a16:creationId xmlns:a16="http://schemas.microsoft.com/office/drawing/2014/main" id="{00000000-0008-0000-0200-0000DA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1977</xdr:row>
      <xdr:rowOff>0</xdr:rowOff>
    </xdr:from>
    <xdr:ext cx="200025" cy="200025"/>
    <xdr:pic>
      <xdr:nvPicPr>
        <xdr:cNvPr id="3035" name="image4.png">
          <a:extLst>
            <a:ext uri="{FF2B5EF4-FFF2-40B4-BE49-F238E27FC236}">
              <a16:creationId xmlns:a16="http://schemas.microsoft.com/office/drawing/2014/main" id="{00000000-0008-0000-0200-0000DB0B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1977</xdr:row>
      <xdr:rowOff>0</xdr:rowOff>
    </xdr:from>
    <xdr:ext cx="200025" cy="200025"/>
    <xdr:pic>
      <xdr:nvPicPr>
        <xdr:cNvPr id="3036" name="image10.png">
          <a:extLst>
            <a:ext uri="{FF2B5EF4-FFF2-40B4-BE49-F238E27FC236}">
              <a16:creationId xmlns:a16="http://schemas.microsoft.com/office/drawing/2014/main" id="{00000000-0008-0000-0200-0000DC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1978</xdr:row>
      <xdr:rowOff>0</xdr:rowOff>
    </xdr:from>
    <xdr:ext cx="200025" cy="200025"/>
    <xdr:pic>
      <xdr:nvPicPr>
        <xdr:cNvPr id="3037" name="image10.png">
          <a:extLst>
            <a:ext uri="{FF2B5EF4-FFF2-40B4-BE49-F238E27FC236}">
              <a16:creationId xmlns:a16="http://schemas.microsoft.com/office/drawing/2014/main" id="{00000000-0008-0000-0200-0000DD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1980</xdr:row>
      <xdr:rowOff>0</xdr:rowOff>
    </xdr:from>
    <xdr:ext cx="200025" cy="200025"/>
    <xdr:pic>
      <xdr:nvPicPr>
        <xdr:cNvPr id="3038" name="image10.png">
          <a:extLst>
            <a:ext uri="{FF2B5EF4-FFF2-40B4-BE49-F238E27FC236}">
              <a16:creationId xmlns:a16="http://schemas.microsoft.com/office/drawing/2014/main" id="{00000000-0008-0000-0200-0000DE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1980</xdr:row>
      <xdr:rowOff>0</xdr:rowOff>
    </xdr:from>
    <xdr:ext cx="200025" cy="200025"/>
    <xdr:pic>
      <xdr:nvPicPr>
        <xdr:cNvPr id="3039" name="image12.png">
          <a:extLst>
            <a:ext uri="{FF2B5EF4-FFF2-40B4-BE49-F238E27FC236}">
              <a16:creationId xmlns:a16="http://schemas.microsoft.com/office/drawing/2014/main" id="{00000000-0008-0000-0200-0000DF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1980</xdr:row>
      <xdr:rowOff>0</xdr:rowOff>
    </xdr:from>
    <xdr:ext cx="200025" cy="200025"/>
    <xdr:pic>
      <xdr:nvPicPr>
        <xdr:cNvPr id="3040" name="image3.png">
          <a:extLst>
            <a:ext uri="{FF2B5EF4-FFF2-40B4-BE49-F238E27FC236}">
              <a16:creationId xmlns:a16="http://schemas.microsoft.com/office/drawing/2014/main" id="{00000000-0008-0000-0200-0000E0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1980</xdr:row>
      <xdr:rowOff>0</xdr:rowOff>
    </xdr:from>
    <xdr:ext cx="200025" cy="200025"/>
    <xdr:pic>
      <xdr:nvPicPr>
        <xdr:cNvPr id="3041" name="image8.png">
          <a:extLst>
            <a:ext uri="{FF2B5EF4-FFF2-40B4-BE49-F238E27FC236}">
              <a16:creationId xmlns:a16="http://schemas.microsoft.com/office/drawing/2014/main" id="{00000000-0008-0000-0200-0000E1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1981</xdr:row>
      <xdr:rowOff>0</xdr:rowOff>
    </xdr:from>
    <xdr:ext cx="200025" cy="200025"/>
    <xdr:pic>
      <xdr:nvPicPr>
        <xdr:cNvPr id="3042" name="image8.png">
          <a:extLst>
            <a:ext uri="{FF2B5EF4-FFF2-40B4-BE49-F238E27FC236}">
              <a16:creationId xmlns:a16="http://schemas.microsoft.com/office/drawing/2014/main" id="{00000000-0008-0000-0200-0000E2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1982</xdr:row>
      <xdr:rowOff>0</xdr:rowOff>
    </xdr:from>
    <xdr:ext cx="200025" cy="200025"/>
    <xdr:pic>
      <xdr:nvPicPr>
        <xdr:cNvPr id="3043" name="image8.png">
          <a:extLst>
            <a:ext uri="{FF2B5EF4-FFF2-40B4-BE49-F238E27FC236}">
              <a16:creationId xmlns:a16="http://schemas.microsoft.com/office/drawing/2014/main" id="{00000000-0008-0000-0200-0000E3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1983</xdr:row>
      <xdr:rowOff>0</xdr:rowOff>
    </xdr:from>
    <xdr:ext cx="200025" cy="200025"/>
    <xdr:pic>
      <xdr:nvPicPr>
        <xdr:cNvPr id="3044" name="image5.png">
          <a:extLst>
            <a:ext uri="{FF2B5EF4-FFF2-40B4-BE49-F238E27FC236}">
              <a16:creationId xmlns:a16="http://schemas.microsoft.com/office/drawing/2014/main" id="{00000000-0008-0000-0200-0000E4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1983</xdr:row>
      <xdr:rowOff>0</xdr:rowOff>
    </xdr:from>
    <xdr:ext cx="200025" cy="200025"/>
    <xdr:pic>
      <xdr:nvPicPr>
        <xdr:cNvPr id="3045" name="image3.png">
          <a:extLst>
            <a:ext uri="{FF2B5EF4-FFF2-40B4-BE49-F238E27FC236}">
              <a16:creationId xmlns:a16="http://schemas.microsoft.com/office/drawing/2014/main" id="{00000000-0008-0000-0200-0000E5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1983</xdr:row>
      <xdr:rowOff>0</xdr:rowOff>
    </xdr:from>
    <xdr:ext cx="200025" cy="200025"/>
    <xdr:pic>
      <xdr:nvPicPr>
        <xdr:cNvPr id="3046" name="image11.png">
          <a:extLst>
            <a:ext uri="{FF2B5EF4-FFF2-40B4-BE49-F238E27FC236}">
              <a16:creationId xmlns:a16="http://schemas.microsoft.com/office/drawing/2014/main" id="{00000000-0008-0000-0200-0000E60B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0</xdr:colOff>
      <xdr:row>1985</xdr:row>
      <xdr:rowOff>0</xdr:rowOff>
    </xdr:from>
    <xdr:ext cx="200025" cy="200025"/>
    <xdr:pic>
      <xdr:nvPicPr>
        <xdr:cNvPr id="3047" name="image10.png">
          <a:extLst>
            <a:ext uri="{FF2B5EF4-FFF2-40B4-BE49-F238E27FC236}">
              <a16:creationId xmlns:a16="http://schemas.microsoft.com/office/drawing/2014/main" id="{00000000-0008-0000-0200-0000E7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1985</xdr:row>
      <xdr:rowOff>0</xdr:rowOff>
    </xdr:from>
    <xdr:ext cx="200025" cy="200025"/>
    <xdr:pic>
      <xdr:nvPicPr>
        <xdr:cNvPr id="3048" name="image8.png">
          <a:extLst>
            <a:ext uri="{FF2B5EF4-FFF2-40B4-BE49-F238E27FC236}">
              <a16:creationId xmlns:a16="http://schemas.microsoft.com/office/drawing/2014/main" id="{00000000-0008-0000-0200-0000E8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1985</xdr:row>
      <xdr:rowOff>0</xdr:rowOff>
    </xdr:from>
    <xdr:ext cx="200025" cy="200025"/>
    <xdr:pic>
      <xdr:nvPicPr>
        <xdr:cNvPr id="3049" name="image9.png">
          <a:extLst>
            <a:ext uri="{FF2B5EF4-FFF2-40B4-BE49-F238E27FC236}">
              <a16:creationId xmlns:a16="http://schemas.microsoft.com/office/drawing/2014/main" id="{00000000-0008-0000-0200-0000E9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1985</xdr:row>
      <xdr:rowOff>0</xdr:rowOff>
    </xdr:from>
    <xdr:ext cx="200025" cy="200025"/>
    <xdr:pic>
      <xdr:nvPicPr>
        <xdr:cNvPr id="3050" name="image6.png">
          <a:extLst>
            <a:ext uri="{FF2B5EF4-FFF2-40B4-BE49-F238E27FC236}">
              <a16:creationId xmlns:a16="http://schemas.microsoft.com/office/drawing/2014/main" id="{00000000-0008-0000-0200-0000EA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0</xdr:colOff>
      <xdr:row>1987</xdr:row>
      <xdr:rowOff>0</xdr:rowOff>
    </xdr:from>
    <xdr:ext cx="200025" cy="200025"/>
    <xdr:pic>
      <xdr:nvPicPr>
        <xdr:cNvPr id="3051" name="image6.png">
          <a:extLst>
            <a:ext uri="{FF2B5EF4-FFF2-40B4-BE49-F238E27FC236}">
              <a16:creationId xmlns:a16="http://schemas.microsoft.com/office/drawing/2014/main" id="{00000000-0008-0000-0200-0000EB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1990</xdr:row>
      <xdr:rowOff>0</xdr:rowOff>
    </xdr:from>
    <xdr:ext cx="200025" cy="200025"/>
    <xdr:pic>
      <xdr:nvPicPr>
        <xdr:cNvPr id="3052" name="image8.png">
          <a:extLst>
            <a:ext uri="{FF2B5EF4-FFF2-40B4-BE49-F238E27FC236}">
              <a16:creationId xmlns:a16="http://schemas.microsoft.com/office/drawing/2014/main" id="{00000000-0008-0000-0200-0000EC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1990</xdr:row>
      <xdr:rowOff>0</xdr:rowOff>
    </xdr:from>
    <xdr:ext cx="200025" cy="200025"/>
    <xdr:pic>
      <xdr:nvPicPr>
        <xdr:cNvPr id="3053" name="image6.png">
          <a:extLst>
            <a:ext uri="{FF2B5EF4-FFF2-40B4-BE49-F238E27FC236}">
              <a16:creationId xmlns:a16="http://schemas.microsoft.com/office/drawing/2014/main" id="{00000000-0008-0000-0200-0000ED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1990</xdr:row>
      <xdr:rowOff>0</xdr:rowOff>
    </xdr:from>
    <xdr:ext cx="200025" cy="200025"/>
    <xdr:pic>
      <xdr:nvPicPr>
        <xdr:cNvPr id="3054" name="image12.png">
          <a:extLst>
            <a:ext uri="{FF2B5EF4-FFF2-40B4-BE49-F238E27FC236}">
              <a16:creationId xmlns:a16="http://schemas.microsoft.com/office/drawing/2014/main" id="{00000000-0008-0000-0200-0000EE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1990</xdr:row>
      <xdr:rowOff>0</xdr:rowOff>
    </xdr:from>
    <xdr:ext cx="200025" cy="200025"/>
    <xdr:pic>
      <xdr:nvPicPr>
        <xdr:cNvPr id="3055" name="image3.png">
          <a:extLst>
            <a:ext uri="{FF2B5EF4-FFF2-40B4-BE49-F238E27FC236}">
              <a16:creationId xmlns:a16="http://schemas.microsoft.com/office/drawing/2014/main" id="{00000000-0008-0000-0200-0000EF0B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1991</xdr:row>
      <xdr:rowOff>0</xdr:rowOff>
    </xdr:from>
    <xdr:ext cx="200025" cy="200025"/>
    <xdr:pic>
      <xdr:nvPicPr>
        <xdr:cNvPr id="3056" name="image8.png">
          <a:extLst>
            <a:ext uri="{FF2B5EF4-FFF2-40B4-BE49-F238E27FC236}">
              <a16:creationId xmlns:a16="http://schemas.microsoft.com/office/drawing/2014/main" id="{00000000-0008-0000-0200-0000F0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1992</xdr:row>
      <xdr:rowOff>0</xdr:rowOff>
    </xdr:from>
    <xdr:ext cx="200025" cy="200025"/>
    <xdr:pic>
      <xdr:nvPicPr>
        <xdr:cNvPr id="3057" name="image8.png">
          <a:extLst>
            <a:ext uri="{FF2B5EF4-FFF2-40B4-BE49-F238E27FC236}">
              <a16:creationId xmlns:a16="http://schemas.microsoft.com/office/drawing/2014/main" id="{00000000-0008-0000-0200-0000F1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1993</xdr:row>
      <xdr:rowOff>0</xdr:rowOff>
    </xdr:from>
    <xdr:ext cx="200025" cy="200025"/>
    <xdr:pic>
      <xdr:nvPicPr>
        <xdr:cNvPr id="3058" name="image10.png">
          <a:extLst>
            <a:ext uri="{FF2B5EF4-FFF2-40B4-BE49-F238E27FC236}">
              <a16:creationId xmlns:a16="http://schemas.microsoft.com/office/drawing/2014/main" id="{00000000-0008-0000-0200-0000F2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1993</xdr:row>
      <xdr:rowOff>0</xdr:rowOff>
    </xdr:from>
    <xdr:ext cx="200025" cy="200025"/>
    <xdr:pic>
      <xdr:nvPicPr>
        <xdr:cNvPr id="3059" name="image1.png">
          <a:extLst>
            <a:ext uri="{FF2B5EF4-FFF2-40B4-BE49-F238E27FC236}">
              <a16:creationId xmlns:a16="http://schemas.microsoft.com/office/drawing/2014/main" id="{00000000-0008-0000-0200-0000F3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1993</xdr:row>
      <xdr:rowOff>0</xdr:rowOff>
    </xdr:from>
    <xdr:ext cx="200025" cy="200025"/>
    <xdr:pic>
      <xdr:nvPicPr>
        <xdr:cNvPr id="3060" name="image12.png">
          <a:extLst>
            <a:ext uri="{FF2B5EF4-FFF2-40B4-BE49-F238E27FC236}">
              <a16:creationId xmlns:a16="http://schemas.microsoft.com/office/drawing/2014/main" id="{00000000-0008-0000-0200-0000F40B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1993</xdr:row>
      <xdr:rowOff>0</xdr:rowOff>
    </xdr:from>
    <xdr:ext cx="200025" cy="200025"/>
    <xdr:pic>
      <xdr:nvPicPr>
        <xdr:cNvPr id="3061" name="image9.png">
          <a:extLst>
            <a:ext uri="{FF2B5EF4-FFF2-40B4-BE49-F238E27FC236}">
              <a16:creationId xmlns:a16="http://schemas.microsoft.com/office/drawing/2014/main" id="{00000000-0008-0000-0200-0000F5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1994</xdr:row>
      <xdr:rowOff>0</xdr:rowOff>
    </xdr:from>
    <xdr:ext cx="200025" cy="200025"/>
    <xdr:pic>
      <xdr:nvPicPr>
        <xdr:cNvPr id="3062" name="image9.png">
          <a:extLst>
            <a:ext uri="{FF2B5EF4-FFF2-40B4-BE49-F238E27FC236}">
              <a16:creationId xmlns:a16="http://schemas.microsoft.com/office/drawing/2014/main" id="{00000000-0008-0000-0200-0000F6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1996</xdr:row>
      <xdr:rowOff>0</xdr:rowOff>
    </xdr:from>
    <xdr:ext cx="200025" cy="200025"/>
    <xdr:pic>
      <xdr:nvPicPr>
        <xdr:cNvPr id="3063" name="image8.png">
          <a:extLst>
            <a:ext uri="{FF2B5EF4-FFF2-40B4-BE49-F238E27FC236}">
              <a16:creationId xmlns:a16="http://schemas.microsoft.com/office/drawing/2014/main" id="{00000000-0008-0000-0200-0000F70B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1996</xdr:row>
      <xdr:rowOff>0</xdr:rowOff>
    </xdr:from>
    <xdr:ext cx="200025" cy="200025"/>
    <xdr:pic>
      <xdr:nvPicPr>
        <xdr:cNvPr id="3064" name="image6.png">
          <a:extLst>
            <a:ext uri="{FF2B5EF4-FFF2-40B4-BE49-F238E27FC236}">
              <a16:creationId xmlns:a16="http://schemas.microsoft.com/office/drawing/2014/main" id="{00000000-0008-0000-0200-0000F80B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1996</xdr:row>
      <xdr:rowOff>0</xdr:rowOff>
    </xdr:from>
    <xdr:ext cx="200025" cy="200025"/>
    <xdr:pic>
      <xdr:nvPicPr>
        <xdr:cNvPr id="3065" name="image5.png">
          <a:extLst>
            <a:ext uri="{FF2B5EF4-FFF2-40B4-BE49-F238E27FC236}">
              <a16:creationId xmlns:a16="http://schemas.microsoft.com/office/drawing/2014/main" id="{00000000-0008-0000-0200-0000F9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1997</xdr:row>
      <xdr:rowOff>0</xdr:rowOff>
    </xdr:from>
    <xdr:ext cx="200025" cy="200025"/>
    <xdr:pic>
      <xdr:nvPicPr>
        <xdr:cNvPr id="3066" name="image2.png">
          <a:extLst>
            <a:ext uri="{FF2B5EF4-FFF2-40B4-BE49-F238E27FC236}">
              <a16:creationId xmlns:a16="http://schemas.microsoft.com/office/drawing/2014/main" id="{00000000-0008-0000-0200-0000FA0B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1999</xdr:row>
      <xdr:rowOff>0</xdr:rowOff>
    </xdr:from>
    <xdr:ext cx="200025" cy="200025"/>
    <xdr:pic>
      <xdr:nvPicPr>
        <xdr:cNvPr id="3067" name="image10.png">
          <a:extLst>
            <a:ext uri="{FF2B5EF4-FFF2-40B4-BE49-F238E27FC236}">
              <a16:creationId xmlns:a16="http://schemas.microsoft.com/office/drawing/2014/main" id="{00000000-0008-0000-0200-0000FB0B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1999</xdr:row>
      <xdr:rowOff>0</xdr:rowOff>
    </xdr:from>
    <xdr:ext cx="200025" cy="200025"/>
    <xdr:pic>
      <xdr:nvPicPr>
        <xdr:cNvPr id="3068" name="image9.png">
          <a:extLst>
            <a:ext uri="{FF2B5EF4-FFF2-40B4-BE49-F238E27FC236}">
              <a16:creationId xmlns:a16="http://schemas.microsoft.com/office/drawing/2014/main" id="{00000000-0008-0000-0200-0000FC0B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1999</xdr:row>
      <xdr:rowOff>0</xdr:rowOff>
    </xdr:from>
    <xdr:ext cx="200025" cy="200025"/>
    <xdr:pic>
      <xdr:nvPicPr>
        <xdr:cNvPr id="3069" name="image5.png">
          <a:extLst>
            <a:ext uri="{FF2B5EF4-FFF2-40B4-BE49-F238E27FC236}">
              <a16:creationId xmlns:a16="http://schemas.microsoft.com/office/drawing/2014/main" id="{00000000-0008-0000-0200-0000FD0B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1999</xdr:row>
      <xdr:rowOff>0</xdr:rowOff>
    </xdr:from>
    <xdr:ext cx="200025" cy="200025"/>
    <xdr:pic>
      <xdr:nvPicPr>
        <xdr:cNvPr id="3070" name="image1.png">
          <a:extLst>
            <a:ext uri="{FF2B5EF4-FFF2-40B4-BE49-F238E27FC236}">
              <a16:creationId xmlns:a16="http://schemas.microsoft.com/office/drawing/2014/main" id="{00000000-0008-0000-0200-0000FE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2000</xdr:row>
      <xdr:rowOff>0</xdr:rowOff>
    </xdr:from>
    <xdr:ext cx="200025" cy="200025"/>
    <xdr:pic>
      <xdr:nvPicPr>
        <xdr:cNvPr id="3071" name="image1.png">
          <a:extLst>
            <a:ext uri="{FF2B5EF4-FFF2-40B4-BE49-F238E27FC236}">
              <a16:creationId xmlns:a16="http://schemas.microsoft.com/office/drawing/2014/main" id="{00000000-0008-0000-0200-0000FF0B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2001</xdr:row>
      <xdr:rowOff>0</xdr:rowOff>
    </xdr:from>
    <xdr:ext cx="200025" cy="200025"/>
    <xdr:pic>
      <xdr:nvPicPr>
        <xdr:cNvPr id="3072" name="image1.png">
          <a:extLst>
            <a:ext uri="{FF2B5EF4-FFF2-40B4-BE49-F238E27FC236}">
              <a16:creationId xmlns:a16="http://schemas.microsoft.com/office/drawing/2014/main" id="{00000000-0008-0000-0200-000000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2002</xdr:row>
      <xdr:rowOff>0</xdr:rowOff>
    </xdr:from>
    <xdr:ext cx="200025" cy="200025"/>
    <xdr:pic>
      <xdr:nvPicPr>
        <xdr:cNvPr id="3073" name="image10.png">
          <a:extLst>
            <a:ext uri="{FF2B5EF4-FFF2-40B4-BE49-F238E27FC236}">
              <a16:creationId xmlns:a16="http://schemas.microsoft.com/office/drawing/2014/main" id="{00000000-0008-0000-0200-000001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2002</xdr:row>
      <xdr:rowOff>0</xdr:rowOff>
    </xdr:from>
    <xdr:ext cx="200025" cy="200025"/>
    <xdr:pic>
      <xdr:nvPicPr>
        <xdr:cNvPr id="3074" name="image9.png">
          <a:extLst>
            <a:ext uri="{FF2B5EF4-FFF2-40B4-BE49-F238E27FC236}">
              <a16:creationId xmlns:a16="http://schemas.microsoft.com/office/drawing/2014/main" id="{00000000-0008-0000-0200-000002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2002</xdr:row>
      <xdr:rowOff>0</xdr:rowOff>
    </xdr:from>
    <xdr:ext cx="200025" cy="200025"/>
    <xdr:pic>
      <xdr:nvPicPr>
        <xdr:cNvPr id="3075" name="image6.png">
          <a:extLst>
            <a:ext uri="{FF2B5EF4-FFF2-40B4-BE49-F238E27FC236}">
              <a16:creationId xmlns:a16="http://schemas.microsoft.com/office/drawing/2014/main" id="{00000000-0008-0000-0200-000003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2002</xdr:row>
      <xdr:rowOff>0</xdr:rowOff>
    </xdr:from>
    <xdr:ext cx="200025" cy="200025"/>
    <xdr:pic>
      <xdr:nvPicPr>
        <xdr:cNvPr id="3076" name="image5.png">
          <a:extLst>
            <a:ext uri="{FF2B5EF4-FFF2-40B4-BE49-F238E27FC236}">
              <a16:creationId xmlns:a16="http://schemas.microsoft.com/office/drawing/2014/main" id="{00000000-0008-0000-0200-000004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2004</xdr:row>
      <xdr:rowOff>0</xdr:rowOff>
    </xdr:from>
    <xdr:ext cx="200025" cy="200025"/>
    <xdr:pic>
      <xdr:nvPicPr>
        <xdr:cNvPr id="3077" name="image9.png">
          <a:extLst>
            <a:ext uri="{FF2B5EF4-FFF2-40B4-BE49-F238E27FC236}">
              <a16:creationId xmlns:a16="http://schemas.microsoft.com/office/drawing/2014/main" id="{00000000-0008-0000-0200-000005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2005</xdr:row>
      <xdr:rowOff>0</xdr:rowOff>
    </xdr:from>
    <xdr:ext cx="200025" cy="200025"/>
    <xdr:pic>
      <xdr:nvPicPr>
        <xdr:cNvPr id="3078" name="image8.png">
          <a:extLst>
            <a:ext uri="{FF2B5EF4-FFF2-40B4-BE49-F238E27FC236}">
              <a16:creationId xmlns:a16="http://schemas.microsoft.com/office/drawing/2014/main" id="{00000000-0008-0000-0200-000006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2005</xdr:row>
      <xdr:rowOff>0</xdr:rowOff>
    </xdr:from>
    <xdr:ext cx="200025" cy="200025"/>
    <xdr:pic>
      <xdr:nvPicPr>
        <xdr:cNvPr id="3079" name="image9.png">
          <a:extLst>
            <a:ext uri="{FF2B5EF4-FFF2-40B4-BE49-F238E27FC236}">
              <a16:creationId xmlns:a16="http://schemas.microsoft.com/office/drawing/2014/main" id="{00000000-0008-0000-0200-000007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2005</xdr:row>
      <xdr:rowOff>0</xdr:rowOff>
    </xdr:from>
    <xdr:ext cx="200025" cy="200025"/>
    <xdr:pic>
      <xdr:nvPicPr>
        <xdr:cNvPr id="3080" name="image12.png">
          <a:extLst>
            <a:ext uri="{FF2B5EF4-FFF2-40B4-BE49-F238E27FC236}">
              <a16:creationId xmlns:a16="http://schemas.microsoft.com/office/drawing/2014/main" id="{00000000-0008-0000-0200-000008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2005</xdr:row>
      <xdr:rowOff>0</xdr:rowOff>
    </xdr:from>
    <xdr:ext cx="200025" cy="200025"/>
    <xdr:pic>
      <xdr:nvPicPr>
        <xdr:cNvPr id="3081" name="image3.png">
          <a:extLst>
            <a:ext uri="{FF2B5EF4-FFF2-40B4-BE49-F238E27FC236}">
              <a16:creationId xmlns:a16="http://schemas.microsoft.com/office/drawing/2014/main" id="{00000000-0008-0000-0200-0000090C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2005</xdr:row>
      <xdr:rowOff>0</xdr:rowOff>
    </xdr:from>
    <xdr:ext cx="200025" cy="200025"/>
    <xdr:pic>
      <xdr:nvPicPr>
        <xdr:cNvPr id="3082" name="image7.png">
          <a:extLst>
            <a:ext uri="{FF2B5EF4-FFF2-40B4-BE49-F238E27FC236}">
              <a16:creationId xmlns:a16="http://schemas.microsoft.com/office/drawing/2014/main" id="{00000000-0008-0000-0200-00000A0C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2005</xdr:row>
      <xdr:rowOff>0</xdr:rowOff>
    </xdr:from>
    <xdr:ext cx="200025" cy="200025"/>
    <xdr:pic>
      <xdr:nvPicPr>
        <xdr:cNvPr id="3083" name="image2.png">
          <a:extLst>
            <a:ext uri="{FF2B5EF4-FFF2-40B4-BE49-F238E27FC236}">
              <a16:creationId xmlns:a16="http://schemas.microsoft.com/office/drawing/2014/main" id="{00000000-0008-0000-0200-00000B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2006</xdr:row>
      <xdr:rowOff>0</xdr:rowOff>
    </xdr:from>
    <xdr:ext cx="200025" cy="200025"/>
    <xdr:pic>
      <xdr:nvPicPr>
        <xdr:cNvPr id="3084" name="image2.png">
          <a:extLst>
            <a:ext uri="{FF2B5EF4-FFF2-40B4-BE49-F238E27FC236}">
              <a16:creationId xmlns:a16="http://schemas.microsoft.com/office/drawing/2014/main" id="{00000000-0008-0000-0200-00000C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2007</xdr:row>
      <xdr:rowOff>0</xdr:rowOff>
    </xdr:from>
    <xdr:ext cx="200025" cy="200025"/>
    <xdr:pic>
      <xdr:nvPicPr>
        <xdr:cNvPr id="3085" name="image2.png">
          <a:extLst>
            <a:ext uri="{FF2B5EF4-FFF2-40B4-BE49-F238E27FC236}">
              <a16:creationId xmlns:a16="http://schemas.microsoft.com/office/drawing/2014/main" id="{00000000-0008-0000-0200-00000D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2008</xdr:row>
      <xdr:rowOff>0</xdr:rowOff>
    </xdr:from>
    <xdr:ext cx="200025" cy="200025"/>
    <xdr:pic>
      <xdr:nvPicPr>
        <xdr:cNvPr id="3086" name="image8.png">
          <a:extLst>
            <a:ext uri="{FF2B5EF4-FFF2-40B4-BE49-F238E27FC236}">
              <a16:creationId xmlns:a16="http://schemas.microsoft.com/office/drawing/2014/main" id="{00000000-0008-0000-0200-00000E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2008</xdr:row>
      <xdr:rowOff>0</xdr:rowOff>
    </xdr:from>
    <xdr:ext cx="200025" cy="200025"/>
    <xdr:pic>
      <xdr:nvPicPr>
        <xdr:cNvPr id="3087" name="image1.png">
          <a:extLst>
            <a:ext uri="{FF2B5EF4-FFF2-40B4-BE49-F238E27FC236}">
              <a16:creationId xmlns:a16="http://schemas.microsoft.com/office/drawing/2014/main" id="{00000000-0008-0000-0200-00000F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2008</xdr:row>
      <xdr:rowOff>0</xdr:rowOff>
    </xdr:from>
    <xdr:ext cx="200025" cy="200025"/>
    <xdr:pic>
      <xdr:nvPicPr>
        <xdr:cNvPr id="3088" name="image5.png">
          <a:extLst>
            <a:ext uri="{FF2B5EF4-FFF2-40B4-BE49-F238E27FC236}">
              <a16:creationId xmlns:a16="http://schemas.microsoft.com/office/drawing/2014/main" id="{00000000-0008-0000-0200-000010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2008</xdr:row>
      <xdr:rowOff>0</xdr:rowOff>
    </xdr:from>
    <xdr:ext cx="200025" cy="200025"/>
    <xdr:pic>
      <xdr:nvPicPr>
        <xdr:cNvPr id="3089" name="image12.png">
          <a:extLst>
            <a:ext uri="{FF2B5EF4-FFF2-40B4-BE49-F238E27FC236}">
              <a16:creationId xmlns:a16="http://schemas.microsoft.com/office/drawing/2014/main" id="{00000000-0008-0000-0200-000011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2008</xdr:row>
      <xdr:rowOff>0</xdr:rowOff>
    </xdr:from>
    <xdr:ext cx="200025" cy="200025"/>
    <xdr:pic>
      <xdr:nvPicPr>
        <xdr:cNvPr id="3090" name="image10.png">
          <a:extLst>
            <a:ext uri="{FF2B5EF4-FFF2-40B4-BE49-F238E27FC236}">
              <a16:creationId xmlns:a16="http://schemas.microsoft.com/office/drawing/2014/main" id="{00000000-0008-0000-0200-000012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2009</xdr:row>
      <xdr:rowOff>0</xdr:rowOff>
    </xdr:from>
    <xdr:ext cx="200025" cy="200025"/>
    <xdr:pic>
      <xdr:nvPicPr>
        <xdr:cNvPr id="3091" name="image10.png">
          <a:extLst>
            <a:ext uri="{FF2B5EF4-FFF2-40B4-BE49-F238E27FC236}">
              <a16:creationId xmlns:a16="http://schemas.microsoft.com/office/drawing/2014/main" id="{00000000-0008-0000-0200-000013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2014</xdr:row>
      <xdr:rowOff>0</xdr:rowOff>
    </xdr:from>
    <xdr:ext cx="200025" cy="200025"/>
    <xdr:pic>
      <xdr:nvPicPr>
        <xdr:cNvPr id="3092" name="image8.png">
          <a:extLst>
            <a:ext uri="{FF2B5EF4-FFF2-40B4-BE49-F238E27FC236}">
              <a16:creationId xmlns:a16="http://schemas.microsoft.com/office/drawing/2014/main" id="{00000000-0008-0000-0200-000014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2014</xdr:row>
      <xdr:rowOff>0</xdr:rowOff>
    </xdr:from>
    <xdr:ext cx="200025" cy="200025"/>
    <xdr:pic>
      <xdr:nvPicPr>
        <xdr:cNvPr id="3093" name="image12.png">
          <a:extLst>
            <a:ext uri="{FF2B5EF4-FFF2-40B4-BE49-F238E27FC236}">
              <a16:creationId xmlns:a16="http://schemas.microsoft.com/office/drawing/2014/main" id="{00000000-0008-0000-0200-000015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2014</xdr:row>
      <xdr:rowOff>0</xdr:rowOff>
    </xdr:from>
    <xdr:ext cx="200025" cy="200025"/>
    <xdr:pic>
      <xdr:nvPicPr>
        <xdr:cNvPr id="3094" name="image3.png">
          <a:extLst>
            <a:ext uri="{FF2B5EF4-FFF2-40B4-BE49-F238E27FC236}">
              <a16:creationId xmlns:a16="http://schemas.microsoft.com/office/drawing/2014/main" id="{00000000-0008-0000-0200-0000160C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2014</xdr:row>
      <xdr:rowOff>0</xdr:rowOff>
    </xdr:from>
    <xdr:ext cx="200025" cy="200025"/>
    <xdr:pic>
      <xdr:nvPicPr>
        <xdr:cNvPr id="3095" name="image2.png">
          <a:extLst>
            <a:ext uri="{FF2B5EF4-FFF2-40B4-BE49-F238E27FC236}">
              <a16:creationId xmlns:a16="http://schemas.microsoft.com/office/drawing/2014/main" id="{00000000-0008-0000-0200-000017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2015</xdr:row>
      <xdr:rowOff>0</xdr:rowOff>
    </xdr:from>
    <xdr:ext cx="200025" cy="200025"/>
    <xdr:pic>
      <xdr:nvPicPr>
        <xdr:cNvPr id="3096" name="image2.png">
          <a:extLst>
            <a:ext uri="{FF2B5EF4-FFF2-40B4-BE49-F238E27FC236}">
              <a16:creationId xmlns:a16="http://schemas.microsoft.com/office/drawing/2014/main" id="{00000000-0008-0000-0200-000018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2016</xdr:row>
      <xdr:rowOff>0</xdr:rowOff>
    </xdr:from>
    <xdr:ext cx="200025" cy="200025"/>
    <xdr:pic>
      <xdr:nvPicPr>
        <xdr:cNvPr id="3097" name="image10.png">
          <a:extLst>
            <a:ext uri="{FF2B5EF4-FFF2-40B4-BE49-F238E27FC236}">
              <a16:creationId xmlns:a16="http://schemas.microsoft.com/office/drawing/2014/main" id="{00000000-0008-0000-0200-000019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2016</xdr:row>
      <xdr:rowOff>0</xdr:rowOff>
    </xdr:from>
    <xdr:ext cx="200025" cy="200025"/>
    <xdr:pic>
      <xdr:nvPicPr>
        <xdr:cNvPr id="3098" name="image6.png">
          <a:extLst>
            <a:ext uri="{FF2B5EF4-FFF2-40B4-BE49-F238E27FC236}">
              <a16:creationId xmlns:a16="http://schemas.microsoft.com/office/drawing/2014/main" id="{00000000-0008-0000-0200-00001A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2016</xdr:row>
      <xdr:rowOff>0</xdr:rowOff>
    </xdr:from>
    <xdr:ext cx="200025" cy="200025"/>
    <xdr:pic>
      <xdr:nvPicPr>
        <xdr:cNvPr id="3099" name="image12.png">
          <a:extLst>
            <a:ext uri="{FF2B5EF4-FFF2-40B4-BE49-F238E27FC236}">
              <a16:creationId xmlns:a16="http://schemas.microsoft.com/office/drawing/2014/main" id="{00000000-0008-0000-0200-00001B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2016</xdr:row>
      <xdr:rowOff>0</xdr:rowOff>
    </xdr:from>
    <xdr:ext cx="200025" cy="200025"/>
    <xdr:pic>
      <xdr:nvPicPr>
        <xdr:cNvPr id="3100" name="image3.png">
          <a:extLst>
            <a:ext uri="{FF2B5EF4-FFF2-40B4-BE49-F238E27FC236}">
              <a16:creationId xmlns:a16="http://schemas.microsoft.com/office/drawing/2014/main" id="{00000000-0008-0000-0200-00001C0C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2016</xdr:row>
      <xdr:rowOff>0</xdr:rowOff>
    </xdr:from>
    <xdr:ext cx="200025" cy="200025"/>
    <xdr:pic>
      <xdr:nvPicPr>
        <xdr:cNvPr id="3101" name="image8.png">
          <a:extLst>
            <a:ext uri="{FF2B5EF4-FFF2-40B4-BE49-F238E27FC236}">
              <a16:creationId xmlns:a16="http://schemas.microsoft.com/office/drawing/2014/main" id="{00000000-0008-0000-0200-00001D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2017</xdr:row>
      <xdr:rowOff>0</xdr:rowOff>
    </xdr:from>
    <xdr:ext cx="200025" cy="200025"/>
    <xdr:pic>
      <xdr:nvPicPr>
        <xdr:cNvPr id="3102" name="image8.png">
          <a:extLst>
            <a:ext uri="{FF2B5EF4-FFF2-40B4-BE49-F238E27FC236}">
              <a16:creationId xmlns:a16="http://schemas.microsoft.com/office/drawing/2014/main" id="{00000000-0008-0000-0200-00001E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2018</xdr:row>
      <xdr:rowOff>0</xdr:rowOff>
    </xdr:from>
    <xdr:ext cx="200025" cy="200025"/>
    <xdr:pic>
      <xdr:nvPicPr>
        <xdr:cNvPr id="3103" name="image10.png">
          <a:extLst>
            <a:ext uri="{FF2B5EF4-FFF2-40B4-BE49-F238E27FC236}">
              <a16:creationId xmlns:a16="http://schemas.microsoft.com/office/drawing/2014/main" id="{00000000-0008-0000-0200-00001F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2018</xdr:row>
      <xdr:rowOff>0</xdr:rowOff>
    </xdr:from>
    <xdr:ext cx="200025" cy="200025"/>
    <xdr:pic>
      <xdr:nvPicPr>
        <xdr:cNvPr id="3104" name="image4.png">
          <a:extLst>
            <a:ext uri="{FF2B5EF4-FFF2-40B4-BE49-F238E27FC236}">
              <a16:creationId xmlns:a16="http://schemas.microsoft.com/office/drawing/2014/main" id="{00000000-0008-0000-0200-000020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2018</xdr:row>
      <xdr:rowOff>0</xdr:rowOff>
    </xdr:from>
    <xdr:ext cx="200025" cy="200025"/>
    <xdr:pic>
      <xdr:nvPicPr>
        <xdr:cNvPr id="3105" name="image7.png">
          <a:extLst>
            <a:ext uri="{FF2B5EF4-FFF2-40B4-BE49-F238E27FC236}">
              <a16:creationId xmlns:a16="http://schemas.microsoft.com/office/drawing/2014/main" id="{00000000-0008-0000-0200-0000210C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0</xdr:colOff>
      <xdr:row>2018</xdr:row>
      <xdr:rowOff>0</xdr:rowOff>
    </xdr:from>
    <xdr:ext cx="200025" cy="200025"/>
    <xdr:pic>
      <xdr:nvPicPr>
        <xdr:cNvPr id="3106" name="image11.png">
          <a:extLst>
            <a:ext uri="{FF2B5EF4-FFF2-40B4-BE49-F238E27FC236}">
              <a16:creationId xmlns:a16="http://schemas.microsoft.com/office/drawing/2014/main" id="{00000000-0008-0000-0200-0000220C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2019</xdr:row>
      <xdr:rowOff>0</xdr:rowOff>
    </xdr:from>
    <xdr:ext cx="200025" cy="200025"/>
    <xdr:pic>
      <xdr:nvPicPr>
        <xdr:cNvPr id="3107" name="image1.png">
          <a:extLst>
            <a:ext uri="{FF2B5EF4-FFF2-40B4-BE49-F238E27FC236}">
              <a16:creationId xmlns:a16="http://schemas.microsoft.com/office/drawing/2014/main" id="{00000000-0008-0000-0200-000023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2020</xdr:row>
      <xdr:rowOff>0</xdr:rowOff>
    </xdr:from>
    <xdr:ext cx="200025" cy="200025"/>
    <xdr:pic>
      <xdr:nvPicPr>
        <xdr:cNvPr id="3108" name="image1.png">
          <a:extLst>
            <a:ext uri="{FF2B5EF4-FFF2-40B4-BE49-F238E27FC236}">
              <a16:creationId xmlns:a16="http://schemas.microsoft.com/office/drawing/2014/main" id="{00000000-0008-0000-0200-000024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2021</xdr:row>
      <xdr:rowOff>0</xdr:rowOff>
    </xdr:from>
    <xdr:ext cx="200025" cy="200025"/>
    <xdr:pic>
      <xdr:nvPicPr>
        <xdr:cNvPr id="3109" name="image10.png">
          <a:extLst>
            <a:ext uri="{FF2B5EF4-FFF2-40B4-BE49-F238E27FC236}">
              <a16:creationId xmlns:a16="http://schemas.microsoft.com/office/drawing/2014/main" id="{00000000-0008-0000-0200-000025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2021</xdr:row>
      <xdr:rowOff>0</xdr:rowOff>
    </xdr:from>
    <xdr:ext cx="200025" cy="200025"/>
    <xdr:pic>
      <xdr:nvPicPr>
        <xdr:cNvPr id="3110" name="image1.png">
          <a:extLst>
            <a:ext uri="{FF2B5EF4-FFF2-40B4-BE49-F238E27FC236}">
              <a16:creationId xmlns:a16="http://schemas.microsoft.com/office/drawing/2014/main" id="{00000000-0008-0000-0200-000026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2021</xdr:row>
      <xdr:rowOff>0</xdr:rowOff>
    </xdr:from>
    <xdr:ext cx="200025" cy="200025"/>
    <xdr:pic>
      <xdr:nvPicPr>
        <xdr:cNvPr id="3111" name="image5.png">
          <a:extLst>
            <a:ext uri="{FF2B5EF4-FFF2-40B4-BE49-F238E27FC236}">
              <a16:creationId xmlns:a16="http://schemas.microsoft.com/office/drawing/2014/main" id="{00000000-0008-0000-0200-000027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2021</xdr:row>
      <xdr:rowOff>0</xdr:rowOff>
    </xdr:from>
    <xdr:ext cx="200025" cy="200025"/>
    <xdr:pic>
      <xdr:nvPicPr>
        <xdr:cNvPr id="3112" name="image7.png">
          <a:extLst>
            <a:ext uri="{FF2B5EF4-FFF2-40B4-BE49-F238E27FC236}">
              <a16:creationId xmlns:a16="http://schemas.microsoft.com/office/drawing/2014/main" id="{00000000-0008-0000-0200-0000280C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2021</xdr:row>
      <xdr:rowOff>0</xdr:rowOff>
    </xdr:from>
    <xdr:ext cx="200025" cy="200025"/>
    <xdr:pic>
      <xdr:nvPicPr>
        <xdr:cNvPr id="3113" name="image9.png">
          <a:extLst>
            <a:ext uri="{FF2B5EF4-FFF2-40B4-BE49-F238E27FC236}">
              <a16:creationId xmlns:a16="http://schemas.microsoft.com/office/drawing/2014/main" id="{00000000-0008-0000-0200-000029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2022</xdr:row>
      <xdr:rowOff>0</xdr:rowOff>
    </xdr:from>
    <xdr:ext cx="200025" cy="200025"/>
    <xdr:pic>
      <xdr:nvPicPr>
        <xdr:cNvPr id="3114" name="image9.png">
          <a:extLst>
            <a:ext uri="{FF2B5EF4-FFF2-40B4-BE49-F238E27FC236}">
              <a16:creationId xmlns:a16="http://schemas.microsoft.com/office/drawing/2014/main" id="{00000000-0008-0000-0200-00002A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2025</xdr:row>
      <xdr:rowOff>0</xdr:rowOff>
    </xdr:from>
    <xdr:ext cx="200025" cy="200025"/>
    <xdr:pic>
      <xdr:nvPicPr>
        <xdr:cNvPr id="3115" name="image8.png">
          <a:extLst>
            <a:ext uri="{FF2B5EF4-FFF2-40B4-BE49-F238E27FC236}">
              <a16:creationId xmlns:a16="http://schemas.microsoft.com/office/drawing/2014/main" id="{00000000-0008-0000-0200-00002B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2025</xdr:row>
      <xdr:rowOff>0</xdr:rowOff>
    </xdr:from>
    <xdr:ext cx="200025" cy="200025"/>
    <xdr:pic>
      <xdr:nvPicPr>
        <xdr:cNvPr id="3116" name="image7.png">
          <a:extLst>
            <a:ext uri="{FF2B5EF4-FFF2-40B4-BE49-F238E27FC236}">
              <a16:creationId xmlns:a16="http://schemas.microsoft.com/office/drawing/2014/main" id="{00000000-0008-0000-0200-00002C0C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2025</xdr:row>
      <xdr:rowOff>0</xdr:rowOff>
    </xdr:from>
    <xdr:ext cx="200025" cy="200025"/>
    <xdr:pic>
      <xdr:nvPicPr>
        <xdr:cNvPr id="3117" name="image11.png">
          <a:extLst>
            <a:ext uri="{FF2B5EF4-FFF2-40B4-BE49-F238E27FC236}">
              <a16:creationId xmlns:a16="http://schemas.microsoft.com/office/drawing/2014/main" id="{00000000-0008-0000-0200-00002D0C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2026</xdr:row>
      <xdr:rowOff>0</xdr:rowOff>
    </xdr:from>
    <xdr:ext cx="200025" cy="200025"/>
    <xdr:pic>
      <xdr:nvPicPr>
        <xdr:cNvPr id="3118" name="image1.png">
          <a:extLst>
            <a:ext uri="{FF2B5EF4-FFF2-40B4-BE49-F238E27FC236}">
              <a16:creationId xmlns:a16="http://schemas.microsoft.com/office/drawing/2014/main" id="{00000000-0008-0000-0200-00002E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2027</xdr:row>
      <xdr:rowOff>0</xdr:rowOff>
    </xdr:from>
    <xdr:ext cx="200025" cy="200025"/>
    <xdr:pic>
      <xdr:nvPicPr>
        <xdr:cNvPr id="3119" name="image1.png">
          <a:extLst>
            <a:ext uri="{FF2B5EF4-FFF2-40B4-BE49-F238E27FC236}">
              <a16:creationId xmlns:a16="http://schemas.microsoft.com/office/drawing/2014/main" id="{00000000-0008-0000-0200-00002F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2028</xdr:row>
      <xdr:rowOff>0</xdr:rowOff>
    </xdr:from>
    <xdr:ext cx="200025" cy="200025"/>
    <xdr:pic>
      <xdr:nvPicPr>
        <xdr:cNvPr id="3120" name="image8.png">
          <a:extLst>
            <a:ext uri="{FF2B5EF4-FFF2-40B4-BE49-F238E27FC236}">
              <a16:creationId xmlns:a16="http://schemas.microsoft.com/office/drawing/2014/main" id="{00000000-0008-0000-0200-000030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2028</xdr:row>
      <xdr:rowOff>0</xdr:rowOff>
    </xdr:from>
    <xdr:ext cx="200025" cy="200025"/>
    <xdr:pic>
      <xdr:nvPicPr>
        <xdr:cNvPr id="3121" name="image5.png">
          <a:extLst>
            <a:ext uri="{FF2B5EF4-FFF2-40B4-BE49-F238E27FC236}">
              <a16:creationId xmlns:a16="http://schemas.microsoft.com/office/drawing/2014/main" id="{00000000-0008-0000-0200-000031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2028</xdr:row>
      <xdr:rowOff>0</xdr:rowOff>
    </xdr:from>
    <xdr:ext cx="200025" cy="200025"/>
    <xdr:pic>
      <xdr:nvPicPr>
        <xdr:cNvPr id="3122" name="image4.png">
          <a:extLst>
            <a:ext uri="{FF2B5EF4-FFF2-40B4-BE49-F238E27FC236}">
              <a16:creationId xmlns:a16="http://schemas.microsoft.com/office/drawing/2014/main" id="{00000000-0008-0000-0200-000032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2028</xdr:row>
      <xdr:rowOff>0</xdr:rowOff>
    </xdr:from>
    <xdr:ext cx="200025" cy="200025"/>
    <xdr:pic>
      <xdr:nvPicPr>
        <xdr:cNvPr id="3123" name="image10.png">
          <a:extLst>
            <a:ext uri="{FF2B5EF4-FFF2-40B4-BE49-F238E27FC236}">
              <a16:creationId xmlns:a16="http://schemas.microsoft.com/office/drawing/2014/main" id="{00000000-0008-0000-0200-000033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2029</xdr:row>
      <xdr:rowOff>0</xdr:rowOff>
    </xdr:from>
    <xdr:ext cx="200025" cy="200025"/>
    <xdr:pic>
      <xdr:nvPicPr>
        <xdr:cNvPr id="3124" name="image10.png">
          <a:extLst>
            <a:ext uri="{FF2B5EF4-FFF2-40B4-BE49-F238E27FC236}">
              <a16:creationId xmlns:a16="http://schemas.microsoft.com/office/drawing/2014/main" id="{00000000-0008-0000-0200-000034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2030</xdr:row>
      <xdr:rowOff>0</xdr:rowOff>
    </xdr:from>
    <xdr:ext cx="200025" cy="200025"/>
    <xdr:pic>
      <xdr:nvPicPr>
        <xdr:cNvPr id="3125" name="image10.png">
          <a:extLst>
            <a:ext uri="{FF2B5EF4-FFF2-40B4-BE49-F238E27FC236}">
              <a16:creationId xmlns:a16="http://schemas.microsoft.com/office/drawing/2014/main" id="{00000000-0008-0000-0200-000035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2031</xdr:row>
      <xdr:rowOff>0</xdr:rowOff>
    </xdr:from>
    <xdr:ext cx="200025" cy="200025"/>
    <xdr:pic>
      <xdr:nvPicPr>
        <xdr:cNvPr id="3126" name="image10.png">
          <a:extLst>
            <a:ext uri="{FF2B5EF4-FFF2-40B4-BE49-F238E27FC236}">
              <a16:creationId xmlns:a16="http://schemas.microsoft.com/office/drawing/2014/main" id="{00000000-0008-0000-0200-000036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2031</xdr:row>
      <xdr:rowOff>0</xdr:rowOff>
    </xdr:from>
    <xdr:ext cx="200025" cy="200025"/>
    <xdr:pic>
      <xdr:nvPicPr>
        <xdr:cNvPr id="3127" name="image9.png">
          <a:extLst>
            <a:ext uri="{FF2B5EF4-FFF2-40B4-BE49-F238E27FC236}">
              <a16:creationId xmlns:a16="http://schemas.microsoft.com/office/drawing/2014/main" id="{00000000-0008-0000-0200-000037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2031</xdr:row>
      <xdr:rowOff>0</xdr:rowOff>
    </xdr:from>
    <xdr:ext cx="200025" cy="200025"/>
    <xdr:pic>
      <xdr:nvPicPr>
        <xdr:cNvPr id="3128" name="image1.png">
          <a:extLst>
            <a:ext uri="{FF2B5EF4-FFF2-40B4-BE49-F238E27FC236}">
              <a16:creationId xmlns:a16="http://schemas.microsoft.com/office/drawing/2014/main" id="{00000000-0008-0000-0200-000038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2031</xdr:row>
      <xdr:rowOff>0</xdr:rowOff>
    </xdr:from>
    <xdr:ext cx="200025" cy="200025"/>
    <xdr:pic>
      <xdr:nvPicPr>
        <xdr:cNvPr id="3129" name="image4.png">
          <a:extLst>
            <a:ext uri="{FF2B5EF4-FFF2-40B4-BE49-F238E27FC236}">
              <a16:creationId xmlns:a16="http://schemas.microsoft.com/office/drawing/2014/main" id="{00000000-0008-0000-0200-000039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2032</xdr:row>
      <xdr:rowOff>0</xdr:rowOff>
    </xdr:from>
    <xdr:ext cx="200025" cy="200025"/>
    <xdr:pic>
      <xdr:nvPicPr>
        <xdr:cNvPr id="3130" name="image2.png">
          <a:extLst>
            <a:ext uri="{FF2B5EF4-FFF2-40B4-BE49-F238E27FC236}">
              <a16:creationId xmlns:a16="http://schemas.microsoft.com/office/drawing/2014/main" id="{00000000-0008-0000-0200-00003A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2033</xdr:row>
      <xdr:rowOff>0</xdr:rowOff>
    </xdr:from>
    <xdr:ext cx="200025" cy="200025"/>
    <xdr:pic>
      <xdr:nvPicPr>
        <xdr:cNvPr id="3131" name="image2.png">
          <a:extLst>
            <a:ext uri="{FF2B5EF4-FFF2-40B4-BE49-F238E27FC236}">
              <a16:creationId xmlns:a16="http://schemas.microsoft.com/office/drawing/2014/main" id="{00000000-0008-0000-0200-00003B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2037</xdr:row>
      <xdr:rowOff>0</xdr:rowOff>
    </xdr:from>
    <xdr:ext cx="200025" cy="200025"/>
    <xdr:pic>
      <xdr:nvPicPr>
        <xdr:cNvPr id="3132" name="image10.png">
          <a:extLst>
            <a:ext uri="{FF2B5EF4-FFF2-40B4-BE49-F238E27FC236}">
              <a16:creationId xmlns:a16="http://schemas.microsoft.com/office/drawing/2014/main" id="{00000000-0008-0000-0200-00003C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2037</xdr:row>
      <xdr:rowOff>0</xdr:rowOff>
    </xdr:from>
    <xdr:ext cx="200025" cy="200025"/>
    <xdr:pic>
      <xdr:nvPicPr>
        <xdr:cNvPr id="3133" name="image5.png">
          <a:extLst>
            <a:ext uri="{FF2B5EF4-FFF2-40B4-BE49-F238E27FC236}">
              <a16:creationId xmlns:a16="http://schemas.microsoft.com/office/drawing/2014/main" id="{00000000-0008-0000-0200-00003D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2037</xdr:row>
      <xdr:rowOff>0</xdr:rowOff>
    </xdr:from>
    <xdr:ext cx="200025" cy="200025"/>
    <xdr:pic>
      <xdr:nvPicPr>
        <xdr:cNvPr id="3134" name="image10.png">
          <a:extLst>
            <a:ext uri="{FF2B5EF4-FFF2-40B4-BE49-F238E27FC236}">
              <a16:creationId xmlns:a16="http://schemas.microsoft.com/office/drawing/2014/main" id="{00000000-0008-0000-0200-00003E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2039</xdr:row>
      <xdr:rowOff>0</xdr:rowOff>
    </xdr:from>
    <xdr:ext cx="200025" cy="200025"/>
    <xdr:pic>
      <xdr:nvPicPr>
        <xdr:cNvPr id="3135" name="image10.png">
          <a:extLst>
            <a:ext uri="{FF2B5EF4-FFF2-40B4-BE49-F238E27FC236}">
              <a16:creationId xmlns:a16="http://schemas.microsoft.com/office/drawing/2014/main" id="{00000000-0008-0000-0200-00003F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2040</xdr:row>
      <xdr:rowOff>0</xdr:rowOff>
    </xdr:from>
    <xdr:ext cx="200025" cy="200025"/>
    <xdr:pic>
      <xdr:nvPicPr>
        <xdr:cNvPr id="3136" name="image10.png">
          <a:extLst>
            <a:ext uri="{FF2B5EF4-FFF2-40B4-BE49-F238E27FC236}">
              <a16:creationId xmlns:a16="http://schemas.microsoft.com/office/drawing/2014/main" id="{00000000-0008-0000-0200-000040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2040</xdr:row>
      <xdr:rowOff>0</xdr:rowOff>
    </xdr:from>
    <xdr:ext cx="200025" cy="200025"/>
    <xdr:pic>
      <xdr:nvPicPr>
        <xdr:cNvPr id="3137" name="image12.png">
          <a:extLst>
            <a:ext uri="{FF2B5EF4-FFF2-40B4-BE49-F238E27FC236}">
              <a16:creationId xmlns:a16="http://schemas.microsoft.com/office/drawing/2014/main" id="{00000000-0008-0000-0200-000041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2040</xdr:row>
      <xdr:rowOff>0</xdr:rowOff>
    </xdr:from>
    <xdr:ext cx="200025" cy="200025"/>
    <xdr:pic>
      <xdr:nvPicPr>
        <xdr:cNvPr id="3138" name="image3.png">
          <a:extLst>
            <a:ext uri="{FF2B5EF4-FFF2-40B4-BE49-F238E27FC236}">
              <a16:creationId xmlns:a16="http://schemas.microsoft.com/office/drawing/2014/main" id="{00000000-0008-0000-0200-0000420C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2040</xdr:row>
      <xdr:rowOff>0</xdr:rowOff>
    </xdr:from>
    <xdr:ext cx="200025" cy="200025"/>
    <xdr:pic>
      <xdr:nvPicPr>
        <xdr:cNvPr id="3139" name="image8.png">
          <a:extLst>
            <a:ext uri="{FF2B5EF4-FFF2-40B4-BE49-F238E27FC236}">
              <a16:creationId xmlns:a16="http://schemas.microsoft.com/office/drawing/2014/main" id="{00000000-0008-0000-0200-000043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2041</xdr:row>
      <xdr:rowOff>0</xdr:rowOff>
    </xdr:from>
    <xdr:ext cx="200025" cy="200025"/>
    <xdr:pic>
      <xdr:nvPicPr>
        <xdr:cNvPr id="3140" name="image8.png">
          <a:extLst>
            <a:ext uri="{FF2B5EF4-FFF2-40B4-BE49-F238E27FC236}">
              <a16:creationId xmlns:a16="http://schemas.microsoft.com/office/drawing/2014/main" id="{00000000-0008-0000-0200-000044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2042</xdr:row>
      <xdr:rowOff>0</xdr:rowOff>
    </xdr:from>
    <xdr:ext cx="200025" cy="200025"/>
    <xdr:pic>
      <xdr:nvPicPr>
        <xdr:cNvPr id="3141" name="image8.png">
          <a:extLst>
            <a:ext uri="{FF2B5EF4-FFF2-40B4-BE49-F238E27FC236}">
              <a16:creationId xmlns:a16="http://schemas.microsoft.com/office/drawing/2014/main" id="{00000000-0008-0000-0200-000045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2043</xdr:row>
      <xdr:rowOff>0</xdr:rowOff>
    </xdr:from>
    <xdr:ext cx="200025" cy="200025"/>
    <xdr:pic>
      <xdr:nvPicPr>
        <xdr:cNvPr id="3142" name="image8.png">
          <a:extLst>
            <a:ext uri="{FF2B5EF4-FFF2-40B4-BE49-F238E27FC236}">
              <a16:creationId xmlns:a16="http://schemas.microsoft.com/office/drawing/2014/main" id="{00000000-0008-0000-0200-000046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2043</xdr:row>
      <xdr:rowOff>0</xdr:rowOff>
    </xdr:from>
    <xdr:ext cx="200025" cy="200025"/>
    <xdr:pic>
      <xdr:nvPicPr>
        <xdr:cNvPr id="3143" name="image1.png">
          <a:extLst>
            <a:ext uri="{FF2B5EF4-FFF2-40B4-BE49-F238E27FC236}">
              <a16:creationId xmlns:a16="http://schemas.microsoft.com/office/drawing/2014/main" id="{00000000-0008-0000-0200-000047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2043</xdr:row>
      <xdr:rowOff>0</xdr:rowOff>
    </xdr:from>
    <xdr:ext cx="200025" cy="200025"/>
    <xdr:pic>
      <xdr:nvPicPr>
        <xdr:cNvPr id="3144" name="image5.png">
          <a:extLst>
            <a:ext uri="{FF2B5EF4-FFF2-40B4-BE49-F238E27FC236}">
              <a16:creationId xmlns:a16="http://schemas.microsoft.com/office/drawing/2014/main" id="{00000000-0008-0000-0200-000048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2043</xdr:row>
      <xdr:rowOff>0</xdr:rowOff>
    </xdr:from>
    <xdr:ext cx="200025" cy="200025"/>
    <xdr:pic>
      <xdr:nvPicPr>
        <xdr:cNvPr id="3145" name="image12.png">
          <a:extLst>
            <a:ext uri="{FF2B5EF4-FFF2-40B4-BE49-F238E27FC236}">
              <a16:creationId xmlns:a16="http://schemas.microsoft.com/office/drawing/2014/main" id="{00000000-0008-0000-0200-000049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2043</xdr:row>
      <xdr:rowOff>0</xdr:rowOff>
    </xdr:from>
    <xdr:ext cx="200025" cy="200025"/>
    <xdr:pic>
      <xdr:nvPicPr>
        <xdr:cNvPr id="3146" name="image10.png">
          <a:extLst>
            <a:ext uri="{FF2B5EF4-FFF2-40B4-BE49-F238E27FC236}">
              <a16:creationId xmlns:a16="http://schemas.microsoft.com/office/drawing/2014/main" id="{00000000-0008-0000-0200-00004A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2044</xdr:row>
      <xdr:rowOff>0</xdr:rowOff>
    </xdr:from>
    <xdr:ext cx="200025" cy="200025"/>
    <xdr:pic>
      <xdr:nvPicPr>
        <xdr:cNvPr id="3147" name="image10.png">
          <a:extLst>
            <a:ext uri="{FF2B5EF4-FFF2-40B4-BE49-F238E27FC236}">
              <a16:creationId xmlns:a16="http://schemas.microsoft.com/office/drawing/2014/main" id="{00000000-0008-0000-0200-00004B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2056</xdr:row>
      <xdr:rowOff>0</xdr:rowOff>
    </xdr:from>
    <xdr:ext cx="200025" cy="200025"/>
    <xdr:pic>
      <xdr:nvPicPr>
        <xdr:cNvPr id="3148" name="image9.png">
          <a:extLst>
            <a:ext uri="{FF2B5EF4-FFF2-40B4-BE49-F238E27FC236}">
              <a16:creationId xmlns:a16="http://schemas.microsoft.com/office/drawing/2014/main" id="{00000000-0008-0000-0200-00004C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2059</xdr:row>
      <xdr:rowOff>0</xdr:rowOff>
    </xdr:from>
    <xdr:ext cx="200025" cy="200025"/>
    <xdr:pic>
      <xdr:nvPicPr>
        <xdr:cNvPr id="3149" name="image10.png">
          <a:extLst>
            <a:ext uri="{FF2B5EF4-FFF2-40B4-BE49-F238E27FC236}">
              <a16:creationId xmlns:a16="http://schemas.microsoft.com/office/drawing/2014/main" id="{00000000-0008-0000-0200-00004D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2059</xdr:row>
      <xdr:rowOff>0</xdr:rowOff>
    </xdr:from>
    <xdr:ext cx="200025" cy="200025"/>
    <xdr:pic>
      <xdr:nvPicPr>
        <xdr:cNvPr id="3150" name="image2.png">
          <a:extLst>
            <a:ext uri="{FF2B5EF4-FFF2-40B4-BE49-F238E27FC236}">
              <a16:creationId xmlns:a16="http://schemas.microsoft.com/office/drawing/2014/main" id="{00000000-0008-0000-0200-00004E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2059</xdr:row>
      <xdr:rowOff>0</xdr:rowOff>
    </xdr:from>
    <xdr:ext cx="200025" cy="200025"/>
    <xdr:pic>
      <xdr:nvPicPr>
        <xdr:cNvPr id="3151" name="image12.png">
          <a:extLst>
            <a:ext uri="{FF2B5EF4-FFF2-40B4-BE49-F238E27FC236}">
              <a16:creationId xmlns:a16="http://schemas.microsoft.com/office/drawing/2014/main" id="{00000000-0008-0000-0200-00004F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12</xdr:col>
      <xdr:colOff>0</xdr:colOff>
      <xdr:row>2059</xdr:row>
      <xdr:rowOff>0</xdr:rowOff>
    </xdr:from>
    <xdr:ext cx="200025" cy="200025"/>
    <xdr:pic>
      <xdr:nvPicPr>
        <xdr:cNvPr id="3152" name="image4.png">
          <a:extLst>
            <a:ext uri="{FF2B5EF4-FFF2-40B4-BE49-F238E27FC236}">
              <a16:creationId xmlns:a16="http://schemas.microsoft.com/office/drawing/2014/main" id="{00000000-0008-0000-0200-000050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2059</xdr:row>
      <xdr:rowOff>0</xdr:rowOff>
    </xdr:from>
    <xdr:ext cx="200025" cy="200025"/>
    <xdr:pic>
      <xdr:nvPicPr>
        <xdr:cNvPr id="3153" name="image5.png">
          <a:extLst>
            <a:ext uri="{FF2B5EF4-FFF2-40B4-BE49-F238E27FC236}">
              <a16:creationId xmlns:a16="http://schemas.microsoft.com/office/drawing/2014/main" id="{00000000-0008-0000-0200-000051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2060</xdr:row>
      <xdr:rowOff>0</xdr:rowOff>
    </xdr:from>
    <xdr:ext cx="200025" cy="200025"/>
    <xdr:pic>
      <xdr:nvPicPr>
        <xdr:cNvPr id="3154" name="image5.png">
          <a:extLst>
            <a:ext uri="{FF2B5EF4-FFF2-40B4-BE49-F238E27FC236}">
              <a16:creationId xmlns:a16="http://schemas.microsoft.com/office/drawing/2014/main" id="{00000000-0008-0000-0200-000052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2061</xdr:row>
      <xdr:rowOff>0</xdr:rowOff>
    </xdr:from>
    <xdr:ext cx="200025" cy="200025"/>
    <xdr:pic>
      <xdr:nvPicPr>
        <xdr:cNvPr id="3155" name="image6.png">
          <a:extLst>
            <a:ext uri="{FF2B5EF4-FFF2-40B4-BE49-F238E27FC236}">
              <a16:creationId xmlns:a16="http://schemas.microsoft.com/office/drawing/2014/main" id="{00000000-0008-0000-0200-000053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0</xdr:colOff>
      <xdr:row>2062</xdr:row>
      <xdr:rowOff>0</xdr:rowOff>
    </xdr:from>
    <xdr:ext cx="200025" cy="200025"/>
    <xdr:pic>
      <xdr:nvPicPr>
        <xdr:cNvPr id="3156" name="image10.png">
          <a:extLst>
            <a:ext uri="{FF2B5EF4-FFF2-40B4-BE49-F238E27FC236}">
              <a16:creationId xmlns:a16="http://schemas.microsoft.com/office/drawing/2014/main" id="{00000000-0008-0000-0200-000054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2062</xdr:row>
      <xdr:rowOff>0</xdr:rowOff>
    </xdr:from>
    <xdr:ext cx="200025" cy="200025"/>
    <xdr:pic>
      <xdr:nvPicPr>
        <xdr:cNvPr id="3157" name="image6.png">
          <a:extLst>
            <a:ext uri="{FF2B5EF4-FFF2-40B4-BE49-F238E27FC236}">
              <a16:creationId xmlns:a16="http://schemas.microsoft.com/office/drawing/2014/main" id="{00000000-0008-0000-0200-000055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2062</xdr:row>
      <xdr:rowOff>0</xdr:rowOff>
    </xdr:from>
    <xdr:ext cx="200025" cy="200025"/>
    <xdr:pic>
      <xdr:nvPicPr>
        <xdr:cNvPr id="3158" name="image7.png">
          <a:extLst>
            <a:ext uri="{FF2B5EF4-FFF2-40B4-BE49-F238E27FC236}">
              <a16:creationId xmlns:a16="http://schemas.microsoft.com/office/drawing/2014/main" id="{00000000-0008-0000-0200-0000560C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0</xdr:colOff>
      <xdr:row>2062</xdr:row>
      <xdr:rowOff>0</xdr:rowOff>
    </xdr:from>
    <xdr:ext cx="200025" cy="200025"/>
    <xdr:pic>
      <xdr:nvPicPr>
        <xdr:cNvPr id="3159" name="image2.png">
          <a:extLst>
            <a:ext uri="{FF2B5EF4-FFF2-40B4-BE49-F238E27FC236}">
              <a16:creationId xmlns:a16="http://schemas.microsoft.com/office/drawing/2014/main" id="{00000000-0008-0000-0200-000057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2063</xdr:row>
      <xdr:rowOff>0</xdr:rowOff>
    </xdr:from>
    <xdr:ext cx="200025" cy="200025"/>
    <xdr:pic>
      <xdr:nvPicPr>
        <xdr:cNvPr id="3160" name="image2.png">
          <a:extLst>
            <a:ext uri="{FF2B5EF4-FFF2-40B4-BE49-F238E27FC236}">
              <a16:creationId xmlns:a16="http://schemas.microsoft.com/office/drawing/2014/main" id="{00000000-0008-0000-0200-000058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2064</xdr:row>
      <xdr:rowOff>0</xdr:rowOff>
    </xdr:from>
    <xdr:ext cx="200025" cy="200025"/>
    <xdr:pic>
      <xdr:nvPicPr>
        <xdr:cNvPr id="3161" name="image2.png">
          <a:extLst>
            <a:ext uri="{FF2B5EF4-FFF2-40B4-BE49-F238E27FC236}">
              <a16:creationId xmlns:a16="http://schemas.microsoft.com/office/drawing/2014/main" id="{00000000-0008-0000-0200-000059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2065</xdr:row>
      <xdr:rowOff>0</xdr:rowOff>
    </xdr:from>
    <xdr:ext cx="200025" cy="200025"/>
    <xdr:pic>
      <xdr:nvPicPr>
        <xdr:cNvPr id="3162" name="image8.png">
          <a:extLst>
            <a:ext uri="{FF2B5EF4-FFF2-40B4-BE49-F238E27FC236}">
              <a16:creationId xmlns:a16="http://schemas.microsoft.com/office/drawing/2014/main" id="{00000000-0008-0000-0200-00005A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2065</xdr:row>
      <xdr:rowOff>0</xdr:rowOff>
    </xdr:from>
    <xdr:ext cx="200025" cy="200025"/>
    <xdr:pic>
      <xdr:nvPicPr>
        <xdr:cNvPr id="3163" name="image2.png">
          <a:extLst>
            <a:ext uri="{FF2B5EF4-FFF2-40B4-BE49-F238E27FC236}">
              <a16:creationId xmlns:a16="http://schemas.microsoft.com/office/drawing/2014/main" id="{00000000-0008-0000-0200-00005B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2065</xdr:row>
      <xdr:rowOff>0</xdr:rowOff>
    </xdr:from>
    <xdr:ext cx="200025" cy="200025"/>
    <xdr:pic>
      <xdr:nvPicPr>
        <xdr:cNvPr id="3164" name="image4.png">
          <a:extLst>
            <a:ext uri="{FF2B5EF4-FFF2-40B4-BE49-F238E27FC236}">
              <a16:creationId xmlns:a16="http://schemas.microsoft.com/office/drawing/2014/main" id="{00000000-0008-0000-0200-00005C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0</xdr:colOff>
      <xdr:row>2065</xdr:row>
      <xdr:rowOff>0</xdr:rowOff>
    </xdr:from>
    <xdr:ext cx="200025" cy="200025"/>
    <xdr:pic>
      <xdr:nvPicPr>
        <xdr:cNvPr id="3165" name="image10.png">
          <a:extLst>
            <a:ext uri="{FF2B5EF4-FFF2-40B4-BE49-F238E27FC236}">
              <a16:creationId xmlns:a16="http://schemas.microsoft.com/office/drawing/2014/main" id="{00000000-0008-0000-0200-00005D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2066</xdr:row>
      <xdr:rowOff>0</xdr:rowOff>
    </xdr:from>
    <xdr:ext cx="200025" cy="200025"/>
    <xdr:pic>
      <xdr:nvPicPr>
        <xdr:cNvPr id="3166" name="image10.png">
          <a:extLst>
            <a:ext uri="{FF2B5EF4-FFF2-40B4-BE49-F238E27FC236}">
              <a16:creationId xmlns:a16="http://schemas.microsoft.com/office/drawing/2014/main" id="{00000000-0008-0000-0200-00005E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2067</xdr:row>
      <xdr:rowOff>0</xdr:rowOff>
    </xdr:from>
    <xdr:ext cx="200025" cy="200025"/>
    <xdr:pic>
      <xdr:nvPicPr>
        <xdr:cNvPr id="3167" name="image10.png">
          <a:extLst>
            <a:ext uri="{FF2B5EF4-FFF2-40B4-BE49-F238E27FC236}">
              <a16:creationId xmlns:a16="http://schemas.microsoft.com/office/drawing/2014/main" id="{00000000-0008-0000-0200-00005F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2067</xdr:row>
      <xdr:rowOff>0</xdr:rowOff>
    </xdr:from>
    <xdr:ext cx="200025" cy="200025"/>
    <xdr:pic>
      <xdr:nvPicPr>
        <xdr:cNvPr id="3168" name="image9.png">
          <a:extLst>
            <a:ext uri="{FF2B5EF4-FFF2-40B4-BE49-F238E27FC236}">
              <a16:creationId xmlns:a16="http://schemas.microsoft.com/office/drawing/2014/main" id="{00000000-0008-0000-0200-000060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2067</xdr:row>
      <xdr:rowOff>0</xdr:rowOff>
    </xdr:from>
    <xdr:ext cx="200025" cy="200025"/>
    <xdr:pic>
      <xdr:nvPicPr>
        <xdr:cNvPr id="3169" name="image12.png">
          <a:extLst>
            <a:ext uri="{FF2B5EF4-FFF2-40B4-BE49-F238E27FC236}">
              <a16:creationId xmlns:a16="http://schemas.microsoft.com/office/drawing/2014/main" id="{00000000-0008-0000-0200-0000610C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17</xdr:col>
      <xdr:colOff>0</xdr:colOff>
      <xdr:row>2068</xdr:row>
      <xdr:rowOff>0</xdr:rowOff>
    </xdr:from>
    <xdr:ext cx="200025" cy="200025"/>
    <xdr:pic>
      <xdr:nvPicPr>
        <xdr:cNvPr id="3170" name="image8.png">
          <a:extLst>
            <a:ext uri="{FF2B5EF4-FFF2-40B4-BE49-F238E27FC236}">
              <a16:creationId xmlns:a16="http://schemas.microsoft.com/office/drawing/2014/main" id="{00000000-0008-0000-0200-000062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2069</xdr:row>
      <xdr:rowOff>0</xdr:rowOff>
    </xdr:from>
    <xdr:ext cx="200025" cy="200025"/>
    <xdr:pic>
      <xdr:nvPicPr>
        <xdr:cNvPr id="3171" name="image8.png">
          <a:extLst>
            <a:ext uri="{FF2B5EF4-FFF2-40B4-BE49-F238E27FC236}">
              <a16:creationId xmlns:a16="http://schemas.microsoft.com/office/drawing/2014/main" id="{00000000-0008-0000-0200-000063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2070</xdr:row>
      <xdr:rowOff>0</xdr:rowOff>
    </xdr:from>
    <xdr:ext cx="200025" cy="200025"/>
    <xdr:pic>
      <xdr:nvPicPr>
        <xdr:cNvPr id="3172" name="image10.png">
          <a:extLst>
            <a:ext uri="{FF2B5EF4-FFF2-40B4-BE49-F238E27FC236}">
              <a16:creationId xmlns:a16="http://schemas.microsoft.com/office/drawing/2014/main" id="{00000000-0008-0000-0200-000064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2070</xdr:row>
      <xdr:rowOff>0</xdr:rowOff>
    </xdr:from>
    <xdr:ext cx="200025" cy="200025"/>
    <xdr:pic>
      <xdr:nvPicPr>
        <xdr:cNvPr id="3173" name="image6.png">
          <a:extLst>
            <a:ext uri="{FF2B5EF4-FFF2-40B4-BE49-F238E27FC236}">
              <a16:creationId xmlns:a16="http://schemas.microsoft.com/office/drawing/2014/main" id="{00000000-0008-0000-0200-000065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2070</xdr:row>
      <xdr:rowOff>0</xdr:rowOff>
    </xdr:from>
    <xdr:ext cx="200025" cy="200025"/>
    <xdr:pic>
      <xdr:nvPicPr>
        <xdr:cNvPr id="3174" name="image4.png">
          <a:extLst>
            <a:ext uri="{FF2B5EF4-FFF2-40B4-BE49-F238E27FC236}">
              <a16:creationId xmlns:a16="http://schemas.microsoft.com/office/drawing/2014/main" id="{00000000-0008-0000-0200-000066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0</xdr:colOff>
      <xdr:row>2072</xdr:row>
      <xdr:rowOff>0</xdr:rowOff>
    </xdr:from>
    <xdr:ext cx="200025" cy="200025"/>
    <xdr:pic>
      <xdr:nvPicPr>
        <xdr:cNvPr id="3175" name="image10.png">
          <a:extLst>
            <a:ext uri="{FF2B5EF4-FFF2-40B4-BE49-F238E27FC236}">
              <a16:creationId xmlns:a16="http://schemas.microsoft.com/office/drawing/2014/main" id="{00000000-0008-0000-0200-000067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2072</xdr:row>
      <xdr:rowOff>0</xdr:rowOff>
    </xdr:from>
    <xdr:ext cx="200025" cy="200025"/>
    <xdr:pic>
      <xdr:nvPicPr>
        <xdr:cNvPr id="3176" name="image9.png">
          <a:extLst>
            <a:ext uri="{FF2B5EF4-FFF2-40B4-BE49-F238E27FC236}">
              <a16:creationId xmlns:a16="http://schemas.microsoft.com/office/drawing/2014/main" id="{00000000-0008-0000-0200-000068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2072</xdr:row>
      <xdr:rowOff>0</xdr:rowOff>
    </xdr:from>
    <xdr:ext cx="200025" cy="200025"/>
    <xdr:pic>
      <xdr:nvPicPr>
        <xdr:cNvPr id="3177" name="image3.png">
          <a:extLst>
            <a:ext uri="{FF2B5EF4-FFF2-40B4-BE49-F238E27FC236}">
              <a16:creationId xmlns:a16="http://schemas.microsoft.com/office/drawing/2014/main" id="{00000000-0008-0000-0200-0000690C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0</xdr:colOff>
      <xdr:row>2073</xdr:row>
      <xdr:rowOff>0</xdr:rowOff>
    </xdr:from>
    <xdr:ext cx="200025" cy="200025"/>
    <xdr:pic>
      <xdr:nvPicPr>
        <xdr:cNvPr id="3178" name="image8.png">
          <a:extLst>
            <a:ext uri="{FF2B5EF4-FFF2-40B4-BE49-F238E27FC236}">
              <a16:creationId xmlns:a16="http://schemas.microsoft.com/office/drawing/2014/main" id="{00000000-0008-0000-0200-00006A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0</xdr:colOff>
      <xdr:row>2074</xdr:row>
      <xdr:rowOff>0</xdr:rowOff>
    </xdr:from>
    <xdr:ext cx="200025" cy="200025"/>
    <xdr:pic>
      <xdr:nvPicPr>
        <xdr:cNvPr id="3179" name="image8.png">
          <a:extLst>
            <a:ext uri="{FF2B5EF4-FFF2-40B4-BE49-F238E27FC236}">
              <a16:creationId xmlns:a16="http://schemas.microsoft.com/office/drawing/2014/main" id="{00000000-0008-0000-0200-00006B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2075</xdr:row>
      <xdr:rowOff>0</xdr:rowOff>
    </xdr:from>
    <xdr:ext cx="200025" cy="200025"/>
    <xdr:pic>
      <xdr:nvPicPr>
        <xdr:cNvPr id="3180" name="image10.png">
          <a:extLst>
            <a:ext uri="{FF2B5EF4-FFF2-40B4-BE49-F238E27FC236}">
              <a16:creationId xmlns:a16="http://schemas.microsoft.com/office/drawing/2014/main" id="{00000000-0008-0000-0200-00006C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2075</xdr:row>
      <xdr:rowOff>0</xdr:rowOff>
    </xdr:from>
    <xdr:ext cx="200025" cy="200025"/>
    <xdr:pic>
      <xdr:nvPicPr>
        <xdr:cNvPr id="3181" name="image1.png">
          <a:extLst>
            <a:ext uri="{FF2B5EF4-FFF2-40B4-BE49-F238E27FC236}">
              <a16:creationId xmlns:a16="http://schemas.microsoft.com/office/drawing/2014/main" id="{00000000-0008-0000-0200-00006D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2075</xdr:row>
      <xdr:rowOff>0</xdr:rowOff>
    </xdr:from>
    <xdr:ext cx="200025" cy="200025"/>
    <xdr:pic>
      <xdr:nvPicPr>
        <xdr:cNvPr id="3182" name="image11.png">
          <a:extLst>
            <a:ext uri="{FF2B5EF4-FFF2-40B4-BE49-F238E27FC236}">
              <a16:creationId xmlns:a16="http://schemas.microsoft.com/office/drawing/2014/main" id="{00000000-0008-0000-0200-00006E0C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2075</xdr:row>
      <xdr:rowOff>0</xdr:rowOff>
    </xdr:from>
    <xdr:ext cx="200025" cy="200025"/>
    <xdr:pic>
      <xdr:nvPicPr>
        <xdr:cNvPr id="3183" name="image10.png">
          <a:extLst>
            <a:ext uri="{FF2B5EF4-FFF2-40B4-BE49-F238E27FC236}">
              <a16:creationId xmlns:a16="http://schemas.microsoft.com/office/drawing/2014/main" id="{00000000-0008-0000-0200-00006F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2076</xdr:row>
      <xdr:rowOff>0</xdr:rowOff>
    </xdr:from>
    <xdr:ext cx="200025" cy="200025"/>
    <xdr:pic>
      <xdr:nvPicPr>
        <xdr:cNvPr id="3184" name="image10.png">
          <a:extLst>
            <a:ext uri="{FF2B5EF4-FFF2-40B4-BE49-F238E27FC236}">
              <a16:creationId xmlns:a16="http://schemas.microsoft.com/office/drawing/2014/main" id="{00000000-0008-0000-0200-000070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0</xdr:colOff>
      <xdr:row>2077</xdr:row>
      <xdr:rowOff>0</xdr:rowOff>
    </xdr:from>
    <xdr:ext cx="200025" cy="200025"/>
    <xdr:pic>
      <xdr:nvPicPr>
        <xdr:cNvPr id="3185" name="image10.png">
          <a:extLst>
            <a:ext uri="{FF2B5EF4-FFF2-40B4-BE49-F238E27FC236}">
              <a16:creationId xmlns:a16="http://schemas.microsoft.com/office/drawing/2014/main" id="{00000000-0008-0000-0200-000071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2082</xdr:row>
      <xdr:rowOff>0</xdr:rowOff>
    </xdr:from>
    <xdr:ext cx="200025" cy="200025"/>
    <xdr:pic>
      <xdr:nvPicPr>
        <xdr:cNvPr id="3186" name="image8.png">
          <a:extLst>
            <a:ext uri="{FF2B5EF4-FFF2-40B4-BE49-F238E27FC236}">
              <a16:creationId xmlns:a16="http://schemas.microsoft.com/office/drawing/2014/main" id="{00000000-0008-0000-0200-000072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2082</xdr:row>
      <xdr:rowOff>0</xdr:rowOff>
    </xdr:from>
    <xdr:ext cx="200025" cy="200025"/>
    <xdr:pic>
      <xdr:nvPicPr>
        <xdr:cNvPr id="3187" name="image6.png">
          <a:extLst>
            <a:ext uri="{FF2B5EF4-FFF2-40B4-BE49-F238E27FC236}">
              <a16:creationId xmlns:a16="http://schemas.microsoft.com/office/drawing/2014/main" id="{00000000-0008-0000-0200-000073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2082</xdr:row>
      <xdr:rowOff>0</xdr:rowOff>
    </xdr:from>
    <xdr:ext cx="200025" cy="200025"/>
    <xdr:pic>
      <xdr:nvPicPr>
        <xdr:cNvPr id="3188" name="image5.png">
          <a:extLst>
            <a:ext uri="{FF2B5EF4-FFF2-40B4-BE49-F238E27FC236}">
              <a16:creationId xmlns:a16="http://schemas.microsoft.com/office/drawing/2014/main" id="{00000000-0008-0000-0200-000074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2085</xdr:row>
      <xdr:rowOff>0</xdr:rowOff>
    </xdr:from>
    <xdr:ext cx="200025" cy="200025"/>
    <xdr:pic>
      <xdr:nvPicPr>
        <xdr:cNvPr id="3189" name="image10.png">
          <a:extLst>
            <a:ext uri="{FF2B5EF4-FFF2-40B4-BE49-F238E27FC236}">
              <a16:creationId xmlns:a16="http://schemas.microsoft.com/office/drawing/2014/main" id="{00000000-0008-0000-0200-0000750C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2085</xdr:row>
      <xdr:rowOff>0</xdr:rowOff>
    </xdr:from>
    <xdr:ext cx="200025" cy="200025"/>
    <xdr:pic>
      <xdr:nvPicPr>
        <xdr:cNvPr id="3190" name="image9.png">
          <a:extLst>
            <a:ext uri="{FF2B5EF4-FFF2-40B4-BE49-F238E27FC236}">
              <a16:creationId xmlns:a16="http://schemas.microsoft.com/office/drawing/2014/main" id="{00000000-0008-0000-0200-0000760C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2085</xdr:row>
      <xdr:rowOff>0</xdr:rowOff>
    </xdr:from>
    <xdr:ext cx="200025" cy="200025"/>
    <xdr:pic>
      <xdr:nvPicPr>
        <xdr:cNvPr id="3191" name="image5.png">
          <a:extLst>
            <a:ext uri="{FF2B5EF4-FFF2-40B4-BE49-F238E27FC236}">
              <a16:creationId xmlns:a16="http://schemas.microsoft.com/office/drawing/2014/main" id="{00000000-0008-0000-0200-000077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2085</xdr:row>
      <xdr:rowOff>0</xdr:rowOff>
    </xdr:from>
    <xdr:ext cx="200025" cy="200025"/>
    <xdr:pic>
      <xdr:nvPicPr>
        <xdr:cNvPr id="3192" name="image1.png">
          <a:extLst>
            <a:ext uri="{FF2B5EF4-FFF2-40B4-BE49-F238E27FC236}">
              <a16:creationId xmlns:a16="http://schemas.microsoft.com/office/drawing/2014/main" id="{00000000-0008-0000-0200-000078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2086</xdr:row>
      <xdr:rowOff>0</xdr:rowOff>
    </xdr:from>
    <xdr:ext cx="200025" cy="200025"/>
    <xdr:pic>
      <xdr:nvPicPr>
        <xdr:cNvPr id="3193" name="image1.png">
          <a:extLst>
            <a:ext uri="{FF2B5EF4-FFF2-40B4-BE49-F238E27FC236}">
              <a16:creationId xmlns:a16="http://schemas.microsoft.com/office/drawing/2014/main" id="{00000000-0008-0000-0200-000079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2087</xdr:row>
      <xdr:rowOff>0</xdr:rowOff>
    </xdr:from>
    <xdr:ext cx="200025" cy="200025"/>
    <xdr:pic>
      <xdr:nvPicPr>
        <xdr:cNvPr id="3194" name="image1.png">
          <a:extLst>
            <a:ext uri="{FF2B5EF4-FFF2-40B4-BE49-F238E27FC236}">
              <a16:creationId xmlns:a16="http://schemas.microsoft.com/office/drawing/2014/main" id="{00000000-0008-0000-0200-00007A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2090</xdr:row>
      <xdr:rowOff>0</xdr:rowOff>
    </xdr:from>
    <xdr:ext cx="200025" cy="200025"/>
    <xdr:pic>
      <xdr:nvPicPr>
        <xdr:cNvPr id="3195" name="image8.png">
          <a:extLst>
            <a:ext uri="{FF2B5EF4-FFF2-40B4-BE49-F238E27FC236}">
              <a16:creationId xmlns:a16="http://schemas.microsoft.com/office/drawing/2014/main" id="{00000000-0008-0000-0200-00007B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2090</xdr:row>
      <xdr:rowOff>0</xdr:rowOff>
    </xdr:from>
    <xdr:ext cx="200025" cy="200025"/>
    <xdr:pic>
      <xdr:nvPicPr>
        <xdr:cNvPr id="3196" name="image1.png">
          <a:extLst>
            <a:ext uri="{FF2B5EF4-FFF2-40B4-BE49-F238E27FC236}">
              <a16:creationId xmlns:a16="http://schemas.microsoft.com/office/drawing/2014/main" id="{00000000-0008-0000-0200-00007C0C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2090</xdr:row>
      <xdr:rowOff>0</xdr:rowOff>
    </xdr:from>
    <xdr:ext cx="200025" cy="200025"/>
    <xdr:pic>
      <xdr:nvPicPr>
        <xdr:cNvPr id="3197" name="image11.png">
          <a:extLst>
            <a:ext uri="{FF2B5EF4-FFF2-40B4-BE49-F238E27FC236}">
              <a16:creationId xmlns:a16="http://schemas.microsoft.com/office/drawing/2014/main" id="{00000000-0008-0000-0200-00007D0C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17</xdr:col>
      <xdr:colOff>0</xdr:colOff>
      <xdr:row>2090</xdr:row>
      <xdr:rowOff>0</xdr:rowOff>
    </xdr:from>
    <xdr:ext cx="200025" cy="200025"/>
    <xdr:pic>
      <xdr:nvPicPr>
        <xdr:cNvPr id="3198" name="image2.png">
          <a:extLst>
            <a:ext uri="{FF2B5EF4-FFF2-40B4-BE49-F238E27FC236}">
              <a16:creationId xmlns:a16="http://schemas.microsoft.com/office/drawing/2014/main" id="{00000000-0008-0000-0200-00007E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2091</xdr:row>
      <xdr:rowOff>0</xdr:rowOff>
    </xdr:from>
    <xdr:ext cx="200025" cy="200025"/>
    <xdr:pic>
      <xdr:nvPicPr>
        <xdr:cNvPr id="3199" name="image2.png">
          <a:extLst>
            <a:ext uri="{FF2B5EF4-FFF2-40B4-BE49-F238E27FC236}">
              <a16:creationId xmlns:a16="http://schemas.microsoft.com/office/drawing/2014/main" id="{00000000-0008-0000-0200-00007F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17</xdr:col>
      <xdr:colOff>0</xdr:colOff>
      <xdr:row>2092</xdr:row>
      <xdr:rowOff>0</xdr:rowOff>
    </xdr:from>
    <xdr:ext cx="200025" cy="200025"/>
    <xdr:pic>
      <xdr:nvPicPr>
        <xdr:cNvPr id="3200" name="image2.png">
          <a:extLst>
            <a:ext uri="{FF2B5EF4-FFF2-40B4-BE49-F238E27FC236}">
              <a16:creationId xmlns:a16="http://schemas.microsoft.com/office/drawing/2014/main" id="{00000000-0008-0000-0200-000080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9</xdr:col>
      <xdr:colOff>0</xdr:colOff>
      <xdr:row>2094</xdr:row>
      <xdr:rowOff>0</xdr:rowOff>
    </xdr:from>
    <xdr:ext cx="200025" cy="200025"/>
    <xdr:pic>
      <xdr:nvPicPr>
        <xdr:cNvPr id="3201" name="image8.png">
          <a:extLst>
            <a:ext uri="{FF2B5EF4-FFF2-40B4-BE49-F238E27FC236}">
              <a16:creationId xmlns:a16="http://schemas.microsoft.com/office/drawing/2014/main" id="{00000000-0008-0000-0200-0000810C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0</xdr:colOff>
      <xdr:row>2094</xdr:row>
      <xdr:rowOff>0</xdr:rowOff>
    </xdr:from>
    <xdr:ext cx="200025" cy="200025"/>
    <xdr:pic>
      <xdr:nvPicPr>
        <xdr:cNvPr id="3202" name="image2.png">
          <a:extLst>
            <a:ext uri="{FF2B5EF4-FFF2-40B4-BE49-F238E27FC236}">
              <a16:creationId xmlns:a16="http://schemas.microsoft.com/office/drawing/2014/main" id="{00000000-0008-0000-0200-0000820C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2094</xdr:row>
      <xdr:rowOff>0</xdr:rowOff>
    </xdr:from>
    <xdr:ext cx="200025" cy="200025"/>
    <xdr:pic>
      <xdr:nvPicPr>
        <xdr:cNvPr id="3203" name="image6.png">
          <a:extLst>
            <a:ext uri="{FF2B5EF4-FFF2-40B4-BE49-F238E27FC236}">
              <a16:creationId xmlns:a16="http://schemas.microsoft.com/office/drawing/2014/main" id="{00000000-0008-0000-0200-0000830C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2094</xdr:row>
      <xdr:rowOff>0</xdr:rowOff>
    </xdr:from>
    <xdr:ext cx="200025" cy="200025"/>
    <xdr:pic>
      <xdr:nvPicPr>
        <xdr:cNvPr id="3204" name="image5.png">
          <a:extLst>
            <a:ext uri="{FF2B5EF4-FFF2-40B4-BE49-F238E27FC236}">
              <a16:creationId xmlns:a16="http://schemas.microsoft.com/office/drawing/2014/main" id="{00000000-0008-0000-0200-0000840C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2094</xdr:row>
      <xdr:rowOff>0</xdr:rowOff>
    </xdr:from>
    <xdr:ext cx="200025" cy="200025"/>
    <xdr:pic>
      <xdr:nvPicPr>
        <xdr:cNvPr id="3205" name="image4.png">
          <a:extLst>
            <a:ext uri="{FF2B5EF4-FFF2-40B4-BE49-F238E27FC236}">
              <a16:creationId xmlns:a16="http://schemas.microsoft.com/office/drawing/2014/main" id="{00000000-0008-0000-0200-0000850C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3</xdr:row>
      <xdr:rowOff>0</xdr:rowOff>
    </xdr:from>
    <xdr:ext cx="200025" cy="200025"/>
    <xdr:pic>
      <xdr:nvPicPr>
        <xdr:cNvPr id="2" name="image10.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4</xdr:row>
      <xdr:rowOff>0</xdr:rowOff>
    </xdr:from>
    <xdr:ext cx="200025" cy="200025"/>
    <xdr:pic>
      <xdr:nvPicPr>
        <xdr:cNvPr id="3" name="image10.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5</xdr:row>
      <xdr:rowOff>0</xdr:rowOff>
    </xdr:from>
    <xdr:ext cx="200025" cy="200025"/>
    <xdr:pic>
      <xdr:nvPicPr>
        <xdr:cNvPr id="4" name="image10.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5</xdr:row>
      <xdr:rowOff>0</xdr:rowOff>
    </xdr:from>
    <xdr:ext cx="200025" cy="200025"/>
    <xdr:pic>
      <xdr:nvPicPr>
        <xdr:cNvPr id="5" name="image10.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200025" cy="200025"/>
    <xdr:pic>
      <xdr:nvPicPr>
        <xdr:cNvPr id="6" name="image10.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6</xdr:row>
      <xdr:rowOff>0</xdr:rowOff>
    </xdr:from>
    <xdr:ext cx="200025" cy="200025"/>
    <xdr:pic>
      <xdr:nvPicPr>
        <xdr:cNvPr id="7" name="image10.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7</xdr:row>
      <xdr:rowOff>0</xdr:rowOff>
    </xdr:from>
    <xdr:ext cx="200025" cy="200025"/>
    <xdr:pic>
      <xdr:nvPicPr>
        <xdr:cNvPr id="8" name="image10.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7</xdr:row>
      <xdr:rowOff>0</xdr:rowOff>
    </xdr:from>
    <xdr:ext cx="200025" cy="200025"/>
    <xdr:pic>
      <xdr:nvPicPr>
        <xdr:cNvPr id="9" name="image10.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8</xdr:row>
      <xdr:rowOff>0</xdr:rowOff>
    </xdr:from>
    <xdr:ext cx="200025" cy="200025"/>
    <xdr:pic>
      <xdr:nvPicPr>
        <xdr:cNvPr id="10" name="image10.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8</xdr:row>
      <xdr:rowOff>0</xdr:rowOff>
    </xdr:from>
    <xdr:ext cx="200025" cy="200025"/>
    <xdr:pic>
      <xdr:nvPicPr>
        <xdr:cNvPr id="11" name="image10.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9</xdr:row>
      <xdr:rowOff>0</xdr:rowOff>
    </xdr:from>
    <xdr:ext cx="200025" cy="200025"/>
    <xdr:pic>
      <xdr:nvPicPr>
        <xdr:cNvPr id="12" name="image10.pn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9</xdr:row>
      <xdr:rowOff>0</xdr:rowOff>
    </xdr:from>
    <xdr:ext cx="200025" cy="200025"/>
    <xdr:pic>
      <xdr:nvPicPr>
        <xdr:cNvPr id="13" name="image10.pn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10</xdr:row>
      <xdr:rowOff>0</xdr:rowOff>
    </xdr:from>
    <xdr:ext cx="200025" cy="200025"/>
    <xdr:pic>
      <xdr:nvPicPr>
        <xdr:cNvPr id="14" name="image10.pn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10</xdr:row>
      <xdr:rowOff>0</xdr:rowOff>
    </xdr:from>
    <xdr:ext cx="200025" cy="200025"/>
    <xdr:pic>
      <xdr:nvPicPr>
        <xdr:cNvPr id="15" name="image10.pn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11</xdr:row>
      <xdr:rowOff>0</xdr:rowOff>
    </xdr:from>
    <xdr:ext cx="200025" cy="200025"/>
    <xdr:pic>
      <xdr:nvPicPr>
        <xdr:cNvPr id="16" name="image10.pn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11</xdr:row>
      <xdr:rowOff>0</xdr:rowOff>
    </xdr:from>
    <xdr:ext cx="200025" cy="200025"/>
    <xdr:pic>
      <xdr:nvPicPr>
        <xdr:cNvPr id="17" name="image10.pn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12</xdr:row>
      <xdr:rowOff>0</xdr:rowOff>
    </xdr:from>
    <xdr:ext cx="200025" cy="200025"/>
    <xdr:pic>
      <xdr:nvPicPr>
        <xdr:cNvPr id="18" name="image10.pn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12</xdr:row>
      <xdr:rowOff>0</xdr:rowOff>
    </xdr:from>
    <xdr:ext cx="200025" cy="200025"/>
    <xdr:pic>
      <xdr:nvPicPr>
        <xdr:cNvPr id="19" name="image10.pn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13</xdr:row>
      <xdr:rowOff>0</xdr:rowOff>
    </xdr:from>
    <xdr:ext cx="200025" cy="200025"/>
    <xdr:pic>
      <xdr:nvPicPr>
        <xdr:cNvPr id="20" name="image10.pn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13</xdr:row>
      <xdr:rowOff>0</xdr:rowOff>
    </xdr:from>
    <xdr:ext cx="200025" cy="200025"/>
    <xdr:pic>
      <xdr:nvPicPr>
        <xdr:cNvPr id="21" name="image10.pn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14</xdr:row>
      <xdr:rowOff>0</xdr:rowOff>
    </xdr:from>
    <xdr:ext cx="200025" cy="200025"/>
    <xdr:pic>
      <xdr:nvPicPr>
        <xdr:cNvPr id="22" name="image10.pn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14</xdr:row>
      <xdr:rowOff>0</xdr:rowOff>
    </xdr:from>
    <xdr:ext cx="200025" cy="200025"/>
    <xdr:pic>
      <xdr:nvPicPr>
        <xdr:cNvPr id="23" name="image10.pn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15</xdr:row>
      <xdr:rowOff>0</xdr:rowOff>
    </xdr:from>
    <xdr:ext cx="200025" cy="200025"/>
    <xdr:pic>
      <xdr:nvPicPr>
        <xdr:cNvPr id="24" name="image10.png">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15</xdr:row>
      <xdr:rowOff>0</xdr:rowOff>
    </xdr:from>
    <xdr:ext cx="200025" cy="200025"/>
    <xdr:pic>
      <xdr:nvPicPr>
        <xdr:cNvPr id="25" name="image10.png">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16</xdr:row>
      <xdr:rowOff>0</xdr:rowOff>
    </xdr:from>
    <xdr:ext cx="200025" cy="200025"/>
    <xdr:pic>
      <xdr:nvPicPr>
        <xdr:cNvPr id="26" name="image10.png">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16</xdr:row>
      <xdr:rowOff>0</xdr:rowOff>
    </xdr:from>
    <xdr:ext cx="200025" cy="200025"/>
    <xdr:pic>
      <xdr:nvPicPr>
        <xdr:cNvPr id="27" name="image10.png">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17</xdr:row>
      <xdr:rowOff>0</xdr:rowOff>
    </xdr:from>
    <xdr:ext cx="200025" cy="200025"/>
    <xdr:pic>
      <xdr:nvPicPr>
        <xdr:cNvPr id="28" name="image10.png">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17</xdr:row>
      <xdr:rowOff>0</xdr:rowOff>
    </xdr:from>
    <xdr:ext cx="200025" cy="200025"/>
    <xdr:pic>
      <xdr:nvPicPr>
        <xdr:cNvPr id="29" name="image10.png">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0</xdr:rowOff>
    </xdr:from>
    <xdr:ext cx="200025" cy="200025"/>
    <xdr:pic>
      <xdr:nvPicPr>
        <xdr:cNvPr id="30" name="image10.png">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18</xdr:row>
      <xdr:rowOff>0</xdr:rowOff>
    </xdr:from>
    <xdr:ext cx="200025" cy="200025"/>
    <xdr:pic>
      <xdr:nvPicPr>
        <xdr:cNvPr id="31" name="image10.png">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19</xdr:row>
      <xdr:rowOff>0</xdr:rowOff>
    </xdr:from>
    <xdr:ext cx="200025" cy="200025"/>
    <xdr:pic>
      <xdr:nvPicPr>
        <xdr:cNvPr id="32" name="image10.png">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19</xdr:row>
      <xdr:rowOff>0</xdr:rowOff>
    </xdr:from>
    <xdr:ext cx="200025" cy="200025"/>
    <xdr:pic>
      <xdr:nvPicPr>
        <xdr:cNvPr id="33" name="image10.png">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20</xdr:row>
      <xdr:rowOff>0</xdr:rowOff>
    </xdr:from>
    <xdr:ext cx="200025" cy="200025"/>
    <xdr:pic>
      <xdr:nvPicPr>
        <xdr:cNvPr id="34" name="image10.png">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20</xdr:row>
      <xdr:rowOff>0</xdr:rowOff>
    </xdr:from>
    <xdr:ext cx="200025" cy="200025"/>
    <xdr:pic>
      <xdr:nvPicPr>
        <xdr:cNvPr id="35" name="image10.png">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21</xdr:row>
      <xdr:rowOff>0</xdr:rowOff>
    </xdr:from>
    <xdr:ext cx="200025" cy="200025"/>
    <xdr:pic>
      <xdr:nvPicPr>
        <xdr:cNvPr id="36" name="image10.png">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xdr:row>
      <xdr:rowOff>0</xdr:rowOff>
    </xdr:from>
    <xdr:ext cx="200025" cy="200025"/>
    <xdr:pic>
      <xdr:nvPicPr>
        <xdr:cNvPr id="37" name="image8.png">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22</xdr:row>
      <xdr:rowOff>0</xdr:rowOff>
    </xdr:from>
    <xdr:ext cx="200025" cy="200025"/>
    <xdr:pic>
      <xdr:nvPicPr>
        <xdr:cNvPr id="38" name="image10.png">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23</xdr:row>
      <xdr:rowOff>0</xdr:rowOff>
    </xdr:from>
    <xdr:ext cx="200025" cy="200025"/>
    <xdr:pic>
      <xdr:nvPicPr>
        <xdr:cNvPr id="39" name="image8.png">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23</xdr:row>
      <xdr:rowOff>0</xdr:rowOff>
    </xdr:from>
    <xdr:ext cx="200025" cy="200025"/>
    <xdr:pic>
      <xdr:nvPicPr>
        <xdr:cNvPr id="40" name="image10.png">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24</xdr:row>
      <xdr:rowOff>0</xdr:rowOff>
    </xdr:from>
    <xdr:ext cx="200025" cy="200025"/>
    <xdr:pic>
      <xdr:nvPicPr>
        <xdr:cNvPr id="41" name="image8.png">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24</xdr:row>
      <xdr:rowOff>0</xdr:rowOff>
    </xdr:from>
    <xdr:ext cx="200025" cy="200025"/>
    <xdr:pic>
      <xdr:nvPicPr>
        <xdr:cNvPr id="42" name="image10.png">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25</xdr:row>
      <xdr:rowOff>0</xdr:rowOff>
    </xdr:from>
    <xdr:ext cx="200025" cy="200025"/>
    <xdr:pic>
      <xdr:nvPicPr>
        <xdr:cNvPr id="43" name="image8.png">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25</xdr:row>
      <xdr:rowOff>0</xdr:rowOff>
    </xdr:from>
    <xdr:ext cx="200025" cy="200025"/>
    <xdr:pic>
      <xdr:nvPicPr>
        <xdr:cNvPr id="44" name="image10.png">
          <a:extLst>
            <a:ext uri="{FF2B5EF4-FFF2-40B4-BE49-F238E27FC236}">
              <a16:creationId xmlns:a16="http://schemas.microsoft.com/office/drawing/2014/main" id="{00000000-0008-0000-07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26</xdr:row>
      <xdr:rowOff>0</xdr:rowOff>
    </xdr:from>
    <xdr:ext cx="200025" cy="200025"/>
    <xdr:pic>
      <xdr:nvPicPr>
        <xdr:cNvPr id="45" name="image8.png">
          <a:extLst>
            <a:ext uri="{FF2B5EF4-FFF2-40B4-BE49-F238E27FC236}">
              <a16:creationId xmlns:a16="http://schemas.microsoft.com/office/drawing/2014/main" id="{00000000-0008-0000-0700-00002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26</xdr:row>
      <xdr:rowOff>0</xdr:rowOff>
    </xdr:from>
    <xdr:ext cx="200025" cy="200025"/>
    <xdr:pic>
      <xdr:nvPicPr>
        <xdr:cNvPr id="46" name="image10.png">
          <a:extLst>
            <a:ext uri="{FF2B5EF4-FFF2-40B4-BE49-F238E27FC236}">
              <a16:creationId xmlns:a16="http://schemas.microsoft.com/office/drawing/2014/main" id="{00000000-0008-0000-07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27</xdr:row>
      <xdr:rowOff>0</xdr:rowOff>
    </xdr:from>
    <xdr:ext cx="200025" cy="200025"/>
    <xdr:pic>
      <xdr:nvPicPr>
        <xdr:cNvPr id="47" name="image8.png">
          <a:extLst>
            <a:ext uri="{FF2B5EF4-FFF2-40B4-BE49-F238E27FC236}">
              <a16:creationId xmlns:a16="http://schemas.microsoft.com/office/drawing/2014/main" id="{00000000-0008-0000-0700-00002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28</xdr:row>
      <xdr:rowOff>0</xdr:rowOff>
    </xdr:from>
    <xdr:ext cx="200025" cy="200025"/>
    <xdr:pic>
      <xdr:nvPicPr>
        <xdr:cNvPr id="48" name="image8.png">
          <a:extLst>
            <a:ext uri="{FF2B5EF4-FFF2-40B4-BE49-F238E27FC236}">
              <a16:creationId xmlns:a16="http://schemas.microsoft.com/office/drawing/2014/main" id="{00000000-0008-0000-0700-00003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28</xdr:row>
      <xdr:rowOff>0</xdr:rowOff>
    </xdr:from>
    <xdr:ext cx="200025" cy="200025"/>
    <xdr:pic>
      <xdr:nvPicPr>
        <xdr:cNvPr id="49" name="image8.png">
          <a:extLst>
            <a:ext uri="{FF2B5EF4-FFF2-40B4-BE49-F238E27FC236}">
              <a16:creationId xmlns:a16="http://schemas.microsoft.com/office/drawing/2014/main" id="{00000000-0008-0000-0700-00003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29</xdr:row>
      <xdr:rowOff>0</xdr:rowOff>
    </xdr:from>
    <xdr:ext cx="200025" cy="200025"/>
    <xdr:pic>
      <xdr:nvPicPr>
        <xdr:cNvPr id="50" name="image8.png">
          <a:extLst>
            <a:ext uri="{FF2B5EF4-FFF2-40B4-BE49-F238E27FC236}">
              <a16:creationId xmlns:a16="http://schemas.microsoft.com/office/drawing/2014/main" id="{00000000-0008-0000-07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29</xdr:row>
      <xdr:rowOff>0</xdr:rowOff>
    </xdr:from>
    <xdr:ext cx="200025" cy="200025"/>
    <xdr:pic>
      <xdr:nvPicPr>
        <xdr:cNvPr id="51" name="image8.png">
          <a:extLst>
            <a:ext uri="{FF2B5EF4-FFF2-40B4-BE49-F238E27FC236}">
              <a16:creationId xmlns:a16="http://schemas.microsoft.com/office/drawing/2014/main" id="{00000000-0008-0000-0700-00003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30</xdr:row>
      <xdr:rowOff>0</xdr:rowOff>
    </xdr:from>
    <xdr:ext cx="200025" cy="200025"/>
    <xdr:pic>
      <xdr:nvPicPr>
        <xdr:cNvPr id="52" name="image8.png">
          <a:extLst>
            <a:ext uri="{FF2B5EF4-FFF2-40B4-BE49-F238E27FC236}">
              <a16:creationId xmlns:a16="http://schemas.microsoft.com/office/drawing/2014/main" id="{00000000-0008-0000-0700-00003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30</xdr:row>
      <xdr:rowOff>0</xdr:rowOff>
    </xdr:from>
    <xdr:ext cx="200025" cy="200025"/>
    <xdr:pic>
      <xdr:nvPicPr>
        <xdr:cNvPr id="53" name="image8.png">
          <a:extLst>
            <a:ext uri="{FF2B5EF4-FFF2-40B4-BE49-F238E27FC236}">
              <a16:creationId xmlns:a16="http://schemas.microsoft.com/office/drawing/2014/main" id="{00000000-0008-0000-0700-00003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31</xdr:row>
      <xdr:rowOff>0</xdr:rowOff>
    </xdr:from>
    <xdr:ext cx="200025" cy="200025"/>
    <xdr:pic>
      <xdr:nvPicPr>
        <xdr:cNvPr id="54" name="image8.png">
          <a:extLst>
            <a:ext uri="{FF2B5EF4-FFF2-40B4-BE49-F238E27FC236}">
              <a16:creationId xmlns:a16="http://schemas.microsoft.com/office/drawing/2014/main" id="{00000000-0008-0000-0700-00003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31</xdr:row>
      <xdr:rowOff>0</xdr:rowOff>
    </xdr:from>
    <xdr:ext cx="200025" cy="200025"/>
    <xdr:pic>
      <xdr:nvPicPr>
        <xdr:cNvPr id="55" name="image8.png">
          <a:extLst>
            <a:ext uri="{FF2B5EF4-FFF2-40B4-BE49-F238E27FC236}">
              <a16:creationId xmlns:a16="http://schemas.microsoft.com/office/drawing/2014/main" id="{00000000-0008-0000-0700-00003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32</xdr:row>
      <xdr:rowOff>0</xdr:rowOff>
    </xdr:from>
    <xdr:ext cx="200025" cy="200025"/>
    <xdr:pic>
      <xdr:nvPicPr>
        <xdr:cNvPr id="56" name="image8.png">
          <a:extLst>
            <a:ext uri="{FF2B5EF4-FFF2-40B4-BE49-F238E27FC236}">
              <a16:creationId xmlns:a16="http://schemas.microsoft.com/office/drawing/2014/main" id="{00000000-0008-0000-07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32</xdr:row>
      <xdr:rowOff>0</xdr:rowOff>
    </xdr:from>
    <xdr:ext cx="200025" cy="200025"/>
    <xdr:pic>
      <xdr:nvPicPr>
        <xdr:cNvPr id="57" name="image8.png">
          <a:extLst>
            <a:ext uri="{FF2B5EF4-FFF2-40B4-BE49-F238E27FC236}">
              <a16:creationId xmlns:a16="http://schemas.microsoft.com/office/drawing/2014/main" id="{00000000-0008-0000-07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33</xdr:row>
      <xdr:rowOff>0</xdr:rowOff>
    </xdr:from>
    <xdr:ext cx="200025" cy="200025"/>
    <xdr:pic>
      <xdr:nvPicPr>
        <xdr:cNvPr id="58" name="image8.png">
          <a:extLst>
            <a:ext uri="{FF2B5EF4-FFF2-40B4-BE49-F238E27FC236}">
              <a16:creationId xmlns:a16="http://schemas.microsoft.com/office/drawing/2014/main" id="{00000000-0008-0000-07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33</xdr:row>
      <xdr:rowOff>0</xdr:rowOff>
    </xdr:from>
    <xdr:ext cx="200025" cy="200025"/>
    <xdr:pic>
      <xdr:nvPicPr>
        <xdr:cNvPr id="59" name="image8.png">
          <a:extLst>
            <a:ext uri="{FF2B5EF4-FFF2-40B4-BE49-F238E27FC236}">
              <a16:creationId xmlns:a16="http://schemas.microsoft.com/office/drawing/2014/main" id="{00000000-0008-0000-0700-00003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34</xdr:row>
      <xdr:rowOff>0</xdr:rowOff>
    </xdr:from>
    <xdr:ext cx="200025" cy="200025"/>
    <xdr:pic>
      <xdr:nvPicPr>
        <xdr:cNvPr id="60" name="image8.png">
          <a:extLst>
            <a:ext uri="{FF2B5EF4-FFF2-40B4-BE49-F238E27FC236}">
              <a16:creationId xmlns:a16="http://schemas.microsoft.com/office/drawing/2014/main" id="{00000000-0008-0000-0700-00003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34</xdr:row>
      <xdr:rowOff>0</xdr:rowOff>
    </xdr:from>
    <xdr:ext cx="200025" cy="200025"/>
    <xdr:pic>
      <xdr:nvPicPr>
        <xdr:cNvPr id="61" name="image8.png">
          <a:extLst>
            <a:ext uri="{FF2B5EF4-FFF2-40B4-BE49-F238E27FC236}">
              <a16:creationId xmlns:a16="http://schemas.microsoft.com/office/drawing/2014/main" id="{00000000-0008-0000-0700-00003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35</xdr:row>
      <xdr:rowOff>0</xdr:rowOff>
    </xdr:from>
    <xdr:ext cx="200025" cy="200025"/>
    <xdr:pic>
      <xdr:nvPicPr>
        <xdr:cNvPr id="62" name="image8.png">
          <a:extLst>
            <a:ext uri="{FF2B5EF4-FFF2-40B4-BE49-F238E27FC236}">
              <a16:creationId xmlns:a16="http://schemas.microsoft.com/office/drawing/2014/main" id="{00000000-0008-0000-0700-00003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35</xdr:row>
      <xdr:rowOff>0</xdr:rowOff>
    </xdr:from>
    <xdr:ext cx="200025" cy="200025"/>
    <xdr:pic>
      <xdr:nvPicPr>
        <xdr:cNvPr id="63" name="image8.png">
          <a:extLst>
            <a:ext uri="{FF2B5EF4-FFF2-40B4-BE49-F238E27FC236}">
              <a16:creationId xmlns:a16="http://schemas.microsoft.com/office/drawing/2014/main" id="{00000000-0008-0000-0700-00003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36</xdr:row>
      <xdr:rowOff>0</xdr:rowOff>
    </xdr:from>
    <xdr:ext cx="200025" cy="200025"/>
    <xdr:pic>
      <xdr:nvPicPr>
        <xdr:cNvPr id="64" name="image8.png">
          <a:extLst>
            <a:ext uri="{FF2B5EF4-FFF2-40B4-BE49-F238E27FC236}">
              <a16:creationId xmlns:a16="http://schemas.microsoft.com/office/drawing/2014/main" id="{00000000-0008-0000-0700-00004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36</xdr:row>
      <xdr:rowOff>0</xdr:rowOff>
    </xdr:from>
    <xdr:ext cx="200025" cy="200025"/>
    <xdr:pic>
      <xdr:nvPicPr>
        <xdr:cNvPr id="65" name="image8.png">
          <a:extLst>
            <a:ext uri="{FF2B5EF4-FFF2-40B4-BE49-F238E27FC236}">
              <a16:creationId xmlns:a16="http://schemas.microsoft.com/office/drawing/2014/main" id="{00000000-0008-0000-07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37</xdr:row>
      <xdr:rowOff>0</xdr:rowOff>
    </xdr:from>
    <xdr:ext cx="200025" cy="200025"/>
    <xdr:pic>
      <xdr:nvPicPr>
        <xdr:cNvPr id="66" name="image8.png">
          <a:extLst>
            <a:ext uri="{FF2B5EF4-FFF2-40B4-BE49-F238E27FC236}">
              <a16:creationId xmlns:a16="http://schemas.microsoft.com/office/drawing/2014/main" id="{00000000-0008-0000-0700-00004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37</xdr:row>
      <xdr:rowOff>0</xdr:rowOff>
    </xdr:from>
    <xdr:ext cx="200025" cy="200025"/>
    <xdr:pic>
      <xdr:nvPicPr>
        <xdr:cNvPr id="67" name="image8.png">
          <a:extLst>
            <a:ext uri="{FF2B5EF4-FFF2-40B4-BE49-F238E27FC236}">
              <a16:creationId xmlns:a16="http://schemas.microsoft.com/office/drawing/2014/main" id="{00000000-0008-0000-0700-00004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38</xdr:row>
      <xdr:rowOff>0</xdr:rowOff>
    </xdr:from>
    <xdr:ext cx="200025" cy="200025"/>
    <xdr:pic>
      <xdr:nvPicPr>
        <xdr:cNvPr id="68" name="image8.png">
          <a:extLst>
            <a:ext uri="{FF2B5EF4-FFF2-40B4-BE49-F238E27FC236}">
              <a16:creationId xmlns:a16="http://schemas.microsoft.com/office/drawing/2014/main" id="{00000000-0008-0000-0700-00004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38</xdr:row>
      <xdr:rowOff>0</xdr:rowOff>
    </xdr:from>
    <xdr:ext cx="200025" cy="200025"/>
    <xdr:pic>
      <xdr:nvPicPr>
        <xdr:cNvPr id="69" name="image8.png">
          <a:extLst>
            <a:ext uri="{FF2B5EF4-FFF2-40B4-BE49-F238E27FC236}">
              <a16:creationId xmlns:a16="http://schemas.microsoft.com/office/drawing/2014/main" id="{00000000-0008-0000-07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39</xdr:row>
      <xdr:rowOff>0</xdr:rowOff>
    </xdr:from>
    <xdr:ext cx="200025" cy="200025"/>
    <xdr:pic>
      <xdr:nvPicPr>
        <xdr:cNvPr id="70" name="image8.png">
          <a:extLst>
            <a:ext uri="{FF2B5EF4-FFF2-40B4-BE49-F238E27FC236}">
              <a16:creationId xmlns:a16="http://schemas.microsoft.com/office/drawing/2014/main" id="{00000000-0008-0000-07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40</xdr:row>
      <xdr:rowOff>0</xdr:rowOff>
    </xdr:from>
    <xdr:ext cx="200025" cy="200025"/>
    <xdr:pic>
      <xdr:nvPicPr>
        <xdr:cNvPr id="71" name="image9.png">
          <a:extLst>
            <a:ext uri="{FF2B5EF4-FFF2-40B4-BE49-F238E27FC236}">
              <a16:creationId xmlns:a16="http://schemas.microsoft.com/office/drawing/2014/main" id="{00000000-0008-0000-0700-00004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41</xdr:row>
      <xdr:rowOff>0</xdr:rowOff>
    </xdr:from>
    <xdr:ext cx="200025" cy="200025"/>
    <xdr:pic>
      <xdr:nvPicPr>
        <xdr:cNvPr id="72" name="image9.png">
          <a:extLst>
            <a:ext uri="{FF2B5EF4-FFF2-40B4-BE49-F238E27FC236}">
              <a16:creationId xmlns:a16="http://schemas.microsoft.com/office/drawing/2014/main" id="{00000000-0008-0000-0700-00004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41</xdr:row>
      <xdr:rowOff>0</xdr:rowOff>
    </xdr:from>
    <xdr:ext cx="200025" cy="200025"/>
    <xdr:pic>
      <xdr:nvPicPr>
        <xdr:cNvPr id="73" name="image9.png">
          <a:extLst>
            <a:ext uri="{FF2B5EF4-FFF2-40B4-BE49-F238E27FC236}">
              <a16:creationId xmlns:a16="http://schemas.microsoft.com/office/drawing/2014/main" id="{00000000-0008-0000-0700-00004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42</xdr:row>
      <xdr:rowOff>0</xdr:rowOff>
    </xdr:from>
    <xdr:ext cx="200025" cy="200025"/>
    <xdr:pic>
      <xdr:nvPicPr>
        <xdr:cNvPr id="74" name="image9.png">
          <a:extLst>
            <a:ext uri="{FF2B5EF4-FFF2-40B4-BE49-F238E27FC236}">
              <a16:creationId xmlns:a16="http://schemas.microsoft.com/office/drawing/2014/main" id="{00000000-0008-0000-0700-00004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42</xdr:row>
      <xdr:rowOff>0</xdr:rowOff>
    </xdr:from>
    <xdr:ext cx="200025" cy="200025"/>
    <xdr:pic>
      <xdr:nvPicPr>
        <xdr:cNvPr id="75" name="image9.png">
          <a:extLst>
            <a:ext uri="{FF2B5EF4-FFF2-40B4-BE49-F238E27FC236}">
              <a16:creationId xmlns:a16="http://schemas.microsoft.com/office/drawing/2014/main" id="{00000000-0008-0000-0700-00004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43</xdr:row>
      <xdr:rowOff>0</xdr:rowOff>
    </xdr:from>
    <xdr:ext cx="200025" cy="200025"/>
    <xdr:pic>
      <xdr:nvPicPr>
        <xdr:cNvPr id="76" name="image9.png">
          <a:extLst>
            <a:ext uri="{FF2B5EF4-FFF2-40B4-BE49-F238E27FC236}">
              <a16:creationId xmlns:a16="http://schemas.microsoft.com/office/drawing/2014/main" id="{00000000-0008-0000-0700-00004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43</xdr:row>
      <xdr:rowOff>0</xdr:rowOff>
    </xdr:from>
    <xdr:ext cx="200025" cy="200025"/>
    <xdr:pic>
      <xdr:nvPicPr>
        <xdr:cNvPr id="77" name="image9.png">
          <a:extLst>
            <a:ext uri="{FF2B5EF4-FFF2-40B4-BE49-F238E27FC236}">
              <a16:creationId xmlns:a16="http://schemas.microsoft.com/office/drawing/2014/main" id="{00000000-0008-0000-0700-00004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44</xdr:row>
      <xdr:rowOff>0</xdr:rowOff>
    </xdr:from>
    <xdr:ext cx="200025" cy="200025"/>
    <xdr:pic>
      <xdr:nvPicPr>
        <xdr:cNvPr id="78" name="image9.png">
          <a:extLst>
            <a:ext uri="{FF2B5EF4-FFF2-40B4-BE49-F238E27FC236}">
              <a16:creationId xmlns:a16="http://schemas.microsoft.com/office/drawing/2014/main" id="{00000000-0008-0000-0700-00004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44</xdr:row>
      <xdr:rowOff>0</xdr:rowOff>
    </xdr:from>
    <xdr:ext cx="200025" cy="200025"/>
    <xdr:pic>
      <xdr:nvPicPr>
        <xdr:cNvPr id="79" name="image9.png">
          <a:extLst>
            <a:ext uri="{FF2B5EF4-FFF2-40B4-BE49-F238E27FC236}">
              <a16:creationId xmlns:a16="http://schemas.microsoft.com/office/drawing/2014/main" id="{00000000-0008-0000-0700-00004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45</xdr:row>
      <xdr:rowOff>0</xdr:rowOff>
    </xdr:from>
    <xdr:ext cx="200025" cy="200025"/>
    <xdr:pic>
      <xdr:nvPicPr>
        <xdr:cNvPr id="80" name="image9.png">
          <a:extLst>
            <a:ext uri="{FF2B5EF4-FFF2-40B4-BE49-F238E27FC236}">
              <a16:creationId xmlns:a16="http://schemas.microsoft.com/office/drawing/2014/main" id="{00000000-0008-0000-0700-00005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45</xdr:row>
      <xdr:rowOff>0</xdr:rowOff>
    </xdr:from>
    <xdr:ext cx="200025" cy="200025"/>
    <xdr:pic>
      <xdr:nvPicPr>
        <xdr:cNvPr id="81" name="image9.png">
          <a:extLst>
            <a:ext uri="{FF2B5EF4-FFF2-40B4-BE49-F238E27FC236}">
              <a16:creationId xmlns:a16="http://schemas.microsoft.com/office/drawing/2014/main" id="{00000000-0008-0000-0700-00005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46</xdr:row>
      <xdr:rowOff>0</xdr:rowOff>
    </xdr:from>
    <xdr:ext cx="200025" cy="200025"/>
    <xdr:pic>
      <xdr:nvPicPr>
        <xdr:cNvPr id="82" name="image9.png">
          <a:extLst>
            <a:ext uri="{FF2B5EF4-FFF2-40B4-BE49-F238E27FC236}">
              <a16:creationId xmlns:a16="http://schemas.microsoft.com/office/drawing/2014/main" id="{00000000-0008-0000-0700-00005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46</xdr:row>
      <xdr:rowOff>0</xdr:rowOff>
    </xdr:from>
    <xdr:ext cx="200025" cy="200025"/>
    <xdr:pic>
      <xdr:nvPicPr>
        <xdr:cNvPr id="83" name="image9.png">
          <a:extLst>
            <a:ext uri="{FF2B5EF4-FFF2-40B4-BE49-F238E27FC236}">
              <a16:creationId xmlns:a16="http://schemas.microsoft.com/office/drawing/2014/main" id="{00000000-0008-0000-0700-00005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47</xdr:row>
      <xdr:rowOff>0</xdr:rowOff>
    </xdr:from>
    <xdr:ext cx="200025" cy="200025"/>
    <xdr:pic>
      <xdr:nvPicPr>
        <xdr:cNvPr id="84" name="image9.png">
          <a:extLst>
            <a:ext uri="{FF2B5EF4-FFF2-40B4-BE49-F238E27FC236}">
              <a16:creationId xmlns:a16="http://schemas.microsoft.com/office/drawing/2014/main" id="{00000000-0008-0000-0700-00005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47</xdr:row>
      <xdr:rowOff>0</xdr:rowOff>
    </xdr:from>
    <xdr:ext cx="200025" cy="200025"/>
    <xdr:pic>
      <xdr:nvPicPr>
        <xdr:cNvPr id="85" name="image9.png">
          <a:extLst>
            <a:ext uri="{FF2B5EF4-FFF2-40B4-BE49-F238E27FC236}">
              <a16:creationId xmlns:a16="http://schemas.microsoft.com/office/drawing/2014/main" id="{00000000-0008-0000-0700-00005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48</xdr:row>
      <xdr:rowOff>0</xdr:rowOff>
    </xdr:from>
    <xdr:ext cx="200025" cy="200025"/>
    <xdr:pic>
      <xdr:nvPicPr>
        <xdr:cNvPr id="86" name="image9.png">
          <a:extLst>
            <a:ext uri="{FF2B5EF4-FFF2-40B4-BE49-F238E27FC236}">
              <a16:creationId xmlns:a16="http://schemas.microsoft.com/office/drawing/2014/main" id="{00000000-0008-0000-0700-00005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48</xdr:row>
      <xdr:rowOff>0</xdr:rowOff>
    </xdr:from>
    <xdr:ext cx="200025" cy="200025"/>
    <xdr:pic>
      <xdr:nvPicPr>
        <xdr:cNvPr id="87" name="image9.png">
          <a:extLst>
            <a:ext uri="{FF2B5EF4-FFF2-40B4-BE49-F238E27FC236}">
              <a16:creationId xmlns:a16="http://schemas.microsoft.com/office/drawing/2014/main" id="{00000000-0008-0000-0700-00005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49</xdr:row>
      <xdr:rowOff>0</xdr:rowOff>
    </xdr:from>
    <xdr:ext cx="200025" cy="200025"/>
    <xdr:pic>
      <xdr:nvPicPr>
        <xdr:cNvPr id="88" name="image9.png">
          <a:extLst>
            <a:ext uri="{FF2B5EF4-FFF2-40B4-BE49-F238E27FC236}">
              <a16:creationId xmlns:a16="http://schemas.microsoft.com/office/drawing/2014/main" id="{00000000-0008-0000-0700-00005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49</xdr:row>
      <xdr:rowOff>0</xdr:rowOff>
    </xdr:from>
    <xdr:ext cx="200025" cy="200025"/>
    <xdr:pic>
      <xdr:nvPicPr>
        <xdr:cNvPr id="89" name="image9.png">
          <a:extLst>
            <a:ext uri="{FF2B5EF4-FFF2-40B4-BE49-F238E27FC236}">
              <a16:creationId xmlns:a16="http://schemas.microsoft.com/office/drawing/2014/main" id="{00000000-0008-0000-0700-00005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50</xdr:row>
      <xdr:rowOff>0</xdr:rowOff>
    </xdr:from>
    <xdr:ext cx="200025" cy="200025"/>
    <xdr:pic>
      <xdr:nvPicPr>
        <xdr:cNvPr id="90" name="image9.png">
          <a:extLst>
            <a:ext uri="{FF2B5EF4-FFF2-40B4-BE49-F238E27FC236}">
              <a16:creationId xmlns:a16="http://schemas.microsoft.com/office/drawing/2014/main" id="{00000000-0008-0000-0700-00005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51</xdr:row>
      <xdr:rowOff>0</xdr:rowOff>
    </xdr:from>
    <xdr:ext cx="200025" cy="200025"/>
    <xdr:pic>
      <xdr:nvPicPr>
        <xdr:cNvPr id="91" name="image9.png">
          <a:extLst>
            <a:ext uri="{FF2B5EF4-FFF2-40B4-BE49-F238E27FC236}">
              <a16:creationId xmlns:a16="http://schemas.microsoft.com/office/drawing/2014/main" id="{00000000-0008-0000-0700-00005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51</xdr:row>
      <xdr:rowOff>0</xdr:rowOff>
    </xdr:from>
    <xdr:ext cx="200025" cy="200025"/>
    <xdr:pic>
      <xdr:nvPicPr>
        <xdr:cNvPr id="92" name="image2.png">
          <a:extLst>
            <a:ext uri="{FF2B5EF4-FFF2-40B4-BE49-F238E27FC236}">
              <a16:creationId xmlns:a16="http://schemas.microsoft.com/office/drawing/2014/main" id="{00000000-0008-0000-0700-00005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52</xdr:row>
      <xdr:rowOff>0</xdr:rowOff>
    </xdr:from>
    <xdr:ext cx="200025" cy="200025"/>
    <xdr:pic>
      <xdr:nvPicPr>
        <xdr:cNvPr id="93" name="image9.png">
          <a:extLst>
            <a:ext uri="{FF2B5EF4-FFF2-40B4-BE49-F238E27FC236}">
              <a16:creationId xmlns:a16="http://schemas.microsoft.com/office/drawing/2014/main" id="{00000000-0008-0000-0700-00005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52</xdr:row>
      <xdr:rowOff>0</xdr:rowOff>
    </xdr:from>
    <xdr:ext cx="200025" cy="200025"/>
    <xdr:pic>
      <xdr:nvPicPr>
        <xdr:cNvPr id="94" name="image2.png">
          <a:extLst>
            <a:ext uri="{FF2B5EF4-FFF2-40B4-BE49-F238E27FC236}">
              <a16:creationId xmlns:a16="http://schemas.microsoft.com/office/drawing/2014/main" id="{00000000-0008-0000-0700-00005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53</xdr:row>
      <xdr:rowOff>0</xdr:rowOff>
    </xdr:from>
    <xdr:ext cx="200025" cy="200025"/>
    <xdr:pic>
      <xdr:nvPicPr>
        <xdr:cNvPr id="95" name="image9.png">
          <a:extLst>
            <a:ext uri="{FF2B5EF4-FFF2-40B4-BE49-F238E27FC236}">
              <a16:creationId xmlns:a16="http://schemas.microsoft.com/office/drawing/2014/main" id="{00000000-0008-0000-0700-00005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53</xdr:row>
      <xdr:rowOff>0</xdr:rowOff>
    </xdr:from>
    <xdr:ext cx="200025" cy="200025"/>
    <xdr:pic>
      <xdr:nvPicPr>
        <xdr:cNvPr id="96" name="image2.png">
          <a:extLst>
            <a:ext uri="{FF2B5EF4-FFF2-40B4-BE49-F238E27FC236}">
              <a16:creationId xmlns:a16="http://schemas.microsoft.com/office/drawing/2014/main" id="{00000000-0008-0000-0700-00006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54</xdr:row>
      <xdr:rowOff>0</xdr:rowOff>
    </xdr:from>
    <xdr:ext cx="200025" cy="200025"/>
    <xdr:pic>
      <xdr:nvPicPr>
        <xdr:cNvPr id="97" name="image9.png">
          <a:extLst>
            <a:ext uri="{FF2B5EF4-FFF2-40B4-BE49-F238E27FC236}">
              <a16:creationId xmlns:a16="http://schemas.microsoft.com/office/drawing/2014/main" id="{00000000-0008-0000-0700-00006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54</xdr:row>
      <xdr:rowOff>0</xdr:rowOff>
    </xdr:from>
    <xdr:ext cx="200025" cy="200025"/>
    <xdr:pic>
      <xdr:nvPicPr>
        <xdr:cNvPr id="98" name="image2.png">
          <a:extLst>
            <a:ext uri="{FF2B5EF4-FFF2-40B4-BE49-F238E27FC236}">
              <a16:creationId xmlns:a16="http://schemas.microsoft.com/office/drawing/2014/main" id="{00000000-0008-0000-0700-00006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55</xdr:row>
      <xdr:rowOff>0</xdr:rowOff>
    </xdr:from>
    <xdr:ext cx="200025" cy="200025"/>
    <xdr:pic>
      <xdr:nvPicPr>
        <xdr:cNvPr id="99" name="image2.png">
          <a:extLst>
            <a:ext uri="{FF2B5EF4-FFF2-40B4-BE49-F238E27FC236}">
              <a16:creationId xmlns:a16="http://schemas.microsoft.com/office/drawing/2014/main" id="{00000000-0008-0000-0700-00006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56</xdr:row>
      <xdr:rowOff>0</xdr:rowOff>
    </xdr:from>
    <xdr:ext cx="200025" cy="200025"/>
    <xdr:pic>
      <xdr:nvPicPr>
        <xdr:cNvPr id="100" name="image2.png">
          <a:extLst>
            <a:ext uri="{FF2B5EF4-FFF2-40B4-BE49-F238E27FC236}">
              <a16:creationId xmlns:a16="http://schemas.microsoft.com/office/drawing/2014/main" id="{00000000-0008-0000-0700-00006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56</xdr:row>
      <xdr:rowOff>0</xdr:rowOff>
    </xdr:from>
    <xdr:ext cx="200025" cy="200025"/>
    <xdr:pic>
      <xdr:nvPicPr>
        <xdr:cNvPr id="101" name="image2.png">
          <a:extLst>
            <a:ext uri="{FF2B5EF4-FFF2-40B4-BE49-F238E27FC236}">
              <a16:creationId xmlns:a16="http://schemas.microsoft.com/office/drawing/2014/main" id="{00000000-0008-0000-0700-00006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57</xdr:row>
      <xdr:rowOff>0</xdr:rowOff>
    </xdr:from>
    <xdr:ext cx="200025" cy="200025"/>
    <xdr:pic>
      <xdr:nvPicPr>
        <xdr:cNvPr id="102" name="image2.png">
          <a:extLst>
            <a:ext uri="{FF2B5EF4-FFF2-40B4-BE49-F238E27FC236}">
              <a16:creationId xmlns:a16="http://schemas.microsoft.com/office/drawing/2014/main" id="{00000000-0008-0000-0700-00006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57</xdr:row>
      <xdr:rowOff>0</xdr:rowOff>
    </xdr:from>
    <xdr:ext cx="200025" cy="200025"/>
    <xdr:pic>
      <xdr:nvPicPr>
        <xdr:cNvPr id="103" name="image2.png">
          <a:extLst>
            <a:ext uri="{FF2B5EF4-FFF2-40B4-BE49-F238E27FC236}">
              <a16:creationId xmlns:a16="http://schemas.microsoft.com/office/drawing/2014/main" id="{00000000-0008-0000-0700-00006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58</xdr:row>
      <xdr:rowOff>0</xdr:rowOff>
    </xdr:from>
    <xdr:ext cx="200025" cy="200025"/>
    <xdr:pic>
      <xdr:nvPicPr>
        <xdr:cNvPr id="104" name="image2.png">
          <a:extLst>
            <a:ext uri="{FF2B5EF4-FFF2-40B4-BE49-F238E27FC236}">
              <a16:creationId xmlns:a16="http://schemas.microsoft.com/office/drawing/2014/main" id="{00000000-0008-0000-0700-00006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58</xdr:row>
      <xdr:rowOff>0</xdr:rowOff>
    </xdr:from>
    <xdr:ext cx="200025" cy="200025"/>
    <xdr:pic>
      <xdr:nvPicPr>
        <xdr:cNvPr id="105" name="image2.png">
          <a:extLst>
            <a:ext uri="{FF2B5EF4-FFF2-40B4-BE49-F238E27FC236}">
              <a16:creationId xmlns:a16="http://schemas.microsoft.com/office/drawing/2014/main" id="{00000000-0008-0000-0700-00006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59</xdr:row>
      <xdr:rowOff>0</xdr:rowOff>
    </xdr:from>
    <xdr:ext cx="200025" cy="200025"/>
    <xdr:pic>
      <xdr:nvPicPr>
        <xdr:cNvPr id="106" name="image2.png">
          <a:extLst>
            <a:ext uri="{FF2B5EF4-FFF2-40B4-BE49-F238E27FC236}">
              <a16:creationId xmlns:a16="http://schemas.microsoft.com/office/drawing/2014/main" id="{00000000-0008-0000-0700-00006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59</xdr:row>
      <xdr:rowOff>0</xdr:rowOff>
    </xdr:from>
    <xdr:ext cx="200025" cy="200025"/>
    <xdr:pic>
      <xdr:nvPicPr>
        <xdr:cNvPr id="107" name="image2.png">
          <a:extLst>
            <a:ext uri="{FF2B5EF4-FFF2-40B4-BE49-F238E27FC236}">
              <a16:creationId xmlns:a16="http://schemas.microsoft.com/office/drawing/2014/main" id="{00000000-0008-0000-0700-00006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60</xdr:row>
      <xdr:rowOff>0</xdr:rowOff>
    </xdr:from>
    <xdr:ext cx="200025" cy="200025"/>
    <xdr:pic>
      <xdr:nvPicPr>
        <xdr:cNvPr id="108" name="image2.png">
          <a:extLst>
            <a:ext uri="{FF2B5EF4-FFF2-40B4-BE49-F238E27FC236}">
              <a16:creationId xmlns:a16="http://schemas.microsoft.com/office/drawing/2014/main" id="{00000000-0008-0000-0700-00006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60</xdr:row>
      <xdr:rowOff>0</xdr:rowOff>
    </xdr:from>
    <xdr:ext cx="200025" cy="200025"/>
    <xdr:pic>
      <xdr:nvPicPr>
        <xdr:cNvPr id="109" name="image2.png">
          <a:extLst>
            <a:ext uri="{FF2B5EF4-FFF2-40B4-BE49-F238E27FC236}">
              <a16:creationId xmlns:a16="http://schemas.microsoft.com/office/drawing/2014/main" id="{00000000-0008-0000-0700-00006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61</xdr:row>
      <xdr:rowOff>0</xdr:rowOff>
    </xdr:from>
    <xdr:ext cx="200025" cy="200025"/>
    <xdr:pic>
      <xdr:nvPicPr>
        <xdr:cNvPr id="110" name="image2.png">
          <a:extLst>
            <a:ext uri="{FF2B5EF4-FFF2-40B4-BE49-F238E27FC236}">
              <a16:creationId xmlns:a16="http://schemas.microsoft.com/office/drawing/2014/main" id="{00000000-0008-0000-0700-00006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61</xdr:row>
      <xdr:rowOff>0</xdr:rowOff>
    </xdr:from>
    <xdr:ext cx="200025" cy="200025"/>
    <xdr:pic>
      <xdr:nvPicPr>
        <xdr:cNvPr id="111" name="image2.png">
          <a:extLst>
            <a:ext uri="{FF2B5EF4-FFF2-40B4-BE49-F238E27FC236}">
              <a16:creationId xmlns:a16="http://schemas.microsoft.com/office/drawing/2014/main" id="{00000000-0008-0000-0700-00006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62</xdr:row>
      <xdr:rowOff>0</xdr:rowOff>
    </xdr:from>
    <xdr:ext cx="200025" cy="200025"/>
    <xdr:pic>
      <xdr:nvPicPr>
        <xdr:cNvPr id="112" name="image2.png">
          <a:extLst>
            <a:ext uri="{FF2B5EF4-FFF2-40B4-BE49-F238E27FC236}">
              <a16:creationId xmlns:a16="http://schemas.microsoft.com/office/drawing/2014/main" id="{00000000-0008-0000-0700-00007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63</xdr:row>
      <xdr:rowOff>0</xdr:rowOff>
    </xdr:from>
    <xdr:ext cx="200025" cy="200025"/>
    <xdr:pic>
      <xdr:nvPicPr>
        <xdr:cNvPr id="113" name="image2.png">
          <a:extLst>
            <a:ext uri="{FF2B5EF4-FFF2-40B4-BE49-F238E27FC236}">
              <a16:creationId xmlns:a16="http://schemas.microsoft.com/office/drawing/2014/main" id="{00000000-0008-0000-0700-00007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63</xdr:row>
      <xdr:rowOff>0</xdr:rowOff>
    </xdr:from>
    <xdr:ext cx="200025" cy="200025"/>
    <xdr:pic>
      <xdr:nvPicPr>
        <xdr:cNvPr id="114" name="image1.png">
          <a:extLst>
            <a:ext uri="{FF2B5EF4-FFF2-40B4-BE49-F238E27FC236}">
              <a16:creationId xmlns:a16="http://schemas.microsoft.com/office/drawing/2014/main" id="{00000000-0008-0000-0700-00007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64</xdr:row>
      <xdr:rowOff>0</xdr:rowOff>
    </xdr:from>
    <xdr:ext cx="200025" cy="200025"/>
    <xdr:pic>
      <xdr:nvPicPr>
        <xdr:cNvPr id="115" name="image2.png">
          <a:extLst>
            <a:ext uri="{FF2B5EF4-FFF2-40B4-BE49-F238E27FC236}">
              <a16:creationId xmlns:a16="http://schemas.microsoft.com/office/drawing/2014/main" id="{00000000-0008-0000-0700-00007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64</xdr:row>
      <xdr:rowOff>0</xdr:rowOff>
    </xdr:from>
    <xdr:ext cx="200025" cy="200025"/>
    <xdr:pic>
      <xdr:nvPicPr>
        <xdr:cNvPr id="116" name="image1.png">
          <a:extLst>
            <a:ext uri="{FF2B5EF4-FFF2-40B4-BE49-F238E27FC236}">
              <a16:creationId xmlns:a16="http://schemas.microsoft.com/office/drawing/2014/main" id="{00000000-0008-0000-0700-00007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65</xdr:row>
      <xdr:rowOff>0</xdr:rowOff>
    </xdr:from>
    <xdr:ext cx="200025" cy="200025"/>
    <xdr:pic>
      <xdr:nvPicPr>
        <xdr:cNvPr id="117" name="image1.png">
          <a:extLst>
            <a:ext uri="{FF2B5EF4-FFF2-40B4-BE49-F238E27FC236}">
              <a16:creationId xmlns:a16="http://schemas.microsoft.com/office/drawing/2014/main" id="{00000000-0008-0000-0700-00007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66</xdr:row>
      <xdr:rowOff>0</xdr:rowOff>
    </xdr:from>
    <xdr:ext cx="200025" cy="200025"/>
    <xdr:pic>
      <xdr:nvPicPr>
        <xdr:cNvPr id="118" name="image1.png">
          <a:extLst>
            <a:ext uri="{FF2B5EF4-FFF2-40B4-BE49-F238E27FC236}">
              <a16:creationId xmlns:a16="http://schemas.microsoft.com/office/drawing/2014/main" id="{00000000-0008-0000-0700-00007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66</xdr:row>
      <xdr:rowOff>0</xdr:rowOff>
    </xdr:from>
    <xdr:ext cx="200025" cy="200025"/>
    <xdr:pic>
      <xdr:nvPicPr>
        <xdr:cNvPr id="119" name="image1.png">
          <a:extLst>
            <a:ext uri="{FF2B5EF4-FFF2-40B4-BE49-F238E27FC236}">
              <a16:creationId xmlns:a16="http://schemas.microsoft.com/office/drawing/2014/main" id="{00000000-0008-0000-0700-00007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67</xdr:row>
      <xdr:rowOff>0</xdr:rowOff>
    </xdr:from>
    <xdr:ext cx="200025" cy="200025"/>
    <xdr:pic>
      <xdr:nvPicPr>
        <xdr:cNvPr id="120" name="image1.png">
          <a:extLst>
            <a:ext uri="{FF2B5EF4-FFF2-40B4-BE49-F238E27FC236}">
              <a16:creationId xmlns:a16="http://schemas.microsoft.com/office/drawing/2014/main" id="{00000000-0008-0000-0700-00007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67</xdr:row>
      <xdr:rowOff>0</xdr:rowOff>
    </xdr:from>
    <xdr:ext cx="200025" cy="200025"/>
    <xdr:pic>
      <xdr:nvPicPr>
        <xdr:cNvPr id="121" name="image1.png">
          <a:extLst>
            <a:ext uri="{FF2B5EF4-FFF2-40B4-BE49-F238E27FC236}">
              <a16:creationId xmlns:a16="http://schemas.microsoft.com/office/drawing/2014/main" id="{00000000-0008-0000-0700-00007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68</xdr:row>
      <xdr:rowOff>0</xdr:rowOff>
    </xdr:from>
    <xdr:ext cx="200025" cy="200025"/>
    <xdr:pic>
      <xdr:nvPicPr>
        <xdr:cNvPr id="122" name="image1.png">
          <a:extLst>
            <a:ext uri="{FF2B5EF4-FFF2-40B4-BE49-F238E27FC236}">
              <a16:creationId xmlns:a16="http://schemas.microsoft.com/office/drawing/2014/main" id="{00000000-0008-0000-0700-00007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68</xdr:row>
      <xdr:rowOff>0</xdr:rowOff>
    </xdr:from>
    <xdr:ext cx="200025" cy="200025"/>
    <xdr:pic>
      <xdr:nvPicPr>
        <xdr:cNvPr id="123" name="image1.png">
          <a:extLst>
            <a:ext uri="{FF2B5EF4-FFF2-40B4-BE49-F238E27FC236}">
              <a16:creationId xmlns:a16="http://schemas.microsoft.com/office/drawing/2014/main" id="{00000000-0008-0000-0700-00007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69</xdr:row>
      <xdr:rowOff>0</xdr:rowOff>
    </xdr:from>
    <xdr:ext cx="200025" cy="200025"/>
    <xdr:pic>
      <xdr:nvPicPr>
        <xdr:cNvPr id="124" name="image1.png">
          <a:extLst>
            <a:ext uri="{FF2B5EF4-FFF2-40B4-BE49-F238E27FC236}">
              <a16:creationId xmlns:a16="http://schemas.microsoft.com/office/drawing/2014/main" id="{00000000-0008-0000-0700-00007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69</xdr:row>
      <xdr:rowOff>0</xdr:rowOff>
    </xdr:from>
    <xdr:ext cx="200025" cy="200025"/>
    <xdr:pic>
      <xdr:nvPicPr>
        <xdr:cNvPr id="125" name="image1.png">
          <a:extLst>
            <a:ext uri="{FF2B5EF4-FFF2-40B4-BE49-F238E27FC236}">
              <a16:creationId xmlns:a16="http://schemas.microsoft.com/office/drawing/2014/main" id="{00000000-0008-0000-0700-00007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70</xdr:row>
      <xdr:rowOff>0</xdr:rowOff>
    </xdr:from>
    <xdr:ext cx="200025" cy="200025"/>
    <xdr:pic>
      <xdr:nvPicPr>
        <xdr:cNvPr id="126" name="image1.png">
          <a:extLst>
            <a:ext uri="{FF2B5EF4-FFF2-40B4-BE49-F238E27FC236}">
              <a16:creationId xmlns:a16="http://schemas.microsoft.com/office/drawing/2014/main" id="{00000000-0008-0000-0700-00007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71</xdr:row>
      <xdr:rowOff>0</xdr:rowOff>
    </xdr:from>
    <xdr:ext cx="200025" cy="200025"/>
    <xdr:pic>
      <xdr:nvPicPr>
        <xdr:cNvPr id="127" name="image1.png">
          <a:extLst>
            <a:ext uri="{FF2B5EF4-FFF2-40B4-BE49-F238E27FC236}">
              <a16:creationId xmlns:a16="http://schemas.microsoft.com/office/drawing/2014/main" id="{00000000-0008-0000-0700-00007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71</xdr:row>
      <xdr:rowOff>0</xdr:rowOff>
    </xdr:from>
    <xdr:ext cx="200025" cy="200025"/>
    <xdr:pic>
      <xdr:nvPicPr>
        <xdr:cNvPr id="128" name="image6.png">
          <a:extLst>
            <a:ext uri="{FF2B5EF4-FFF2-40B4-BE49-F238E27FC236}">
              <a16:creationId xmlns:a16="http://schemas.microsoft.com/office/drawing/2014/main" id="{00000000-0008-0000-0700-00008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72</xdr:row>
      <xdr:rowOff>0</xdr:rowOff>
    </xdr:from>
    <xdr:ext cx="200025" cy="200025"/>
    <xdr:pic>
      <xdr:nvPicPr>
        <xdr:cNvPr id="129" name="image1.png">
          <a:extLst>
            <a:ext uri="{FF2B5EF4-FFF2-40B4-BE49-F238E27FC236}">
              <a16:creationId xmlns:a16="http://schemas.microsoft.com/office/drawing/2014/main" id="{00000000-0008-0000-0700-00008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72</xdr:row>
      <xdr:rowOff>0</xdr:rowOff>
    </xdr:from>
    <xdr:ext cx="200025" cy="200025"/>
    <xdr:pic>
      <xdr:nvPicPr>
        <xdr:cNvPr id="130" name="image6.png">
          <a:extLst>
            <a:ext uri="{FF2B5EF4-FFF2-40B4-BE49-F238E27FC236}">
              <a16:creationId xmlns:a16="http://schemas.microsoft.com/office/drawing/2014/main" id="{00000000-0008-0000-0700-00008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73</xdr:row>
      <xdr:rowOff>0</xdr:rowOff>
    </xdr:from>
    <xdr:ext cx="200025" cy="200025"/>
    <xdr:pic>
      <xdr:nvPicPr>
        <xdr:cNvPr id="131" name="image1.png">
          <a:extLst>
            <a:ext uri="{FF2B5EF4-FFF2-40B4-BE49-F238E27FC236}">
              <a16:creationId xmlns:a16="http://schemas.microsoft.com/office/drawing/2014/main" id="{00000000-0008-0000-0700-00008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73</xdr:row>
      <xdr:rowOff>0</xdr:rowOff>
    </xdr:from>
    <xdr:ext cx="200025" cy="200025"/>
    <xdr:pic>
      <xdr:nvPicPr>
        <xdr:cNvPr id="132" name="image6.png">
          <a:extLst>
            <a:ext uri="{FF2B5EF4-FFF2-40B4-BE49-F238E27FC236}">
              <a16:creationId xmlns:a16="http://schemas.microsoft.com/office/drawing/2014/main" id="{00000000-0008-0000-0700-00008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74</xdr:row>
      <xdr:rowOff>0</xdr:rowOff>
    </xdr:from>
    <xdr:ext cx="200025" cy="200025"/>
    <xdr:pic>
      <xdr:nvPicPr>
        <xdr:cNvPr id="133" name="image1.png">
          <a:extLst>
            <a:ext uri="{FF2B5EF4-FFF2-40B4-BE49-F238E27FC236}">
              <a16:creationId xmlns:a16="http://schemas.microsoft.com/office/drawing/2014/main" id="{00000000-0008-0000-0700-00008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74</xdr:row>
      <xdr:rowOff>0</xdr:rowOff>
    </xdr:from>
    <xdr:ext cx="200025" cy="200025"/>
    <xdr:pic>
      <xdr:nvPicPr>
        <xdr:cNvPr id="134" name="image6.png">
          <a:extLst>
            <a:ext uri="{FF2B5EF4-FFF2-40B4-BE49-F238E27FC236}">
              <a16:creationId xmlns:a16="http://schemas.microsoft.com/office/drawing/2014/main" id="{00000000-0008-0000-0700-00008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75</xdr:row>
      <xdr:rowOff>0</xdr:rowOff>
    </xdr:from>
    <xdr:ext cx="200025" cy="200025"/>
    <xdr:pic>
      <xdr:nvPicPr>
        <xdr:cNvPr id="135" name="image1.png">
          <a:extLst>
            <a:ext uri="{FF2B5EF4-FFF2-40B4-BE49-F238E27FC236}">
              <a16:creationId xmlns:a16="http://schemas.microsoft.com/office/drawing/2014/main" id="{00000000-0008-0000-0700-00008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75</xdr:row>
      <xdr:rowOff>0</xdr:rowOff>
    </xdr:from>
    <xdr:ext cx="200025" cy="200025"/>
    <xdr:pic>
      <xdr:nvPicPr>
        <xdr:cNvPr id="136" name="image6.png">
          <a:extLst>
            <a:ext uri="{FF2B5EF4-FFF2-40B4-BE49-F238E27FC236}">
              <a16:creationId xmlns:a16="http://schemas.microsoft.com/office/drawing/2014/main" id="{00000000-0008-0000-0700-00008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76</xdr:row>
      <xdr:rowOff>0</xdr:rowOff>
    </xdr:from>
    <xdr:ext cx="200025" cy="200025"/>
    <xdr:pic>
      <xdr:nvPicPr>
        <xdr:cNvPr id="137" name="image1.png">
          <a:extLst>
            <a:ext uri="{FF2B5EF4-FFF2-40B4-BE49-F238E27FC236}">
              <a16:creationId xmlns:a16="http://schemas.microsoft.com/office/drawing/2014/main" id="{00000000-0008-0000-0700-00008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77</xdr:row>
      <xdr:rowOff>0</xdr:rowOff>
    </xdr:from>
    <xdr:ext cx="200025" cy="200025"/>
    <xdr:pic>
      <xdr:nvPicPr>
        <xdr:cNvPr id="138" name="image1.png">
          <a:extLst>
            <a:ext uri="{FF2B5EF4-FFF2-40B4-BE49-F238E27FC236}">
              <a16:creationId xmlns:a16="http://schemas.microsoft.com/office/drawing/2014/main" id="{00000000-0008-0000-0700-00008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77</xdr:row>
      <xdr:rowOff>0</xdr:rowOff>
    </xdr:from>
    <xdr:ext cx="200025" cy="200025"/>
    <xdr:pic>
      <xdr:nvPicPr>
        <xdr:cNvPr id="139" name="image5.png">
          <a:extLst>
            <a:ext uri="{FF2B5EF4-FFF2-40B4-BE49-F238E27FC236}">
              <a16:creationId xmlns:a16="http://schemas.microsoft.com/office/drawing/2014/main" id="{00000000-0008-0000-0700-00008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78</xdr:row>
      <xdr:rowOff>0</xdr:rowOff>
    </xdr:from>
    <xdr:ext cx="200025" cy="200025"/>
    <xdr:pic>
      <xdr:nvPicPr>
        <xdr:cNvPr id="140" name="image1.png">
          <a:extLst>
            <a:ext uri="{FF2B5EF4-FFF2-40B4-BE49-F238E27FC236}">
              <a16:creationId xmlns:a16="http://schemas.microsoft.com/office/drawing/2014/main" id="{00000000-0008-0000-0700-00008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78</xdr:row>
      <xdr:rowOff>0</xdr:rowOff>
    </xdr:from>
    <xdr:ext cx="200025" cy="200025"/>
    <xdr:pic>
      <xdr:nvPicPr>
        <xdr:cNvPr id="141" name="image5.png">
          <a:extLst>
            <a:ext uri="{FF2B5EF4-FFF2-40B4-BE49-F238E27FC236}">
              <a16:creationId xmlns:a16="http://schemas.microsoft.com/office/drawing/2014/main" id="{00000000-0008-0000-0700-00008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79</xdr:row>
      <xdr:rowOff>0</xdr:rowOff>
    </xdr:from>
    <xdr:ext cx="200025" cy="200025"/>
    <xdr:pic>
      <xdr:nvPicPr>
        <xdr:cNvPr id="142" name="image1.png">
          <a:extLst>
            <a:ext uri="{FF2B5EF4-FFF2-40B4-BE49-F238E27FC236}">
              <a16:creationId xmlns:a16="http://schemas.microsoft.com/office/drawing/2014/main" id="{00000000-0008-0000-0700-00008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79</xdr:row>
      <xdr:rowOff>0</xdr:rowOff>
    </xdr:from>
    <xdr:ext cx="200025" cy="200025"/>
    <xdr:pic>
      <xdr:nvPicPr>
        <xdr:cNvPr id="143" name="image5.png">
          <a:extLst>
            <a:ext uri="{FF2B5EF4-FFF2-40B4-BE49-F238E27FC236}">
              <a16:creationId xmlns:a16="http://schemas.microsoft.com/office/drawing/2014/main" id="{00000000-0008-0000-0700-00008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80</xdr:row>
      <xdr:rowOff>0</xdr:rowOff>
    </xdr:from>
    <xdr:ext cx="200025" cy="200025"/>
    <xdr:pic>
      <xdr:nvPicPr>
        <xdr:cNvPr id="144" name="image5.png">
          <a:extLst>
            <a:ext uri="{FF2B5EF4-FFF2-40B4-BE49-F238E27FC236}">
              <a16:creationId xmlns:a16="http://schemas.microsoft.com/office/drawing/2014/main" id="{00000000-0008-0000-0700-000090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81</xdr:row>
      <xdr:rowOff>0</xdr:rowOff>
    </xdr:from>
    <xdr:ext cx="200025" cy="200025"/>
    <xdr:pic>
      <xdr:nvPicPr>
        <xdr:cNvPr id="145" name="image6.png">
          <a:extLst>
            <a:ext uri="{FF2B5EF4-FFF2-40B4-BE49-F238E27FC236}">
              <a16:creationId xmlns:a16="http://schemas.microsoft.com/office/drawing/2014/main" id="{00000000-0008-0000-0700-00009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81</xdr:row>
      <xdr:rowOff>0</xdr:rowOff>
    </xdr:from>
    <xdr:ext cx="200025" cy="200025"/>
    <xdr:pic>
      <xdr:nvPicPr>
        <xdr:cNvPr id="146" name="image5.png">
          <a:extLst>
            <a:ext uri="{FF2B5EF4-FFF2-40B4-BE49-F238E27FC236}">
              <a16:creationId xmlns:a16="http://schemas.microsoft.com/office/drawing/2014/main" id="{00000000-0008-0000-0700-00009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82</xdr:row>
      <xdr:rowOff>0</xdr:rowOff>
    </xdr:from>
    <xdr:ext cx="200025" cy="200025"/>
    <xdr:pic>
      <xdr:nvPicPr>
        <xdr:cNvPr id="147" name="image6.png">
          <a:extLst>
            <a:ext uri="{FF2B5EF4-FFF2-40B4-BE49-F238E27FC236}">
              <a16:creationId xmlns:a16="http://schemas.microsoft.com/office/drawing/2014/main" id="{00000000-0008-0000-0700-00009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82</xdr:row>
      <xdr:rowOff>0</xdr:rowOff>
    </xdr:from>
    <xdr:ext cx="200025" cy="200025"/>
    <xdr:pic>
      <xdr:nvPicPr>
        <xdr:cNvPr id="148" name="image5.png">
          <a:extLst>
            <a:ext uri="{FF2B5EF4-FFF2-40B4-BE49-F238E27FC236}">
              <a16:creationId xmlns:a16="http://schemas.microsoft.com/office/drawing/2014/main" id="{00000000-0008-0000-0700-00009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83</xdr:row>
      <xdr:rowOff>0</xdr:rowOff>
    </xdr:from>
    <xdr:ext cx="200025" cy="200025"/>
    <xdr:pic>
      <xdr:nvPicPr>
        <xdr:cNvPr id="149" name="image6.png">
          <a:extLst>
            <a:ext uri="{FF2B5EF4-FFF2-40B4-BE49-F238E27FC236}">
              <a16:creationId xmlns:a16="http://schemas.microsoft.com/office/drawing/2014/main" id="{00000000-0008-0000-0700-00009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84</xdr:row>
      <xdr:rowOff>0</xdr:rowOff>
    </xdr:from>
    <xdr:ext cx="200025" cy="200025"/>
    <xdr:pic>
      <xdr:nvPicPr>
        <xdr:cNvPr id="150" name="image6.png">
          <a:extLst>
            <a:ext uri="{FF2B5EF4-FFF2-40B4-BE49-F238E27FC236}">
              <a16:creationId xmlns:a16="http://schemas.microsoft.com/office/drawing/2014/main" id="{00000000-0008-0000-0700-00009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84</xdr:row>
      <xdr:rowOff>0</xdr:rowOff>
    </xdr:from>
    <xdr:ext cx="200025" cy="200025"/>
    <xdr:pic>
      <xdr:nvPicPr>
        <xdr:cNvPr id="151" name="image12.png">
          <a:extLst>
            <a:ext uri="{FF2B5EF4-FFF2-40B4-BE49-F238E27FC236}">
              <a16:creationId xmlns:a16="http://schemas.microsoft.com/office/drawing/2014/main" id="{00000000-0008-0000-0700-00009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85</xdr:row>
      <xdr:rowOff>0</xdr:rowOff>
    </xdr:from>
    <xdr:ext cx="200025" cy="200025"/>
    <xdr:pic>
      <xdr:nvPicPr>
        <xdr:cNvPr id="152" name="image6.png">
          <a:extLst>
            <a:ext uri="{FF2B5EF4-FFF2-40B4-BE49-F238E27FC236}">
              <a16:creationId xmlns:a16="http://schemas.microsoft.com/office/drawing/2014/main" id="{00000000-0008-0000-0700-00009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85</xdr:row>
      <xdr:rowOff>0</xdr:rowOff>
    </xdr:from>
    <xdr:ext cx="200025" cy="200025"/>
    <xdr:pic>
      <xdr:nvPicPr>
        <xdr:cNvPr id="153" name="image12.png">
          <a:extLst>
            <a:ext uri="{FF2B5EF4-FFF2-40B4-BE49-F238E27FC236}">
              <a16:creationId xmlns:a16="http://schemas.microsoft.com/office/drawing/2014/main" id="{00000000-0008-0000-0700-00009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86</xdr:row>
      <xdr:rowOff>0</xdr:rowOff>
    </xdr:from>
    <xdr:ext cx="200025" cy="200025"/>
    <xdr:pic>
      <xdr:nvPicPr>
        <xdr:cNvPr id="154" name="image6.png">
          <a:extLst>
            <a:ext uri="{FF2B5EF4-FFF2-40B4-BE49-F238E27FC236}">
              <a16:creationId xmlns:a16="http://schemas.microsoft.com/office/drawing/2014/main" id="{00000000-0008-0000-0700-00009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86</xdr:row>
      <xdr:rowOff>0</xdr:rowOff>
    </xdr:from>
    <xdr:ext cx="200025" cy="200025"/>
    <xdr:pic>
      <xdr:nvPicPr>
        <xdr:cNvPr id="155" name="image12.png">
          <a:extLst>
            <a:ext uri="{FF2B5EF4-FFF2-40B4-BE49-F238E27FC236}">
              <a16:creationId xmlns:a16="http://schemas.microsoft.com/office/drawing/2014/main" id="{00000000-0008-0000-0700-00009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87</xdr:row>
      <xdr:rowOff>0</xdr:rowOff>
    </xdr:from>
    <xdr:ext cx="200025" cy="200025"/>
    <xdr:pic>
      <xdr:nvPicPr>
        <xdr:cNvPr id="156" name="image6.png">
          <a:extLst>
            <a:ext uri="{FF2B5EF4-FFF2-40B4-BE49-F238E27FC236}">
              <a16:creationId xmlns:a16="http://schemas.microsoft.com/office/drawing/2014/main" id="{00000000-0008-0000-0700-00009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87</xdr:row>
      <xdr:rowOff>0</xdr:rowOff>
    </xdr:from>
    <xdr:ext cx="200025" cy="200025"/>
    <xdr:pic>
      <xdr:nvPicPr>
        <xdr:cNvPr id="157" name="image12.png">
          <a:extLst>
            <a:ext uri="{FF2B5EF4-FFF2-40B4-BE49-F238E27FC236}">
              <a16:creationId xmlns:a16="http://schemas.microsoft.com/office/drawing/2014/main" id="{00000000-0008-0000-0700-00009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88</xdr:row>
      <xdr:rowOff>0</xdr:rowOff>
    </xdr:from>
    <xdr:ext cx="200025" cy="200025"/>
    <xdr:pic>
      <xdr:nvPicPr>
        <xdr:cNvPr id="158" name="image6.png">
          <a:extLst>
            <a:ext uri="{FF2B5EF4-FFF2-40B4-BE49-F238E27FC236}">
              <a16:creationId xmlns:a16="http://schemas.microsoft.com/office/drawing/2014/main" id="{00000000-0008-0000-0700-00009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89</xdr:row>
      <xdr:rowOff>0</xdr:rowOff>
    </xdr:from>
    <xdr:ext cx="200025" cy="200025"/>
    <xdr:pic>
      <xdr:nvPicPr>
        <xdr:cNvPr id="159" name="image6.png">
          <a:extLst>
            <a:ext uri="{FF2B5EF4-FFF2-40B4-BE49-F238E27FC236}">
              <a16:creationId xmlns:a16="http://schemas.microsoft.com/office/drawing/2014/main" id="{00000000-0008-0000-0700-00009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89</xdr:row>
      <xdr:rowOff>0</xdr:rowOff>
    </xdr:from>
    <xdr:ext cx="200025" cy="200025"/>
    <xdr:pic>
      <xdr:nvPicPr>
        <xdr:cNvPr id="160" name="image4.png">
          <a:extLst>
            <a:ext uri="{FF2B5EF4-FFF2-40B4-BE49-F238E27FC236}">
              <a16:creationId xmlns:a16="http://schemas.microsoft.com/office/drawing/2014/main" id="{00000000-0008-0000-0700-0000A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200025" cy="200025"/>
    <xdr:pic>
      <xdr:nvPicPr>
        <xdr:cNvPr id="161" name="image6.png">
          <a:extLst>
            <a:ext uri="{FF2B5EF4-FFF2-40B4-BE49-F238E27FC236}">
              <a16:creationId xmlns:a16="http://schemas.microsoft.com/office/drawing/2014/main" id="{00000000-0008-0000-0700-0000A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90</xdr:row>
      <xdr:rowOff>0</xdr:rowOff>
    </xdr:from>
    <xdr:ext cx="200025" cy="200025"/>
    <xdr:pic>
      <xdr:nvPicPr>
        <xdr:cNvPr id="162" name="image4.png">
          <a:extLst>
            <a:ext uri="{FF2B5EF4-FFF2-40B4-BE49-F238E27FC236}">
              <a16:creationId xmlns:a16="http://schemas.microsoft.com/office/drawing/2014/main" id="{00000000-0008-0000-0700-0000A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91</xdr:row>
      <xdr:rowOff>0</xdr:rowOff>
    </xdr:from>
    <xdr:ext cx="200025" cy="200025"/>
    <xdr:pic>
      <xdr:nvPicPr>
        <xdr:cNvPr id="163" name="image6.png">
          <a:extLst>
            <a:ext uri="{FF2B5EF4-FFF2-40B4-BE49-F238E27FC236}">
              <a16:creationId xmlns:a16="http://schemas.microsoft.com/office/drawing/2014/main" id="{00000000-0008-0000-0700-0000A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91</xdr:row>
      <xdr:rowOff>0</xdr:rowOff>
    </xdr:from>
    <xdr:ext cx="200025" cy="200025"/>
    <xdr:pic>
      <xdr:nvPicPr>
        <xdr:cNvPr id="164" name="image4.png">
          <a:extLst>
            <a:ext uri="{FF2B5EF4-FFF2-40B4-BE49-F238E27FC236}">
              <a16:creationId xmlns:a16="http://schemas.microsoft.com/office/drawing/2014/main" id="{00000000-0008-0000-0700-0000A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92</xdr:row>
      <xdr:rowOff>0</xdr:rowOff>
    </xdr:from>
    <xdr:ext cx="200025" cy="200025"/>
    <xdr:pic>
      <xdr:nvPicPr>
        <xdr:cNvPr id="165" name="image6.png">
          <a:extLst>
            <a:ext uri="{FF2B5EF4-FFF2-40B4-BE49-F238E27FC236}">
              <a16:creationId xmlns:a16="http://schemas.microsoft.com/office/drawing/2014/main" id="{00000000-0008-0000-0700-0000A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93</xdr:row>
      <xdr:rowOff>0</xdr:rowOff>
    </xdr:from>
    <xdr:ext cx="200025" cy="200025"/>
    <xdr:pic>
      <xdr:nvPicPr>
        <xdr:cNvPr id="166" name="image3.png">
          <a:extLst>
            <a:ext uri="{FF2B5EF4-FFF2-40B4-BE49-F238E27FC236}">
              <a16:creationId xmlns:a16="http://schemas.microsoft.com/office/drawing/2014/main" id="{00000000-0008-0000-0700-0000A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94</xdr:row>
      <xdr:rowOff>0</xdr:rowOff>
    </xdr:from>
    <xdr:ext cx="200025" cy="200025"/>
    <xdr:pic>
      <xdr:nvPicPr>
        <xdr:cNvPr id="167" name="image5.png">
          <a:extLst>
            <a:ext uri="{FF2B5EF4-FFF2-40B4-BE49-F238E27FC236}">
              <a16:creationId xmlns:a16="http://schemas.microsoft.com/office/drawing/2014/main" id="{00000000-0008-0000-0700-0000A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94</xdr:row>
      <xdr:rowOff>0</xdr:rowOff>
    </xdr:from>
    <xdr:ext cx="200025" cy="200025"/>
    <xdr:pic>
      <xdr:nvPicPr>
        <xdr:cNvPr id="168" name="image3.png">
          <a:extLst>
            <a:ext uri="{FF2B5EF4-FFF2-40B4-BE49-F238E27FC236}">
              <a16:creationId xmlns:a16="http://schemas.microsoft.com/office/drawing/2014/main" id="{00000000-0008-0000-0700-0000A8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95</xdr:row>
      <xdr:rowOff>0</xdr:rowOff>
    </xdr:from>
    <xdr:ext cx="200025" cy="200025"/>
    <xdr:pic>
      <xdr:nvPicPr>
        <xdr:cNvPr id="169" name="image5.png">
          <a:extLst>
            <a:ext uri="{FF2B5EF4-FFF2-40B4-BE49-F238E27FC236}">
              <a16:creationId xmlns:a16="http://schemas.microsoft.com/office/drawing/2014/main" id="{00000000-0008-0000-0700-0000A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95</xdr:row>
      <xdr:rowOff>0</xdr:rowOff>
    </xdr:from>
    <xdr:ext cx="200025" cy="200025"/>
    <xdr:pic>
      <xdr:nvPicPr>
        <xdr:cNvPr id="170" name="image3.png">
          <a:extLst>
            <a:ext uri="{FF2B5EF4-FFF2-40B4-BE49-F238E27FC236}">
              <a16:creationId xmlns:a16="http://schemas.microsoft.com/office/drawing/2014/main" id="{00000000-0008-0000-0700-0000A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96</xdr:row>
      <xdr:rowOff>0</xdr:rowOff>
    </xdr:from>
    <xdr:ext cx="200025" cy="200025"/>
    <xdr:pic>
      <xdr:nvPicPr>
        <xdr:cNvPr id="171" name="image5.png">
          <a:extLst>
            <a:ext uri="{FF2B5EF4-FFF2-40B4-BE49-F238E27FC236}">
              <a16:creationId xmlns:a16="http://schemas.microsoft.com/office/drawing/2014/main" id="{00000000-0008-0000-0700-0000A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97</xdr:row>
      <xdr:rowOff>0</xdr:rowOff>
    </xdr:from>
    <xdr:ext cx="200025" cy="200025"/>
    <xdr:pic>
      <xdr:nvPicPr>
        <xdr:cNvPr id="172" name="image5.png">
          <a:extLst>
            <a:ext uri="{FF2B5EF4-FFF2-40B4-BE49-F238E27FC236}">
              <a16:creationId xmlns:a16="http://schemas.microsoft.com/office/drawing/2014/main" id="{00000000-0008-0000-0700-0000A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97</xdr:row>
      <xdr:rowOff>0</xdr:rowOff>
    </xdr:from>
    <xdr:ext cx="200025" cy="200025"/>
    <xdr:pic>
      <xdr:nvPicPr>
        <xdr:cNvPr id="173" name="image7.png">
          <a:extLst>
            <a:ext uri="{FF2B5EF4-FFF2-40B4-BE49-F238E27FC236}">
              <a16:creationId xmlns:a16="http://schemas.microsoft.com/office/drawing/2014/main" id="{00000000-0008-0000-0700-0000A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0</xdr:colOff>
      <xdr:row>98</xdr:row>
      <xdr:rowOff>0</xdr:rowOff>
    </xdr:from>
    <xdr:ext cx="200025" cy="200025"/>
    <xdr:pic>
      <xdr:nvPicPr>
        <xdr:cNvPr id="174" name="image7.png">
          <a:extLst>
            <a:ext uri="{FF2B5EF4-FFF2-40B4-BE49-F238E27FC236}">
              <a16:creationId xmlns:a16="http://schemas.microsoft.com/office/drawing/2014/main" id="{00000000-0008-0000-0700-0000A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99</xdr:row>
      <xdr:rowOff>0</xdr:rowOff>
    </xdr:from>
    <xdr:ext cx="200025" cy="200025"/>
    <xdr:pic>
      <xdr:nvPicPr>
        <xdr:cNvPr id="175" name="image12.png">
          <a:extLst>
            <a:ext uri="{FF2B5EF4-FFF2-40B4-BE49-F238E27FC236}">
              <a16:creationId xmlns:a16="http://schemas.microsoft.com/office/drawing/2014/main" id="{00000000-0008-0000-0700-0000A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200025" cy="200025"/>
    <xdr:pic>
      <xdr:nvPicPr>
        <xdr:cNvPr id="176" name="image12.png">
          <a:extLst>
            <a:ext uri="{FF2B5EF4-FFF2-40B4-BE49-F238E27FC236}">
              <a16:creationId xmlns:a16="http://schemas.microsoft.com/office/drawing/2014/main" id="{00000000-0008-0000-0700-0000B0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100</xdr:row>
      <xdr:rowOff>0</xdr:rowOff>
    </xdr:from>
    <xdr:ext cx="200025" cy="200025"/>
    <xdr:pic>
      <xdr:nvPicPr>
        <xdr:cNvPr id="177" name="image11.png">
          <a:extLst>
            <a:ext uri="{FF2B5EF4-FFF2-40B4-BE49-F238E27FC236}">
              <a16:creationId xmlns:a16="http://schemas.microsoft.com/office/drawing/2014/main" id="{00000000-0008-0000-0700-0000B1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200025" cy="200025"/>
    <xdr:pic>
      <xdr:nvPicPr>
        <xdr:cNvPr id="178" name="image12.png">
          <a:extLst>
            <a:ext uri="{FF2B5EF4-FFF2-40B4-BE49-F238E27FC236}">
              <a16:creationId xmlns:a16="http://schemas.microsoft.com/office/drawing/2014/main" id="{00000000-0008-0000-0700-0000B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0</xdr:colOff>
      <xdr:row>101</xdr:row>
      <xdr:rowOff>0</xdr:rowOff>
    </xdr:from>
    <xdr:ext cx="200025" cy="200025"/>
    <xdr:pic>
      <xdr:nvPicPr>
        <xdr:cNvPr id="179" name="image11.png">
          <a:extLst>
            <a:ext uri="{FF2B5EF4-FFF2-40B4-BE49-F238E27FC236}">
              <a16:creationId xmlns:a16="http://schemas.microsoft.com/office/drawing/2014/main" id="{00000000-0008-0000-0700-0000B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200025" cy="200025"/>
    <xdr:pic>
      <xdr:nvPicPr>
        <xdr:cNvPr id="180" name="image12.png">
          <a:extLst>
            <a:ext uri="{FF2B5EF4-FFF2-40B4-BE49-F238E27FC236}">
              <a16:creationId xmlns:a16="http://schemas.microsoft.com/office/drawing/2014/main" id="{00000000-0008-0000-0700-0000B4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200025" cy="200025"/>
    <xdr:pic>
      <xdr:nvPicPr>
        <xdr:cNvPr id="181" name="image12.png">
          <a:extLst>
            <a:ext uri="{FF2B5EF4-FFF2-40B4-BE49-F238E27FC236}">
              <a16:creationId xmlns:a16="http://schemas.microsoft.com/office/drawing/2014/main" id="{00000000-0008-0000-0700-0000B5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200025" cy="200025"/>
    <xdr:pic>
      <xdr:nvPicPr>
        <xdr:cNvPr id="182" name="image12.png">
          <a:extLst>
            <a:ext uri="{FF2B5EF4-FFF2-40B4-BE49-F238E27FC236}">
              <a16:creationId xmlns:a16="http://schemas.microsoft.com/office/drawing/2014/main" id="{00000000-0008-0000-0700-0000B6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200025" cy="200025"/>
    <xdr:pic>
      <xdr:nvPicPr>
        <xdr:cNvPr id="183" name="image12.png">
          <a:extLst>
            <a:ext uri="{FF2B5EF4-FFF2-40B4-BE49-F238E27FC236}">
              <a16:creationId xmlns:a16="http://schemas.microsoft.com/office/drawing/2014/main" id="{00000000-0008-0000-0700-0000B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200025" cy="200025"/>
    <xdr:pic>
      <xdr:nvPicPr>
        <xdr:cNvPr id="184" name="image12.png">
          <a:extLst>
            <a:ext uri="{FF2B5EF4-FFF2-40B4-BE49-F238E27FC236}">
              <a16:creationId xmlns:a16="http://schemas.microsoft.com/office/drawing/2014/main" id="{00000000-0008-0000-0700-0000B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200025" cy="200025"/>
    <xdr:pic>
      <xdr:nvPicPr>
        <xdr:cNvPr id="185" name="image4.png">
          <a:extLst>
            <a:ext uri="{FF2B5EF4-FFF2-40B4-BE49-F238E27FC236}">
              <a16:creationId xmlns:a16="http://schemas.microsoft.com/office/drawing/2014/main" id="{00000000-0008-0000-0700-0000B9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200025" cy="200025"/>
    <xdr:pic>
      <xdr:nvPicPr>
        <xdr:cNvPr id="186" name="image4.png">
          <a:extLst>
            <a:ext uri="{FF2B5EF4-FFF2-40B4-BE49-F238E27FC236}">
              <a16:creationId xmlns:a16="http://schemas.microsoft.com/office/drawing/2014/main" id="{00000000-0008-0000-0700-0000B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200025" cy="200025"/>
    <xdr:pic>
      <xdr:nvPicPr>
        <xdr:cNvPr id="187" name="image4.png">
          <a:extLst>
            <a:ext uri="{FF2B5EF4-FFF2-40B4-BE49-F238E27FC236}">
              <a16:creationId xmlns:a16="http://schemas.microsoft.com/office/drawing/2014/main" id="{00000000-0008-0000-0700-0000B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200025" cy="200025"/>
    <xdr:pic>
      <xdr:nvPicPr>
        <xdr:cNvPr id="188" name="image4.png">
          <a:extLst>
            <a:ext uri="{FF2B5EF4-FFF2-40B4-BE49-F238E27FC236}">
              <a16:creationId xmlns:a16="http://schemas.microsoft.com/office/drawing/2014/main" id="{00000000-0008-0000-0700-0000B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200025" cy="200025"/>
    <xdr:pic>
      <xdr:nvPicPr>
        <xdr:cNvPr id="189" name="image4.png">
          <a:extLst>
            <a:ext uri="{FF2B5EF4-FFF2-40B4-BE49-F238E27FC236}">
              <a16:creationId xmlns:a16="http://schemas.microsoft.com/office/drawing/2014/main" id="{00000000-0008-0000-0700-0000B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200025" cy="200025"/>
    <xdr:pic>
      <xdr:nvPicPr>
        <xdr:cNvPr id="190" name="image4.png">
          <a:extLst>
            <a:ext uri="{FF2B5EF4-FFF2-40B4-BE49-F238E27FC236}">
              <a16:creationId xmlns:a16="http://schemas.microsoft.com/office/drawing/2014/main" id="{00000000-0008-0000-0700-0000B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200025" cy="200025"/>
    <xdr:pic>
      <xdr:nvPicPr>
        <xdr:cNvPr id="191" name="image3.png">
          <a:extLst>
            <a:ext uri="{FF2B5EF4-FFF2-40B4-BE49-F238E27FC236}">
              <a16:creationId xmlns:a16="http://schemas.microsoft.com/office/drawing/2014/main" id="{00000000-0008-0000-0700-0000B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200025" cy="200025"/>
    <xdr:pic>
      <xdr:nvPicPr>
        <xdr:cNvPr id="192" name="image3.png">
          <a:extLst>
            <a:ext uri="{FF2B5EF4-FFF2-40B4-BE49-F238E27FC236}">
              <a16:creationId xmlns:a16="http://schemas.microsoft.com/office/drawing/2014/main" id="{00000000-0008-0000-0700-0000C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200025" cy="200025"/>
    <xdr:pic>
      <xdr:nvPicPr>
        <xdr:cNvPr id="193" name="image3.png">
          <a:extLst>
            <a:ext uri="{FF2B5EF4-FFF2-40B4-BE49-F238E27FC236}">
              <a16:creationId xmlns:a16="http://schemas.microsoft.com/office/drawing/2014/main" id="{00000000-0008-0000-0700-0000C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200025" cy="200025"/>
    <xdr:pic>
      <xdr:nvPicPr>
        <xdr:cNvPr id="194" name="image3.png">
          <a:extLst>
            <a:ext uri="{FF2B5EF4-FFF2-40B4-BE49-F238E27FC236}">
              <a16:creationId xmlns:a16="http://schemas.microsoft.com/office/drawing/2014/main" id="{00000000-0008-0000-0700-0000C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119</xdr:row>
      <xdr:rowOff>0</xdr:rowOff>
    </xdr:from>
    <xdr:ext cx="200025" cy="200025"/>
    <xdr:pic>
      <xdr:nvPicPr>
        <xdr:cNvPr id="195" name="image3.png">
          <a:extLst>
            <a:ext uri="{FF2B5EF4-FFF2-40B4-BE49-F238E27FC236}">
              <a16:creationId xmlns:a16="http://schemas.microsoft.com/office/drawing/2014/main" id="{00000000-0008-0000-0700-0000C3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200025" cy="200025"/>
    <xdr:pic>
      <xdr:nvPicPr>
        <xdr:cNvPr id="196" name="image3.png">
          <a:extLst>
            <a:ext uri="{FF2B5EF4-FFF2-40B4-BE49-F238E27FC236}">
              <a16:creationId xmlns:a16="http://schemas.microsoft.com/office/drawing/2014/main" id="{00000000-0008-0000-0700-0000C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200025" cy="200025"/>
    <xdr:pic>
      <xdr:nvPicPr>
        <xdr:cNvPr id="197" name="image3.png">
          <a:extLst>
            <a:ext uri="{FF2B5EF4-FFF2-40B4-BE49-F238E27FC236}">
              <a16:creationId xmlns:a16="http://schemas.microsoft.com/office/drawing/2014/main" id="{00000000-0008-0000-0700-0000C5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200025" cy="200025"/>
    <xdr:pic>
      <xdr:nvPicPr>
        <xdr:cNvPr id="198" name="image3.png">
          <a:extLst>
            <a:ext uri="{FF2B5EF4-FFF2-40B4-BE49-F238E27FC236}">
              <a16:creationId xmlns:a16="http://schemas.microsoft.com/office/drawing/2014/main" id="{00000000-0008-0000-0700-0000C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200025" cy="200025"/>
    <xdr:pic>
      <xdr:nvPicPr>
        <xdr:cNvPr id="199" name="image7.png">
          <a:extLst>
            <a:ext uri="{FF2B5EF4-FFF2-40B4-BE49-F238E27FC236}">
              <a16:creationId xmlns:a16="http://schemas.microsoft.com/office/drawing/2014/main" id="{00000000-0008-0000-0700-0000C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200025" cy="200025"/>
    <xdr:pic>
      <xdr:nvPicPr>
        <xdr:cNvPr id="200" name="image7.png">
          <a:extLst>
            <a:ext uri="{FF2B5EF4-FFF2-40B4-BE49-F238E27FC236}">
              <a16:creationId xmlns:a16="http://schemas.microsoft.com/office/drawing/2014/main" id="{00000000-0008-0000-0700-0000C8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200025" cy="200025"/>
    <xdr:pic>
      <xdr:nvPicPr>
        <xdr:cNvPr id="201" name="image7.png">
          <a:extLst>
            <a:ext uri="{FF2B5EF4-FFF2-40B4-BE49-F238E27FC236}">
              <a16:creationId xmlns:a16="http://schemas.microsoft.com/office/drawing/2014/main" id="{00000000-0008-0000-0700-0000C9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127</xdr:row>
      <xdr:rowOff>0</xdr:rowOff>
    </xdr:from>
    <xdr:ext cx="200025" cy="200025"/>
    <xdr:pic>
      <xdr:nvPicPr>
        <xdr:cNvPr id="202" name="image7.png">
          <a:extLst>
            <a:ext uri="{FF2B5EF4-FFF2-40B4-BE49-F238E27FC236}">
              <a16:creationId xmlns:a16="http://schemas.microsoft.com/office/drawing/2014/main" id="{00000000-0008-0000-0700-0000CA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129</xdr:row>
      <xdr:rowOff>0</xdr:rowOff>
    </xdr:from>
    <xdr:ext cx="200025" cy="200025"/>
    <xdr:pic>
      <xdr:nvPicPr>
        <xdr:cNvPr id="203" name="image11.png">
          <a:extLst>
            <a:ext uri="{FF2B5EF4-FFF2-40B4-BE49-F238E27FC236}">
              <a16:creationId xmlns:a16="http://schemas.microsoft.com/office/drawing/2014/main" id="{00000000-0008-0000-0700-0000CB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200025" cy="200025"/>
    <xdr:pic>
      <xdr:nvPicPr>
        <xdr:cNvPr id="204" name="image11.png">
          <a:extLst>
            <a:ext uri="{FF2B5EF4-FFF2-40B4-BE49-F238E27FC236}">
              <a16:creationId xmlns:a16="http://schemas.microsoft.com/office/drawing/2014/main" id="{00000000-0008-0000-0700-0000C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200025" cy="200025"/>
    <xdr:pic>
      <xdr:nvPicPr>
        <xdr:cNvPr id="205" name="image11.png">
          <a:extLst>
            <a:ext uri="{FF2B5EF4-FFF2-40B4-BE49-F238E27FC236}">
              <a16:creationId xmlns:a16="http://schemas.microsoft.com/office/drawing/2014/main" id="{00000000-0008-0000-0700-0000C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132</xdr:row>
      <xdr:rowOff>0</xdr:rowOff>
    </xdr:from>
    <xdr:ext cx="200025" cy="200025"/>
    <xdr:pic>
      <xdr:nvPicPr>
        <xdr:cNvPr id="206" name="image11.png">
          <a:extLst>
            <a:ext uri="{FF2B5EF4-FFF2-40B4-BE49-F238E27FC236}">
              <a16:creationId xmlns:a16="http://schemas.microsoft.com/office/drawing/2014/main" id="{00000000-0008-0000-0700-0000C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237"/>
  <sheetViews>
    <sheetView workbookViewId="0">
      <pane ySplit="2" topLeftCell="A3" activePane="bottomLeft" state="frozen"/>
      <selection pane="bottomLeft" activeCell="Z14" sqref="Z14"/>
    </sheetView>
  </sheetViews>
  <sheetFormatPr defaultColWidth="12.5703125" defaultRowHeight="15.75" customHeight="1" x14ac:dyDescent="0.2"/>
  <cols>
    <col min="1" max="1" width="2.5703125" customWidth="1"/>
    <col min="2" max="2" width="5.140625" customWidth="1"/>
    <col min="3" max="3" width="15.140625" customWidth="1"/>
    <col min="4" max="4" width="10.140625" customWidth="1"/>
    <col min="5" max="10" width="2.5703125" customWidth="1"/>
    <col min="11" max="11" width="5.140625" customWidth="1"/>
    <col min="12" max="12" width="15.140625" customWidth="1"/>
    <col min="13" max="13" width="5.140625" customWidth="1"/>
    <col min="14" max="14" width="2.5703125" customWidth="1"/>
    <col min="15" max="15" width="5.140625" customWidth="1"/>
    <col min="16" max="16" width="2.5703125" customWidth="1"/>
    <col min="17" max="17" width="15.140625" customWidth="1"/>
    <col min="18" max="18" width="12.5703125" customWidth="1"/>
    <col min="19" max="19" width="2.5703125" customWidth="1"/>
    <col min="20" max="20" width="5.140625" customWidth="1"/>
    <col min="21" max="21" width="10.140625" customWidth="1"/>
    <col min="22" max="22" width="16.42578125" customWidth="1"/>
    <col min="23" max="23" width="2.5703125" customWidth="1"/>
    <col min="24" max="24" width="5.140625" customWidth="1"/>
    <col min="25" max="25" width="25.140625" customWidth="1"/>
    <col min="26" max="26" width="50.140625" customWidth="1"/>
    <col min="27" max="27" width="2.5703125" customWidth="1"/>
  </cols>
  <sheetData>
    <row r="1" spans="1:27" x14ac:dyDescent="0.25">
      <c r="A1" s="440" t="s">
        <v>0</v>
      </c>
      <c r="B1" s="371"/>
      <c r="C1" s="2" t="s">
        <v>1</v>
      </c>
      <c r="D1" s="441" t="s">
        <v>2</v>
      </c>
      <c r="E1" s="371"/>
      <c r="F1" s="371"/>
      <c r="G1" s="442" t="s">
        <v>3</v>
      </c>
      <c r="H1" s="371"/>
      <c r="I1" s="371"/>
      <c r="J1" s="371"/>
      <c r="K1" s="371"/>
      <c r="L1" s="3" t="s">
        <v>4</v>
      </c>
      <c r="M1" s="443" t="s">
        <v>5</v>
      </c>
      <c r="N1" s="371"/>
      <c r="O1" s="371"/>
      <c r="P1" s="371"/>
      <c r="Q1" s="2" t="s">
        <v>6</v>
      </c>
      <c r="R1" s="442" t="s">
        <v>7</v>
      </c>
      <c r="S1" s="371"/>
      <c r="T1" s="441" t="s">
        <v>8</v>
      </c>
      <c r="U1" s="371"/>
      <c r="V1" s="1"/>
      <c r="W1" s="1"/>
      <c r="X1" s="444" t="s">
        <v>9</v>
      </c>
      <c r="Y1" s="445"/>
      <c r="Z1" s="4" t="s">
        <v>10</v>
      </c>
      <c r="AA1" s="1"/>
    </row>
    <row r="2" spans="1:27" x14ac:dyDescent="0.25">
      <c r="A2" s="1"/>
      <c r="B2" s="437" t="str">
        <f ca="1">语言!$A$6&amp;" ("&amp;COUNTIF(敌人!B5:'敌人'!B375,TRUE())+COUNTIF(敌人!B378:'敌人'!B387,TRUE())&amp;"/"&amp;COUNTA(敌人!B5:'敌人'!B375)+COUNTA(敌人!B378:'敌人'!B387)&amp;" "&amp;语言!$A$1150&amp;")"</f>
        <v>战略家 (0/381 怪物)</v>
      </c>
      <c r="C2" s="438"/>
      <c r="D2" s="439"/>
      <c r="E2" s="5"/>
      <c r="F2" s="437" t="str">
        <f ca="1">语言!$A$10</f>
        <v>弱点</v>
      </c>
      <c r="G2" s="438"/>
      <c r="H2" s="438"/>
      <c r="I2" s="438"/>
      <c r="J2" s="439"/>
      <c r="K2" s="437" t="str">
        <f ca="1">语言!$A$50&amp;" / "&amp;语言!$A$13</f>
        <v>偷取 / 掉落物</v>
      </c>
      <c r="L2" s="438"/>
      <c r="M2" s="439"/>
      <c r="N2" s="1"/>
      <c r="O2" s="437" t="str">
        <f ca="1">语言!$A$7&amp;" ("&amp;COUNTIF(O5:O1237,TRUE())&amp;"/"&amp;COUNTIFS(O5:O1237,FALSE())+COUNTIFS(O5:O1237,TRUE())&amp;" "&amp;语言!$A$19&amp;")"</f>
        <v>宝物猎人 (0/734 宝箱)</v>
      </c>
      <c r="P2" s="438"/>
      <c r="Q2" s="438"/>
      <c r="R2" s="439"/>
      <c r="S2" s="1"/>
      <c r="T2" s="437" t="str">
        <f ca="1">语言!$A$8&amp;" ("&amp;COUNTIF(T5:T1237,TRUE())&amp;"/"&amp;COUNTIFS(T5:T1237,FALSE())+COUNTIFS(T5:T1237,TRUE())&amp;" "&amp;语言!$A$21&amp;")"</f>
        <v>滴水不漏的旅行者 (0/152 隐藏的道具)</v>
      </c>
      <c r="U2" s="438"/>
      <c r="V2" s="439"/>
      <c r="W2" s="1"/>
      <c r="X2" s="446"/>
      <c r="Y2" s="447"/>
      <c r="Z2" s="6" t="s">
        <v>11</v>
      </c>
      <c r="AA2" s="1"/>
    </row>
    <row r="3" spans="1:27" x14ac:dyDescent="0.25">
      <c r="A3" s="448" t="s">
        <v>12</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row>
    <row r="4" spans="1:27" x14ac:dyDescent="0.25">
      <c r="A4" s="448" t="s">
        <v>13</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row>
    <row r="5" spans="1:27" ht="23.25" x14ac:dyDescent="0.35">
      <c r="A5" s="449" t="str">
        <f ca="1">语言!$A$324</f>
        <v>弗洛斯特兰多地区</v>
      </c>
      <c r="B5" s="371"/>
      <c r="C5" s="371"/>
      <c r="D5" s="371"/>
      <c r="E5" s="380"/>
      <c r="F5" s="371"/>
      <c r="G5" s="371"/>
      <c r="H5" s="371"/>
      <c r="I5" s="371"/>
      <c r="J5" s="371"/>
      <c r="K5" s="371"/>
      <c r="L5" s="371"/>
      <c r="M5" s="371"/>
      <c r="N5" s="371"/>
      <c r="O5" s="371"/>
      <c r="P5" s="371"/>
      <c r="Q5" s="371"/>
      <c r="R5" s="371"/>
      <c r="S5" s="371"/>
      <c r="T5" s="371"/>
      <c r="U5" s="371"/>
      <c r="V5" s="371"/>
      <c r="W5" s="371"/>
      <c r="X5" s="371"/>
      <c r="Y5" s="371"/>
      <c r="Z5" s="371"/>
      <c r="AA5" s="371"/>
    </row>
    <row r="6" spans="1:27" ht="18" x14ac:dyDescent="0.25">
      <c r="A6" s="450" t="str">
        <f ca="1">语言!$A$323&amp;" 1"</f>
        <v>Tier 1</v>
      </c>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row>
    <row r="7" spans="1:27" ht="12.75" x14ac:dyDescent="0.2">
      <c r="A7" s="7"/>
      <c r="B7" s="8" t="b">
        <v>0</v>
      </c>
      <c r="C7" s="381" t="str">
        <f ca="1">敌人!C$48</f>
        <v>凯特林</v>
      </c>
      <c r="D7" s="371"/>
      <c r="E7" s="8">
        <f>敌人!D$48</f>
        <v>2</v>
      </c>
      <c r="F7" s="8">
        <f>敌人!E$48</f>
        <v>0</v>
      </c>
      <c r="G7" s="8">
        <f>敌人!F$48</f>
        <v>0</v>
      </c>
      <c r="H7" s="8">
        <f>敌人!G$48</f>
        <v>0</v>
      </c>
      <c r="I7" s="8">
        <f>敌人!H$48</f>
        <v>0</v>
      </c>
      <c r="J7" s="8">
        <f>敌人!I$48</f>
        <v>0</v>
      </c>
      <c r="K7" s="381" t="str">
        <f ca="1">敌人!J$48</f>
        <v>ＨＰ／ＳＰ／ＢＰ恢复的果酱</v>
      </c>
      <c r="L7" s="371"/>
      <c r="M7" s="371"/>
      <c r="N7" s="7"/>
      <c r="O7" s="382" t="str">
        <f ca="1">语言!A$325&amp;" (3 "&amp;语言!$A$19&amp;")"</f>
        <v>弗雷姆葛雷斯 (3 宝箱)</v>
      </c>
      <c r="P7" s="371"/>
      <c r="Q7" s="371"/>
      <c r="R7" s="371"/>
      <c r="S7" s="7"/>
      <c r="T7" s="382" t="str">
        <f ca="1">语言!A$325</f>
        <v>弗雷姆葛雷斯</v>
      </c>
      <c r="U7" s="371"/>
      <c r="V7" s="371"/>
      <c r="W7" s="7"/>
      <c r="X7" s="7"/>
      <c r="Y7" s="7"/>
      <c r="Z7" s="7"/>
      <c r="AA7" s="7"/>
    </row>
    <row r="8" spans="1:27" ht="12.75" x14ac:dyDescent="0.2">
      <c r="A8" s="7"/>
      <c r="B8" s="385" t="str">
        <f ca="1">语言!$A$11&amp;" ("&amp;语言!$A$12&amp;" 1 - 4 - 7- 11)"</f>
        <v>以下地区的怪物都一样 (危险度 1 - 4 - 7- 11)</v>
      </c>
      <c r="C8" s="371"/>
      <c r="D8" s="371"/>
      <c r="E8" s="371"/>
      <c r="F8" s="371"/>
      <c r="G8" s="371"/>
      <c r="H8" s="371"/>
      <c r="I8" s="371"/>
      <c r="J8" s="371"/>
      <c r="K8" s="371"/>
      <c r="L8" s="371"/>
      <c r="M8" s="371"/>
      <c r="N8" s="7"/>
      <c r="O8" s="8" t="b">
        <v>0</v>
      </c>
      <c r="P8" s="451" t="str">
        <f ca="1">道具!$C$6</f>
        <v>ＳＰ恢复的李子</v>
      </c>
      <c r="Q8" s="371"/>
      <c r="R8" s="371"/>
      <c r="S8" s="7"/>
      <c r="T8" s="8" t="b">
        <v>0</v>
      </c>
      <c r="U8" s="381" t="str">
        <f ca="1">道具!$C$7</f>
        <v>ＳＰ恢复的李子（大）</v>
      </c>
      <c r="V8" s="371"/>
      <c r="W8" s="7"/>
      <c r="X8" s="7"/>
      <c r="Y8" s="7"/>
      <c r="Z8" s="7"/>
      <c r="AA8" s="7"/>
    </row>
    <row r="9" spans="1:27" ht="12.75" x14ac:dyDescent="0.2">
      <c r="A9" s="7"/>
      <c r="B9" s="406" t="str">
        <f ca="1">语言!A$328</f>
        <v>北弗雷姆葛雷斯雪道</v>
      </c>
      <c r="C9" s="371"/>
      <c r="D9" s="371"/>
      <c r="E9" s="371"/>
      <c r="F9" s="371"/>
      <c r="G9" s="371"/>
      <c r="H9" s="371"/>
      <c r="I9" s="371"/>
      <c r="J9" s="371"/>
      <c r="K9" s="371"/>
      <c r="L9" s="371"/>
      <c r="M9" s="371"/>
      <c r="N9" s="7"/>
      <c r="O9" s="8" t="b">
        <v>0</v>
      </c>
      <c r="P9" s="451" t="str">
        <f ca="1">道具!$C$3</f>
        <v>ＨＰ恢复的葡萄</v>
      </c>
      <c r="Q9" s="371"/>
      <c r="R9" s="371"/>
      <c r="S9" s="7"/>
      <c r="T9" s="8" t="b">
        <v>0</v>
      </c>
      <c r="U9" s="381" t="str">
        <f ca="1">道具!$C$539</f>
        <v>混乱多之叶</v>
      </c>
      <c r="V9" s="371"/>
      <c r="W9" s="7"/>
      <c r="X9" s="7"/>
      <c r="Y9" s="7"/>
      <c r="Z9" s="7"/>
      <c r="AA9" s="7"/>
    </row>
    <row r="10" spans="1:27" ht="12.75" x14ac:dyDescent="0.2">
      <c r="A10" s="7"/>
      <c r="B10" s="406" t="str">
        <f ca="1">语言!A$329</f>
        <v>西弗雷姆葛雷斯雪道</v>
      </c>
      <c r="C10" s="371"/>
      <c r="D10" s="371"/>
      <c r="E10" s="371"/>
      <c r="F10" s="371"/>
      <c r="G10" s="371"/>
      <c r="H10" s="371"/>
      <c r="I10" s="371"/>
      <c r="J10" s="371"/>
      <c r="K10" s="371"/>
      <c r="L10" s="371"/>
      <c r="M10" s="371"/>
      <c r="N10" s="7"/>
      <c r="O10" s="8" t="b">
        <v>0</v>
      </c>
      <c r="P10" s="451" t="str">
        <f ca="1">道具!$C$23</f>
        <v>恐怖治疗药草</v>
      </c>
      <c r="Q10" s="371"/>
      <c r="R10" s="371"/>
      <c r="S10" s="7"/>
      <c r="T10" s="8" t="b">
        <v>0</v>
      </c>
      <c r="U10" s="381" t="str">
        <f ca="1">道具!$C$46</f>
        <v>暗之精灵石</v>
      </c>
      <c r="V10" s="371"/>
      <c r="W10" s="7"/>
      <c r="X10" s="7"/>
      <c r="Y10" s="7"/>
      <c r="Z10" s="7"/>
      <c r="AA10" s="7"/>
    </row>
    <row r="11" spans="1:27" ht="12.75" x14ac:dyDescent="0.2">
      <c r="A11" s="7"/>
      <c r="B11" s="406" t="str">
        <f ca="1">语言!A$331&amp;" ("&amp;语言!$A$35&amp;" "&amp;语言!$A$14&amp;" 1)"</f>
        <v>通往原初洞窟的道路 (欧菲莉亚 章节 1)</v>
      </c>
      <c r="C11" s="371"/>
      <c r="D11" s="371"/>
      <c r="E11" s="371"/>
      <c r="F11" s="371"/>
      <c r="G11" s="371"/>
      <c r="H11" s="371"/>
      <c r="I11" s="371"/>
      <c r="J11" s="371"/>
      <c r="K11" s="371"/>
      <c r="L11" s="371"/>
      <c r="M11" s="371"/>
      <c r="N11" s="7"/>
      <c r="O11" s="382" t="str">
        <f ca="1">语言!A$328&amp;" (3 "&amp;语言!$A$19&amp;")"</f>
        <v>北弗雷姆葛雷斯雪道 (3 宝箱)</v>
      </c>
      <c r="P11" s="371"/>
      <c r="Q11" s="371"/>
      <c r="R11" s="371"/>
      <c r="S11" s="7"/>
      <c r="T11" s="8" t="b">
        <v>0</v>
      </c>
      <c r="U11" s="381" t="str">
        <f ca="1">道具!$C$532</f>
        <v>含毒的素材</v>
      </c>
      <c r="V11" s="371"/>
      <c r="W11" s="7"/>
      <c r="X11" s="7"/>
      <c r="Y11" s="7"/>
      <c r="Z11" s="7"/>
      <c r="AA11" s="7"/>
    </row>
    <row r="12" spans="1:27" ht="12.75" x14ac:dyDescent="0.2">
      <c r="A12" s="7"/>
      <c r="B12" s="8" t="b">
        <v>0</v>
      </c>
      <c r="C12" s="381" t="str">
        <f ca="1">敌人!C$177</f>
        <v>冰雪蜥蜴人 I</v>
      </c>
      <c r="D12" s="371"/>
      <c r="E12" s="8">
        <f>敌人!D$177</f>
        <v>1</v>
      </c>
      <c r="F12" s="8">
        <f>敌人!E$177</f>
        <v>0</v>
      </c>
      <c r="G12" s="8">
        <f>敌人!F$177</f>
        <v>0</v>
      </c>
      <c r="H12" s="8">
        <f>敌人!G$177</f>
        <v>0</v>
      </c>
      <c r="I12" s="8">
        <f>敌人!H$177</f>
        <v>0</v>
      </c>
      <c r="J12" s="8">
        <f>敌人!I$177</f>
        <v>0</v>
      </c>
      <c r="K12" s="381" t="str">
        <f ca="1">敌人!J$177</f>
        <v>ＳＰ恢复的李子</v>
      </c>
      <c r="L12" s="371"/>
      <c r="M12" s="371"/>
      <c r="N12" s="7"/>
      <c r="O12" s="8" t="b">
        <v>0</v>
      </c>
      <c r="P12" s="452" t="str">
        <f ca="1">道具!$C$14</f>
        <v>复活的橄榄</v>
      </c>
      <c r="Q12" s="371"/>
      <c r="R12" s="371"/>
      <c r="S12" s="7"/>
      <c r="T12" s="8" t="b">
        <v>0</v>
      </c>
      <c r="U12" s="381" t="str">
        <f ca="1">道具!$C$33</f>
        <v>冰之精灵石</v>
      </c>
      <c r="V12" s="371"/>
      <c r="W12" s="7"/>
      <c r="X12" s="7"/>
      <c r="Y12" s="7"/>
      <c r="Z12" s="7"/>
      <c r="AA12" s="7"/>
    </row>
    <row r="13" spans="1:27" ht="12.75" x14ac:dyDescent="0.2">
      <c r="A13" s="7"/>
      <c r="B13" s="8" t="b">
        <v>0</v>
      </c>
      <c r="C13" s="381" t="str">
        <f ca="1">敌人!C$178</f>
        <v>冰雪蜥蜴人 II</v>
      </c>
      <c r="D13" s="371"/>
      <c r="E13" s="8">
        <f>敌人!D$178</f>
        <v>2</v>
      </c>
      <c r="F13" s="8">
        <f>敌人!E$178</f>
        <v>0</v>
      </c>
      <c r="G13" s="8">
        <f>敌人!F$178</f>
        <v>0</v>
      </c>
      <c r="H13" s="8">
        <f>敌人!G$178</f>
        <v>0</v>
      </c>
      <c r="I13" s="8">
        <f>敌人!H$178</f>
        <v>0</v>
      </c>
      <c r="J13" s="8">
        <f>敌人!I$178</f>
        <v>0</v>
      </c>
      <c r="K13" s="381" t="str">
        <f ca="1">敌人!J$178</f>
        <v>李子树液</v>
      </c>
      <c r="L13" s="371"/>
      <c r="M13" s="371"/>
      <c r="N13" s="7"/>
      <c r="O13" s="8" t="b">
        <v>0</v>
      </c>
      <c r="P13" s="452" t="str">
        <f ca="1">道具!$C$19</f>
        <v>沉默治疗药草</v>
      </c>
      <c r="Q13" s="371"/>
      <c r="R13" s="371"/>
      <c r="S13" s="7"/>
      <c r="T13" s="8" t="b">
        <v>0</v>
      </c>
      <c r="U13" s="381" t="str">
        <f ca="1">道具!$C$495</f>
        <v>体力耳环</v>
      </c>
      <c r="V13" s="371"/>
      <c r="W13" s="7"/>
      <c r="X13" s="7"/>
      <c r="Y13" s="7"/>
      <c r="Z13" s="7"/>
      <c r="AA13" s="7"/>
    </row>
    <row r="14" spans="1:27" ht="12.75" x14ac:dyDescent="0.2">
      <c r="A14" s="7"/>
      <c r="B14" s="8" t="b">
        <v>0</v>
      </c>
      <c r="C14" s="381" t="str">
        <f ca="1">敌人!C$179&amp;" (7+)"</f>
        <v>冰雪蜥蜴人 III (7+)</v>
      </c>
      <c r="D14" s="371"/>
      <c r="E14" s="8">
        <f>敌人!D$179</f>
        <v>3</v>
      </c>
      <c r="F14" s="8">
        <f>敌人!E$179</f>
        <v>0</v>
      </c>
      <c r="G14" s="8">
        <f>敌人!F$179</f>
        <v>0</v>
      </c>
      <c r="H14" s="8">
        <f>敌人!G$179</f>
        <v>0</v>
      </c>
      <c r="I14" s="8">
        <f>敌人!H$179</f>
        <v>0</v>
      </c>
      <c r="J14" s="8">
        <f>敌人!I$179</f>
        <v>0</v>
      </c>
      <c r="K14" s="381" t="str">
        <f ca="1">敌人!J$179</f>
        <v>ＨＰ恢复的葡萄</v>
      </c>
      <c r="L14" s="371"/>
      <c r="M14" s="371"/>
      <c r="N14" s="7"/>
      <c r="O14" s="8" t="b">
        <v>0</v>
      </c>
      <c r="P14" s="451" t="str">
        <f ca="1">道具!$C$6</f>
        <v>ＳＰ恢复的李子</v>
      </c>
      <c r="Q14" s="371"/>
      <c r="R14" s="371"/>
      <c r="S14" s="7"/>
      <c r="T14" s="8" t="b">
        <v>0</v>
      </c>
      <c r="U14" s="381" t="str">
        <f ca="1">道具!$C$160</f>
        <v>重刃</v>
      </c>
      <c r="V14" s="371"/>
      <c r="W14" s="7"/>
      <c r="X14" s="7"/>
      <c r="Y14" s="7"/>
      <c r="Z14" s="7"/>
      <c r="AA14" s="7"/>
    </row>
    <row r="15" spans="1:27" ht="12.75" x14ac:dyDescent="0.2">
      <c r="A15" s="7"/>
      <c r="B15" s="8" t="b">
        <v>0</v>
      </c>
      <c r="C15" s="378" t="str">
        <f ca="1">敌人!C$320</f>
        <v>雪狐狸</v>
      </c>
      <c r="D15" s="371"/>
      <c r="E15" s="10">
        <f>敌人!D$320</f>
        <v>1</v>
      </c>
      <c r="F15" s="10">
        <f>敌人!E$320</f>
        <v>0</v>
      </c>
      <c r="G15" s="10">
        <f>敌人!F$320</f>
        <v>0</v>
      </c>
      <c r="H15" s="10">
        <f>敌人!G$320</f>
        <v>0</v>
      </c>
      <c r="I15" s="10">
        <f>敌人!H$320</f>
        <v>0</v>
      </c>
      <c r="J15" s="10">
        <f>敌人!I$320</f>
        <v>0</v>
      </c>
      <c r="K15" s="378" t="str">
        <f ca="1">敌人!J$320</f>
        <v>石榴树液</v>
      </c>
      <c r="L15" s="371"/>
      <c r="M15" s="371"/>
      <c r="N15" s="7"/>
      <c r="O15" s="382" t="str">
        <f ca="1">语言!A$329&amp;" (4 "&amp;语言!$A$19&amp;")"</f>
        <v>西弗雷姆葛雷斯雪道 (4 宝箱)</v>
      </c>
      <c r="P15" s="371"/>
      <c r="Q15" s="371"/>
      <c r="R15" s="371"/>
      <c r="S15" s="7"/>
      <c r="T15" s="8" t="b">
        <v>0</v>
      </c>
      <c r="U15" s="381" t="str">
        <f ca="1">道具!$C$127</f>
        <v>放了铜块的麻袋</v>
      </c>
      <c r="V15" s="371"/>
      <c r="W15" s="7"/>
      <c r="X15" s="7"/>
      <c r="Y15" s="7"/>
      <c r="Z15" s="7"/>
      <c r="AA15" s="7"/>
    </row>
    <row r="16" spans="1:27" ht="12.75" x14ac:dyDescent="0.2">
      <c r="A16" s="7"/>
      <c r="B16" s="8" t="b">
        <v>0</v>
      </c>
      <c r="C16" s="378" t="str">
        <f ca="1">敌人!C$131&amp;" (7+)"</f>
        <v>白雪狐狸 (7+)</v>
      </c>
      <c r="D16" s="371"/>
      <c r="E16" s="10">
        <f>敌人!D$131</f>
        <v>3</v>
      </c>
      <c r="F16" s="10">
        <f>敌人!E$131</f>
        <v>0</v>
      </c>
      <c r="G16" s="10">
        <f>敌人!F$131</f>
        <v>0</v>
      </c>
      <c r="H16" s="10">
        <f>敌人!G$131</f>
        <v>0</v>
      </c>
      <c r="I16" s="10">
        <f>敌人!H$131</f>
        <v>0</v>
      </c>
      <c r="J16" s="10">
        <f>敌人!I$131</f>
        <v>0</v>
      </c>
      <c r="K16" s="378" t="str">
        <f ca="1">敌人!J$131</f>
        <v>石榴树液</v>
      </c>
      <c r="L16" s="371"/>
      <c r="M16" s="371"/>
      <c r="N16" s="7"/>
      <c r="O16" s="8" t="b">
        <v>0</v>
      </c>
      <c r="P16" s="451" t="str">
        <f ca="1">道具!$C$3</f>
        <v>ＨＰ恢复的葡萄</v>
      </c>
      <c r="Q16" s="371"/>
      <c r="R16" s="371"/>
      <c r="S16" s="7"/>
      <c r="T16" s="8" t="b">
        <v>0</v>
      </c>
      <c r="U16" s="381" t="str">
        <f ca="1">道具!$C$56</f>
        <v>增强物攻的坚果</v>
      </c>
      <c r="V16" s="371"/>
      <c r="W16" s="7"/>
      <c r="X16" s="7"/>
      <c r="Y16" s="7"/>
      <c r="Z16" s="7"/>
      <c r="AA16" s="7"/>
    </row>
    <row r="17" spans="1:27" ht="12.75" x14ac:dyDescent="0.2">
      <c r="A17" s="7"/>
      <c r="B17" s="8" t="b">
        <v>0</v>
      </c>
      <c r="C17" s="378" t="str">
        <f ca="1">敌人!C$323</f>
        <v>冰雪土拨鼠</v>
      </c>
      <c r="D17" s="371"/>
      <c r="E17" s="10">
        <f>敌人!D$323</f>
        <v>1</v>
      </c>
      <c r="F17" s="10">
        <f>敌人!E$323</f>
        <v>0</v>
      </c>
      <c r="G17" s="10">
        <f>敌人!F$323</f>
        <v>0</v>
      </c>
      <c r="H17" s="10">
        <f>敌人!G$323</f>
        <v>0</v>
      </c>
      <c r="I17" s="10">
        <f>敌人!H$323</f>
        <v>0</v>
      </c>
      <c r="J17" s="10">
        <f>敌人!I$323</f>
        <v>0</v>
      </c>
      <c r="K17" s="378" t="str">
        <f ca="1">敌人!J$323</f>
        <v>李子树液</v>
      </c>
      <c r="L17" s="371"/>
      <c r="M17" s="371"/>
      <c r="N17" s="7"/>
      <c r="O17" s="8" t="b">
        <v>0</v>
      </c>
      <c r="P17" s="452" t="str">
        <f ca="1">道具!$C$46</f>
        <v>暗之精灵石</v>
      </c>
      <c r="Q17" s="371"/>
      <c r="R17" s="371"/>
      <c r="S17" s="7"/>
      <c r="T17" s="8" t="b">
        <v>0</v>
      </c>
      <c r="U17" s="381" t="str">
        <f ca="1">道具!$C$14</f>
        <v>复活的橄榄</v>
      </c>
      <c r="V17" s="371"/>
      <c r="W17" s="7"/>
      <c r="X17" s="7"/>
      <c r="Y17" s="7"/>
      <c r="Z17" s="7"/>
      <c r="AA17" s="7"/>
    </row>
    <row r="18" spans="1:27" ht="12.75" x14ac:dyDescent="0.2">
      <c r="A18" s="7"/>
      <c r="B18" s="8" t="b">
        <v>0</v>
      </c>
      <c r="C18" s="378" t="str">
        <f ca="1">敌人!C$372&amp;" (7)"</f>
        <v>狼 (7)</v>
      </c>
      <c r="D18" s="371"/>
      <c r="E18" s="10">
        <f>敌人!D$372</f>
        <v>1</v>
      </c>
      <c r="F18" s="10">
        <f>敌人!E$372</f>
        <v>0</v>
      </c>
      <c r="G18" s="10">
        <f>敌人!F$372</f>
        <v>0</v>
      </c>
      <c r="H18" s="10">
        <f>敌人!G$372</f>
        <v>0</v>
      </c>
      <c r="I18" s="10">
        <f>敌人!H$372</f>
        <v>0</v>
      </c>
      <c r="J18" s="10">
        <f>敌人!I$372</f>
        <v>0</v>
      </c>
      <c r="K18" s="378" t="str">
        <f ca="1">敌人!J$372</f>
        <v>ＨＰ恢复的葡萄</v>
      </c>
      <c r="L18" s="371"/>
      <c r="M18" s="371"/>
      <c r="N18" s="7"/>
      <c r="O18" s="8" t="b">
        <v>0</v>
      </c>
      <c r="P18" s="404">
        <v>800</v>
      </c>
      <c r="Q18" s="371"/>
      <c r="R18" s="371"/>
      <c r="S18" s="7"/>
      <c r="T18" s="7"/>
      <c r="U18" s="380"/>
      <c r="V18" s="371"/>
      <c r="W18" s="7"/>
      <c r="X18" s="7"/>
      <c r="Y18" s="7"/>
      <c r="Z18" s="7"/>
      <c r="AA18" s="7"/>
    </row>
    <row r="19" spans="1:27" ht="12.75" x14ac:dyDescent="0.2">
      <c r="A19" s="7"/>
      <c r="B19" s="8" t="b">
        <v>0</v>
      </c>
      <c r="C19" s="378" t="str">
        <f ca="1">敌人!C$152&amp;" (7+)"</f>
        <v>高地狼 (7+)</v>
      </c>
      <c r="D19" s="371"/>
      <c r="E19" s="10">
        <f>敌人!D$152</f>
        <v>2</v>
      </c>
      <c r="F19" s="10">
        <f>敌人!E$152</f>
        <v>0</v>
      </c>
      <c r="G19" s="10">
        <f>敌人!F$152</f>
        <v>0</v>
      </c>
      <c r="H19" s="10">
        <f>敌人!G$152</f>
        <v>0</v>
      </c>
      <c r="I19" s="10">
        <f>敌人!H$152</f>
        <v>0</v>
      </c>
      <c r="J19" s="10">
        <f>敌人!I$152</f>
        <v>0</v>
      </c>
      <c r="K19" s="378" t="str">
        <f ca="1">敌人!J$152</f>
        <v>ＨＰ恢复的葡萄（大）</v>
      </c>
      <c r="L19" s="371"/>
      <c r="M19" s="371"/>
      <c r="N19" s="7"/>
      <c r="O19" s="8" t="b">
        <v>0</v>
      </c>
      <c r="P19" s="452" t="str">
        <f ca="1">道具!$C$75</f>
        <v>增强会心的坚果</v>
      </c>
      <c r="Q19" s="371"/>
      <c r="R19" s="371"/>
      <c r="S19" s="7"/>
      <c r="T19" s="7"/>
      <c r="U19" s="380"/>
      <c r="V19" s="371"/>
      <c r="W19" s="7"/>
      <c r="X19" s="7"/>
      <c r="Y19" s="7"/>
      <c r="Z19" s="7"/>
      <c r="AA19" s="7"/>
    </row>
    <row r="20" spans="1:27" ht="12.75" x14ac:dyDescent="0.2">
      <c r="A20" s="7"/>
      <c r="B20" s="8" t="b">
        <v>0</v>
      </c>
      <c r="C20" s="378" t="str">
        <f ca="1">敌人!C$130&amp;" (11)"</f>
        <v>冰霜熊 (11)</v>
      </c>
      <c r="D20" s="371"/>
      <c r="E20" s="10">
        <f>敌人!D$130</f>
        <v>3</v>
      </c>
      <c r="F20" s="10">
        <f>敌人!E$130</f>
        <v>0</v>
      </c>
      <c r="G20" s="10">
        <f>敌人!F$130</f>
        <v>0</v>
      </c>
      <c r="H20" s="10">
        <f>敌人!G$130</f>
        <v>0</v>
      </c>
      <c r="I20" s="10">
        <f>敌人!H$130</f>
        <v>0</v>
      </c>
      <c r="J20" s="10">
        <f>敌人!I$130</f>
        <v>0</v>
      </c>
      <c r="K20" s="378" t="str">
        <f ca="1">敌人!J$130</f>
        <v>橄榄花</v>
      </c>
      <c r="L20" s="371"/>
      <c r="M20" s="371"/>
      <c r="N20" s="7"/>
      <c r="O20" s="382" t="str">
        <f ca="1">语言!A$330&amp;" (6 "&amp;语言!$A$19&amp;")"</f>
        <v>冰之洞窟 (6 宝箱)</v>
      </c>
      <c r="P20" s="371"/>
      <c r="Q20" s="371"/>
      <c r="R20" s="371"/>
      <c r="S20" s="7"/>
      <c r="T20" s="7"/>
      <c r="U20" s="380"/>
      <c r="V20" s="371"/>
      <c r="W20" s="7"/>
      <c r="X20" s="7"/>
      <c r="Y20" s="7"/>
      <c r="Z20" s="7"/>
      <c r="AA20" s="7"/>
    </row>
    <row r="21" spans="1:27" ht="12.75" x14ac:dyDescent="0.2">
      <c r="A21" s="7"/>
      <c r="B21" s="7"/>
      <c r="C21" s="380"/>
      <c r="D21" s="371"/>
      <c r="E21" s="7"/>
      <c r="F21" s="7"/>
      <c r="G21" s="7"/>
      <c r="H21" s="7"/>
      <c r="I21" s="7"/>
      <c r="J21" s="7"/>
      <c r="K21" s="380"/>
      <c r="L21" s="371"/>
      <c r="M21" s="371"/>
      <c r="N21" s="7"/>
      <c r="O21" s="8" t="b">
        <v>0</v>
      </c>
      <c r="P21" s="452" t="str">
        <f ca="1">道具!$C$4</f>
        <v>ＨＰ恢复的葡萄（大）</v>
      </c>
      <c r="Q21" s="371"/>
      <c r="R21" s="371"/>
      <c r="S21" s="7"/>
      <c r="T21" s="7"/>
      <c r="U21" s="380"/>
      <c r="V21" s="371"/>
      <c r="W21" s="7"/>
      <c r="X21" s="7"/>
      <c r="Y21" s="7"/>
      <c r="Z21" s="7"/>
      <c r="AA21" s="7"/>
    </row>
    <row r="22" spans="1:27" ht="12.75" x14ac:dyDescent="0.2">
      <c r="A22" s="7"/>
      <c r="B22" s="382" t="str">
        <f ca="1">语言!A$330&amp;" ("&amp;语言!$A$12&amp;" 25)"</f>
        <v>冰之洞窟 (危险度 25)</v>
      </c>
      <c r="C22" s="371"/>
      <c r="D22" s="371"/>
      <c r="E22" s="371"/>
      <c r="F22" s="371"/>
      <c r="G22" s="371"/>
      <c r="H22" s="371"/>
      <c r="I22" s="371"/>
      <c r="J22" s="371"/>
      <c r="K22" s="371"/>
      <c r="L22" s="371"/>
      <c r="M22" s="371"/>
      <c r="N22" s="7"/>
      <c r="O22" s="8" t="b">
        <v>0</v>
      </c>
      <c r="P22" s="452" t="str">
        <f ca="1">道具!$C$78</f>
        <v>增强速度的坚果</v>
      </c>
      <c r="Q22" s="371"/>
      <c r="R22" s="371"/>
      <c r="S22" s="7"/>
      <c r="T22" s="7"/>
      <c r="U22" s="380"/>
      <c r="V22" s="371"/>
      <c r="W22" s="7"/>
      <c r="X22" s="7"/>
      <c r="Y22" s="7"/>
      <c r="Z22" s="7"/>
      <c r="AA22" s="7"/>
    </row>
    <row r="23" spans="1:27" ht="12.75" x14ac:dyDescent="0.2">
      <c r="A23" s="7"/>
      <c r="B23" s="8" t="b">
        <v>0</v>
      </c>
      <c r="C23" s="378" t="str">
        <f ca="1">敌人!C$7</f>
        <v>白蝙蝠异种</v>
      </c>
      <c r="D23" s="371"/>
      <c r="E23" s="10">
        <f>敌人!D$7</f>
        <v>3</v>
      </c>
      <c r="F23" s="10">
        <f>敌人!E$7</f>
        <v>0</v>
      </c>
      <c r="G23" s="10">
        <f>敌人!F$7</f>
        <v>0</v>
      </c>
      <c r="H23" s="10">
        <f>敌人!G$7</f>
        <v>0</v>
      </c>
      <c r="I23" s="10">
        <f>敌人!H$7</f>
        <v>0</v>
      </c>
      <c r="J23" s="10">
        <f>敌人!I$7</f>
        <v>0</v>
      </c>
      <c r="K23" s="378" t="str">
        <f ca="1">敌人!J$7</f>
        <v>神秘之花</v>
      </c>
      <c r="L23" s="371"/>
      <c r="M23" s="371"/>
      <c r="N23" s="7"/>
      <c r="O23" s="8" t="b">
        <v>0</v>
      </c>
      <c r="P23" s="452" t="str">
        <f ca="1">道具!$C$16</f>
        <v>复活的橄榄（大）</v>
      </c>
      <c r="Q23" s="371"/>
      <c r="R23" s="371"/>
      <c r="S23" s="7"/>
      <c r="T23" s="7"/>
      <c r="U23" s="380"/>
      <c r="V23" s="371"/>
      <c r="W23" s="7"/>
      <c r="X23" s="7"/>
      <c r="Y23" s="7"/>
      <c r="Z23" s="7"/>
      <c r="AA23" s="7"/>
    </row>
    <row r="24" spans="1:27" ht="12.75" x14ac:dyDescent="0.2">
      <c r="A24" s="7"/>
      <c r="B24" s="8" t="b">
        <v>0</v>
      </c>
      <c r="C24" s="378" t="str">
        <f ca="1">敌人!C$183</f>
        <v>古代遗物（冰兽）</v>
      </c>
      <c r="D24" s="371"/>
      <c r="E24" s="10">
        <f>敌人!D$183</f>
        <v>2</v>
      </c>
      <c r="F24" s="10">
        <f>敌人!E$183</f>
        <v>0</v>
      </c>
      <c r="G24" s="10">
        <f>敌人!F$183</f>
        <v>0</v>
      </c>
      <c r="H24" s="10">
        <f>敌人!G$183</f>
        <v>0</v>
      </c>
      <c r="I24" s="10">
        <f>敌人!H$183</f>
        <v>0</v>
      </c>
      <c r="J24" s="10">
        <f>敌人!I$183</f>
        <v>0</v>
      </c>
      <c r="K24" s="378" t="str">
        <f ca="1">敌人!J$183</f>
        <v>冰之精灵石（大）</v>
      </c>
      <c r="L24" s="371"/>
      <c r="M24" s="371"/>
      <c r="N24" s="7"/>
      <c r="O24" s="8" t="b">
        <v>0</v>
      </c>
      <c r="P24" s="452" t="s">
        <v>14</v>
      </c>
      <c r="Q24" s="371"/>
      <c r="R24" s="371"/>
      <c r="S24" s="7"/>
      <c r="T24" s="7"/>
      <c r="U24" s="454"/>
      <c r="V24" s="371"/>
      <c r="W24" s="7"/>
      <c r="X24" s="7"/>
      <c r="Y24" s="7"/>
      <c r="Z24" s="7"/>
      <c r="AA24" s="7"/>
    </row>
    <row r="25" spans="1:27" ht="12.75" x14ac:dyDescent="0.2">
      <c r="A25" s="7"/>
      <c r="B25" s="8" t="b">
        <v>0</v>
      </c>
      <c r="C25" s="378" t="str">
        <f ca="1">敌人!C$169</f>
        <v>魔导飞器（冰）</v>
      </c>
      <c r="D25" s="371"/>
      <c r="E25" s="10">
        <f>敌人!D$169</f>
        <v>1</v>
      </c>
      <c r="F25" s="10">
        <f>敌人!E$169</f>
        <v>0</v>
      </c>
      <c r="G25" s="10">
        <f>敌人!F$169</f>
        <v>0</v>
      </c>
      <c r="H25" s="10">
        <f>敌人!G$169</f>
        <v>0</v>
      </c>
      <c r="I25" s="10">
        <f>敌人!H$169</f>
        <v>0</v>
      </c>
      <c r="J25" s="10">
        <f>敌人!I$169</f>
        <v>0</v>
      </c>
      <c r="K25" s="378" t="str">
        <f ca="1">敌人!J$169</f>
        <v>冰之精灵石</v>
      </c>
      <c r="L25" s="371"/>
      <c r="M25" s="371"/>
      <c r="N25" s="7"/>
      <c r="O25" s="8" t="b">
        <v>0</v>
      </c>
      <c r="P25" s="452" t="str">
        <f ca="1">道具!$C$253&amp;" ("&amp;语言!$A$20&amp;")"</f>
        <v>灵魂手斧 (上锁宝箱)</v>
      </c>
      <c r="Q25" s="371"/>
      <c r="R25" s="371"/>
      <c r="S25" s="7"/>
      <c r="T25" s="7"/>
      <c r="U25" s="380"/>
      <c r="V25" s="371"/>
      <c r="W25" s="7"/>
      <c r="X25" s="7"/>
      <c r="Y25" s="7"/>
      <c r="Z25" s="7"/>
      <c r="AA25" s="7"/>
    </row>
    <row r="26" spans="1:27" ht="12.75" x14ac:dyDescent="0.2">
      <c r="A26" s="7"/>
      <c r="B26" s="8" t="b">
        <v>0</v>
      </c>
      <c r="C26" s="378" t="str">
        <f ca="1">敌人!C$172</f>
        <v>魔导机兵（冰）</v>
      </c>
      <c r="D26" s="371"/>
      <c r="E26" s="10">
        <f>敌人!D$172</f>
        <v>2</v>
      </c>
      <c r="F26" s="10">
        <f>敌人!E$172</f>
        <v>0</v>
      </c>
      <c r="G26" s="10">
        <f>敌人!F$172</f>
        <v>0</v>
      </c>
      <c r="H26" s="10">
        <f>敌人!G$172</f>
        <v>0</v>
      </c>
      <c r="I26" s="10">
        <f>敌人!H$172</f>
        <v>0</v>
      </c>
      <c r="J26" s="10">
        <f>敌人!I$172</f>
        <v>0</v>
      </c>
      <c r="K26" s="378" t="str">
        <f ca="1">敌人!J$172</f>
        <v>冰之精灵石</v>
      </c>
      <c r="L26" s="371"/>
      <c r="M26" s="371"/>
      <c r="N26" s="7"/>
      <c r="O26" s="8" t="b">
        <v>0</v>
      </c>
      <c r="P26" s="452" t="str">
        <f ca="1">道具!$C$7</f>
        <v>ＳＰ恢复的李子（大）</v>
      </c>
      <c r="Q26" s="371"/>
      <c r="R26" s="371"/>
      <c r="S26" s="7"/>
      <c r="T26" s="7"/>
      <c r="U26" s="380"/>
      <c r="V26" s="371"/>
      <c r="W26" s="7"/>
      <c r="X26" s="7"/>
      <c r="Y26" s="7"/>
      <c r="Z26" s="7"/>
      <c r="AA26" s="7"/>
    </row>
    <row r="27" spans="1:27" ht="12.75" x14ac:dyDescent="0.2">
      <c r="A27" s="7"/>
      <c r="B27" s="8" t="b">
        <v>0</v>
      </c>
      <c r="C27" s="378" t="str">
        <f ca="1">敌人!C$171</f>
        <v>冰元素</v>
      </c>
      <c r="D27" s="371"/>
      <c r="E27" s="10">
        <f>敌人!D$171</f>
        <v>4</v>
      </c>
      <c r="F27" s="10">
        <f>敌人!E$171</f>
        <v>0</v>
      </c>
      <c r="G27" s="10">
        <f>敌人!F$171</f>
        <v>0</v>
      </c>
      <c r="H27" s="10">
        <f>敌人!G$171</f>
        <v>0</v>
      </c>
      <c r="I27" s="10">
        <f>敌人!H$171</f>
        <v>0</v>
      </c>
      <c r="J27" s="10">
        <f>敌人!I$171</f>
        <v>0</v>
      </c>
      <c r="K27" s="378" t="str">
        <f ca="1">敌人!J$171</f>
        <v>冰之精灵石（特大）</v>
      </c>
      <c r="L27" s="371"/>
      <c r="M27" s="371"/>
      <c r="N27" s="7"/>
      <c r="O27" s="7"/>
      <c r="P27" s="453"/>
      <c r="Q27" s="371"/>
      <c r="R27" s="371"/>
      <c r="S27" s="7"/>
      <c r="T27" s="7"/>
      <c r="U27" s="380"/>
      <c r="V27" s="371"/>
      <c r="W27" s="7"/>
      <c r="X27" s="7"/>
      <c r="Y27" s="7"/>
      <c r="Z27" s="7"/>
      <c r="AA27" s="7"/>
    </row>
    <row r="28" spans="1:27" ht="12.75" x14ac:dyDescent="0.2">
      <c r="A28" s="7"/>
      <c r="B28" s="8" t="b">
        <v>0</v>
      </c>
      <c r="C28" s="378" t="str">
        <f ca="1">敌人!C$198</f>
        <v>光元素</v>
      </c>
      <c r="D28" s="371"/>
      <c r="E28" s="10">
        <f>敌人!D$198</f>
        <v>4</v>
      </c>
      <c r="F28" s="10">
        <f>敌人!E$198</f>
        <v>0</v>
      </c>
      <c r="G28" s="10">
        <f>敌人!F$198</f>
        <v>0</v>
      </c>
      <c r="H28" s="10">
        <f>敌人!G$198</f>
        <v>0</v>
      </c>
      <c r="I28" s="10">
        <f>敌人!H$198</f>
        <v>0</v>
      </c>
      <c r="J28" s="10">
        <f>敌人!I$198</f>
        <v>0</v>
      </c>
      <c r="K28" s="378" t="str">
        <f ca="1">敌人!J$198</f>
        <v>光之精灵石（特大）</v>
      </c>
      <c r="L28" s="371"/>
      <c r="M28" s="371"/>
      <c r="N28" s="7"/>
      <c r="O28" s="7"/>
      <c r="P28" s="380"/>
      <c r="Q28" s="371"/>
      <c r="R28" s="371"/>
      <c r="S28" s="7"/>
      <c r="T28" s="7"/>
      <c r="U28" s="380"/>
      <c r="V28" s="371"/>
      <c r="W28" s="7"/>
      <c r="X28" s="7"/>
      <c r="Y28" s="7"/>
      <c r="Z28" s="7"/>
      <c r="AA28" s="7"/>
    </row>
    <row r="29" spans="1:27" ht="12.75" x14ac:dyDescent="0.2">
      <c r="A29" s="7"/>
      <c r="B29" s="434" t="str">
        <f ca="1">语言!$A$15&amp;" (knowledge: Where the Ice Giant Sleep)"</f>
        <v>Boss (knowledge: Where the Ice Giant Sleep)</v>
      </c>
      <c r="C29" s="371"/>
      <c r="D29" s="371"/>
      <c r="E29" s="371"/>
      <c r="F29" s="371"/>
      <c r="G29" s="371"/>
      <c r="H29" s="371"/>
      <c r="I29" s="371"/>
      <c r="J29" s="371"/>
      <c r="K29" s="371"/>
      <c r="L29" s="371"/>
      <c r="M29" s="371"/>
      <c r="N29" s="7"/>
      <c r="O29" s="7"/>
      <c r="P29" s="380"/>
      <c r="Q29" s="371"/>
      <c r="R29" s="371"/>
      <c r="S29" s="7"/>
      <c r="T29" s="7"/>
      <c r="U29" s="380"/>
      <c r="V29" s="371"/>
      <c r="W29" s="7"/>
      <c r="X29" s="7"/>
      <c r="Y29" s="7"/>
      <c r="Z29" s="7"/>
      <c r="AA29" s="7"/>
    </row>
    <row r="30" spans="1:27" ht="12.75" x14ac:dyDescent="0.2">
      <c r="A30" s="7"/>
      <c r="B30" s="11" t="b">
        <v>0</v>
      </c>
      <c r="C30" s="378" t="str">
        <f ca="1">敌人!C$496</f>
        <v>冰之巨人约顿</v>
      </c>
      <c r="D30" s="371"/>
      <c r="E30" s="10" t="str">
        <f>敌人!D$496</f>
        <v>4+</v>
      </c>
      <c r="F30" s="10">
        <f>敌人!E$496</f>
        <v>0</v>
      </c>
      <c r="G30" s="10">
        <f>敌人!F$496</f>
        <v>0</v>
      </c>
      <c r="H30" s="10">
        <f>敌人!G$496</f>
        <v>0</v>
      </c>
      <c r="I30" s="10">
        <f>敌人!H$496</f>
        <v>0</v>
      </c>
      <c r="J30" s="10">
        <f>敌人!I$496</f>
        <v>0</v>
      </c>
      <c r="K30" s="378" t="str">
        <f ca="1">敌人!J$496</f>
        <v>约顿之角 (can't steal)</v>
      </c>
      <c r="L30" s="371"/>
      <c r="M30" s="371"/>
      <c r="N30" s="7"/>
      <c r="O30" s="7"/>
      <c r="P30" s="453"/>
      <c r="Q30" s="371"/>
      <c r="R30" s="371"/>
      <c r="S30" s="7"/>
      <c r="T30" s="7"/>
      <c r="U30" s="380"/>
      <c r="V30" s="371"/>
      <c r="W30" s="7"/>
      <c r="X30" s="7"/>
      <c r="Y30" s="7"/>
      <c r="Z30" s="7"/>
      <c r="AA30" s="7"/>
    </row>
    <row r="31" spans="1:27" ht="12.75" x14ac:dyDescent="0.2">
      <c r="A31" s="7"/>
      <c r="B31" s="11" t="b">
        <v>0</v>
      </c>
      <c r="C31" s="378" t="str">
        <f ca="1">敌人!C$497</f>
        <v>冰雪元素</v>
      </c>
      <c r="D31" s="371"/>
      <c r="E31" s="10">
        <f>敌人!D$497</f>
        <v>4</v>
      </c>
      <c r="F31" s="10">
        <f>敌人!E$497</f>
        <v>0</v>
      </c>
      <c r="G31" s="10">
        <f>敌人!F$497</f>
        <v>0</v>
      </c>
      <c r="H31" s="10">
        <f>敌人!G$497</f>
        <v>0</v>
      </c>
      <c r="I31" s="10">
        <f>敌人!H$497</f>
        <v>0</v>
      </c>
      <c r="J31" s="10">
        <f>敌人!I$497</f>
        <v>0</v>
      </c>
      <c r="K31" s="378" t="str">
        <f ca="1">敌人!J$497</f>
        <v>冰之精灵石（大）</v>
      </c>
      <c r="L31" s="371"/>
      <c r="M31" s="371"/>
      <c r="N31" s="7"/>
      <c r="O31" s="7"/>
      <c r="P31" s="455"/>
      <c r="Q31" s="371"/>
      <c r="R31" s="371"/>
      <c r="S31" s="7"/>
      <c r="T31" s="7"/>
      <c r="U31" s="380"/>
      <c r="V31" s="371"/>
      <c r="W31" s="7"/>
      <c r="X31" s="7"/>
      <c r="Y31" s="7"/>
      <c r="Z31" s="7"/>
      <c r="AA31" s="7"/>
    </row>
    <row r="32" spans="1:27" ht="12.75" x14ac:dyDescent="0.2">
      <c r="A32" s="7"/>
      <c r="B32" s="12"/>
      <c r="C32" s="435"/>
      <c r="D32" s="371"/>
      <c r="E32" s="12"/>
      <c r="F32" s="12"/>
      <c r="G32" s="12"/>
      <c r="H32" s="12"/>
      <c r="I32" s="12"/>
      <c r="J32" s="12"/>
      <c r="K32" s="435"/>
      <c r="L32" s="371"/>
      <c r="M32" s="371"/>
      <c r="N32" s="7"/>
      <c r="O32" s="7"/>
      <c r="P32" s="456"/>
      <c r="Q32" s="371"/>
      <c r="R32" s="371"/>
      <c r="S32" s="7"/>
      <c r="T32" s="7"/>
      <c r="U32" s="380"/>
      <c r="V32" s="371"/>
      <c r="W32" s="7"/>
      <c r="X32" s="7"/>
      <c r="Y32" s="7"/>
      <c r="Z32" s="7"/>
      <c r="AA32" s="7"/>
    </row>
    <row r="33" spans="1:27" ht="12.75" x14ac:dyDescent="0.2">
      <c r="A33" s="7"/>
      <c r="B33" s="385" t="str">
        <f ca="1">语言!$A$35&amp;" "&amp;语言!$A$14&amp;" 1"</f>
        <v>欧菲莉亚 章节 1</v>
      </c>
      <c r="C33" s="371"/>
      <c r="D33" s="371"/>
      <c r="E33" s="371"/>
      <c r="F33" s="371"/>
      <c r="G33" s="371"/>
      <c r="H33" s="371"/>
      <c r="I33" s="371"/>
      <c r="J33" s="371"/>
      <c r="K33" s="371"/>
      <c r="L33" s="371"/>
      <c r="M33" s="371"/>
      <c r="N33" s="7"/>
      <c r="O33" s="385" t="str">
        <f ca="1">语言!$A$35&amp;" "&amp;语言!$A$14&amp;" 1"</f>
        <v>欧菲莉亚 章节 1</v>
      </c>
      <c r="P33" s="371"/>
      <c r="Q33" s="371"/>
      <c r="R33" s="371"/>
      <c r="S33" s="7"/>
      <c r="T33" s="7"/>
      <c r="U33" s="380"/>
      <c r="V33" s="371"/>
      <c r="W33" s="7"/>
      <c r="X33" s="7"/>
      <c r="Y33" s="7"/>
      <c r="Z33" s="7"/>
      <c r="AA33" s="7"/>
    </row>
    <row r="34" spans="1:27" ht="12.75" x14ac:dyDescent="0.2">
      <c r="A34" s="7"/>
      <c r="B34" s="382" t="str">
        <f ca="1">语言!A$332&amp;" ("&amp;语言!$A$12&amp;" 1 - 4 - 7 - 11)"</f>
        <v>原初洞窟 (危险度 1 - 4 - 7 - 11)</v>
      </c>
      <c r="C34" s="371"/>
      <c r="D34" s="371"/>
      <c r="E34" s="371"/>
      <c r="F34" s="371"/>
      <c r="G34" s="371"/>
      <c r="H34" s="371"/>
      <c r="I34" s="371"/>
      <c r="J34" s="371"/>
      <c r="K34" s="371"/>
      <c r="L34" s="371"/>
      <c r="M34" s="371"/>
      <c r="N34" s="7"/>
      <c r="O34" s="382" t="str">
        <f ca="1">语言!A$331&amp;" (3 "&amp;语言!$A$19&amp;")"</f>
        <v>通往原初洞窟的道路 (3 宝箱)</v>
      </c>
      <c r="P34" s="371"/>
      <c r="Q34" s="371"/>
      <c r="R34" s="371"/>
      <c r="S34" s="7"/>
      <c r="T34" s="7"/>
      <c r="U34" s="380"/>
      <c r="V34" s="371"/>
      <c r="W34" s="7"/>
      <c r="X34" s="7"/>
      <c r="Y34" s="7"/>
      <c r="Z34" s="7"/>
      <c r="AA34" s="7"/>
    </row>
    <row r="35" spans="1:27" ht="12.75" x14ac:dyDescent="0.2">
      <c r="A35" s="7"/>
      <c r="B35" s="8" t="b">
        <v>0</v>
      </c>
      <c r="C35" s="378" t="str">
        <f ca="1">敌人!C$372</f>
        <v>狼</v>
      </c>
      <c r="D35" s="371"/>
      <c r="E35" s="10">
        <f>敌人!D$372</f>
        <v>1</v>
      </c>
      <c r="F35" s="10">
        <f>敌人!E$372</f>
        <v>0</v>
      </c>
      <c r="G35" s="10">
        <f>敌人!F$372</f>
        <v>0</v>
      </c>
      <c r="H35" s="10">
        <f>敌人!G$372</f>
        <v>0</v>
      </c>
      <c r="I35" s="10">
        <f>敌人!H$372</f>
        <v>0</v>
      </c>
      <c r="J35" s="10">
        <f>敌人!I$372</f>
        <v>0</v>
      </c>
      <c r="K35" s="378" t="str">
        <f ca="1">敌人!J$372</f>
        <v>ＨＰ恢复的葡萄</v>
      </c>
      <c r="L35" s="371"/>
      <c r="M35" s="371"/>
      <c r="N35" s="7"/>
      <c r="O35" s="8" t="b">
        <v>0</v>
      </c>
      <c r="P35" s="451" t="str">
        <f ca="1">道具!$C$3</f>
        <v>ＨＰ恢复的葡萄</v>
      </c>
      <c r="Q35" s="371"/>
      <c r="R35" s="371"/>
      <c r="S35" s="7"/>
      <c r="T35" s="7"/>
      <c r="U35" s="380"/>
      <c r="V35" s="371"/>
      <c r="W35" s="7"/>
      <c r="X35" s="7"/>
      <c r="Y35" s="7"/>
      <c r="Z35" s="7"/>
      <c r="AA35" s="7"/>
    </row>
    <row r="36" spans="1:27" ht="12.75" x14ac:dyDescent="0.2">
      <c r="A36" s="7"/>
      <c r="B36" s="8" t="b">
        <v>0</v>
      </c>
      <c r="C36" s="378" t="str">
        <f ca="1">敌人!C$152&amp;" (7+)"</f>
        <v>高地狼 (7+)</v>
      </c>
      <c r="D36" s="371"/>
      <c r="E36" s="10">
        <f>敌人!D$152</f>
        <v>2</v>
      </c>
      <c r="F36" s="10">
        <f>敌人!E$152</f>
        <v>0</v>
      </c>
      <c r="G36" s="10">
        <f>敌人!F$152</f>
        <v>0</v>
      </c>
      <c r="H36" s="10">
        <f>敌人!G$152</f>
        <v>0</v>
      </c>
      <c r="I36" s="10">
        <f>敌人!H$152</f>
        <v>0</v>
      </c>
      <c r="J36" s="10">
        <f>敌人!I$152</f>
        <v>0</v>
      </c>
      <c r="K36" s="378" t="str">
        <f ca="1">敌人!J$152</f>
        <v>ＨＰ恢复的葡萄（大）</v>
      </c>
      <c r="L36" s="371"/>
      <c r="M36" s="371"/>
      <c r="N36" s="7"/>
      <c r="O36" s="8" t="b">
        <v>0</v>
      </c>
      <c r="P36" s="404">
        <v>600</v>
      </c>
      <c r="Q36" s="371"/>
      <c r="R36" s="371"/>
      <c r="S36" s="7"/>
      <c r="T36" s="7"/>
      <c r="U36" s="380"/>
      <c r="V36" s="371"/>
      <c r="W36" s="7"/>
      <c r="X36" s="7"/>
      <c r="Y36" s="7"/>
      <c r="Z36" s="7"/>
      <c r="AA36" s="7"/>
    </row>
    <row r="37" spans="1:27" ht="12.75" x14ac:dyDescent="0.2">
      <c r="A37" s="7"/>
      <c r="B37" s="8" t="b">
        <v>0</v>
      </c>
      <c r="C37" s="378" t="str">
        <f ca="1">敌人!C$7&amp;" (7+)"</f>
        <v>白蝙蝠异种 (7+)</v>
      </c>
      <c r="D37" s="371"/>
      <c r="E37" s="10">
        <f>敌人!D$7</f>
        <v>3</v>
      </c>
      <c r="F37" s="10">
        <f>敌人!E$7</f>
        <v>0</v>
      </c>
      <c r="G37" s="10">
        <f>敌人!F$7</f>
        <v>0</v>
      </c>
      <c r="H37" s="10">
        <f>敌人!G$7</f>
        <v>0</v>
      </c>
      <c r="I37" s="10">
        <f>敌人!H$7</f>
        <v>0</v>
      </c>
      <c r="J37" s="10">
        <f>敌人!I$7</f>
        <v>0</v>
      </c>
      <c r="K37" s="378" t="str">
        <f ca="1">敌人!J$7</f>
        <v>神秘之花</v>
      </c>
      <c r="L37" s="371"/>
      <c r="M37" s="371"/>
      <c r="N37" s="7"/>
      <c r="O37" s="8" t="b">
        <v>0</v>
      </c>
      <c r="P37" s="452" t="str">
        <f ca="1">道具!$C$21</f>
        <v>混乱治疗药草</v>
      </c>
      <c r="Q37" s="371"/>
      <c r="R37" s="371"/>
      <c r="S37" s="7"/>
      <c r="T37" s="7"/>
      <c r="U37" s="380"/>
      <c r="V37" s="371"/>
      <c r="W37" s="7"/>
      <c r="X37" s="7"/>
      <c r="Y37" s="7"/>
      <c r="Z37" s="7"/>
      <c r="AA37" s="7"/>
    </row>
    <row r="38" spans="1:27" ht="12.75" x14ac:dyDescent="0.2">
      <c r="A38" s="7"/>
      <c r="B38" s="8" t="b">
        <v>0</v>
      </c>
      <c r="C38" s="378" t="str">
        <f ca="1">敌人!C$355</f>
        <v>白蝙蝠</v>
      </c>
      <c r="D38" s="371"/>
      <c r="E38" s="10">
        <f>敌人!D$355</f>
        <v>1</v>
      </c>
      <c r="F38" s="10">
        <f>敌人!E$355</f>
        <v>0</v>
      </c>
      <c r="G38" s="10">
        <f>敌人!F$355</f>
        <v>0</v>
      </c>
      <c r="H38" s="10">
        <f>敌人!G$355</f>
        <v>0</v>
      </c>
      <c r="I38" s="10">
        <f>敌人!H$355</f>
        <v>0</v>
      </c>
      <c r="J38" s="10">
        <f>敌人!I$355</f>
        <v>0</v>
      </c>
      <c r="K38" s="378" t="str">
        <f ca="1">敌人!J$355</f>
        <v>神秘之花</v>
      </c>
      <c r="L38" s="371"/>
      <c r="M38" s="371"/>
      <c r="N38" s="7"/>
      <c r="O38" s="382" t="str">
        <f ca="1">语言!A$332&amp;" (5 "&amp;语言!$A$19&amp;")"</f>
        <v>原初洞窟 (5 宝箱)</v>
      </c>
      <c r="P38" s="371"/>
      <c r="Q38" s="371"/>
      <c r="R38" s="371"/>
      <c r="S38" s="7"/>
      <c r="T38" s="7"/>
      <c r="U38" s="380"/>
      <c r="V38" s="371"/>
      <c r="W38" s="7"/>
      <c r="X38" s="7"/>
      <c r="Y38" s="7"/>
      <c r="Z38" s="7"/>
      <c r="AA38" s="7"/>
    </row>
    <row r="39" spans="1:27" ht="12.75" x14ac:dyDescent="0.2">
      <c r="A39" s="7"/>
      <c r="B39" s="8" t="b">
        <v>0</v>
      </c>
      <c r="C39" s="378" t="str">
        <f ca="1">敌人!C$311</f>
        <v>暗鬼火</v>
      </c>
      <c r="D39" s="371"/>
      <c r="E39" s="10">
        <f>敌人!D$311</f>
        <v>1</v>
      </c>
      <c r="F39" s="10">
        <f>敌人!E$311</f>
        <v>0</v>
      </c>
      <c r="G39" s="10">
        <f>敌人!F$311</f>
        <v>0</v>
      </c>
      <c r="H39" s="10">
        <f>敌人!G$311</f>
        <v>0</v>
      </c>
      <c r="I39" s="10">
        <f>敌人!H$311</f>
        <v>0</v>
      </c>
      <c r="J39" s="10">
        <f>敌人!I$311</f>
        <v>0</v>
      </c>
      <c r="K39" s="378" t="str">
        <f ca="1">敌人!J$311</f>
        <v>暗之精灵石</v>
      </c>
      <c r="L39" s="371"/>
      <c r="M39" s="371"/>
      <c r="N39" s="7"/>
      <c r="O39" s="8" t="b">
        <v>0</v>
      </c>
      <c r="P39" s="451" t="str">
        <f ca="1">道具!$C$3</f>
        <v>ＨＰ恢复的葡萄</v>
      </c>
      <c r="Q39" s="371"/>
      <c r="R39" s="371"/>
      <c r="S39" s="7"/>
      <c r="T39" s="7"/>
      <c r="U39" s="380"/>
      <c r="V39" s="371"/>
      <c r="W39" s="7"/>
      <c r="X39" s="7"/>
      <c r="Y39" s="7"/>
      <c r="Z39" s="7"/>
      <c r="AA39" s="7"/>
    </row>
    <row r="40" spans="1:27" ht="12.75" x14ac:dyDescent="0.2">
      <c r="A40" s="7"/>
      <c r="B40" s="434" t="s">
        <v>15</v>
      </c>
      <c r="C40" s="371"/>
      <c r="D40" s="371"/>
      <c r="E40" s="371"/>
      <c r="F40" s="371"/>
      <c r="G40" s="371"/>
      <c r="H40" s="371"/>
      <c r="I40" s="371"/>
      <c r="J40" s="371"/>
      <c r="K40" s="371"/>
      <c r="L40" s="371"/>
      <c r="M40" s="371"/>
      <c r="N40" s="7"/>
      <c r="O40" s="8" t="b">
        <v>0</v>
      </c>
      <c r="P40" s="451" t="str">
        <f ca="1">道具!$C$6</f>
        <v>ＳＰ恢复的李子</v>
      </c>
      <c r="Q40" s="371"/>
      <c r="R40" s="371"/>
      <c r="S40" s="7"/>
      <c r="T40" s="7"/>
      <c r="U40" s="380"/>
      <c r="V40" s="371"/>
      <c r="W40" s="7"/>
      <c r="X40" s="7"/>
      <c r="Y40" s="7"/>
      <c r="Z40" s="7"/>
      <c r="AA40" s="7"/>
    </row>
    <row r="41" spans="1:27" ht="12.75" x14ac:dyDescent="0.2">
      <c r="A41" s="7"/>
      <c r="B41" s="11" t="b">
        <v>0</v>
      </c>
      <c r="C41" s="436" t="str">
        <f ca="1">敌人!C$390</f>
        <v>圣火的守护者</v>
      </c>
      <c r="D41" s="371"/>
      <c r="E41" s="13" t="str">
        <f>敌人!D$390</f>
        <v>6+</v>
      </c>
      <c r="F41" s="13">
        <f>敌人!E$390</f>
        <v>0</v>
      </c>
      <c r="G41" s="13">
        <f>敌人!F$390</f>
        <v>0</v>
      </c>
      <c r="H41" s="13">
        <f>敌人!G$390</f>
        <v>0</v>
      </c>
      <c r="I41" s="13">
        <f>敌人!H$390</f>
        <v>0</v>
      </c>
      <c r="J41" s="13">
        <f>敌人!I$390</f>
        <v>0</v>
      </c>
      <c r="K41" s="436" t="str">
        <f ca="1">敌人!J$390</f>
        <v>ＳＰ全体恢复的李子</v>
      </c>
      <c r="L41" s="371"/>
      <c r="M41" s="371"/>
      <c r="N41" s="7"/>
      <c r="O41" s="8" t="b">
        <v>0</v>
      </c>
      <c r="P41" s="378" t="str">
        <f ca="1">道具!$C$46</f>
        <v>暗之精灵石</v>
      </c>
      <c r="Q41" s="371"/>
      <c r="R41" s="371"/>
      <c r="S41" s="7"/>
      <c r="T41" s="7"/>
      <c r="U41" s="380"/>
      <c r="V41" s="371"/>
      <c r="W41" s="7"/>
      <c r="X41" s="7"/>
      <c r="Y41" s="7"/>
      <c r="Z41" s="7"/>
      <c r="AA41" s="7"/>
    </row>
    <row r="42" spans="1:27" ht="12.75" x14ac:dyDescent="0.2">
      <c r="A42" s="7"/>
      <c r="B42" s="11" t="b">
        <v>0</v>
      </c>
      <c r="C42" s="436" t="str">
        <f ca="1">敌人!C$391</f>
        <v>黑鬼火</v>
      </c>
      <c r="D42" s="371"/>
      <c r="E42" s="13" t="str">
        <f>敌人!D$391</f>
        <v>4+</v>
      </c>
      <c r="F42" s="13">
        <f>敌人!E$391</f>
        <v>0</v>
      </c>
      <c r="G42" s="13">
        <f>敌人!F$391</f>
        <v>0</v>
      </c>
      <c r="H42" s="13">
        <f>敌人!G$391</f>
        <v>0</v>
      </c>
      <c r="I42" s="13">
        <f>敌人!H$391</f>
        <v>0</v>
      </c>
      <c r="J42" s="13">
        <f>敌人!I$391</f>
        <v>0</v>
      </c>
      <c r="K42" s="436" t="str">
        <f ca="1">敌人!J$391</f>
        <v>暗之精灵石</v>
      </c>
      <c r="L42" s="371"/>
      <c r="M42" s="371"/>
      <c r="N42" s="7"/>
      <c r="O42" s="8" t="b">
        <v>0</v>
      </c>
      <c r="P42" s="378" t="str">
        <f ca="1">道具!$C$394</f>
        <v>银发饰</v>
      </c>
      <c r="Q42" s="371"/>
      <c r="R42" s="371"/>
      <c r="S42" s="7"/>
      <c r="T42" s="7"/>
      <c r="U42" s="380"/>
      <c r="V42" s="371"/>
      <c r="W42" s="7"/>
      <c r="X42" s="7"/>
      <c r="Y42" s="7"/>
      <c r="Z42" s="7"/>
      <c r="AA42" s="7"/>
    </row>
    <row r="43" spans="1:27" ht="12.75" x14ac:dyDescent="0.2">
      <c r="A43" s="7"/>
      <c r="B43" s="7"/>
      <c r="C43" s="380"/>
      <c r="D43" s="371"/>
      <c r="E43" s="7"/>
      <c r="F43" s="7"/>
      <c r="G43" s="7"/>
      <c r="H43" s="7"/>
      <c r="I43" s="7"/>
      <c r="J43" s="7"/>
      <c r="K43" s="380"/>
      <c r="L43" s="371"/>
      <c r="M43" s="371"/>
      <c r="N43" s="7"/>
      <c r="O43" s="8" t="b">
        <v>0</v>
      </c>
      <c r="P43" s="378" t="str">
        <f ca="1">道具!$C$12</f>
        <v>ＨＰ／ＳＰ恢复的果酱</v>
      </c>
      <c r="Q43" s="371"/>
      <c r="R43" s="371"/>
      <c r="S43" s="7"/>
      <c r="T43" s="7"/>
      <c r="U43" s="380"/>
      <c r="V43" s="371"/>
      <c r="W43" s="7"/>
      <c r="X43" s="7"/>
      <c r="Y43" s="7"/>
      <c r="Z43" s="7"/>
      <c r="AA43" s="7"/>
    </row>
    <row r="44" spans="1:27" ht="12.75" x14ac:dyDescent="0.2">
      <c r="A44" s="7"/>
      <c r="B44" s="7"/>
      <c r="C44" s="380"/>
      <c r="D44" s="371"/>
      <c r="E44" s="7"/>
      <c r="F44" s="7"/>
      <c r="G44" s="7"/>
      <c r="H44" s="7"/>
      <c r="I44" s="7"/>
      <c r="J44" s="7"/>
      <c r="K44" s="380"/>
      <c r="L44" s="371"/>
      <c r="M44" s="371"/>
      <c r="N44" s="7"/>
      <c r="O44" s="7"/>
      <c r="P44" s="380"/>
      <c r="Q44" s="371"/>
      <c r="R44" s="371"/>
      <c r="S44" s="7"/>
      <c r="T44" s="7"/>
      <c r="U44" s="380"/>
      <c r="V44" s="371"/>
      <c r="W44" s="7"/>
      <c r="X44" s="7"/>
      <c r="Y44" s="7"/>
      <c r="Z44" s="7"/>
      <c r="AA44" s="7"/>
    </row>
    <row r="45" spans="1:27" ht="18" x14ac:dyDescent="0.25">
      <c r="A45" s="384" t="str">
        <f ca="1">语言!$A$323&amp;" 2"</f>
        <v>Tier 2</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row>
    <row r="46" spans="1:27" ht="15.75" customHeight="1" x14ac:dyDescent="0.2">
      <c r="A46" s="7"/>
      <c r="B46" s="8" t="b">
        <v>0</v>
      </c>
      <c r="C46" s="381" t="str">
        <f ca="1">敌人!C$69</f>
        <v>绅士凯特林</v>
      </c>
      <c r="D46" s="371"/>
      <c r="E46" s="8">
        <f>敌人!D$69</f>
        <v>4</v>
      </c>
      <c r="F46" s="8">
        <f>敌人!E$69</f>
        <v>0</v>
      </c>
      <c r="G46" s="8">
        <f>敌人!F$69</f>
        <v>0</v>
      </c>
      <c r="H46" s="8">
        <f>敌人!G$69</f>
        <v>0</v>
      </c>
      <c r="I46" s="8">
        <f>敌人!H$69</f>
        <v>0</v>
      </c>
      <c r="J46" s="8">
        <f>敌人!I$69</f>
        <v>0</v>
      </c>
      <c r="K46" s="381" t="str">
        <f ca="1">敌人!J$69</f>
        <v>ＨＰ／ＳＰ／ＢＰ恢复的果酱</v>
      </c>
      <c r="L46" s="371"/>
      <c r="M46" s="371"/>
      <c r="N46" s="7"/>
      <c r="O46" s="382" t="str">
        <f ca="1">语言!A$333&amp;" (5 "&amp;语言!$A$19&amp;")"</f>
        <v>史迪尔斯诺 (5 宝箱)</v>
      </c>
      <c r="P46" s="371"/>
      <c r="Q46" s="371"/>
      <c r="R46" s="371"/>
      <c r="S46" s="7"/>
      <c r="T46" s="382" t="str">
        <f ca="1">语言!A$333</f>
        <v>史迪尔斯诺</v>
      </c>
      <c r="U46" s="371"/>
      <c r="V46" s="371"/>
      <c r="W46" s="7"/>
      <c r="X46" s="14"/>
      <c r="Y46" s="14"/>
      <c r="Z46" s="14"/>
      <c r="AA46" s="7"/>
    </row>
    <row r="47" spans="1:27" ht="12.75" x14ac:dyDescent="0.2">
      <c r="A47" s="7"/>
      <c r="B47" s="406" t="str">
        <f ca="1">语言!A$334&amp;" ("&amp;语言!$A$12&amp;" 20 - 23 - 26 - 29)"</f>
        <v>西史迪尔斯诺雪道 (危险度 20 - 23 - 26 - 29)</v>
      </c>
      <c r="C47" s="371"/>
      <c r="D47" s="371"/>
      <c r="E47" s="371"/>
      <c r="F47" s="371"/>
      <c r="G47" s="371"/>
      <c r="H47" s="371"/>
      <c r="I47" s="371"/>
      <c r="J47" s="371"/>
      <c r="K47" s="371"/>
      <c r="L47" s="371"/>
      <c r="M47" s="371"/>
      <c r="N47" s="7"/>
      <c r="O47" s="8" t="b">
        <v>0</v>
      </c>
      <c r="P47" s="378" t="str">
        <f ca="1">道具!$C$14</f>
        <v>复活的橄榄</v>
      </c>
      <c r="Q47" s="371"/>
      <c r="R47" s="371"/>
      <c r="S47" s="7"/>
      <c r="T47" s="8" t="b">
        <v>0</v>
      </c>
      <c r="U47" s="381" t="str">
        <f ca="1">道具!$C$12</f>
        <v>ＨＰ／ＳＰ恢复的果酱</v>
      </c>
      <c r="V47" s="371"/>
      <c r="W47" s="7"/>
      <c r="X47" s="14"/>
      <c r="Y47" s="14"/>
      <c r="Z47" s="15"/>
      <c r="AA47" s="7"/>
    </row>
    <row r="48" spans="1:27" ht="12.75" x14ac:dyDescent="0.2">
      <c r="A48" s="7"/>
      <c r="B48" s="10" t="b">
        <v>0</v>
      </c>
      <c r="C48" s="378" t="str">
        <f ca="1">敌人!C$180&amp;" (26-)"</f>
        <v>冰雪蜥蜴人 IV (26-)</v>
      </c>
      <c r="D48" s="371"/>
      <c r="E48" s="10">
        <f>敌人!D$180</f>
        <v>2</v>
      </c>
      <c r="F48" s="10">
        <f>敌人!E$180</f>
        <v>0</v>
      </c>
      <c r="G48" s="10">
        <f>敌人!F$180</f>
        <v>0</v>
      </c>
      <c r="H48" s="10">
        <f>敌人!G$180</f>
        <v>0</v>
      </c>
      <c r="I48" s="10">
        <f>敌人!H$180</f>
        <v>0</v>
      </c>
      <c r="J48" s="10">
        <f>敌人!I$180</f>
        <v>0</v>
      </c>
      <c r="K48" s="378" t="str">
        <f ca="1">敌人!J$180</f>
        <v>ＳＰ恢复的李子</v>
      </c>
      <c r="L48" s="371"/>
      <c r="M48" s="371"/>
      <c r="N48" s="7"/>
      <c r="O48" s="8" t="b">
        <v>0</v>
      </c>
      <c r="P48" s="378" t="str">
        <f ca="1">道具!$C$47</f>
        <v>暗之精灵石（大）</v>
      </c>
      <c r="Q48" s="371"/>
      <c r="R48" s="371"/>
      <c r="S48" s="7"/>
      <c r="T48" s="8" t="b">
        <v>0</v>
      </c>
      <c r="U48" s="381" t="str">
        <f ca="1">道具!$C$34</f>
        <v>冰之精灵石（大）</v>
      </c>
      <c r="V48" s="371"/>
      <c r="W48" s="7"/>
      <c r="X48" s="14"/>
      <c r="Y48" s="14"/>
      <c r="Z48" s="15"/>
      <c r="AA48" s="7"/>
    </row>
    <row r="49" spans="1:27" ht="12.75" x14ac:dyDescent="0.2">
      <c r="A49" s="7"/>
      <c r="B49" s="10" t="b">
        <v>0</v>
      </c>
      <c r="C49" s="378" t="str">
        <f ca="1">敌人!C$181</f>
        <v>冰雪蜥蜴人 V</v>
      </c>
      <c r="D49" s="371"/>
      <c r="E49" s="10">
        <f>敌人!D$181</f>
        <v>3</v>
      </c>
      <c r="F49" s="10">
        <f>敌人!E$181</f>
        <v>0</v>
      </c>
      <c r="G49" s="10">
        <f>敌人!F$181</f>
        <v>0</v>
      </c>
      <c r="H49" s="10">
        <f>敌人!G$181</f>
        <v>0</v>
      </c>
      <c r="I49" s="10">
        <f>敌人!H$181</f>
        <v>0</v>
      </c>
      <c r="J49" s="10">
        <f>敌人!I$181</f>
        <v>0</v>
      </c>
      <c r="K49" s="378" t="str">
        <f ca="1">敌人!J$181</f>
        <v>李子树液</v>
      </c>
      <c r="L49" s="371"/>
      <c r="M49" s="371"/>
      <c r="N49" s="7"/>
      <c r="O49" s="8" t="b">
        <v>0</v>
      </c>
      <c r="P49" s="451" t="str">
        <f ca="1">道具!$C$6</f>
        <v>ＳＰ恢复的李子</v>
      </c>
      <c r="Q49" s="371"/>
      <c r="R49" s="371"/>
      <c r="S49" s="7"/>
      <c r="T49" s="8" t="b">
        <v>0</v>
      </c>
      <c r="U49" s="381" t="str">
        <f ca="1">道具!$C$120</f>
        <v>放了银块的皮袋</v>
      </c>
      <c r="V49" s="371"/>
      <c r="W49" s="7"/>
      <c r="X49" s="14"/>
      <c r="Y49" s="14"/>
      <c r="Z49" s="15"/>
      <c r="AA49" s="7"/>
    </row>
    <row r="50" spans="1:27" ht="12.75" x14ac:dyDescent="0.2">
      <c r="A50" s="7"/>
      <c r="B50" s="10" t="b">
        <v>0</v>
      </c>
      <c r="C50" s="378" t="str">
        <f ca="1">敌人!C$182&amp;" (23+)"</f>
        <v>冰雪蜥蜴人 VI (23+)</v>
      </c>
      <c r="D50" s="371"/>
      <c r="E50" s="10">
        <f>敌人!D$182</f>
        <v>1</v>
      </c>
      <c r="F50" s="10">
        <f>敌人!E$182</f>
        <v>0</v>
      </c>
      <c r="G50" s="10">
        <f>敌人!F$182</f>
        <v>0</v>
      </c>
      <c r="H50" s="10">
        <f>敌人!G$182</f>
        <v>0</v>
      </c>
      <c r="I50" s="10">
        <f>敌人!H$182</f>
        <v>0</v>
      </c>
      <c r="J50" s="10">
        <f>敌人!I$182</f>
        <v>0</v>
      </c>
      <c r="K50" s="378" t="str">
        <f ca="1">敌人!J$182</f>
        <v>ＨＰ恢复的葡萄（大）</v>
      </c>
      <c r="L50" s="371"/>
      <c r="M50" s="371"/>
      <c r="N50" s="7"/>
      <c r="O50" s="8" t="b">
        <v>0</v>
      </c>
      <c r="P50" s="452" t="str">
        <f ca="1">道具!$C$4</f>
        <v>ＨＰ恢复的葡萄（大）</v>
      </c>
      <c r="Q50" s="371"/>
      <c r="R50" s="371"/>
      <c r="S50" s="7"/>
      <c r="T50" s="8" t="b">
        <v>0</v>
      </c>
      <c r="U50" s="381" t="str">
        <f ca="1">道具!$C$291</f>
        <v>灵魂弓</v>
      </c>
      <c r="V50" s="371"/>
      <c r="W50" s="7"/>
      <c r="X50" s="7"/>
      <c r="Y50" s="7"/>
      <c r="Z50" s="7"/>
      <c r="AA50" s="7"/>
    </row>
    <row r="51" spans="1:27" ht="12.75" x14ac:dyDescent="0.2">
      <c r="A51" s="7"/>
      <c r="B51" s="10" t="b">
        <v>0</v>
      </c>
      <c r="C51" s="378" t="str">
        <f ca="1">敌人!C$174&amp;" (26+)"</f>
        <v>冰雪大蜥蜴人 I (26+)</v>
      </c>
      <c r="D51" s="371"/>
      <c r="E51" s="10">
        <f>敌人!D$174</f>
        <v>4</v>
      </c>
      <c r="F51" s="10">
        <f>敌人!E$174</f>
        <v>0</v>
      </c>
      <c r="G51" s="10">
        <f>敌人!F$174</f>
        <v>0</v>
      </c>
      <c r="H51" s="10">
        <f>敌人!G$174</f>
        <v>0</v>
      </c>
      <c r="I51" s="10">
        <f>敌人!H$174</f>
        <v>0</v>
      </c>
      <c r="J51" s="10">
        <f>敌人!I$174</f>
        <v>0</v>
      </c>
      <c r="K51" s="378" t="str">
        <f ca="1">敌人!J$174</f>
        <v>ＨＰ恢复的葡萄（大）</v>
      </c>
      <c r="L51" s="371"/>
      <c r="M51" s="371"/>
      <c r="N51" s="7"/>
      <c r="O51" s="8" t="b">
        <v>0</v>
      </c>
      <c r="P51" s="378" t="str">
        <f ca="1">道具!$C$224</f>
        <v>破剑者</v>
      </c>
      <c r="Q51" s="371"/>
      <c r="R51" s="371"/>
      <c r="S51" s="7"/>
      <c r="T51" s="8" t="b">
        <v>0</v>
      </c>
      <c r="U51" s="381" t="str">
        <f ca="1">道具!$C$543</f>
        <v>橄榄花</v>
      </c>
      <c r="V51" s="371"/>
      <c r="W51" s="7"/>
      <c r="X51" s="7"/>
      <c r="Y51" s="7"/>
      <c r="Z51" s="7"/>
      <c r="AA51" s="7"/>
    </row>
    <row r="52" spans="1:27" ht="12.75" x14ac:dyDescent="0.2">
      <c r="A52" s="7"/>
      <c r="B52" s="10" t="b">
        <v>0</v>
      </c>
      <c r="C52" s="378" t="str">
        <f ca="1">敌人!C$130&amp;" (26-)"</f>
        <v>冰霜熊 (26-)</v>
      </c>
      <c r="D52" s="371"/>
      <c r="E52" s="10">
        <f>敌人!D$130</f>
        <v>3</v>
      </c>
      <c r="F52" s="10">
        <f>敌人!E$130</f>
        <v>0</v>
      </c>
      <c r="G52" s="10">
        <f>敌人!F$130</f>
        <v>0</v>
      </c>
      <c r="H52" s="10">
        <f>敌人!G$130</f>
        <v>0</v>
      </c>
      <c r="I52" s="10">
        <f>敌人!H$130</f>
        <v>0</v>
      </c>
      <c r="J52" s="10">
        <f>敌人!I$130</f>
        <v>0</v>
      </c>
      <c r="K52" s="378" t="str">
        <f ca="1">敌人!J$130</f>
        <v>橄榄花</v>
      </c>
      <c r="L52" s="371"/>
      <c r="M52" s="371"/>
      <c r="N52" s="7"/>
      <c r="O52" s="382" t="str">
        <f ca="1">语言!A$334&amp;" (4 "&amp;语言!$A$19&amp;")"</f>
        <v>西史迪尔斯诺雪道 (4 宝箱)</v>
      </c>
      <c r="P52" s="371"/>
      <c r="Q52" s="371"/>
      <c r="R52" s="371"/>
      <c r="S52" s="7"/>
      <c r="T52" s="382" t="str">
        <f ca="1">语言!A$338</f>
        <v>通往白色森林的道路</v>
      </c>
      <c r="U52" s="371"/>
      <c r="V52" s="371"/>
      <c r="W52" s="7"/>
      <c r="X52" s="7"/>
      <c r="Y52" s="7"/>
      <c r="Z52" s="7"/>
      <c r="AA52" s="7"/>
    </row>
    <row r="53" spans="1:27" ht="12.75" x14ac:dyDescent="0.2">
      <c r="A53" s="7"/>
      <c r="B53" s="10" t="b">
        <v>0</v>
      </c>
      <c r="C53" s="378" t="str">
        <f ca="1">敌人!C$163&amp;" (26+)"</f>
        <v>巨大熊 (26+)</v>
      </c>
      <c r="D53" s="371"/>
      <c r="E53" s="10">
        <f>敌人!D$163</f>
        <v>4</v>
      </c>
      <c r="F53" s="10">
        <f>敌人!E$163</f>
        <v>0</v>
      </c>
      <c r="G53" s="10">
        <f>敌人!F$163</f>
        <v>0</v>
      </c>
      <c r="H53" s="10">
        <f>敌人!G$163</f>
        <v>0</v>
      </c>
      <c r="I53" s="10">
        <f>敌人!H$163</f>
        <v>0</v>
      </c>
      <c r="J53" s="10">
        <f>敌人!I$163</f>
        <v>0</v>
      </c>
      <c r="K53" s="378" t="str">
        <f ca="1">敌人!J$163</f>
        <v>橄榄花</v>
      </c>
      <c r="L53" s="371"/>
      <c r="M53" s="371"/>
      <c r="N53" s="7"/>
      <c r="O53" s="8" t="b">
        <v>0</v>
      </c>
      <c r="P53" s="378" t="str">
        <f ca="1">道具!$C$24</f>
        <v>昏迷治疗药草</v>
      </c>
      <c r="Q53" s="371"/>
      <c r="R53" s="371"/>
      <c r="S53" s="7"/>
      <c r="T53" s="8" t="b">
        <v>0</v>
      </c>
      <c r="U53" s="403" t="str">
        <f ca="1">道具!$C$7</f>
        <v>ＳＰ恢复的李子（大）</v>
      </c>
      <c r="V53" s="371"/>
      <c r="W53" s="403" t="str">
        <f ca="1">"Hidden item available only during quest: "&amp;支线!$C$16&amp;" &amp; "&amp;支线!$C$17</f>
        <v>Hidden item available only during quest: 亚莉安娜，在那之后（１） &amp; 亚莉安娜，在那之后（２）</v>
      </c>
      <c r="X53" s="371"/>
      <c r="Y53" s="371"/>
      <c r="Z53" s="371"/>
      <c r="AA53" s="7"/>
    </row>
    <row r="54" spans="1:27" ht="12.75" x14ac:dyDescent="0.2">
      <c r="A54" s="7"/>
      <c r="B54" s="10" t="b">
        <v>0</v>
      </c>
      <c r="C54" s="378" t="str">
        <f ca="1">敌人!C$324</f>
        <v>雪牦牛</v>
      </c>
      <c r="D54" s="371"/>
      <c r="E54" s="10">
        <f>敌人!D$324</f>
        <v>3</v>
      </c>
      <c r="F54" s="10">
        <f>敌人!E$324</f>
        <v>0</v>
      </c>
      <c r="G54" s="10">
        <f>敌人!F$324</f>
        <v>0</v>
      </c>
      <c r="H54" s="10">
        <f>敌人!G$324</f>
        <v>0</v>
      </c>
      <c r="I54" s="10">
        <f>敌人!H$324</f>
        <v>0</v>
      </c>
      <c r="J54" s="10">
        <f>敌人!I$324</f>
        <v>0</v>
      </c>
      <c r="K54" s="378" t="str">
        <f ca="1">敌人!J$324</f>
        <v>石榴树液</v>
      </c>
      <c r="L54" s="371"/>
      <c r="M54" s="371"/>
      <c r="N54" s="7"/>
      <c r="O54" s="8" t="b">
        <v>0</v>
      </c>
      <c r="P54" s="378" t="str">
        <f ca="1">道具!$C$34</f>
        <v>冰之精灵石（大）</v>
      </c>
      <c r="Q54" s="371"/>
      <c r="R54" s="371"/>
      <c r="S54" s="7"/>
      <c r="T54" s="7"/>
      <c r="U54" s="380"/>
      <c r="V54" s="371"/>
      <c r="W54" s="7"/>
      <c r="X54" s="7"/>
      <c r="Y54" s="7"/>
      <c r="Z54" s="7"/>
      <c r="AA54" s="7"/>
    </row>
    <row r="55" spans="1:27" ht="12.75" x14ac:dyDescent="0.2">
      <c r="A55" s="7"/>
      <c r="B55" s="10" t="b">
        <v>0</v>
      </c>
      <c r="C55" s="378" t="str">
        <f ca="1">敌人!C$213</f>
        <v>冰雪大尾土拨鼠</v>
      </c>
      <c r="D55" s="371"/>
      <c r="E55" s="10">
        <f>敌人!D$213</f>
        <v>2</v>
      </c>
      <c r="F55" s="10">
        <f>敌人!E$213</f>
        <v>0</v>
      </c>
      <c r="G55" s="10">
        <f>敌人!F$213</f>
        <v>0</v>
      </c>
      <c r="H55" s="10">
        <f>敌人!G$213</f>
        <v>0</v>
      </c>
      <c r="I55" s="10">
        <f>敌人!H$213</f>
        <v>0</v>
      </c>
      <c r="J55" s="10">
        <f>敌人!I$213</f>
        <v>0</v>
      </c>
      <c r="K55" s="378" t="str">
        <f ca="1">敌人!J$213</f>
        <v>李子树液</v>
      </c>
      <c r="L55" s="371"/>
      <c r="M55" s="371"/>
      <c r="N55" s="7"/>
      <c r="O55" s="8" t="b">
        <v>0</v>
      </c>
      <c r="P55" s="452" t="str">
        <f ca="1">道具!$C$4</f>
        <v>ＨＰ恢复的葡萄（大）</v>
      </c>
      <c r="Q55" s="371"/>
      <c r="R55" s="371"/>
      <c r="S55" s="7"/>
      <c r="T55" s="7"/>
      <c r="U55" s="380"/>
      <c r="V55" s="371"/>
      <c r="W55" s="7"/>
      <c r="X55" s="7"/>
      <c r="Y55" s="7"/>
      <c r="Z55" s="7"/>
      <c r="AA55" s="7"/>
    </row>
    <row r="56" spans="1:27" ht="12.75" x14ac:dyDescent="0.2">
      <c r="A56" s="7"/>
      <c r="B56" s="10" t="b">
        <v>0</v>
      </c>
      <c r="C56" s="378" t="str">
        <f ca="1">敌人!C$238&amp;" (26+)"</f>
        <v>企鹅怪 (26+)</v>
      </c>
      <c r="D56" s="371"/>
      <c r="E56" s="10">
        <f>敌人!D$238</f>
        <v>5</v>
      </c>
      <c r="F56" s="10">
        <f>敌人!E$238</f>
        <v>0</v>
      </c>
      <c r="G56" s="10">
        <f>敌人!F$238</f>
        <v>0</v>
      </c>
      <c r="H56" s="10">
        <f>敌人!G$238</f>
        <v>0</v>
      </c>
      <c r="I56" s="10">
        <f>敌人!H$238</f>
        <v>0</v>
      </c>
      <c r="J56" s="10">
        <f>敌人!I$238</f>
        <v>0</v>
      </c>
      <c r="K56" s="378" t="str">
        <f ca="1">敌人!J$238</f>
        <v>复活的橄榄</v>
      </c>
      <c r="L56" s="371"/>
      <c r="M56" s="371"/>
      <c r="N56" s="7"/>
      <c r="O56" s="8" t="b">
        <v>0</v>
      </c>
      <c r="P56" s="378" t="str">
        <f ca="1">道具!$C$10</f>
        <v>ＢＰ恢复的石榴（大）</v>
      </c>
      <c r="Q56" s="371"/>
      <c r="R56" s="371"/>
      <c r="S56" s="7"/>
      <c r="T56" s="7"/>
      <c r="U56" s="380"/>
      <c r="V56" s="371"/>
      <c r="W56" s="7"/>
      <c r="X56" s="7"/>
      <c r="Y56" s="7"/>
      <c r="Z56" s="7"/>
      <c r="AA56" s="7"/>
    </row>
    <row r="57" spans="1:27" ht="12.75" x14ac:dyDescent="0.2">
      <c r="A57" s="7"/>
      <c r="B57" s="10" t="b">
        <v>0</v>
      </c>
      <c r="C57" s="378" t="str">
        <f ca="1">敌人!C$356&amp;" (23-)"</f>
        <v>白咆哮者 (23-)</v>
      </c>
      <c r="D57" s="371"/>
      <c r="E57" s="10">
        <f>敌人!D$356</f>
        <v>1</v>
      </c>
      <c r="F57" s="10">
        <f>敌人!E$356</f>
        <v>0</v>
      </c>
      <c r="G57" s="10">
        <f>敌人!F$356</f>
        <v>0</v>
      </c>
      <c r="H57" s="10">
        <f>敌人!G$356</f>
        <v>0</v>
      </c>
      <c r="I57" s="10">
        <f>敌人!H$356</f>
        <v>0</v>
      </c>
      <c r="J57" s="10">
        <f>敌人!I$356</f>
        <v>0</v>
      </c>
      <c r="K57" s="378" t="str">
        <f ca="1">敌人!J$356</f>
        <v>石榴树液</v>
      </c>
      <c r="L57" s="371"/>
      <c r="M57" s="371"/>
      <c r="N57" s="7"/>
      <c r="O57" s="382" t="str">
        <f ca="1">语言!A$335&amp;" (7 "&amp;语言!$A$19&amp;")"</f>
        <v>巨王灵庙 (7 宝箱)</v>
      </c>
      <c r="P57" s="371"/>
      <c r="Q57" s="371"/>
      <c r="R57" s="371"/>
      <c r="S57" s="7"/>
      <c r="T57" s="7"/>
      <c r="U57" s="380"/>
      <c r="V57" s="371"/>
      <c r="W57" s="7"/>
      <c r="X57" s="7"/>
      <c r="Y57" s="7"/>
      <c r="Z57" s="7"/>
      <c r="AA57" s="7"/>
    </row>
    <row r="58" spans="1:27" ht="12.75" x14ac:dyDescent="0.2">
      <c r="A58" s="7"/>
      <c r="B58" s="10" t="b">
        <v>0</v>
      </c>
      <c r="C58" s="378" t="str">
        <f ca="1">敌人!C$164&amp;" (26+)"</f>
        <v>白咆哮者异种 (26+)</v>
      </c>
      <c r="D58" s="371"/>
      <c r="E58" s="10">
        <f>敌人!D$164</f>
        <v>2</v>
      </c>
      <c r="F58" s="10">
        <f>敌人!E$164</f>
        <v>0</v>
      </c>
      <c r="G58" s="10">
        <f>敌人!F$164</f>
        <v>0</v>
      </c>
      <c r="H58" s="10">
        <f>敌人!G$164</f>
        <v>0</v>
      </c>
      <c r="I58" s="10">
        <f>敌人!H$164</f>
        <v>0</v>
      </c>
      <c r="J58" s="10">
        <f>敌人!I$164</f>
        <v>0</v>
      </c>
      <c r="K58" s="378" t="str">
        <f ca="1">敌人!J$164</f>
        <v>石榴树液</v>
      </c>
      <c r="L58" s="371"/>
      <c r="M58" s="371"/>
      <c r="N58" s="7"/>
      <c r="O58" s="8" t="b">
        <v>0</v>
      </c>
      <c r="P58" s="378" t="str">
        <f ca="1">道具!$C$520&amp;" ("&amp;语言!$A$20&amp;")"</f>
        <v>睡眠耐性石 (上锁宝箱)</v>
      </c>
      <c r="Q58" s="371"/>
      <c r="R58" s="371"/>
      <c r="S58" s="7"/>
      <c r="T58" s="7"/>
      <c r="U58" s="380"/>
      <c r="V58" s="371"/>
      <c r="W58" s="7"/>
      <c r="X58" s="7"/>
      <c r="Y58" s="7"/>
      <c r="Z58" s="7"/>
      <c r="AA58" s="7"/>
    </row>
    <row r="59" spans="1:27" ht="12.75" x14ac:dyDescent="0.2">
      <c r="A59" s="7"/>
      <c r="B59" s="406" t="str">
        <f ca="1">语言!A$335&amp;" ("&amp;语言!$A$12&amp;" 35)"</f>
        <v>巨王灵庙 (危险度 35)</v>
      </c>
      <c r="C59" s="371"/>
      <c r="D59" s="371"/>
      <c r="E59" s="371"/>
      <c r="F59" s="371"/>
      <c r="G59" s="371"/>
      <c r="H59" s="371"/>
      <c r="I59" s="371"/>
      <c r="J59" s="371"/>
      <c r="K59" s="371"/>
      <c r="L59" s="371"/>
      <c r="M59" s="371"/>
      <c r="N59" s="7"/>
      <c r="O59" s="8" t="b">
        <v>0</v>
      </c>
      <c r="P59" s="378" t="str">
        <f ca="1">道具!$C$16</f>
        <v>复活的橄榄（大）</v>
      </c>
      <c r="Q59" s="371"/>
      <c r="R59" s="371"/>
      <c r="S59" s="7"/>
      <c r="T59" s="7"/>
      <c r="U59" s="380"/>
      <c r="V59" s="371"/>
      <c r="W59" s="7"/>
      <c r="X59" s="7"/>
      <c r="Y59" s="7"/>
      <c r="Z59" s="7"/>
      <c r="AA59" s="7"/>
    </row>
    <row r="60" spans="1:27" ht="12.75" x14ac:dyDescent="0.2">
      <c r="A60" s="7"/>
      <c r="B60" s="10" t="b">
        <v>0</v>
      </c>
      <c r="C60" s="378" t="str">
        <f ca="1">敌人!C$180</f>
        <v>冰雪蜥蜴人 IV</v>
      </c>
      <c r="D60" s="371"/>
      <c r="E60" s="10">
        <f>敌人!D$180</f>
        <v>2</v>
      </c>
      <c r="F60" s="10">
        <f>敌人!E$180</f>
        <v>0</v>
      </c>
      <c r="G60" s="10">
        <f>敌人!F$180</f>
        <v>0</v>
      </c>
      <c r="H60" s="10">
        <f>敌人!G$180</f>
        <v>0</v>
      </c>
      <c r="I60" s="10">
        <f>敌人!H$180</f>
        <v>0</v>
      </c>
      <c r="J60" s="10">
        <f>敌人!I$180</f>
        <v>0</v>
      </c>
      <c r="K60" s="378" t="str">
        <f ca="1">敌人!J$180</f>
        <v>ＳＰ恢复的李子</v>
      </c>
      <c r="L60" s="371"/>
      <c r="M60" s="371"/>
      <c r="N60" s="7"/>
      <c r="O60" s="8" t="b">
        <v>0</v>
      </c>
      <c r="P60" s="378" t="str">
        <f ca="1">道具!$C$5</f>
        <v>ＨＰ全体恢复的葡萄</v>
      </c>
      <c r="Q60" s="371"/>
      <c r="R60" s="371"/>
      <c r="S60" s="7"/>
      <c r="T60" s="7"/>
      <c r="U60" s="380"/>
      <c r="V60" s="371"/>
      <c r="W60" s="7"/>
      <c r="X60" s="7"/>
      <c r="Y60" s="7"/>
      <c r="Z60" s="7"/>
      <c r="AA60" s="7"/>
    </row>
    <row r="61" spans="1:27" ht="12.75" x14ac:dyDescent="0.2">
      <c r="A61" s="7"/>
      <c r="B61" s="10" t="b">
        <v>0</v>
      </c>
      <c r="C61" s="378" t="str">
        <f ca="1">敌人!C$181</f>
        <v>冰雪蜥蜴人 V</v>
      </c>
      <c r="D61" s="371"/>
      <c r="E61" s="10">
        <f>敌人!D$181</f>
        <v>3</v>
      </c>
      <c r="F61" s="10">
        <f>敌人!E$181</f>
        <v>0</v>
      </c>
      <c r="G61" s="10">
        <f>敌人!F$181</f>
        <v>0</v>
      </c>
      <c r="H61" s="10">
        <f>敌人!G$181</f>
        <v>0</v>
      </c>
      <c r="I61" s="10">
        <f>敌人!H$181</f>
        <v>0</v>
      </c>
      <c r="J61" s="10">
        <f>敌人!I$181</f>
        <v>0</v>
      </c>
      <c r="K61" s="378" t="str">
        <f ca="1">敌人!J$181</f>
        <v>李子树液</v>
      </c>
      <c r="L61" s="371"/>
      <c r="M61" s="371"/>
      <c r="N61" s="7"/>
      <c r="O61" s="8" t="b">
        <v>0</v>
      </c>
      <c r="P61" s="378" t="str">
        <f ca="1">道具!$C$7</f>
        <v>ＳＰ恢复的李子（大）</v>
      </c>
      <c r="Q61" s="371"/>
      <c r="R61" s="371"/>
      <c r="S61" s="7"/>
      <c r="T61" s="7"/>
      <c r="U61" s="380"/>
      <c r="V61" s="371"/>
      <c r="W61" s="7"/>
      <c r="X61" s="7"/>
      <c r="Y61" s="7"/>
      <c r="Z61" s="7"/>
      <c r="AA61" s="7"/>
    </row>
    <row r="62" spans="1:27" ht="12.75" x14ac:dyDescent="0.2">
      <c r="A62" s="7"/>
      <c r="B62" s="10" t="b">
        <v>0</v>
      </c>
      <c r="C62" s="378" t="str">
        <f ca="1">敌人!C$182</f>
        <v>冰雪蜥蜴人 VI</v>
      </c>
      <c r="D62" s="371"/>
      <c r="E62" s="10">
        <f>敌人!D$182</f>
        <v>1</v>
      </c>
      <c r="F62" s="10">
        <f>敌人!E$182</f>
        <v>0</v>
      </c>
      <c r="G62" s="10">
        <f>敌人!F$182</f>
        <v>0</v>
      </c>
      <c r="H62" s="10">
        <f>敌人!G$182</f>
        <v>0</v>
      </c>
      <c r="I62" s="10">
        <f>敌人!H$182</f>
        <v>0</v>
      </c>
      <c r="J62" s="10">
        <f>敌人!I$182</f>
        <v>0</v>
      </c>
      <c r="K62" s="378" t="str">
        <f ca="1">敌人!J$182</f>
        <v>ＨＰ恢复的葡萄（大）</v>
      </c>
      <c r="L62" s="371"/>
      <c r="M62" s="371"/>
      <c r="N62" s="7"/>
      <c r="O62" s="8" t="b">
        <v>0</v>
      </c>
      <c r="P62" s="378" t="str">
        <f ca="1">道具!$C$12</f>
        <v>ＨＰ／ＳＰ恢复的果酱</v>
      </c>
      <c r="Q62" s="371"/>
      <c r="R62" s="371"/>
      <c r="S62" s="7"/>
      <c r="T62" s="7"/>
      <c r="U62" s="380"/>
      <c r="V62" s="371"/>
      <c r="W62" s="7"/>
      <c r="X62" s="7"/>
      <c r="Y62" s="7"/>
      <c r="Z62" s="7"/>
      <c r="AA62" s="7"/>
    </row>
    <row r="63" spans="1:27" ht="12.75" x14ac:dyDescent="0.2">
      <c r="A63" s="7"/>
      <c r="B63" s="10" t="b">
        <v>0</v>
      </c>
      <c r="C63" s="378" t="str">
        <f ca="1">敌人!C$174</f>
        <v>冰雪大蜥蜴人 I</v>
      </c>
      <c r="D63" s="371"/>
      <c r="E63" s="10">
        <f>敌人!D$174</f>
        <v>4</v>
      </c>
      <c r="F63" s="10">
        <f>敌人!E$174</f>
        <v>0</v>
      </c>
      <c r="G63" s="10">
        <f>敌人!F$174</f>
        <v>0</v>
      </c>
      <c r="H63" s="10">
        <f>敌人!G$174</f>
        <v>0</v>
      </c>
      <c r="I63" s="10">
        <f>敌人!H$174</f>
        <v>0</v>
      </c>
      <c r="J63" s="10">
        <f>敌人!I$174</f>
        <v>0</v>
      </c>
      <c r="K63" s="378" t="str">
        <f ca="1">敌人!J$174</f>
        <v>ＨＰ恢复的葡萄（大）</v>
      </c>
      <c r="L63" s="371"/>
      <c r="M63" s="371"/>
      <c r="N63" s="7"/>
      <c r="O63" s="8" t="b">
        <v>0</v>
      </c>
      <c r="P63" s="378" t="str">
        <f ca="1">道具!$C$120</f>
        <v>放了银块的皮袋</v>
      </c>
      <c r="Q63" s="371"/>
      <c r="R63" s="371"/>
      <c r="S63" s="7"/>
      <c r="T63" s="7"/>
      <c r="U63" s="380"/>
      <c r="V63" s="371"/>
      <c r="W63" s="7"/>
      <c r="X63" s="7"/>
      <c r="Y63" s="7"/>
      <c r="Z63" s="7"/>
      <c r="AA63" s="7"/>
    </row>
    <row r="64" spans="1:27" ht="12.75" x14ac:dyDescent="0.2">
      <c r="A64" s="7"/>
      <c r="B64" s="10" t="b">
        <v>0</v>
      </c>
      <c r="C64" s="378" t="str">
        <f ca="1">敌人!C$171</f>
        <v>冰元素</v>
      </c>
      <c r="D64" s="371"/>
      <c r="E64" s="10">
        <f>敌人!D$171</f>
        <v>4</v>
      </c>
      <c r="F64" s="10">
        <f>敌人!E$171</f>
        <v>0</v>
      </c>
      <c r="G64" s="10">
        <f>敌人!F$171</f>
        <v>0</v>
      </c>
      <c r="H64" s="10">
        <f>敌人!G$171</f>
        <v>0</v>
      </c>
      <c r="I64" s="10">
        <f>敌人!H$171</f>
        <v>0</v>
      </c>
      <c r="J64" s="10">
        <f>敌人!I$171</f>
        <v>0</v>
      </c>
      <c r="K64" s="378" t="str">
        <f ca="1">敌人!J$171</f>
        <v>冰之精灵石（特大）</v>
      </c>
      <c r="L64" s="371"/>
      <c r="M64" s="371"/>
      <c r="N64" s="7"/>
      <c r="O64" s="8" t="b">
        <v>0</v>
      </c>
      <c r="P64" s="378" t="str">
        <f ca="1">道具!$C$218</f>
        <v>越狱者</v>
      </c>
      <c r="Q64" s="371"/>
      <c r="R64" s="371"/>
      <c r="S64" s="7"/>
      <c r="T64" s="7"/>
      <c r="U64" s="380"/>
      <c r="V64" s="371"/>
      <c r="W64" s="7"/>
      <c r="X64" s="7"/>
      <c r="Y64" s="7"/>
      <c r="Z64" s="7"/>
      <c r="AA64" s="7"/>
    </row>
    <row r="65" spans="1:27" ht="12.75" x14ac:dyDescent="0.2">
      <c r="A65" s="7"/>
      <c r="B65" s="10" t="b">
        <v>0</v>
      </c>
      <c r="C65" s="378" t="str">
        <f ca="1">敌人!C$5</f>
        <v>冰冻的盔甲</v>
      </c>
      <c r="D65" s="371"/>
      <c r="E65" s="10">
        <f>敌人!D$5</f>
        <v>5</v>
      </c>
      <c r="F65" s="10">
        <f>敌人!E$5</f>
        <v>0</v>
      </c>
      <c r="G65" s="10">
        <f>敌人!F$5</f>
        <v>0</v>
      </c>
      <c r="H65" s="10">
        <f>敌人!G$5</f>
        <v>0</v>
      </c>
      <c r="I65" s="10">
        <f>敌人!H$5</f>
        <v>0</v>
      </c>
      <c r="J65" s="10">
        <f>敌人!I$5</f>
        <v>0</v>
      </c>
      <c r="K65" s="378" t="str">
        <f ca="1">敌人!J$5</f>
        <v>ＨＰ／ＳＰ恢复的果酱</v>
      </c>
      <c r="L65" s="371"/>
      <c r="M65" s="371"/>
      <c r="N65" s="7"/>
      <c r="O65" s="382" t="str">
        <f ca="1">语言!A$338&amp;" (2 "&amp;语言!$A$19&amp;")"</f>
        <v>通往白色森林的道路 (2 宝箱)</v>
      </c>
      <c r="P65" s="371"/>
      <c r="Q65" s="371"/>
      <c r="R65" s="371"/>
      <c r="S65" s="7"/>
      <c r="T65" s="7"/>
      <c r="U65" s="380"/>
      <c r="V65" s="371"/>
      <c r="W65" s="7"/>
      <c r="X65" s="7"/>
      <c r="Y65" s="7"/>
      <c r="Z65" s="7"/>
      <c r="AA65" s="7"/>
    </row>
    <row r="66" spans="1:27" ht="12.75" x14ac:dyDescent="0.2">
      <c r="A66" s="7"/>
      <c r="B66" s="10" t="b">
        <v>0</v>
      </c>
      <c r="C66" s="378" t="str">
        <f ca="1">敌人!C$50</f>
        <v>肉食蝙蝠</v>
      </c>
      <c r="D66" s="371"/>
      <c r="E66" s="10">
        <f>敌人!D$50</f>
        <v>1</v>
      </c>
      <c r="F66" s="10">
        <f>敌人!E$50</f>
        <v>0</v>
      </c>
      <c r="G66" s="10">
        <f>敌人!F$50</f>
        <v>0</v>
      </c>
      <c r="H66" s="10">
        <f>敌人!G$50</f>
        <v>0</v>
      </c>
      <c r="I66" s="10">
        <f>敌人!H$50</f>
        <v>0</v>
      </c>
      <c r="J66" s="10">
        <f>敌人!I$50</f>
        <v>0</v>
      </c>
      <c r="K66" s="378" t="str">
        <f ca="1">敌人!J$50</f>
        <v>神秘之花</v>
      </c>
      <c r="L66" s="371"/>
      <c r="M66" s="371"/>
      <c r="N66" s="7"/>
      <c r="O66" s="8" t="b">
        <v>0</v>
      </c>
      <c r="P66" s="378" t="str">
        <f ca="1">道具!$C$16</f>
        <v>复活的橄榄（大）</v>
      </c>
      <c r="Q66" s="371"/>
      <c r="R66" s="371"/>
      <c r="S66" s="7"/>
      <c r="T66" s="7"/>
      <c r="U66" s="380"/>
      <c r="V66" s="371"/>
      <c r="W66" s="7"/>
      <c r="X66" s="7"/>
      <c r="Y66" s="7"/>
      <c r="Z66" s="7"/>
      <c r="AA66" s="7"/>
    </row>
    <row r="67" spans="1:27" ht="12.75" x14ac:dyDescent="0.2">
      <c r="A67" s="7"/>
      <c r="B67" s="428" t="str">
        <f ca="1">语言!$A$16</f>
        <v>小Boss</v>
      </c>
      <c r="C67" s="371"/>
      <c r="D67" s="371"/>
      <c r="E67" s="371"/>
      <c r="F67" s="371"/>
      <c r="G67" s="371"/>
      <c r="H67" s="371"/>
      <c r="I67" s="371"/>
      <c r="J67" s="371"/>
      <c r="K67" s="371"/>
      <c r="L67" s="371"/>
      <c r="M67" s="371"/>
      <c r="N67" s="7"/>
      <c r="O67" s="8" t="b">
        <v>0</v>
      </c>
      <c r="P67" s="378" t="str">
        <f ca="1">道具!$C$8</f>
        <v>ＳＰ全体恢复的李子</v>
      </c>
      <c r="Q67" s="371"/>
      <c r="R67" s="371"/>
      <c r="S67" s="7"/>
      <c r="T67" s="7"/>
      <c r="U67" s="380"/>
      <c r="V67" s="371"/>
      <c r="W67" s="7"/>
      <c r="X67" s="7"/>
      <c r="Y67" s="7"/>
      <c r="Z67" s="7"/>
      <c r="AA67" s="7"/>
    </row>
    <row r="68" spans="1:27" ht="12.75" x14ac:dyDescent="0.2">
      <c r="A68" s="7"/>
      <c r="B68" s="10" t="b">
        <v>0</v>
      </c>
      <c r="C68" s="378" t="str">
        <f ca="1">敌人!C$378</f>
        <v>贝西摩斯</v>
      </c>
      <c r="D68" s="371"/>
      <c r="E68" s="10">
        <f>敌人!D$378</f>
        <v>10</v>
      </c>
      <c r="F68" s="10">
        <f>敌人!E$378</f>
        <v>0</v>
      </c>
      <c r="G68" s="10">
        <f>敌人!F$378</f>
        <v>0</v>
      </c>
      <c r="H68" s="10">
        <f>敌人!G$378</f>
        <v>0</v>
      </c>
      <c r="I68" s="10">
        <f>敌人!H$378</f>
        <v>0</v>
      </c>
      <c r="J68" s="10">
        <f>敌人!I$378</f>
        <v>0</v>
      </c>
      <c r="K68" s="378" t="str">
        <f ca="1">敌人!J$378</f>
        <v>ＨＰ／ＳＰ／ＢＰ恢复的果酱</v>
      </c>
      <c r="L68" s="371"/>
      <c r="M68" s="371"/>
      <c r="N68" s="7"/>
      <c r="O68" s="7"/>
      <c r="P68" s="405"/>
      <c r="Q68" s="371"/>
      <c r="R68" s="371"/>
      <c r="S68" s="7"/>
      <c r="T68" s="7"/>
      <c r="U68" s="380"/>
      <c r="V68" s="371"/>
      <c r="W68" s="7"/>
      <c r="X68" s="7"/>
      <c r="Y68" s="7"/>
      <c r="Z68" s="7"/>
      <c r="AA68" s="7"/>
    </row>
    <row r="69" spans="1:27" ht="12.75" x14ac:dyDescent="0.2">
      <c r="A69" s="7"/>
      <c r="B69" s="406" t="str">
        <f ca="1">语言!A$338&amp;" ("&amp;语言!$A$12&amp;" 37)"</f>
        <v>通往白色森林的道路 (危险度 37)</v>
      </c>
      <c r="C69" s="371"/>
      <c r="D69" s="371"/>
      <c r="E69" s="371"/>
      <c r="F69" s="371"/>
      <c r="G69" s="371"/>
      <c r="H69" s="371"/>
      <c r="I69" s="371"/>
      <c r="J69" s="371"/>
      <c r="K69" s="371"/>
      <c r="L69" s="371"/>
      <c r="M69" s="371"/>
      <c r="N69" s="7"/>
      <c r="O69" s="7"/>
      <c r="P69" s="380"/>
      <c r="Q69" s="371"/>
      <c r="R69" s="371"/>
      <c r="S69" s="7"/>
      <c r="T69" s="7"/>
      <c r="U69" s="380"/>
      <c r="V69" s="371"/>
      <c r="W69" s="7"/>
      <c r="X69" s="7"/>
      <c r="Y69" s="7"/>
      <c r="Z69" s="7"/>
      <c r="AA69" s="7"/>
    </row>
    <row r="70" spans="1:27" ht="12.75" x14ac:dyDescent="0.2">
      <c r="A70" s="7"/>
      <c r="B70" s="10" t="b">
        <v>0</v>
      </c>
      <c r="C70" s="378" t="str">
        <f ca="1">敌人!C$321</f>
        <v>白豹</v>
      </c>
      <c r="D70" s="371"/>
      <c r="E70" s="10">
        <f>敌人!D$321</f>
        <v>2</v>
      </c>
      <c r="F70" s="10">
        <f>敌人!E$321</f>
        <v>0</v>
      </c>
      <c r="G70" s="10">
        <f>敌人!F$321</f>
        <v>0</v>
      </c>
      <c r="H70" s="10">
        <f>敌人!G$321</f>
        <v>0</v>
      </c>
      <c r="I70" s="10">
        <f>敌人!H$321</f>
        <v>0</v>
      </c>
      <c r="J70" s="10">
        <f>敌人!I$321</f>
        <v>0</v>
      </c>
      <c r="K70" s="378" t="str">
        <f ca="1">敌人!J$321</f>
        <v>ＳＰ恢复的李子（大）</v>
      </c>
      <c r="L70" s="371"/>
      <c r="M70" s="371"/>
      <c r="N70" s="7"/>
      <c r="O70" s="7"/>
      <c r="P70" s="380"/>
      <c r="Q70" s="371"/>
      <c r="R70" s="371"/>
      <c r="S70" s="7"/>
      <c r="T70" s="7"/>
      <c r="U70" s="380"/>
      <c r="V70" s="371"/>
      <c r="W70" s="7"/>
      <c r="X70" s="7"/>
      <c r="Y70" s="7"/>
      <c r="Z70" s="7"/>
      <c r="AA70" s="7"/>
    </row>
    <row r="71" spans="1:27" ht="12.75" x14ac:dyDescent="0.2">
      <c r="A71" s="7"/>
      <c r="B71" s="10" t="b">
        <v>0</v>
      </c>
      <c r="C71" s="378" t="str">
        <f ca="1">敌人!C$163</f>
        <v>巨大熊</v>
      </c>
      <c r="D71" s="371"/>
      <c r="E71" s="10">
        <f>敌人!D$163</f>
        <v>4</v>
      </c>
      <c r="F71" s="10">
        <f>敌人!E$163</f>
        <v>0</v>
      </c>
      <c r="G71" s="10">
        <f>敌人!F$163</f>
        <v>0</v>
      </c>
      <c r="H71" s="10">
        <f>敌人!G$163</f>
        <v>0</v>
      </c>
      <c r="I71" s="10">
        <f>敌人!H$163</f>
        <v>0</v>
      </c>
      <c r="J71" s="10">
        <f>敌人!I$163</f>
        <v>0</v>
      </c>
      <c r="K71" s="378" t="str">
        <f ca="1">敌人!J$163</f>
        <v>橄榄花</v>
      </c>
      <c r="L71" s="371"/>
      <c r="M71" s="371"/>
      <c r="N71" s="7"/>
      <c r="O71" s="7"/>
      <c r="P71" s="405"/>
      <c r="Q71" s="371"/>
      <c r="R71" s="371"/>
      <c r="S71" s="7"/>
      <c r="T71" s="7"/>
      <c r="U71" s="380"/>
      <c r="V71" s="371"/>
      <c r="W71" s="7"/>
      <c r="X71" s="7"/>
      <c r="Y71" s="7"/>
      <c r="Z71" s="7"/>
      <c r="AA71" s="7"/>
    </row>
    <row r="72" spans="1:27" ht="12.75" x14ac:dyDescent="0.2">
      <c r="A72" s="7"/>
      <c r="B72" s="10" t="b">
        <v>0</v>
      </c>
      <c r="C72" s="378" t="str">
        <f ca="1">敌人!C$213</f>
        <v>冰雪大尾土拨鼠</v>
      </c>
      <c r="D72" s="371"/>
      <c r="E72" s="10">
        <f>敌人!D$213</f>
        <v>2</v>
      </c>
      <c r="F72" s="10">
        <f>敌人!E$213</f>
        <v>0</v>
      </c>
      <c r="G72" s="10">
        <f>敌人!F$213</f>
        <v>0</v>
      </c>
      <c r="H72" s="10">
        <f>敌人!G$213</f>
        <v>0</v>
      </c>
      <c r="I72" s="10">
        <f>敌人!H$213</f>
        <v>0</v>
      </c>
      <c r="J72" s="10">
        <f>敌人!I$213</f>
        <v>0</v>
      </c>
      <c r="K72" s="378" t="str">
        <f ca="1">敌人!J$213</f>
        <v>李子树液</v>
      </c>
      <c r="L72" s="371"/>
      <c r="M72" s="371"/>
      <c r="N72" s="7"/>
      <c r="O72" s="7"/>
      <c r="P72" s="405"/>
      <c r="Q72" s="371"/>
      <c r="R72" s="371"/>
      <c r="S72" s="7"/>
      <c r="T72" s="7"/>
      <c r="U72" s="380"/>
      <c r="V72" s="371"/>
      <c r="W72" s="7"/>
      <c r="X72" s="7"/>
      <c r="Y72" s="7"/>
      <c r="Z72" s="7"/>
      <c r="AA72" s="7"/>
    </row>
    <row r="73" spans="1:27" ht="12.75" x14ac:dyDescent="0.2">
      <c r="A73" s="7"/>
      <c r="B73" s="10" t="b">
        <v>0</v>
      </c>
      <c r="C73" s="378" t="str">
        <f ca="1">敌人!C$171</f>
        <v>冰元素</v>
      </c>
      <c r="D73" s="371"/>
      <c r="E73" s="10">
        <f>敌人!D$171</f>
        <v>4</v>
      </c>
      <c r="F73" s="10">
        <f>敌人!E$171</f>
        <v>0</v>
      </c>
      <c r="G73" s="10">
        <f>敌人!F$171</f>
        <v>0</v>
      </c>
      <c r="H73" s="10">
        <f>敌人!G$171</f>
        <v>0</v>
      </c>
      <c r="I73" s="10">
        <f>敌人!H$171</f>
        <v>0</v>
      </c>
      <c r="J73" s="10">
        <f>敌人!I$171</f>
        <v>0</v>
      </c>
      <c r="K73" s="378" t="str">
        <f ca="1">敌人!J$171</f>
        <v>冰之精灵石（特大）</v>
      </c>
      <c r="L73" s="371"/>
      <c r="M73" s="371"/>
      <c r="N73" s="7"/>
      <c r="O73" s="7"/>
      <c r="P73" s="405"/>
      <c r="Q73" s="371"/>
      <c r="R73" s="371"/>
      <c r="S73" s="7"/>
      <c r="T73" s="7"/>
      <c r="U73" s="380"/>
      <c r="V73" s="371"/>
      <c r="W73" s="7"/>
      <c r="X73" s="7"/>
      <c r="Y73" s="7"/>
      <c r="Z73" s="7"/>
      <c r="AA73" s="7"/>
    </row>
    <row r="74" spans="1:27" ht="12.75" x14ac:dyDescent="0.2">
      <c r="A74" s="7"/>
      <c r="B74" s="7"/>
      <c r="C74" s="380"/>
      <c r="D74" s="371"/>
      <c r="E74" s="7"/>
      <c r="F74" s="7"/>
      <c r="G74" s="7"/>
      <c r="H74" s="7"/>
      <c r="I74" s="7"/>
      <c r="J74" s="7"/>
      <c r="K74" s="380"/>
      <c r="L74" s="371"/>
      <c r="M74" s="371"/>
      <c r="N74" s="7"/>
      <c r="O74" s="7"/>
      <c r="P74" s="380"/>
      <c r="Q74" s="371"/>
      <c r="R74" s="371"/>
      <c r="S74" s="7"/>
      <c r="T74" s="7"/>
      <c r="U74" s="380"/>
      <c r="V74" s="371"/>
      <c r="W74" s="7"/>
      <c r="X74" s="7"/>
      <c r="Y74" s="7"/>
      <c r="Z74" s="7"/>
      <c r="AA74" s="7"/>
    </row>
    <row r="75" spans="1:27" ht="12.75" x14ac:dyDescent="0.2">
      <c r="A75" s="7"/>
      <c r="B75" s="385" t="str">
        <f ca="1">语言!$A$39&amp;" "&amp;语言!$A$14&amp;" 2"</f>
        <v>普里姆萝洁 章节 2</v>
      </c>
      <c r="C75" s="371"/>
      <c r="D75" s="371"/>
      <c r="E75" s="371"/>
      <c r="F75" s="371"/>
      <c r="G75" s="371"/>
      <c r="H75" s="371"/>
      <c r="I75" s="371"/>
      <c r="J75" s="371"/>
      <c r="K75" s="371"/>
      <c r="L75" s="371"/>
      <c r="M75" s="371"/>
      <c r="N75" s="7"/>
      <c r="O75" s="385" t="str">
        <f ca="1">语言!$A$39&amp;" "&amp;语言!$A$14&amp;" 2"</f>
        <v>普里姆萝洁 章节 2</v>
      </c>
      <c r="P75" s="371"/>
      <c r="Q75" s="371"/>
      <c r="R75" s="371"/>
      <c r="S75" s="7"/>
      <c r="T75" s="7"/>
      <c r="U75" s="380"/>
      <c r="V75" s="371"/>
      <c r="W75" s="7"/>
      <c r="X75" s="7"/>
      <c r="Y75" s="7"/>
      <c r="Z75" s="7"/>
      <c r="AA75" s="7"/>
    </row>
    <row r="76" spans="1:27" ht="12.75" x14ac:dyDescent="0.2">
      <c r="A76" s="7"/>
      <c r="B76" s="406" t="str">
        <f ca="1">语言!A$336&amp;" ("&amp;语言!$A$12&amp;" 20)"</f>
        <v>通往黑曜馆的道路 (危险度 20)</v>
      </c>
      <c r="C76" s="371"/>
      <c r="D76" s="371"/>
      <c r="E76" s="371"/>
      <c r="F76" s="371"/>
      <c r="G76" s="371"/>
      <c r="H76" s="371"/>
      <c r="I76" s="371"/>
      <c r="J76" s="371"/>
      <c r="K76" s="371"/>
      <c r="L76" s="371"/>
      <c r="M76" s="371"/>
      <c r="N76" s="7"/>
      <c r="O76" s="382" t="str">
        <f ca="1">语言!A$336&amp;" (3 "&amp;语言!$A$19&amp;")"</f>
        <v>通往黑曜馆的道路 (3 宝箱)</v>
      </c>
      <c r="P76" s="371"/>
      <c r="Q76" s="371"/>
      <c r="R76" s="371"/>
      <c r="S76" s="7"/>
      <c r="T76" s="7"/>
      <c r="U76" s="380"/>
      <c r="V76" s="371"/>
      <c r="W76" s="7"/>
      <c r="X76" s="7"/>
      <c r="Y76" s="7"/>
      <c r="Z76" s="7"/>
      <c r="AA76" s="7"/>
    </row>
    <row r="77" spans="1:27" ht="12.75" x14ac:dyDescent="0.2">
      <c r="A77" s="7"/>
      <c r="B77" s="10" t="b">
        <v>0</v>
      </c>
      <c r="C77" s="378" t="str">
        <f ca="1">敌人!C$130</f>
        <v>冰霜熊</v>
      </c>
      <c r="D77" s="371"/>
      <c r="E77" s="10">
        <f>敌人!D$130</f>
        <v>3</v>
      </c>
      <c r="F77" s="10">
        <f>敌人!E$130</f>
        <v>0</v>
      </c>
      <c r="G77" s="10">
        <f>敌人!F$130</f>
        <v>0</v>
      </c>
      <c r="H77" s="10">
        <f>敌人!G$130</f>
        <v>0</v>
      </c>
      <c r="I77" s="10">
        <f>敌人!H$130</f>
        <v>0</v>
      </c>
      <c r="J77" s="10">
        <f>敌人!I$130</f>
        <v>0</v>
      </c>
      <c r="K77" s="378" t="str">
        <f ca="1">敌人!J$130</f>
        <v>橄榄花</v>
      </c>
      <c r="L77" s="371"/>
      <c r="M77" s="371"/>
      <c r="N77" s="7"/>
      <c r="O77" s="8" t="b">
        <v>0</v>
      </c>
      <c r="P77" s="378" t="str">
        <f ca="1">道具!$C$24</f>
        <v>昏迷治疗药草</v>
      </c>
      <c r="Q77" s="371"/>
      <c r="R77" s="371"/>
      <c r="S77" s="7"/>
      <c r="T77" s="7"/>
      <c r="U77" s="380"/>
      <c r="V77" s="371"/>
      <c r="W77" s="7"/>
      <c r="X77" s="7"/>
      <c r="Y77" s="7"/>
      <c r="Z77" s="7"/>
      <c r="AA77" s="7"/>
    </row>
    <row r="78" spans="1:27" ht="12.75" x14ac:dyDescent="0.2">
      <c r="A78" s="7"/>
      <c r="B78" s="10" t="b">
        <v>0</v>
      </c>
      <c r="C78" s="378" t="str">
        <f ca="1">敌人!C$213</f>
        <v>冰雪大尾土拨鼠</v>
      </c>
      <c r="D78" s="371"/>
      <c r="E78" s="10">
        <f>敌人!D$213</f>
        <v>2</v>
      </c>
      <c r="F78" s="10">
        <f>敌人!E$213</f>
        <v>0</v>
      </c>
      <c r="G78" s="10">
        <f>敌人!F$213</f>
        <v>0</v>
      </c>
      <c r="H78" s="10">
        <f>敌人!G$213</f>
        <v>0</v>
      </c>
      <c r="I78" s="10">
        <f>敌人!H$213</f>
        <v>0</v>
      </c>
      <c r="J78" s="10">
        <f>敌人!I$213</f>
        <v>0</v>
      </c>
      <c r="K78" s="378" t="str">
        <f ca="1">敌人!J$213</f>
        <v>李子树液</v>
      </c>
      <c r="L78" s="371"/>
      <c r="M78" s="371"/>
      <c r="N78" s="7"/>
      <c r="O78" s="8" t="b">
        <v>0</v>
      </c>
      <c r="P78" s="378" t="str">
        <f ca="1">道具!$C$517&amp;" ("&amp;语言!$A$20&amp;")"</f>
        <v>暗之避邪符 (上锁宝箱)</v>
      </c>
      <c r="Q78" s="371"/>
      <c r="R78" s="371"/>
      <c r="S78" s="7"/>
      <c r="T78" s="7"/>
      <c r="U78" s="380"/>
      <c r="V78" s="371"/>
      <c r="W78" s="7"/>
      <c r="X78" s="7"/>
      <c r="Y78" s="7"/>
      <c r="Z78" s="7"/>
      <c r="AA78" s="7"/>
    </row>
    <row r="79" spans="1:27" ht="12.75" x14ac:dyDescent="0.2">
      <c r="A79" s="7"/>
      <c r="B79" s="10" t="b">
        <v>0</v>
      </c>
      <c r="C79" s="378" t="str">
        <f ca="1">敌人!C$356</f>
        <v>白咆哮者</v>
      </c>
      <c r="D79" s="371"/>
      <c r="E79" s="10">
        <f>敌人!D$356</f>
        <v>1</v>
      </c>
      <c r="F79" s="10">
        <f>敌人!E$356</f>
        <v>0</v>
      </c>
      <c r="G79" s="10">
        <f>敌人!F$356</f>
        <v>0</v>
      </c>
      <c r="H79" s="10">
        <f>敌人!G$356</f>
        <v>0</v>
      </c>
      <c r="I79" s="10">
        <f>敌人!H$356</f>
        <v>0</v>
      </c>
      <c r="J79" s="10">
        <f>敌人!I$356</f>
        <v>0</v>
      </c>
      <c r="K79" s="378" t="str">
        <f ca="1">敌人!J$356</f>
        <v>石榴树液</v>
      </c>
      <c r="L79" s="371"/>
      <c r="M79" s="371"/>
      <c r="N79" s="7"/>
      <c r="O79" s="8" t="b">
        <v>0</v>
      </c>
      <c r="P79" s="378" t="str">
        <f ca="1">道具!$C$34</f>
        <v>冰之精灵石（大）</v>
      </c>
      <c r="Q79" s="371"/>
      <c r="R79" s="371"/>
      <c r="S79" s="7"/>
      <c r="T79" s="7"/>
      <c r="U79" s="380"/>
      <c r="V79" s="371"/>
      <c r="W79" s="7"/>
      <c r="X79" s="7"/>
      <c r="Y79" s="7"/>
      <c r="Z79" s="7"/>
      <c r="AA79" s="7"/>
    </row>
    <row r="80" spans="1:27" ht="12.75" x14ac:dyDescent="0.2">
      <c r="A80" s="7"/>
      <c r="B80" s="406" t="str">
        <f ca="1">语言!A$337&amp;" ("&amp;语言!$A$12&amp;" 21)"</f>
        <v>通往黑曜馆的密道 (危险度 21)</v>
      </c>
      <c r="C80" s="371"/>
      <c r="D80" s="371"/>
      <c r="E80" s="371"/>
      <c r="F80" s="371"/>
      <c r="G80" s="371"/>
      <c r="H80" s="371"/>
      <c r="I80" s="371"/>
      <c r="J80" s="371"/>
      <c r="K80" s="371"/>
      <c r="L80" s="371"/>
      <c r="M80" s="371"/>
      <c r="N80" s="7"/>
      <c r="O80" s="382" t="str">
        <f ca="1">语言!A$337&amp;" (8 "&amp;语言!$A$19&amp;")"</f>
        <v>通往黑曜馆的密道 (8 宝箱)</v>
      </c>
      <c r="P80" s="371"/>
      <c r="Q80" s="371"/>
      <c r="R80" s="371"/>
      <c r="S80" s="7"/>
      <c r="T80" s="7"/>
      <c r="U80" s="380"/>
      <c r="V80" s="371"/>
      <c r="W80" s="7"/>
      <c r="X80" s="7"/>
      <c r="Y80" s="7"/>
      <c r="Z80" s="7"/>
      <c r="AA80" s="7"/>
    </row>
    <row r="81" spans="1:27" ht="12.75" x14ac:dyDescent="0.2">
      <c r="A81" s="7"/>
      <c r="B81" s="10" t="b">
        <v>0</v>
      </c>
      <c r="C81" s="378" t="str">
        <f ca="1">敌人!C$366</f>
        <v>魔导机（风）</v>
      </c>
      <c r="D81" s="371"/>
      <c r="E81" s="10">
        <f>敌人!D$366</f>
        <v>1</v>
      </c>
      <c r="F81" s="10">
        <f>敌人!E$366</f>
        <v>0</v>
      </c>
      <c r="G81" s="10">
        <f>敌人!F$366</f>
        <v>0</v>
      </c>
      <c r="H81" s="10">
        <f>敌人!G$366</f>
        <v>0</v>
      </c>
      <c r="I81" s="10">
        <f>敌人!H$366</f>
        <v>0</v>
      </c>
      <c r="J81" s="10">
        <f>敌人!I$366</f>
        <v>0</v>
      </c>
      <c r="K81" s="378" t="str">
        <f ca="1">敌人!J$366</f>
        <v>风之精灵石</v>
      </c>
      <c r="L81" s="371"/>
      <c r="M81" s="371"/>
      <c r="N81" s="7"/>
      <c r="O81" s="8" t="b">
        <v>0</v>
      </c>
      <c r="P81" s="378" t="str">
        <f ca="1">道具!$C$24</f>
        <v>昏迷治疗药草</v>
      </c>
      <c r="Q81" s="371"/>
      <c r="R81" s="371"/>
      <c r="S81" s="7"/>
      <c r="T81" s="7"/>
      <c r="U81" s="380"/>
      <c r="V81" s="371"/>
      <c r="W81" s="7"/>
      <c r="X81" s="7"/>
      <c r="Y81" s="7"/>
      <c r="Z81" s="7"/>
      <c r="AA81" s="7"/>
    </row>
    <row r="82" spans="1:27" ht="12.75" x14ac:dyDescent="0.2">
      <c r="A82" s="7"/>
      <c r="B82" s="10" t="b">
        <v>0</v>
      </c>
      <c r="C82" s="378" t="str">
        <f ca="1">敌人!C$361</f>
        <v>魔导机兵（风）</v>
      </c>
      <c r="D82" s="371"/>
      <c r="E82" s="10">
        <f>敌人!D$361</f>
        <v>3</v>
      </c>
      <c r="F82" s="10">
        <f>敌人!E$361</f>
        <v>0</v>
      </c>
      <c r="G82" s="10">
        <f>敌人!F$361</f>
        <v>0</v>
      </c>
      <c r="H82" s="10">
        <f>敌人!G$361</f>
        <v>0</v>
      </c>
      <c r="I82" s="10">
        <f>敌人!H$361</f>
        <v>0</v>
      </c>
      <c r="J82" s="10">
        <f>敌人!I$361</f>
        <v>0</v>
      </c>
      <c r="K82" s="378" t="str">
        <f ca="1">敌人!J$361</f>
        <v>风之精灵石</v>
      </c>
      <c r="L82" s="371"/>
      <c r="M82" s="371"/>
      <c r="N82" s="7"/>
      <c r="O82" s="8" t="b">
        <v>0</v>
      </c>
      <c r="P82" s="378" t="str">
        <f ca="1">道具!$C$47</f>
        <v>暗之精灵石（大）</v>
      </c>
      <c r="Q82" s="371"/>
      <c r="R82" s="371"/>
      <c r="S82" s="7"/>
      <c r="T82" s="7"/>
      <c r="U82" s="380"/>
      <c r="V82" s="371"/>
      <c r="W82" s="7"/>
      <c r="X82" s="7"/>
      <c r="Y82" s="7"/>
      <c r="Z82" s="7"/>
      <c r="AA82" s="7"/>
    </row>
    <row r="83" spans="1:27" ht="12.75" x14ac:dyDescent="0.2">
      <c r="A83" s="7"/>
      <c r="B83" s="10" t="b">
        <v>0</v>
      </c>
      <c r="C83" s="378" t="str">
        <f ca="1">敌人!C$358</f>
        <v>魔导飞器（风）</v>
      </c>
      <c r="D83" s="371"/>
      <c r="E83" s="10">
        <f>敌人!D$358</f>
        <v>2</v>
      </c>
      <c r="F83" s="10">
        <f>敌人!E$358</f>
        <v>0</v>
      </c>
      <c r="G83" s="10">
        <f>敌人!F$358</f>
        <v>0</v>
      </c>
      <c r="H83" s="10">
        <f>敌人!G$358</f>
        <v>0</v>
      </c>
      <c r="I83" s="10">
        <f>敌人!H$358</f>
        <v>0</v>
      </c>
      <c r="J83" s="10">
        <f>敌人!I$358</f>
        <v>0</v>
      </c>
      <c r="K83" s="378" t="str">
        <f ca="1">敌人!J$358</f>
        <v>风之精灵石</v>
      </c>
      <c r="L83" s="371"/>
      <c r="M83" s="371"/>
      <c r="N83" s="7"/>
      <c r="O83" s="8" t="b">
        <v>0</v>
      </c>
      <c r="P83" s="378" t="str">
        <f ca="1">道具!$C$7</f>
        <v>ＳＰ恢复的李子（大）</v>
      </c>
      <c r="Q83" s="371"/>
      <c r="R83" s="371"/>
      <c r="S83" s="7"/>
      <c r="T83" s="7"/>
      <c r="U83" s="380"/>
      <c r="V83" s="371"/>
      <c r="W83" s="7"/>
      <c r="X83" s="7"/>
      <c r="Y83" s="7"/>
      <c r="Z83" s="7"/>
      <c r="AA83" s="7"/>
    </row>
    <row r="84" spans="1:27" ht="12.75" x14ac:dyDescent="0.2">
      <c r="A84" s="7"/>
      <c r="B84" s="10" t="b">
        <v>0</v>
      </c>
      <c r="C84" s="378" t="str">
        <f ca="1">敌人!C$204</f>
        <v>魔导机（光）</v>
      </c>
      <c r="D84" s="371"/>
      <c r="E84" s="10">
        <f>敌人!D$204</f>
        <v>1</v>
      </c>
      <c r="F84" s="10">
        <f>敌人!E$204</f>
        <v>0</v>
      </c>
      <c r="G84" s="10">
        <f>敌人!F$204</f>
        <v>0</v>
      </c>
      <c r="H84" s="10">
        <f>敌人!G$204</f>
        <v>0</v>
      </c>
      <c r="I84" s="10">
        <f>敌人!H$204</f>
        <v>0</v>
      </c>
      <c r="J84" s="10">
        <f>敌人!I$204</f>
        <v>0</v>
      </c>
      <c r="K84" s="378" t="str">
        <f ca="1">敌人!J$204</f>
        <v>光之精灵石</v>
      </c>
      <c r="L84" s="371"/>
      <c r="M84" s="371"/>
      <c r="N84" s="7"/>
      <c r="O84" s="8" t="b">
        <v>0</v>
      </c>
      <c r="P84" s="378" t="s">
        <v>16</v>
      </c>
      <c r="Q84" s="371"/>
      <c r="R84" s="371"/>
      <c r="S84" s="7"/>
      <c r="T84" s="7"/>
      <c r="U84" s="380"/>
      <c r="V84" s="371"/>
      <c r="W84" s="7"/>
      <c r="X84" s="7"/>
      <c r="Y84" s="7"/>
      <c r="Z84" s="7"/>
      <c r="AA84" s="7"/>
    </row>
    <row r="85" spans="1:27" ht="12.75" x14ac:dyDescent="0.2">
      <c r="A85" s="7"/>
      <c r="B85" s="10" t="b">
        <v>0</v>
      </c>
      <c r="C85" s="378" t="str">
        <f ca="1">敌人!C$199</f>
        <v>魔导机兵（光）</v>
      </c>
      <c r="D85" s="371"/>
      <c r="E85" s="10">
        <f>敌人!D$199</f>
        <v>2</v>
      </c>
      <c r="F85" s="10">
        <f>敌人!E$199</f>
        <v>0</v>
      </c>
      <c r="G85" s="10">
        <f>敌人!F$199</f>
        <v>0</v>
      </c>
      <c r="H85" s="10">
        <f>敌人!G$199</f>
        <v>0</v>
      </c>
      <c r="I85" s="10">
        <f>敌人!H$199</f>
        <v>0</v>
      </c>
      <c r="J85" s="10">
        <f>敌人!I$199</f>
        <v>0</v>
      </c>
      <c r="K85" s="378" t="str">
        <f ca="1">敌人!J$199</f>
        <v>光之精灵石</v>
      </c>
      <c r="L85" s="371"/>
      <c r="M85" s="371"/>
      <c r="N85" s="7"/>
      <c r="O85" s="8" t="b">
        <v>0</v>
      </c>
      <c r="P85" s="378" t="str">
        <f ca="1">道具!$C$10</f>
        <v>ＢＰ恢复的石榴（大）</v>
      </c>
      <c r="Q85" s="371"/>
      <c r="R85" s="371"/>
      <c r="S85" s="7"/>
      <c r="T85" s="7"/>
      <c r="U85" s="380"/>
      <c r="V85" s="371"/>
      <c r="W85" s="7"/>
      <c r="X85" s="7"/>
      <c r="Y85" s="7"/>
      <c r="Z85" s="7"/>
      <c r="AA85" s="7"/>
    </row>
    <row r="86" spans="1:27" ht="12.75" x14ac:dyDescent="0.2">
      <c r="A86" s="7"/>
      <c r="B86" s="10" t="b">
        <v>0</v>
      </c>
      <c r="C86" s="378" t="str">
        <f ca="1">敌人!C$196</f>
        <v>魔导飞器（光）</v>
      </c>
      <c r="D86" s="371"/>
      <c r="E86" s="10">
        <f>敌人!D$196</f>
        <v>2</v>
      </c>
      <c r="F86" s="10">
        <f>敌人!E$196</f>
        <v>0</v>
      </c>
      <c r="G86" s="10">
        <f>敌人!F$196</f>
        <v>0</v>
      </c>
      <c r="H86" s="10">
        <f>敌人!G$196</f>
        <v>0</v>
      </c>
      <c r="I86" s="10">
        <f>敌人!H$196</f>
        <v>0</v>
      </c>
      <c r="J86" s="10">
        <f>敌人!I$196</f>
        <v>0</v>
      </c>
      <c r="K86" s="378" t="str">
        <f ca="1">敌人!J$196</f>
        <v>光之精灵石</v>
      </c>
      <c r="L86" s="371"/>
      <c r="M86" s="371"/>
      <c r="N86" s="7"/>
      <c r="O86" s="8" t="b">
        <v>0</v>
      </c>
      <c r="P86" s="378" t="str">
        <f ca="1">道具!$C$435&amp;" ("&amp;语言!$A$20&amp;")"</f>
        <v>犄角背心 (上锁宝箱)</v>
      </c>
      <c r="Q86" s="371"/>
      <c r="R86" s="371"/>
      <c r="S86" s="7"/>
      <c r="T86" s="7"/>
      <c r="U86" s="380"/>
      <c r="V86" s="371"/>
      <c r="W86" s="7"/>
      <c r="X86" s="7"/>
      <c r="Y86" s="7"/>
      <c r="Z86" s="7"/>
      <c r="AA86" s="7"/>
    </row>
    <row r="87" spans="1:27" ht="12.75" x14ac:dyDescent="0.2">
      <c r="A87" s="7"/>
      <c r="B87" s="10" t="b">
        <v>0</v>
      </c>
      <c r="C87" s="378" t="str">
        <f ca="1">敌人!C$13</f>
        <v>高地乌鸦</v>
      </c>
      <c r="D87" s="371"/>
      <c r="E87" s="10">
        <f>敌人!D$13</f>
        <v>1</v>
      </c>
      <c r="F87" s="10">
        <f>敌人!E$13</f>
        <v>0</v>
      </c>
      <c r="G87" s="10">
        <f>敌人!F$13</f>
        <v>0</v>
      </c>
      <c r="H87" s="10">
        <f>敌人!G$13</f>
        <v>0</v>
      </c>
      <c r="I87" s="10">
        <f>敌人!H$13</f>
        <v>0</v>
      </c>
      <c r="J87" s="10">
        <f>敌人!I$13</f>
        <v>0</v>
      </c>
      <c r="K87" s="378" t="str">
        <f ca="1">敌人!J$13</f>
        <v>混乱多之叶</v>
      </c>
      <c r="L87" s="371"/>
      <c r="M87" s="371"/>
      <c r="N87" s="7"/>
      <c r="O87" s="8" t="b">
        <v>0</v>
      </c>
      <c r="P87" s="378" t="str">
        <f ca="1">道具!$C$5</f>
        <v>ＨＰ全体恢复的葡萄</v>
      </c>
      <c r="Q87" s="371"/>
      <c r="R87" s="371"/>
      <c r="S87" s="7"/>
      <c r="T87" s="7"/>
      <c r="U87" s="380"/>
      <c r="V87" s="371"/>
      <c r="W87" s="7"/>
      <c r="X87" s="7"/>
      <c r="Y87" s="7"/>
      <c r="Z87" s="7"/>
      <c r="AA87" s="7"/>
    </row>
    <row r="88" spans="1:27" ht="12.75" x14ac:dyDescent="0.2">
      <c r="A88" s="7"/>
      <c r="B88" s="428" t="str">
        <f ca="1">语言!$A$15</f>
        <v>Boss</v>
      </c>
      <c r="C88" s="371"/>
      <c r="D88" s="371"/>
      <c r="E88" s="371"/>
      <c r="F88" s="371"/>
      <c r="G88" s="371"/>
      <c r="H88" s="371"/>
      <c r="I88" s="371"/>
      <c r="J88" s="371"/>
      <c r="K88" s="371"/>
      <c r="L88" s="371"/>
      <c r="M88" s="371"/>
      <c r="N88" s="7"/>
      <c r="O88" s="8" t="b">
        <v>0</v>
      </c>
      <c r="P88" s="378" t="str">
        <f ca="1">道具!$C$520</f>
        <v>睡眠耐性石</v>
      </c>
      <c r="Q88" s="371"/>
      <c r="R88" s="371"/>
      <c r="S88" s="7"/>
      <c r="T88" s="7"/>
      <c r="U88" s="380"/>
      <c r="V88" s="371"/>
      <c r="W88" s="7"/>
      <c r="X88" s="7"/>
      <c r="Y88" s="7"/>
      <c r="Z88" s="7"/>
      <c r="AA88" s="7"/>
    </row>
    <row r="89" spans="1:27" ht="12.75" x14ac:dyDescent="0.2">
      <c r="A89" s="7"/>
      <c r="B89" s="10" t="b">
        <v>0</v>
      </c>
      <c r="C89" s="378" t="str">
        <f ca="1">敌人!C$420</f>
        <v>左腕之男鲁弗斯</v>
      </c>
      <c r="D89" s="371"/>
      <c r="E89" s="10">
        <f>敌人!D$420</f>
        <v>7</v>
      </c>
      <c r="F89" s="10">
        <f>敌人!E$420</f>
        <v>0</v>
      </c>
      <c r="G89" s="10">
        <f>敌人!F$420</f>
        <v>0</v>
      </c>
      <c r="H89" s="10">
        <f>敌人!G$420</f>
        <v>0</v>
      </c>
      <c r="I89" s="10">
        <f>敌人!H$420</f>
        <v>0</v>
      </c>
      <c r="J89" s="10">
        <f>敌人!I$420</f>
        <v>0</v>
      </c>
      <c r="K89" s="378" t="str">
        <f ca="1">敌人!J$420</f>
        <v>ＨＰ／ＳＰ恢复的果酱</v>
      </c>
      <c r="L89" s="371"/>
      <c r="M89" s="371"/>
      <c r="N89" s="7"/>
      <c r="O89" s="7"/>
      <c r="P89" s="405"/>
      <c r="Q89" s="371"/>
      <c r="R89" s="371"/>
      <c r="S89" s="7"/>
      <c r="T89" s="7"/>
      <c r="U89" s="380"/>
      <c r="V89" s="371"/>
      <c r="W89" s="7"/>
      <c r="X89" s="7"/>
      <c r="Y89" s="7"/>
      <c r="Z89" s="7"/>
      <c r="AA89" s="7"/>
    </row>
    <row r="90" spans="1:27" ht="12.75" x14ac:dyDescent="0.2">
      <c r="A90" s="7"/>
      <c r="B90" s="10" t="b">
        <v>0</v>
      </c>
      <c r="C90" s="378" t="str">
        <f ca="1">敌人!C$421</f>
        <v>黑曜会成员</v>
      </c>
      <c r="D90" s="371"/>
      <c r="E90" s="10">
        <f>敌人!D$421</f>
        <v>3</v>
      </c>
      <c r="F90" s="10">
        <f>敌人!E$421</f>
        <v>0</v>
      </c>
      <c r="G90" s="10">
        <f>敌人!F$421</f>
        <v>0</v>
      </c>
      <c r="H90" s="10">
        <f>敌人!G$421</f>
        <v>0</v>
      </c>
      <c r="I90" s="10">
        <f>敌人!H$421</f>
        <v>0</v>
      </c>
      <c r="J90" s="10">
        <f>敌人!I$421</f>
        <v>0</v>
      </c>
      <c r="K90" s="378" t="str">
        <f ca="1">敌人!J$421</f>
        <v>ＳＰ恢复的李子（大）</v>
      </c>
      <c r="L90" s="371"/>
      <c r="M90" s="371"/>
      <c r="N90" s="7"/>
      <c r="O90" s="7"/>
      <c r="P90" s="405"/>
      <c r="Q90" s="371"/>
      <c r="R90" s="371"/>
      <c r="S90" s="7"/>
      <c r="T90" s="7"/>
      <c r="U90" s="380"/>
      <c r="V90" s="371"/>
      <c r="W90" s="7"/>
      <c r="X90" s="7"/>
      <c r="Y90" s="7"/>
      <c r="Z90" s="7"/>
      <c r="AA90" s="7"/>
    </row>
    <row r="91" spans="1:27" ht="12.75" x14ac:dyDescent="0.2">
      <c r="A91" s="7"/>
      <c r="B91" s="16"/>
      <c r="C91" s="405"/>
      <c r="D91" s="371"/>
      <c r="E91" s="7"/>
      <c r="F91" s="7"/>
      <c r="G91" s="7"/>
      <c r="H91" s="7"/>
      <c r="I91" s="7"/>
      <c r="J91" s="7"/>
      <c r="K91" s="380"/>
      <c r="L91" s="371"/>
      <c r="M91" s="371"/>
      <c r="N91" s="7"/>
      <c r="O91" s="7"/>
      <c r="P91" s="405"/>
      <c r="Q91" s="371"/>
      <c r="R91" s="371"/>
      <c r="S91" s="7"/>
      <c r="T91" s="7"/>
      <c r="U91" s="380"/>
      <c r="V91" s="371"/>
      <c r="W91" s="7"/>
      <c r="X91" s="7"/>
      <c r="Y91" s="7"/>
      <c r="Z91" s="7"/>
      <c r="AA91" s="7"/>
    </row>
    <row r="92" spans="1:27" ht="12.75" x14ac:dyDescent="0.2">
      <c r="A92" s="7"/>
      <c r="B92" s="385" t="str">
        <f ca="1">语言!$A$42&amp;" "&amp;语言!$A$14&amp;" 3"</f>
        <v>海茵特 章节 3</v>
      </c>
      <c r="C92" s="371"/>
      <c r="D92" s="371"/>
      <c r="E92" s="371"/>
      <c r="F92" s="371"/>
      <c r="G92" s="371"/>
      <c r="H92" s="371"/>
      <c r="I92" s="371"/>
      <c r="J92" s="371"/>
      <c r="K92" s="371"/>
      <c r="L92" s="371"/>
      <c r="M92" s="371"/>
      <c r="N92" s="7"/>
      <c r="O92" s="385" t="str">
        <f ca="1">语言!$A$42&amp;" "&amp;语言!$A$14&amp;" 3"</f>
        <v>海茵特 章节 3</v>
      </c>
      <c r="P92" s="371"/>
      <c r="Q92" s="371"/>
      <c r="R92" s="371"/>
      <c r="S92" s="7"/>
      <c r="T92" s="7"/>
      <c r="U92" s="380"/>
      <c r="V92" s="371"/>
      <c r="W92" s="7"/>
      <c r="X92" s="7"/>
      <c r="Y92" s="7"/>
      <c r="Z92" s="7"/>
      <c r="AA92" s="7"/>
    </row>
    <row r="93" spans="1:27" ht="12.75" x14ac:dyDescent="0.2">
      <c r="A93" s="7"/>
      <c r="B93" s="406" t="str">
        <f ca="1">语言!A$339&amp;" ("&amp;语言!$A$12&amp;" 38)"</f>
        <v>白色森林 (危险度 38)</v>
      </c>
      <c r="C93" s="371"/>
      <c r="D93" s="371"/>
      <c r="E93" s="371"/>
      <c r="F93" s="371"/>
      <c r="G93" s="371"/>
      <c r="H93" s="371"/>
      <c r="I93" s="371"/>
      <c r="J93" s="371"/>
      <c r="K93" s="371"/>
      <c r="L93" s="371"/>
      <c r="M93" s="371"/>
      <c r="N93" s="7"/>
      <c r="O93" s="382" t="str">
        <f ca="1">语言!A$339&amp;" (7 "&amp;语言!$A$19&amp;")"</f>
        <v>白色森林 (7 宝箱)</v>
      </c>
      <c r="P93" s="371"/>
      <c r="Q93" s="371"/>
      <c r="R93" s="371"/>
      <c r="S93" s="7"/>
      <c r="T93" s="7"/>
      <c r="U93" s="380"/>
      <c r="V93" s="371"/>
      <c r="W93" s="7"/>
      <c r="X93" s="7"/>
      <c r="Y93" s="7"/>
      <c r="Z93" s="7"/>
      <c r="AA93" s="7"/>
    </row>
    <row r="94" spans="1:27" ht="12.75" x14ac:dyDescent="0.2">
      <c r="A94" s="7"/>
      <c r="B94" s="10" t="b">
        <v>0</v>
      </c>
      <c r="C94" s="378" t="str">
        <f ca="1">敌人!C$15</f>
        <v>大雪蘑菇</v>
      </c>
      <c r="D94" s="371"/>
      <c r="E94" s="10">
        <f>敌人!D$15</f>
        <v>1</v>
      </c>
      <c r="F94" s="10">
        <f>敌人!E$15</f>
        <v>0</v>
      </c>
      <c r="G94" s="10">
        <f>敌人!F$15</f>
        <v>0</v>
      </c>
      <c r="H94" s="10">
        <f>敌人!G$15</f>
        <v>0</v>
      </c>
      <c r="I94" s="10">
        <f>敌人!H$15</f>
        <v>0</v>
      </c>
      <c r="J94" s="10">
        <f>敌人!I$15</f>
        <v>0</v>
      </c>
      <c r="K94" s="378" t="str">
        <f ca="1">敌人!J$15</f>
        <v>睡眠治疗药草</v>
      </c>
      <c r="L94" s="371"/>
      <c r="M94" s="371"/>
      <c r="N94" s="7"/>
      <c r="O94" s="8" t="b">
        <v>0</v>
      </c>
      <c r="P94" s="378" t="str">
        <f ca="1">"15 000$ ("&amp;语言!$A$20&amp;")"</f>
        <v>15 000$ (上锁宝箱)</v>
      </c>
      <c r="Q94" s="371"/>
      <c r="R94" s="371"/>
      <c r="S94" s="7"/>
      <c r="T94" s="7"/>
      <c r="U94" s="380"/>
      <c r="V94" s="371"/>
      <c r="W94" s="7"/>
      <c r="X94" s="7"/>
      <c r="Y94" s="7"/>
      <c r="Z94" s="7"/>
      <c r="AA94" s="7"/>
    </row>
    <row r="95" spans="1:27" ht="12.75" x14ac:dyDescent="0.2">
      <c r="A95" s="7"/>
      <c r="B95" s="10" t="b">
        <v>0</v>
      </c>
      <c r="C95" s="378" t="str">
        <f ca="1">敌人!C$370</f>
        <v>风来雪草</v>
      </c>
      <c r="D95" s="371"/>
      <c r="E95" s="10">
        <f>敌人!D$370</f>
        <v>3</v>
      </c>
      <c r="F95" s="10">
        <f>敌人!E$370</f>
        <v>0</v>
      </c>
      <c r="G95" s="10">
        <f>敌人!F$370</f>
        <v>0</v>
      </c>
      <c r="H95" s="10">
        <f>敌人!G$370</f>
        <v>0</v>
      </c>
      <c r="I95" s="10">
        <f>敌人!H$370</f>
        <v>0</v>
      </c>
      <c r="J95" s="10">
        <f>敌人!I$370</f>
        <v>0</v>
      </c>
      <c r="K95" s="378" t="str">
        <f ca="1">敌人!J$370</f>
        <v>混乱多之叶</v>
      </c>
      <c r="L95" s="371"/>
      <c r="M95" s="371"/>
      <c r="N95" s="7"/>
      <c r="O95" s="8" t="b">
        <v>0</v>
      </c>
      <c r="P95" s="378" t="str">
        <f ca="1">道具!$C$17</f>
        <v>复活的橄榄（特大）</v>
      </c>
      <c r="Q95" s="371"/>
      <c r="R95" s="371"/>
      <c r="S95" s="7"/>
      <c r="T95" s="7"/>
      <c r="U95" s="380"/>
      <c r="V95" s="371"/>
      <c r="W95" s="7"/>
      <c r="X95" s="7"/>
      <c r="Y95" s="7"/>
      <c r="Z95" s="7"/>
      <c r="AA95" s="7"/>
    </row>
    <row r="96" spans="1:27" ht="12.75" x14ac:dyDescent="0.2">
      <c r="A96" s="7"/>
      <c r="B96" s="10" t="b">
        <v>0</v>
      </c>
      <c r="C96" s="378" t="str">
        <f ca="1">敌人!C$322</f>
        <v>雪蜥蜴</v>
      </c>
      <c r="D96" s="371"/>
      <c r="E96" s="10">
        <f>敌人!D$322</f>
        <v>4</v>
      </c>
      <c r="F96" s="10">
        <f>敌人!E$322</f>
        <v>0</v>
      </c>
      <c r="G96" s="10">
        <f>敌人!F$322</f>
        <v>0</v>
      </c>
      <c r="H96" s="10">
        <f>敌人!G$322</f>
        <v>0</v>
      </c>
      <c r="I96" s="10">
        <f>敌人!H$322</f>
        <v>0</v>
      </c>
      <c r="J96" s="10">
        <f>敌人!I$322</f>
        <v>0</v>
      </c>
      <c r="K96" s="378" t="str">
        <f ca="1">敌人!J$322</f>
        <v>ＨＰ恢复的葡萄（大）</v>
      </c>
      <c r="L96" s="371"/>
      <c r="M96" s="371"/>
      <c r="N96" s="7"/>
      <c r="O96" s="8" t="b">
        <v>0</v>
      </c>
      <c r="P96" s="378" t="str">
        <f ca="1">道具!$C$5</f>
        <v>ＨＰ全体恢复的葡萄</v>
      </c>
      <c r="Q96" s="371"/>
      <c r="R96" s="371"/>
      <c r="S96" s="7"/>
      <c r="T96" s="7"/>
      <c r="U96" s="380"/>
      <c r="V96" s="371"/>
      <c r="W96" s="7"/>
      <c r="X96" s="7"/>
      <c r="Y96" s="7"/>
      <c r="Z96" s="7"/>
      <c r="AA96" s="7"/>
    </row>
    <row r="97" spans="1:27" ht="12.75" x14ac:dyDescent="0.2">
      <c r="A97" s="7"/>
      <c r="B97" s="10" t="b">
        <v>0</v>
      </c>
      <c r="C97" s="378" t="str">
        <f ca="1">敌人!C$132</f>
        <v>雪蛇鸟</v>
      </c>
      <c r="D97" s="371"/>
      <c r="E97" s="10">
        <f>敌人!D$132</f>
        <v>2</v>
      </c>
      <c r="F97" s="10">
        <f>敌人!E$132</f>
        <v>0</v>
      </c>
      <c r="G97" s="10">
        <f>敌人!F$132</f>
        <v>0</v>
      </c>
      <c r="H97" s="10">
        <f>敌人!G$132</f>
        <v>0</v>
      </c>
      <c r="I97" s="10">
        <f>敌人!H$132</f>
        <v>0</v>
      </c>
      <c r="J97" s="10">
        <f>敌人!I$132</f>
        <v>0</v>
      </c>
      <c r="K97" s="378" t="str">
        <f ca="1">敌人!J$132</f>
        <v>ＢＰ恢复的石榴（大）</v>
      </c>
      <c r="L97" s="371"/>
      <c r="M97" s="371"/>
      <c r="N97" s="7"/>
      <c r="O97" s="8" t="b">
        <v>0</v>
      </c>
      <c r="P97" s="378" t="str">
        <f ca="1">道具!$C$47</f>
        <v>暗之精灵石（大）</v>
      </c>
      <c r="Q97" s="371"/>
      <c r="R97" s="371"/>
      <c r="S97" s="7"/>
      <c r="T97" s="7"/>
      <c r="U97" s="380"/>
      <c r="V97" s="371"/>
      <c r="W97" s="7"/>
      <c r="X97" s="7"/>
      <c r="Y97" s="7"/>
      <c r="Z97" s="7"/>
      <c r="AA97" s="7"/>
    </row>
    <row r="98" spans="1:27" ht="12.75" x14ac:dyDescent="0.2">
      <c r="A98" s="7"/>
      <c r="B98" s="10" t="b">
        <v>0</v>
      </c>
      <c r="C98" s="378" t="str">
        <f ca="1">敌人!C$164</f>
        <v>白咆哮者异种</v>
      </c>
      <c r="D98" s="371"/>
      <c r="E98" s="10">
        <f>敌人!D$164</f>
        <v>2</v>
      </c>
      <c r="F98" s="10">
        <f>敌人!E$164</f>
        <v>0</v>
      </c>
      <c r="G98" s="10">
        <f>敌人!F$164</f>
        <v>0</v>
      </c>
      <c r="H98" s="10">
        <f>敌人!G$164</f>
        <v>0</v>
      </c>
      <c r="I98" s="10">
        <f>敌人!H$164</f>
        <v>0</v>
      </c>
      <c r="J98" s="10">
        <f>敌人!I$164</f>
        <v>0</v>
      </c>
      <c r="K98" s="378" t="str">
        <f ca="1">敌人!J$164</f>
        <v>石榴树液</v>
      </c>
      <c r="L98" s="371"/>
      <c r="M98" s="371"/>
      <c r="N98" s="7"/>
      <c r="O98" s="8" t="b">
        <v>0</v>
      </c>
      <c r="P98" s="378" t="str">
        <f ca="1">道具!$C$8</f>
        <v>ＳＰ全体恢复的李子</v>
      </c>
      <c r="Q98" s="371"/>
      <c r="R98" s="371"/>
      <c r="S98" s="7"/>
      <c r="T98" s="7"/>
      <c r="U98" s="380"/>
      <c r="V98" s="371"/>
      <c r="W98" s="7"/>
      <c r="X98" s="7"/>
      <c r="Y98" s="7"/>
      <c r="Z98" s="7"/>
      <c r="AA98" s="7"/>
    </row>
    <row r="99" spans="1:27" ht="12.75" x14ac:dyDescent="0.2">
      <c r="A99" s="7"/>
      <c r="B99" s="428" t="str">
        <f ca="1">语言!$A$15</f>
        <v>Boss</v>
      </c>
      <c r="C99" s="371"/>
      <c r="D99" s="371"/>
      <c r="E99" s="371"/>
      <c r="F99" s="371"/>
      <c r="G99" s="371"/>
      <c r="H99" s="371"/>
      <c r="I99" s="371"/>
      <c r="J99" s="371"/>
      <c r="K99" s="371"/>
      <c r="L99" s="371"/>
      <c r="M99" s="371"/>
      <c r="N99" s="7"/>
      <c r="O99" s="8" t="b">
        <v>0</v>
      </c>
      <c r="P99" s="378" t="str">
        <f ca="1">道具!$C$252</f>
        <v>岩石猛击斧</v>
      </c>
      <c r="Q99" s="371"/>
      <c r="R99" s="371"/>
      <c r="S99" s="7"/>
      <c r="T99" s="7"/>
      <c r="U99" s="380"/>
      <c r="V99" s="371"/>
      <c r="W99" s="7"/>
      <c r="X99" s="7"/>
      <c r="Y99" s="7"/>
      <c r="Z99" s="7"/>
      <c r="AA99" s="7"/>
    </row>
    <row r="100" spans="1:27" ht="12.75" x14ac:dyDescent="0.2">
      <c r="A100" s="7"/>
      <c r="B100" s="10" t="b">
        <v>0</v>
      </c>
      <c r="C100" s="378" t="str">
        <f ca="1">敌人!C$457</f>
        <v>龙</v>
      </c>
      <c r="D100" s="371"/>
      <c r="E100" s="10">
        <f>敌人!D$457</f>
        <v>4</v>
      </c>
      <c r="F100" s="10">
        <f>敌人!E$457</f>
        <v>0</v>
      </c>
      <c r="G100" s="10">
        <f>敌人!F$457</f>
        <v>0</v>
      </c>
      <c r="H100" s="10">
        <f>敌人!G$457</f>
        <v>0</v>
      </c>
      <c r="I100" s="10">
        <f>敌人!H$457</f>
        <v>0</v>
      </c>
      <c r="J100" s="10">
        <f>敌人!I$457</f>
        <v>0</v>
      </c>
      <c r="K100" s="378" t="str">
        <f ca="1">敌人!J$457</f>
        <v>ＨＰ／ＳＰ恢复的果酱</v>
      </c>
      <c r="L100" s="371"/>
      <c r="M100" s="371"/>
      <c r="N100" s="7"/>
      <c r="O100" s="8" t="b">
        <v>0</v>
      </c>
      <c r="P100" s="378" t="str">
        <f ca="1">道具!$C$518</f>
        <v>光之避邪符</v>
      </c>
      <c r="Q100" s="371"/>
      <c r="R100" s="371"/>
      <c r="S100" s="7"/>
      <c r="T100" s="7"/>
      <c r="U100" s="380"/>
      <c r="V100" s="371"/>
      <c r="W100" s="7"/>
      <c r="X100" s="7"/>
      <c r="Y100" s="7"/>
      <c r="Z100" s="7"/>
      <c r="AA100" s="7"/>
    </row>
    <row r="101" spans="1:27" ht="12.75" x14ac:dyDescent="0.2">
      <c r="A101" s="7"/>
      <c r="B101" s="7"/>
      <c r="C101" s="380"/>
      <c r="D101" s="371"/>
      <c r="E101" s="7"/>
      <c r="F101" s="7"/>
      <c r="G101" s="7"/>
      <c r="H101" s="7"/>
      <c r="I101" s="7"/>
      <c r="J101" s="7"/>
      <c r="K101" s="380"/>
      <c r="L101" s="371"/>
      <c r="M101" s="371"/>
      <c r="N101" s="7"/>
      <c r="O101" s="7"/>
      <c r="P101" s="380"/>
      <c r="Q101" s="371"/>
      <c r="R101" s="371"/>
      <c r="S101" s="7"/>
      <c r="T101" s="7"/>
      <c r="U101" s="380"/>
      <c r="V101" s="371"/>
      <c r="W101" s="7"/>
      <c r="X101" s="7"/>
      <c r="Y101" s="7"/>
      <c r="Z101" s="7"/>
      <c r="AA101" s="7"/>
    </row>
    <row r="102" spans="1:27" ht="18" x14ac:dyDescent="0.25">
      <c r="A102" s="384" t="str">
        <f ca="1">语言!$A$323&amp;" 3"</f>
        <v>Tier 3</v>
      </c>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row>
    <row r="103" spans="1:27" ht="12.75" x14ac:dyDescent="0.2">
      <c r="A103" s="7"/>
      <c r="B103" s="10" t="b">
        <v>0</v>
      </c>
      <c r="C103" s="378" t="str">
        <f ca="1">敌人!C$53</f>
        <v>布尔乔亚凯特林</v>
      </c>
      <c r="D103" s="371"/>
      <c r="E103" s="10">
        <f>敌人!D$53</f>
        <v>4</v>
      </c>
      <c r="F103" s="10">
        <f>敌人!E$53</f>
        <v>0</v>
      </c>
      <c r="G103" s="10">
        <f>敌人!F$53</f>
        <v>0</v>
      </c>
      <c r="H103" s="10">
        <f>敌人!G$53</f>
        <v>0</v>
      </c>
      <c r="I103" s="10">
        <f>敌人!H$53</f>
        <v>0</v>
      </c>
      <c r="J103" s="10">
        <f>敌人!I$53</f>
        <v>0</v>
      </c>
      <c r="K103" s="378" t="str">
        <f ca="1">敌人!J$53</f>
        <v>ＨＰ／ＳＰ／ＢＰ恢复的果酱</v>
      </c>
      <c r="L103" s="371"/>
      <c r="M103" s="371"/>
      <c r="N103" s="7"/>
      <c r="O103" s="382" t="str">
        <f ca="1">语言!A$342&amp;" (4 "&amp;语言!$A$19&amp;")"</f>
        <v>南诺斯利奇雪道 (4 宝箱)</v>
      </c>
      <c r="P103" s="371"/>
      <c r="Q103" s="371"/>
      <c r="R103" s="371"/>
      <c r="S103" s="7"/>
      <c r="T103" s="382" t="str">
        <f ca="1">语言!A$340</f>
        <v>诺斯利奇</v>
      </c>
      <c r="U103" s="371"/>
      <c r="V103" s="371"/>
      <c r="W103" s="7"/>
      <c r="X103" s="7"/>
      <c r="Y103" s="7"/>
      <c r="Z103" s="7"/>
      <c r="AA103" s="7"/>
    </row>
    <row r="104" spans="1:27" ht="12.75" x14ac:dyDescent="0.2">
      <c r="A104" s="7"/>
      <c r="B104" s="406" t="str">
        <f ca="1">语言!A$342&amp;" ("&amp;语言!$A$12&amp;" 45)"</f>
        <v>南诺斯利奇雪道 (危险度 45)</v>
      </c>
      <c r="C104" s="371"/>
      <c r="D104" s="371"/>
      <c r="E104" s="371"/>
      <c r="F104" s="371"/>
      <c r="G104" s="371"/>
      <c r="H104" s="371"/>
      <c r="I104" s="371"/>
      <c r="J104" s="371"/>
      <c r="K104" s="371"/>
      <c r="L104" s="371"/>
      <c r="M104" s="371"/>
      <c r="N104" s="7"/>
      <c r="O104" s="8" t="b">
        <v>0</v>
      </c>
      <c r="P104" s="378" t="str">
        <f ca="1">道具!$C$10</f>
        <v>ＢＰ恢复的石榴（大）</v>
      </c>
      <c r="Q104" s="371"/>
      <c r="R104" s="371"/>
      <c r="S104" s="7"/>
      <c r="T104" s="8" t="b">
        <v>0</v>
      </c>
      <c r="U104" s="381" t="str">
        <f ca="1">道具!$C$127</f>
        <v>放了铜块的麻袋</v>
      </c>
      <c r="V104" s="371"/>
      <c r="W104" s="7"/>
      <c r="X104" s="7"/>
      <c r="Y104" s="7"/>
      <c r="Z104" s="7"/>
      <c r="AA104" s="7"/>
    </row>
    <row r="105" spans="1:27" ht="12.75" x14ac:dyDescent="0.2">
      <c r="A105" s="7"/>
      <c r="B105" s="10" t="b">
        <v>0</v>
      </c>
      <c r="C105" s="378" t="str">
        <f ca="1">敌人!C$174</f>
        <v>冰雪大蜥蜴人 I</v>
      </c>
      <c r="D105" s="371"/>
      <c r="E105" s="10">
        <f>敌人!D$174</f>
        <v>4</v>
      </c>
      <c r="F105" s="10">
        <f>敌人!E$174</f>
        <v>0</v>
      </c>
      <c r="G105" s="10">
        <f>敌人!F$174</f>
        <v>0</v>
      </c>
      <c r="H105" s="10">
        <f>敌人!G$174</f>
        <v>0</v>
      </c>
      <c r="I105" s="10">
        <f>敌人!H$174</f>
        <v>0</v>
      </c>
      <c r="J105" s="10">
        <f>敌人!I$174</f>
        <v>0</v>
      </c>
      <c r="K105" s="378" t="str">
        <f ca="1">敌人!J$174</f>
        <v>ＨＰ恢复的葡萄（大）</v>
      </c>
      <c r="L105" s="371"/>
      <c r="M105" s="371"/>
      <c r="N105" s="7"/>
      <c r="O105" s="8" t="b">
        <v>0</v>
      </c>
      <c r="P105" s="378" t="str">
        <f ca="1">道具!$C$47</f>
        <v>暗之精灵石（大）</v>
      </c>
      <c r="Q105" s="371"/>
      <c r="R105" s="371"/>
      <c r="S105" s="7"/>
      <c r="T105" s="8" t="b">
        <v>0</v>
      </c>
      <c r="U105" s="381" t="str">
        <f ca="1">道具!$C$120</f>
        <v>放了银块的皮袋</v>
      </c>
      <c r="V105" s="371"/>
      <c r="W105" s="7"/>
      <c r="X105" s="7"/>
      <c r="Y105" s="7"/>
      <c r="Z105" s="7"/>
      <c r="AA105" s="7"/>
    </row>
    <row r="106" spans="1:27" ht="12.75" x14ac:dyDescent="0.2">
      <c r="A106" s="7"/>
      <c r="B106" s="10" t="b">
        <v>0</v>
      </c>
      <c r="C106" s="378" t="str">
        <f ca="1">敌人!C$175</f>
        <v>冰雪大蜥蜴人 II</v>
      </c>
      <c r="D106" s="371"/>
      <c r="E106" s="10">
        <f>敌人!D$175</f>
        <v>3</v>
      </c>
      <c r="F106" s="10">
        <f>敌人!E$175</f>
        <v>0</v>
      </c>
      <c r="G106" s="10">
        <f>敌人!F$175</f>
        <v>0</v>
      </c>
      <c r="H106" s="10">
        <f>敌人!G$175</f>
        <v>0</v>
      </c>
      <c r="I106" s="10">
        <f>敌人!H$175</f>
        <v>0</v>
      </c>
      <c r="J106" s="10">
        <f>敌人!I$175</f>
        <v>0</v>
      </c>
      <c r="K106" s="378" t="str">
        <f ca="1">敌人!J$175</f>
        <v>李子树液</v>
      </c>
      <c r="L106" s="371"/>
      <c r="M106" s="371"/>
      <c r="N106" s="7"/>
      <c r="O106" s="8" t="b">
        <v>0</v>
      </c>
      <c r="P106" s="378" t="str">
        <f ca="1">道具!$C$8</f>
        <v>ＳＰ全体恢复的李子</v>
      </c>
      <c r="Q106" s="371"/>
      <c r="R106" s="371"/>
      <c r="S106" s="7"/>
      <c r="T106" s="8" t="b">
        <v>0</v>
      </c>
      <c r="U106" s="381" t="str">
        <f ca="1">道具!$C$16</f>
        <v>复活的橄榄（大）</v>
      </c>
      <c r="V106" s="371"/>
      <c r="W106" s="7"/>
      <c r="X106" s="7"/>
      <c r="Y106" s="7"/>
      <c r="Z106" s="7"/>
      <c r="AA106" s="7"/>
    </row>
    <row r="107" spans="1:27" ht="12.75" x14ac:dyDescent="0.2">
      <c r="A107" s="7"/>
      <c r="B107" s="10" t="b">
        <v>0</v>
      </c>
      <c r="C107" s="378" t="str">
        <f ca="1">敌人!C$176</f>
        <v>冰雪大蜥蜴人 III</v>
      </c>
      <c r="D107" s="371"/>
      <c r="E107" s="10">
        <f>敌人!D$176</f>
        <v>5</v>
      </c>
      <c r="F107" s="10">
        <f>敌人!E$176</f>
        <v>0</v>
      </c>
      <c r="G107" s="10">
        <f>敌人!F$176</f>
        <v>0</v>
      </c>
      <c r="H107" s="10">
        <f>敌人!G$176</f>
        <v>0</v>
      </c>
      <c r="I107" s="10">
        <f>敌人!H$176</f>
        <v>0</v>
      </c>
      <c r="J107" s="10">
        <f>敌人!I$176</f>
        <v>0</v>
      </c>
      <c r="K107" s="378" t="str">
        <f ca="1">敌人!J$176</f>
        <v>ＳＰ恢复的李子（大）</v>
      </c>
      <c r="L107" s="371"/>
      <c r="M107" s="371"/>
      <c r="N107" s="7"/>
      <c r="O107" s="8" t="b">
        <v>0</v>
      </c>
      <c r="P107" s="378" t="str">
        <f ca="1">道具!$C$24</f>
        <v>昏迷治疗药草</v>
      </c>
      <c r="Q107" s="371"/>
      <c r="R107" s="371"/>
      <c r="S107" s="7"/>
      <c r="T107" s="8" t="b">
        <v>0</v>
      </c>
      <c r="U107" s="381" t="str">
        <f ca="1">道具!$C$12</f>
        <v>ＨＰ／ＳＰ恢复的果酱</v>
      </c>
      <c r="V107" s="371"/>
      <c r="W107" s="7"/>
      <c r="X107" s="7"/>
      <c r="Y107" s="7"/>
      <c r="Z107" s="7"/>
      <c r="AA107" s="7"/>
    </row>
    <row r="108" spans="1:27" ht="12.75" x14ac:dyDescent="0.2">
      <c r="A108" s="7"/>
      <c r="B108" s="10" t="b">
        <v>0</v>
      </c>
      <c r="C108" s="378" t="str">
        <f ca="1">敌人!C$252</f>
        <v>雷普塔利欧斯</v>
      </c>
      <c r="D108" s="371"/>
      <c r="E108" s="10">
        <f>敌人!D$252</f>
        <v>2</v>
      </c>
      <c r="F108" s="10">
        <f>敌人!E$252</f>
        <v>0</v>
      </c>
      <c r="G108" s="10">
        <f>敌人!F$252</f>
        <v>0</v>
      </c>
      <c r="H108" s="10">
        <f>敌人!G$252</f>
        <v>0</v>
      </c>
      <c r="I108" s="10">
        <f>敌人!H$252</f>
        <v>0</v>
      </c>
      <c r="J108" s="10">
        <f>敌人!I$252</f>
        <v>0</v>
      </c>
      <c r="K108" s="378" t="str">
        <f ca="1">敌人!J$252</f>
        <v>橄榄花</v>
      </c>
      <c r="L108" s="371"/>
      <c r="M108" s="371"/>
      <c r="N108" s="7"/>
      <c r="O108" s="382" t="str">
        <f ca="1">语言!A$343&amp;" (7 "&amp;语言!$A$19&amp;")"</f>
        <v>冰龙口 (7 宝箱)</v>
      </c>
      <c r="P108" s="371"/>
      <c r="Q108" s="371"/>
      <c r="R108" s="371"/>
      <c r="S108" s="7"/>
      <c r="T108" s="8" t="b">
        <v>0</v>
      </c>
      <c r="U108" s="381" t="str">
        <f ca="1">道具!$C$343</f>
        <v>骑士盾</v>
      </c>
      <c r="V108" s="371"/>
      <c r="W108" s="7"/>
      <c r="X108" s="7"/>
      <c r="Y108" s="7"/>
      <c r="Z108" s="7"/>
      <c r="AA108" s="7"/>
    </row>
    <row r="109" spans="1:27" ht="12.75" x14ac:dyDescent="0.2">
      <c r="A109" s="7"/>
      <c r="B109" s="10" t="b">
        <v>0</v>
      </c>
      <c r="C109" s="378" t="str">
        <f ca="1">敌人!C$319</f>
        <v>翼蜥蜴异种</v>
      </c>
      <c r="D109" s="371"/>
      <c r="E109" s="10">
        <f>敌人!D$319</f>
        <v>1</v>
      </c>
      <c r="F109" s="10">
        <f>敌人!E$319</f>
        <v>0</v>
      </c>
      <c r="G109" s="10">
        <f>敌人!F$319</f>
        <v>0</v>
      </c>
      <c r="H109" s="10">
        <f>敌人!G$319</f>
        <v>0</v>
      </c>
      <c r="I109" s="10">
        <f>敌人!H$319</f>
        <v>0</v>
      </c>
      <c r="J109" s="10">
        <f>敌人!I$319</f>
        <v>0</v>
      </c>
      <c r="K109" s="378" t="str">
        <f ca="1">敌人!J$319</f>
        <v>石榴树液</v>
      </c>
      <c r="L109" s="371"/>
      <c r="M109" s="371"/>
      <c r="N109" s="7"/>
      <c r="O109" s="8" t="b">
        <v>0</v>
      </c>
      <c r="P109" s="378" t="s">
        <v>17</v>
      </c>
      <c r="Q109" s="371"/>
      <c r="R109" s="371"/>
      <c r="S109" s="7"/>
      <c r="T109" s="7"/>
      <c r="U109" s="380"/>
      <c r="V109" s="371"/>
      <c r="W109" s="7"/>
      <c r="X109" s="7"/>
      <c r="Y109" s="7"/>
      <c r="Z109" s="7"/>
      <c r="AA109" s="7"/>
    </row>
    <row r="110" spans="1:27" ht="12.75" x14ac:dyDescent="0.2">
      <c r="A110" s="7"/>
      <c r="B110" s="10" t="b">
        <v>0</v>
      </c>
      <c r="C110" s="378" t="str">
        <f ca="1">敌人!C$349</f>
        <v>战狼</v>
      </c>
      <c r="D110" s="371"/>
      <c r="E110" s="10">
        <f>敌人!D$349</f>
        <v>3</v>
      </c>
      <c r="F110" s="10">
        <f>敌人!E$349</f>
        <v>0</v>
      </c>
      <c r="G110" s="10">
        <f>敌人!F$349</f>
        <v>0</v>
      </c>
      <c r="H110" s="10">
        <f>敌人!G$349</f>
        <v>0</v>
      </c>
      <c r="I110" s="10">
        <f>敌人!H$349</f>
        <v>0</v>
      </c>
      <c r="J110" s="10">
        <f>敌人!I$349</f>
        <v>0</v>
      </c>
      <c r="K110" s="378" t="str">
        <f ca="1">敌人!J$349</f>
        <v>ＨＰ恢复的葡萄（大）</v>
      </c>
      <c r="L110" s="371"/>
      <c r="M110" s="371"/>
      <c r="N110" s="7"/>
      <c r="O110" s="8" t="b">
        <v>0</v>
      </c>
      <c r="P110" s="378" t="str">
        <f ca="1">道具!$C$358&amp;" ("&amp;语言!$A$20&amp;")"</f>
        <v>金钢合金帽 (上锁宝箱)</v>
      </c>
      <c r="Q110" s="371"/>
      <c r="R110" s="371"/>
      <c r="S110" s="7"/>
      <c r="T110" s="7"/>
      <c r="U110" s="380"/>
      <c r="V110" s="371"/>
      <c r="W110" s="7"/>
      <c r="X110" s="7"/>
      <c r="Y110" s="7"/>
      <c r="Z110" s="7"/>
      <c r="AA110" s="7"/>
    </row>
    <row r="111" spans="1:27" ht="12.75" x14ac:dyDescent="0.2">
      <c r="A111" s="7"/>
      <c r="B111" s="10" t="b">
        <v>0</v>
      </c>
      <c r="C111" s="378" t="str">
        <f ca="1">敌人!C$5</f>
        <v>冰冻的盔甲</v>
      </c>
      <c r="D111" s="371"/>
      <c r="E111" s="10">
        <f>敌人!D$5</f>
        <v>5</v>
      </c>
      <c r="F111" s="10">
        <f>敌人!E$5</f>
        <v>0</v>
      </c>
      <c r="G111" s="10">
        <f>敌人!F$5</f>
        <v>0</v>
      </c>
      <c r="H111" s="10">
        <f>敌人!G$5</f>
        <v>0</v>
      </c>
      <c r="I111" s="10">
        <f>敌人!H$5</f>
        <v>0</v>
      </c>
      <c r="J111" s="10">
        <f>敌人!I$5</f>
        <v>0</v>
      </c>
      <c r="K111" s="378" t="str">
        <f ca="1">敌人!J$5</f>
        <v>ＨＰ／ＳＰ恢复的果酱</v>
      </c>
      <c r="L111" s="371"/>
      <c r="M111" s="371"/>
      <c r="N111" s="7"/>
      <c r="O111" s="8" t="b">
        <v>0</v>
      </c>
      <c r="P111" s="378" t="str">
        <f ca="1">道具!$C$7</f>
        <v>ＳＰ恢复的李子（大）</v>
      </c>
      <c r="Q111" s="371"/>
      <c r="R111" s="371"/>
      <c r="S111" s="7"/>
      <c r="T111" s="7"/>
      <c r="U111" s="380"/>
      <c r="V111" s="371"/>
      <c r="W111" s="7"/>
      <c r="X111" s="7"/>
      <c r="Y111" s="7"/>
      <c r="Z111" s="7"/>
      <c r="AA111" s="7"/>
    </row>
    <row r="112" spans="1:27" ht="12.75" x14ac:dyDescent="0.2">
      <c r="A112" s="7"/>
      <c r="B112" s="10" t="b">
        <v>0</v>
      </c>
      <c r="C112" s="378" t="str">
        <f ca="1">敌人!C$171</f>
        <v>冰元素</v>
      </c>
      <c r="D112" s="371"/>
      <c r="E112" s="10">
        <f>敌人!D$171</f>
        <v>4</v>
      </c>
      <c r="F112" s="10">
        <f>敌人!E$171</f>
        <v>0</v>
      </c>
      <c r="G112" s="10">
        <f>敌人!F$171</f>
        <v>0</v>
      </c>
      <c r="H112" s="10">
        <f>敌人!G$171</f>
        <v>0</v>
      </c>
      <c r="I112" s="10">
        <f>敌人!H$171</f>
        <v>0</v>
      </c>
      <c r="J112" s="10">
        <f>敌人!I$171</f>
        <v>0</v>
      </c>
      <c r="K112" s="378" t="str">
        <f ca="1">敌人!J$171</f>
        <v>冰之精灵石（特大）</v>
      </c>
      <c r="L112" s="371"/>
      <c r="M112" s="371"/>
      <c r="N112" s="7"/>
      <c r="O112" s="8" t="b">
        <v>0</v>
      </c>
      <c r="P112" s="378" t="str">
        <f ca="1">道具!$C$520</f>
        <v>睡眠耐性石</v>
      </c>
      <c r="Q112" s="371"/>
      <c r="R112" s="371"/>
      <c r="S112" s="7"/>
      <c r="T112" s="7"/>
      <c r="U112" s="405"/>
      <c r="V112" s="371"/>
      <c r="W112" s="16"/>
      <c r="X112" s="7"/>
      <c r="Y112" s="7"/>
      <c r="Z112" s="7"/>
      <c r="AA112" s="7"/>
    </row>
    <row r="113" spans="1:27" ht="12.75" x14ac:dyDescent="0.2">
      <c r="A113" s="7"/>
      <c r="B113" s="406" t="str">
        <f ca="1">语言!A$343&amp;" ("&amp;语言!$A$12&amp;" 45)"</f>
        <v>冰龙口 (危险度 45)</v>
      </c>
      <c r="C113" s="371"/>
      <c r="D113" s="371"/>
      <c r="E113" s="371"/>
      <c r="F113" s="371"/>
      <c r="G113" s="371"/>
      <c r="H113" s="371"/>
      <c r="I113" s="371"/>
      <c r="J113" s="371"/>
      <c r="K113" s="371"/>
      <c r="L113" s="371"/>
      <c r="M113" s="371"/>
      <c r="N113" s="7"/>
      <c r="O113" s="8" t="b">
        <v>0</v>
      </c>
      <c r="P113" s="378" t="str">
        <f ca="1">道具!$C$48</f>
        <v>暗之精灵石（特大）</v>
      </c>
      <c r="Q113" s="371"/>
      <c r="R113" s="371"/>
      <c r="S113" s="7"/>
      <c r="T113" s="7"/>
      <c r="U113" s="405"/>
      <c r="V113" s="371"/>
      <c r="W113" s="16"/>
      <c r="X113" s="7"/>
      <c r="Y113" s="7"/>
      <c r="Z113" s="7"/>
      <c r="AA113" s="7"/>
    </row>
    <row r="114" spans="1:27" ht="12.75" x14ac:dyDescent="0.2">
      <c r="A114" s="7"/>
      <c r="B114" s="10" t="b">
        <v>0</v>
      </c>
      <c r="C114" s="378" t="str">
        <f ca="1">敌人!C$321</f>
        <v>白豹</v>
      </c>
      <c r="D114" s="371"/>
      <c r="E114" s="10">
        <f>敌人!D$321</f>
        <v>2</v>
      </c>
      <c r="F114" s="10">
        <f>敌人!E$321</f>
        <v>0</v>
      </c>
      <c r="G114" s="10">
        <f>敌人!F$321</f>
        <v>0</v>
      </c>
      <c r="H114" s="10">
        <f>敌人!G$321</f>
        <v>0</v>
      </c>
      <c r="I114" s="10">
        <f>敌人!H$321</f>
        <v>0</v>
      </c>
      <c r="J114" s="10">
        <f>敌人!I$321</f>
        <v>0</v>
      </c>
      <c r="K114" s="378" t="str">
        <f ca="1">敌人!J$321</f>
        <v>ＳＰ恢复的李子（大）</v>
      </c>
      <c r="L114" s="371"/>
      <c r="M114" s="371"/>
      <c r="N114" s="7"/>
      <c r="O114" s="8" t="b">
        <v>0</v>
      </c>
      <c r="P114" s="378" t="str">
        <f ca="1">道具!$C$12</f>
        <v>ＨＰ／ＳＰ恢复的果酱</v>
      </c>
      <c r="Q114" s="371"/>
      <c r="R114" s="371"/>
      <c r="S114" s="7"/>
      <c r="T114" s="7"/>
      <c r="U114" s="405"/>
      <c r="V114" s="371"/>
      <c r="W114" s="16"/>
      <c r="X114" s="7"/>
      <c r="Y114" s="7"/>
      <c r="Z114" s="7"/>
      <c r="AA114" s="7"/>
    </row>
    <row r="115" spans="1:27" ht="12.75" x14ac:dyDescent="0.2">
      <c r="A115" s="7"/>
      <c r="B115" s="10" t="b">
        <v>0</v>
      </c>
      <c r="C115" s="378" t="str">
        <f ca="1">敌人!C$319</f>
        <v>翼蜥蜴异种</v>
      </c>
      <c r="D115" s="371"/>
      <c r="E115" s="10">
        <f>敌人!D$319</f>
        <v>1</v>
      </c>
      <c r="F115" s="10">
        <f>敌人!E$319</f>
        <v>0</v>
      </c>
      <c r="G115" s="10">
        <f>敌人!F$319</f>
        <v>0</v>
      </c>
      <c r="H115" s="10">
        <f>敌人!G$319</f>
        <v>0</v>
      </c>
      <c r="I115" s="10">
        <f>敌人!H$319</f>
        <v>0</v>
      </c>
      <c r="J115" s="10">
        <f>敌人!I$319</f>
        <v>0</v>
      </c>
      <c r="K115" s="378" t="str">
        <f ca="1">敌人!J$319</f>
        <v>石榴树液</v>
      </c>
      <c r="L115" s="371"/>
      <c r="M115" s="371"/>
      <c r="N115" s="7"/>
      <c r="O115" s="8" t="b">
        <v>0</v>
      </c>
      <c r="P115" s="378" t="str">
        <f ca="1">道具!$C$206</f>
        <v>禁忌短剑</v>
      </c>
      <c r="Q115" s="371"/>
      <c r="R115" s="371"/>
      <c r="S115" s="7"/>
      <c r="T115" s="7"/>
      <c r="U115" s="405"/>
      <c r="V115" s="371"/>
      <c r="W115" s="16"/>
      <c r="X115" s="7"/>
      <c r="Y115" s="7"/>
      <c r="Z115" s="7"/>
      <c r="AA115" s="7"/>
    </row>
    <row r="116" spans="1:27" ht="12.75" x14ac:dyDescent="0.2">
      <c r="A116" s="7"/>
      <c r="B116" s="10" t="b">
        <v>0</v>
      </c>
      <c r="C116" s="378" t="str">
        <f ca="1">敌人!C$349</f>
        <v>战狼</v>
      </c>
      <c r="D116" s="371"/>
      <c r="E116" s="10">
        <f>敌人!D$349</f>
        <v>3</v>
      </c>
      <c r="F116" s="10">
        <f>敌人!E$349</f>
        <v>0</v>
      </c>
      <c r="G116" s="10">
        <f>敌人!F$349</f>
        <v>0</v>
      </c>
      <c r="H116" s="10">
        <f>敌人!G$349</f>
        <v>0</v>
      </c>
      <c r="I116" s="10">
        <f>敌人!H$349</f>
        <v>0</v>
      </c>
      <c r="J116" s="10">
        <f>敌人!I$349</f>
        <v>0</v>
      </c>
      <c r="K116" s="378" t="str">
        <f ca="1">敌人!J$349</f>
        <v>ＨＰ恢复的葡萄（大）</v>
      </c>
      <c r="L116" s="371"/>
      <c r="M116" s="371"/>
      <c r="N116" s="7"/>
      <c r="O116" s="7"/>
      <c r="P116" s="405"/>
      <c r="Q116" s="371"/>
      <c r="R116" s="371"/>
      <c r="S116" s="7"/>
      <c r="T116" s="7"/>
      <c r="U116" s="380"/>
      <c r="V116" s="371"/>
      <c r="W116" s="7"/>
      <c r="X116" s="7"/>
      <c r="Y116" s="7"/>
      <c r="Z116" s="7"/>
      <c r="AA116" s="7"/>
    </row>
    <row r="117" spans="1:27" ht="12.75" x14ac:dyDescent="0.2">
      <c r="A117" s="7"/>
      <c r="B117" s="10" t="b">
        <v>0</v>
      </c>
      <c r="C117" s="378" t="str">
        <f ca="1">敌人!C$5</f>
        <v>冰冻的盔甲</v>
      </c>
      <c r="D117" s="371"/>
      <c r="E117" s="10">
        <f>敌人!D$5</f>
        <v>5</v>
      </c>
      <c r="F117" s="10">
        <f>敌人!E$5</f>
        <v>0</v>
      </c>
      <c r="G117" s="10">
        <f>敌人!F$5</f>
        <v>0</v>
      </c>
      <c r="H117" s="10">
        <f>敌人!G$5</f>
        <v>0</v>
      </c>
      <c r="I117" s="10">
        <f>敌人!H$5</f>
        <v>0</v>
      </c>
      <c r="J117" s="10">
        <f>敌人!I$5</f>
        <v>0</v>
      </c>
      <c r="K117" s="378" t="str">
        <f ca="1">敌人!J$5</f>
        <v>ＨＰ／ＳＰ恢复的果酱</v>
      </c>
      <c r="L117" s="371"/>
      <c r="M117" s="371"/>
      <c r="N117" s="7"/>
      <c r="O117" s="7"/>
      <c r="P117" s="405"/>
      <c r="Q117" s="371"/>
      <c r="R117" s="371"/>
      <c r="S117" s="7"/>
      <c r="T117" s="7"/>
      <c r="U117" s="380"/>
      <c r="V117" s="371"/>
      <c r="W117" s="7"/>
      <c r="X117" s="7"/>
      <c r="Y117" s="7"/>
      <c r="Z117" s="7"/>
      <c r="AA117" s="7"/>
    </row>
    <row r="118" spans="1:27" ht="12.75" x14ac:dyDescent="0.2">
      <c r="A118" s="7"/>
      <c r="B118" s="10" t="b">
        <v>0</v>
      </c>
      <c r="C118" s="378" t="str">
        <f ca="1">敌人!C$171</f>
        <v>冰元素</v>
      </c>
      <c r="D118" s="371"/>
      <c r="E118" s="10">
        <f>敌人!D$171</f>
        <v>4</v>
      </c>
      <c r="F118" s="10">
        <f>敌人!E$171</f>
        <v>0</v>
      </c>
      <c r="G118" s="10">
        <f>敌人!F$171</f>
        <v>0</v>
      </c>
      <c r="H118" s="10">
        <f>敌人!G$171</f>
        <v>0</v>
      </c>
      <c r="I118" s="10">
        <f>敌人!H$171</f>
        <v>0</v>
      </c>
      <c r="J118" s="10">
        <f>敌人!I$171</f>
        <v>0</v>
      </c>
      <c r="K118" s="378" t="str">
        <f ca="1">敌人!J$171</f>
        <v>冰之精灵石（特大）</v>
      </c>
      <c r="L118" s="371"/>
      <c r="M118" s="371"/>
      <c r="N118" s="7"/>
      <c r="O118" s="382" t="str">
        <f ca="1">语言!A$340&amp;" (5 "&amp;语言!$A$19&amp;")"</f>
        <v>诺斯利奇 (5 宝箱)</v>
      </c>
      <c r="P118" s="371"/>
      <c r="Q118" s="371"/>
      <c r="R118" s="371"/>
      <c r="S118" s="7"/>
      <c r="T118" s="7"/>
      <c r="U118" s="380"/>
      <c r="V118" s="371"/>
      <c r="W118" s="7"/>
      <c r="X118" s="7"/>
      <c r="Y118" s="7"/>
      <c r="Z118" s="7"/>
      <c r="AA118" s="7"/>
    </row>
    <row r="119" spans="1:27" ht="12.75" x14ac:dyDescent="0.2">
      <c r="A119" s="7"/>
      <c r="B119" s="428" t="str">
        <f ca="1">语言!$A$16</f>
        <v>小Boss</v>
      </c>
      <c r="C119" s="371"/>
      <c r="D119" s="371"/>
      <c r="E119" s="371"/>
      <c r="F119" s="371"/>
      <c r="G119" s="371"/>
      <c r="H119" s="371"/>
      <c r="I119" s="371"/>
      <c r="J119" s="371"/>
      <c r="K119" s="371"/>
      <c r="L119" s="371"/>
      <c r="M119" s="371"/>
      <c r="N119" s="7"/>
      <c r="O119" s="8" t="b">
        <v>0</v>
      </c>
      <c r="P119" s="378" t="str">
        <f ca="1">道具!$C$281&amp;" ("&amp;语言!$A$20&amp;")"</f>
        <v>达人的大弓 (上锁宝箱)</v>
      </c>
      <c r="Q119" s="371"/>
      <c r="R119" s="371"/>
      <c r="S119" s="7"/>
      <c r="T119" s="7"/>
      <c r="U119" s="380"/>
      <c r="V119" s="371"/>
      <c r="W119" s="7"/>
      <c r="X119" s="7"/>
      <c r="Y119" s="7"/>
      <c r="Z119" s="7"/>
      <c r="AA119" s="7"/>
    </row>
    <row r="120" spans="1:27" ht="12.75" x14ac:dyDescent="0.2">
      <c r="A120" s="7"/>
      <c r="B120" s="10" t="b">
        <v>0</v>
      </c>
      <c r="C120" s="378" t="str">
        <f ca="1">敌人!C$380</f>
        <v>恐狼</v>
      </c>
      <c r="D120" s="371"/>
      <c r="E120" s="10">
        <f>敌人!D$380</f>
        <v>10</v>
      </c>
      <c r="F120" s="10">
        <f>敌人!E$380</f>
        <v>0</v>
      </c>
      <c r="G120" s="10">
        <f>敌人!F$380</f>
        <v>0</v>
      </c>
      <c r="H120" s="10">
        <f>敌人!G$380</f>
        <v>0</v>
      </c>
      <c r="I120" s="10">
        <f>敌人!H$380</f>
        <v>0</v>
      </c>
      <c r="J120" s="10">
        <f>敌人!I$380</f>
        <v>0</v>
      </c>
      <c r="K120" s="378" t="str">
        <f ca="1">敌人!J$380</f>
        <v>ＨＰ／ＳＰ／ＢＰ恢复的果酱</v>
      </c>
      <c r="L120" s="371"/>
      <c r="M120" s="371"/>
      <c r="N120" s="7"/>
      <c r="O120" s="8" t="b">
        <v>0</v>
      </c>
      <c r="P120" s="378" t="str">
        <f ca="1">道具!$C$12</f>
        <v>ＨＰ／ＳＰ恢复的果酱</v>
      </c>
      <c r="Q120" s="371"/>
      <c r="R120" s="371"/>
      <c r="S120" s="7"/>
      <c r="T120" s="7"/>
      <c r="U120" s="380"/>
      <c r="V120" s="371"/>
      <c r="W120" s="7"/>
      <c r="X120" s="7"/>
      <c r="Y120" s="7"/>
      <c r="Z120" s="7"/>
      <c r="AA120" s="7"/>
    </row>
    <row r="121" spans="1:27" ht="12.75" x14ac:dyDescent="0.2">
      <c r="A121" s="7"/>
      <c r="B121" s="10" t="b">
        <v>0</v>
      </c>
      <c r="C121" s="378" t="str">
        <f ca="1">敌人!C$349&amp;" (common)"</f>
        <v>战狼 (common)</v>
      </c>
      <c r="D121" s="371"/>
      <c r="E121" s="10">
        <f>敌人!D$349</f>
        <v>3</v>
      </c>
      <c r="F121" s="10">
        <f>敌人!E$349</f>
        <v>0</v>
      </c>
      <c r="G121" s="10">
        <f>敌人!F$349</f>
        <v>0</v>
      </c>
      <c r="H121" s="10">
        <f>敌人!G$349</f>
        <v>0</v>
      </c>
      <c r="I121" s="10">
        <f>敌人!H$349</f>
        <v>0</v>
      </c>
      <c r="J121" s="10">
        <f>敌人!I$349</f>
        <v>0</v>
      </c>
      <c r="K121" s="378" t="str">
        <f ca="1">敌人!J$349</f>
        <v>ＨＰ恢复的葡萄（大）</v>
      </c>
      <c r="L121" s="371"/>
      <c r="M121" s="371"/>
      <c r="N121" s="7"/>
      <c r="O121" s="8" t="b">
        <v>0</v>
      </c>
      <c r="P121" s="378" t="str">
        <f ca="1">道具!$C$7</f>
        <v>ＳＰ恢复的李子（大）</v>
      </c>
      <c r="Q121" s="371"/>
      <c r="R121" s="371"/>
      <c r="S121" s="7"/>
      <c r="T121" s="7"/>
      <c r="U121" s="380"/>
      <c r="V121" s="371"/>
      <c r="W121" s="7"/>
      <c r="X121" s="7"/>
      <c r="Y121" s="7"/>
      <c r="Z121" s="7"/>
      <c r="AA121" s="7"/>
    </row>
    <row r="122" spans="1:27" ht="12.75" x14ac:dyDescent="0.2">
      <c r="A122" s="7"/>
      <c r="B122" s="16"/>
      <c r="C122" s="405"/>
      <c r="D122" s="371"/>
      <c r="E122" s="7"/>
      <c r="F122" s="7"/>
      <c r="G122" s="7"/>
      <c r="H122" s="7"/>
      <c r="I122" s="7"/>
      <c r="J122" s="7"/>
      <c r="K122" s="380"/>
      <c r="L122" s="371"/>
      <c r="M122" s="371"/>
      <c r="N122" s="7"/>
      <c r="O122" s="8" t="b">
        <v>0</v>
      </c>
      <c r="P122" s="378" t="str">
        <f ca="1">"20 000$ ("&amp;语言!$A$20&amp;")"</f>
        <v>20 000$ (上锁宝箱)</v>
      </c>
      <c r="Q122" s="371"/>
      <c r="R122" s="371"/>
      <c r="S122" s="7"/>
      <c r="T122" s="7"/>
      <c r="U122" s="380"/>
      <c r="V122" s="371"/>
      <c r="W122" s="7"/>
      <c r="X122" s="7"/>
      <c r="Y122" s="7"/>
      <c r="Z122" s="7"/>
      <c r="AA122" s="7"/>
    </row>
    <row r="123" spans="1:27" ht="12.75" x14ac:dyDescent="0.2">
      <c r="A123" s="7"/>
      <c r="B123" s="385" t="str">
        <f ca="1">语言!$A$41&amp;" "&amp;语言!$A$14&amp;" 4"</f>
        <v>泰里翁 章节 4</v>
      </c>
      <c r="C123" s="371"/>
      <c r="D123" s="371"/>
      <c r="E123" s="371"/>
      <c r="F123" s="371"/>
      <c r="G123" s="371"/>
      <c r="H123" s="371"/>
      <c r="I123" s="371"/>
      <c r="J123" s="371"/>
      <c r="K123" s="371"/>
      <c r="L123" s="371"/>
      <c r="M123" s="371"/>
      <c r="N123" s="7"/>
      <c r="O123" s="385" t="str">
        <f ca="1">语言!$A$41&amp;" "&amp;语言!$A$14&amp;" 4"</f>
        <v>泰里翁 章节 4</v>
      </c>
      <c r="P123" s="371"/>
      <c r="Q123" s="371"/>
      <c r="R123" s="371"/>
      <c r="S123" s="7"/>
      <c r="T123" s="7"/>
      <c r="U123" s="380"/>
      <c r="V123" s="371"/>
      <c r="W123" s="7"/>
      <c r="X123" s="385" t="str">
        <f ca="1">语言!$A$41&amp;" "&amp;语言!$A$14&amp;" 4"</f>
        <v>泰里翁 章节 4</v>
      </c>
      <c r="Y123" s="371"/>
      <c r="Z123" s="371"/>
      <c r="AA123" s="7"/>
    </row>
    <row r="124" spans="1:27" ht="12.75" x14ac:dyDescent="0.2">
      <c r="A124" s="7"/>
      <c r="B124" s="406" t="str">
        <f ca="1">语言!A$340</f>
        <v>诺斯利奇</v>
      </c>
      <c r="C124" s="371"/>
      <c r="D124" s="371"/>
      <c r="E124" s="371"/>
      <c r="F124" s="371"/>
      <c r="G124" s="371"/>
      <c r="H124" s="371"/>
      <c r="I124" s="371"/>
      <c r="J124" s="371"/>
      <c r="K124" s="371"/>
      <c r="L124" s="371"/>
      <c r="M124" s="371"/>
      <c r="N124" s="7"/>
      <c r="O124" s="8" t="b">
        <v>0</v>
      </c>
      <c r="P124" s="378" t="str">
        <f ca="1">道具!$C$34</f>
        <v>冰之精灵石（大）</v>
      </c>
      <c r="Q124" s="371"/>
      <c r="R124" s="371"/>
      <c r="S124" s="7"/>
      <c r="T124" s="7"/>
      <c r="U124" s="380"/>
      <c r="V124" s="371"/>
      <c r="W124" s="7"/>
      <c r="X124" s="379" t="b">
        <v>0</v>
      </c>
      <c r="Y124" s="401" t="str">
        <f ca="1">语言!$A$2096&amp;" (NPC)
Valuable:
"&amp;道具!F26</f>
        <v>盗贼 (NPC)
Valuable:
盗贼服</v>
      </c>
      <c r="Z124" s="402" t="str">
        <f ca="1">"Steal the "&amp;道具!F26&amp;" first before going for "&amp;道具!F27&amp;", otherwise you'll miss the opportunity. Once you got it you can go to "&amp;语言!A$344&amp;" and see an optional cut scene. Do note however this item is not required for the achievement, however you'll also miss ""Robbing a Robber"" &amp; ""Slacker"" in your journal if you don't do this."</f>
        <v>Steal the 盗贼服 first before going for 盗贼干部服, otherwise you'll miss the opportunity. Once you got it you can go to 废教会地下 and see an optional cut scene. Do note however this item is not required for the achievement, however you'll also miss "Robbing a Robber" &amp; "Slacker" in your journal if you don't do this.</v>
      </c>
      <c r="AA124" s="7"/>
    </row>
    <row r="125" spans="1:27" ht="12.75" x14ac:dyDescent="0.2">
      <c r="A125" s="7"/>
      <c r="B125" s="428" t="str">
        <f ca="1">语言!$A$17</f>
        <v>特殊怪</v>
      </c>
      <c r="C125" s="371"/>
      <c r="D125" s="371"/>
      <c r="E125" s="371"/>
      <c r="F125" s="371"/>
      <c r="G125" s="371"/>
      <c r="H125" s="371"/>
      <c r="I125" s="371"/>
      <c r="J125" s="371"/>
      <c r="K125" s="371"/>
      <c r="L125" s="371"/>
      <c r="M125" s="371"/>
      <c r="N125" s="7"/>
      <c r="O125" s="382" t="str">
        <f ca="1">语言!A$344&amp;" (45) (5 "&amp;语言!$A$19&amp;")"</f>
        <v>废教会地下 (45) (5 宝箱)</v>
      </c>
      <c r="P125" s="371"/>
      <c r="Q125" s="371"/>
      <c r="R125" s="371"/>
      <c r="S125" s="7"/>
      <c r="T125" s="7"/>
      <c r="U125" s="380"/>
      <c r="V125" s="371"/>
      <c r="W125" s="7"/>
      <c r="X125" s="371"/>
      <c r="Y125" s="371"/>
      <c r="Z125" s="371"/>
      <c r="AA125" s="7"/>
    </row>
    <row r="126" spans="1:27" ht="12.75" x14ac:dyDescent="0.2">
      <c r="A126" s="7"/>
      <c r="B126" s="10" t="b">
        <v>0</v>
      </c>
      <c r="C126" s="378" t="str">
        <f ca="1">敌人!C$479</f>
        <v>盗贼团的手下 I</v>
      </c>
      <c r="D126" s="371"/>
      <c r="E126" s="10">
        <f>敌人!D$479</f>
        <v>4</v>
      </c>
      <c r="F126" s="10">
        <f>敌人!E$479</f>
        <v>0</v>
      </c>
      <c r="G126" s="10">
        <f>敌人!F$479</f>
        <v>0</v>
      </c>
      <c r="H126" s="10">
        <f>敌人!G$479</f>
        <v>0</v>
      </c>
      <c r="I126" s="10">
        <f>敌人!H$479</f>
        <v>0</v>
      </c>
      <c r="J126" s="10">
        <f>敌人!I$479</f>
        <v>0</v>
      </c>
      <c r="K126" s="378" t="str">
        <f ca="1">敌人!J$479</f>
        <v>ＢＰ恢复的石榴</v>
      </c>
      <c r="L126" s="371"/>
      <c r="M126" s="371"/>
      <c r="N126" s="7"/>
      <c r="O126" s="8" t="b">
        <v>0</v>
      </c>
      <c r="P126" s="378" t="str">
        <f ca="1">道具!$C$24</f>
        <v>昏迷治疗药草</v>
      </c>
      <c r="Q126" s="371"/>
      <c r="R126" s="371"/>
      <c r="S126" s="7"/>
      <c r="T126" s="7"/>
      <c r="U126" s="380"/>
      <c r="V126" s="371"/>
      <c r="W126" s="7"/>
      <c r="X126" s="371"/>
      <c r="Y126" s="371"/>
      <c r="Z126" s="371"/>
      <c r="AA126" s="7"/>
    </row>
    <row r="127" spans="1:27" ht="12.75" x14ac:dyDescent="0.2">
      <c r="A127" s="7"/>
      <c r="B127" s="10" t="b">
        <v>0</v>
      </c>
      <c r="C127" s="378" t="str">
        <f ca="1">敌人!C$480</f>
        <v>盗贼团的手下 II</v>
      </c>
      <c r="D127" s="371"/>
      <c r="E127" s="10">
        <f>敌人!D$480</f>
        <v>4</v>
      </c>
      <c r="F127" s="10">
        <f>敌人!E$480</f>
        <v>0</v>
      </c>
      <c r="G127" s="10">
        <f>敌人!F$480</f>
        <v>0</v>
      </c>
      <c r="H127" s="10">
        <f>敌人!G$480</f>
        <v>0</v>
      </c>
      <c r="I127" s="10">
        <f>敌人!H$480</f>
        <v>0</v>
      </c>
      <c r="J127" s="10">
        <f>敌人!I$480</f>
        <v>0</v>
      </c>
      <c r="K127" s="378" t="str">
        <f ca="1">敌人!J$480</f>
        <v>ＳＰ恢复的李子</v>
      </c>
      <c r="L127" s="371"/>
      <c r="M127" s="371"/>
      <c r="N127" s="7"/>
      <c r="O127" s="8" t="b">
        <v>0</v>
      </c>
      <c r="P127" s="378" t="str">
        <f ca="1">道具!$C$12</f>
        <v>ＨＰ／ＳＰ恢复的果酱</v>
      </c>
      <c r="Q127" s="371"/>
      <c r="R127" s="371"/>
      <c r="S127" s="7"/>
      <c r="T127" s="7"/>
      <c r="U127" s="380"/>
      <c r="V127" s="371"/>
      <c r="W127" s="7"/>
      <c r="X127" s="371"/>
      <c r="Y127" s="371"/>
      <c r="Z127" s="371"/>
      <c r="AA127" s="7"/>
    </row>
    <row r="128" spans="1:27" ht="12.75" x14ac:dyDescent="0.2">
      <c r="A128" s="7"/>
      <c r="B128" s="406" t="str">
        <f ca="1">语言!A$344&amp;" ("&amp;语言!$A$12&amp;" 45)"</f>
        <v>废教会地下 (危险度 45)</v>
      </c>
      <c r="C128" s="371"/>
      <c r="D128" s="371"/>
      <c r="E128" s="371"/>
      <c r="F128" s="371"/>
      <c r="G128" s="371"/>
      <c r="H128" s="371"/>
      <c r="I128" s="371"/>
      <c r="J128" s="371"/>
      <c r="K128" s="371"/>
      <c r="L128" s="371"/>
      <c r="M128" s="371"/>
      <c r="N128" s="7"/>
      <c r="O128" s="8" t="b">
        <v>0</v>
      </c>
      <c r="P128" s="378" t="str">
        <f ca="1">道具!$C$35</f>
        <v>冰之精灵石（特大）</v>
      </c>
      <c r="Q128" s="371"/>
      <c r="R128" s="371"/>
      <c r="S128" s="7"/>
      <c r="T128" s="7"/>
      <c r="U128" s="380"/>
      <c r="V128" s="371"/>
      <c r="W128" s="7"/>
      <c r="X128" s="371"/>
      <c r="Y128" s="371"/>
      <c r="Z128" s="371"/>
      <c r="AA128" s="7"/>
    </row>
    <row r="129" spans="1:27" ht="12.75" x14ac:dyDescent="0.2">
      <c r="A129" s="7"/>
      <c r="B129" s="10" t="b">
        <v>0</v>
      </c>
      <c r="C129" s="378" t="str">
        <f ca="1">敌人!C$39</f>
        <v>盗贼团干部 I</v>
      </c>
      <c r="D129" s="371"/>
      <c r="E129" s="10">
        <f>敌人!D$39</f>
        <v>2</v>
      </c>
      <c r="F129" s="10">
        <f>敌人!E$39</f>
        <v>0</v>
      </c>
      <c r="G129" s="10">
        <f>敌人!F$39</f>
        <v>0</v>
      </c>
      <c r="H129" s="10">
        <f>敌人!G$39</f>
        <v>0</v>
      </c>
      <c r="I129" s="10">
        <f>敌人!H$39</f>
        <v>0</v>
      </c>
      <c r="J129" s="10">
        <f>敌人!I$39</f>
        <v>0</v>
      </c>
      <c r="K129" s="378" t="str">
        <f ca="1">敌人!J$39</f>
        <v>ＨＰ全体恢复的葡萄</v>
      </c>
      <c r="L129" s="371"/>
      <c r="M129" s="371"/>
      <c r="N129" s="7"/>
      <c r="O129" s="8" t="b">
        <v>0</v>
      </c>
      <c r="P129" s="378" t="str">
        <f ca="1">道具!$C$512</f>
        <v>闪光避邪符</v>
      </c>
      <c r="Q129" s="371"/>
      <c r="R129" s="371"/>
      <c r="S129" s="7"/>
      <c r="T129" s="7"/>
      <c r="U129" s="380"/>
      <c r="V129" s="371"/>
      <c r="W129" s="7"/>
      <c r="X129" s="371"/>
      <c r="Y129" s="371"/>
      <c r="Z129" s="371"/>
      <c r="AA129" s="7"/>
    </row>
    <row r="130" spans="1:27" ht="12.75" x14ac:dyDescent="0.2">
      <c r="A130" s="7"/>
      <c r="B130" s="10" t="b">
        <v>0</v>
      </c>
      <c r="C130" s="378" t="str">
        <f ca="1">敌人!C$40</f>
        <v>盗贼团干部 II</v>
      </c>
      <c r="D130" s="371"/>
      <c r="E130" s="10">
        <f>敌人!D$40</f>
        <v>1</v>
      </c>
      <c r="F130" s="10">
        <f>敌人!E$40</f>
        <v>0</v>
      </c>
      <c r="G130" s="10">
        <f>敌人!F$40</f>
        <v>0</v>
      </c>
      <c r="H130" s="10">
        <f>敌人!G$40</f>
        <v>0</v>
      </c>
      <c r="I130" s="10">
        <f>敌人!H$40</f>
        <v>0</v>
      </c>
      <c r="J130" s="10">
        <f>敌人!I$40</f>
        <v>0</v>
      </c>
      <c r="K130" s="378" t="str">
        <f ca="1">敌人!J$40</f>
        <v>ＳＰ恢复的李子（大）</v>
      </c>
      <c r="L130" s="371"/>
      <c r="M130" s="371"/>
      <c r="N130" s="7"/>
      <c r="O130" s="8" t="b">
        <v>0</v>
      </c>
      <c r="P130" s="378" t="str">
        <f ca="1">道具!$C$137&amp;" ("&amp;语言!$A$20&amp;")"</f>
        <v>魔力之剑 (上锁宝箱)</v>
      </c>
      <c r="Q130" s="371"/>
      <c r="R130" s="371"/>
      <c r="S130" s="7"/>
      <c r="T130" s="7"/>
      <c r="U130" s="380"/>
      <c r="V130" s="371"/>
      <c r="W130" s="7"/>
      <c r="X130" s="7"/>
      <c r="Y130" s="7"/>
      <c r="Z130" s="7"/>
      <c r="AA130" s="7"/>
    </row>
    <row r="131" spans="1:27" ht="12.75" x14ac:dyDescent="0.2">
      <c r="A131" s="7"/>
      <c r="B131" s="10" t="b">
        <v>0</v>
      </c>
      <c r="C131" s="378" t="str">
        <f ca="1">敌人!C$17</f>
        <v>山贼骷髅</v>
      </c>
      <c r="D131" s="371"/>
      <c r="E131" s="10">
        <f>敌人!D$17</f>
        <v>2</v>
      </c>
      <c r="F131" s="10">
        <f>敌人!E$17</f>
        <v>0</v>
      </c>
      <c r="G131" s="10">
        <f>敌人!F$17</f>
        <v>0</v>
      </c>
      <c r="H131" s="10">
        <f>敌人!G$17</f>
        <v>0</v>
      </c>
      <c r="I131" s="10">
        <f>敌人!H$17</f>
        <v>0</v>
      </c>
      <c r="J131" s="10">
        <f>敌人!I$17</f>
        <v>0</v>
      </c>
      <c r="K131" s="378" t="str">
        <f ca="1">敌人!J$17</f>
        <v>装了破烂儿的小袋子</v>
      </c>
      <c r="L131" s="371"/>
      <c r="M131" s="371"/>
      <c r="N131" s="7"/>
      <c r="O131" s="382" t="str">
        <f ca="1">语言!A$344&amp;" (46) (6 "&amp;语言!$A$19&amp;")"</f>
        <v>废教会地下 (46) (6 宝箱)</v>
      </c>
      <c r="P131" s="371"/>
      <c r="Q131" s="371"/>
      <c r="R131" s="371"/>
      <c r="S131" s="7"/>
      <c r="T131" s="7"/>
      <c r="U131" s="380"/>
      <c r="V131" s="371"/>
      <c r="W131" s="7"/>
      <c r="X131" s="7"/>
      <c r="Y131" s="7"/>
      <c r="Z131" s="7"/>
      <c r="AA131" s="7"/>
    </row>
    <row r="132" spans="1:27" ht="12.75" x14ac:dyDescent="0.2">
      <c r="A132" s="7"/>
      <c r="B132" s="10" t="b">
        <v>0</v>
      </c>
      <c r="C132" s="378" t="str">
        <f ca="1">敌人!C$50</f>
        <v>肉食蝙蝠</v>
      </c>
      <c r="D132" s="371"/>
      <c r="E132" s="10">
        <f>敌人!D$50</f>
        <v>1</v>
      </c>
      <c r="F132" s="10">
        <f>敌人!E$50</f>
        <v>0</v>
      </c>
      <c r="G132" s="10">
        <f>敌人!F$50</f>
        <v>0</v>
      </c>
      <c r="H132" s="10">
        <f>敌人!G$50</f>
        <v>0</v>
      </c>
      <c r="I132" s="10">
        <f>敌人!H$50</f>
        <v>0</v>
      </c>
      <c r="J132" s="10">
        <f>敌人!I$50</f>
        <v>0</v>
      </c>
      <c r="K132" s="378" t="str">
        <f ca="1">敌人!J$50</f>
        <v>神秘之花</v>
      </c>
      <c r="L132" s="371"/>
      <c r="M132" s="371"/>
      <c r="N132" s="7"/>
      <c r="O132" s="8" t="b">
        <v>0</v>
      </c>
      <c r="P132" s="378" t="str">
        <f ca="1">道具!$C$520</f>
        <v>睡眠耐性石</v>
      </c>
      <c r="Q132" s="371"/>
      <c r="R132" s="371"/>
      <c r="S132" s="7"/>
      <c r="T132" s="7"/>
      <c r="U132" s="380"/>
      <c r="V132" s="371"/>
      <c r="W132" s="7"/>
      <c r="X132" s="7"/>
      <c r="Y132" s="7"/>
      <c r="Z132" s="7"/>
      <c r="AA132" s="7"/>
    </row>
    <row r="133" spans="1:27" ht="12.75" x14ac:dyDescent="0.2">
      <c r="A133" s="7"/>
      <c r="B133" s="10" t="b">
        <v>0</v>
      </c>
      <c r="C133" s="378" t="str">
        <f ca="1">敌人!C$171</f>
        <v>冰元素</v>
      </c>
      <c r="D133" s="371"/>
      <c r="E133" s="10">
        <f>敌人!D$171</f>
        <v>4</v>
      </c>
      <c r="F133" s="10">
        <f>敌人!E$171</f>
        <v>0</v>
      </c>
      <c r="G133" s="10">
        <f>敌人!F$171</f>
        <v>0</v>
      </c>
      <c r="H133" s="10">
        <f>敌人!G$171</f>
        <v>0</v>
      </c>
      <c r="I133" s="10">
        <f>敌人!H$171</f>
        <v>0</v>
      </c>
      <c r="J133" s="10">
        <f>敌人!I$171</f>
        <v>0</v>
      </c>
      <c r="K133" s="378" t="str">
        <f ca="1">敌人!J$171</f>
        <v>冰之精灵石（特大）</v>
      </c>
      <c r="L133" s="371"/>
      <c r="M133" s="371"/>
      <c r="N133" s="7"/>
      <c r="O133" s="8" t="b">
        <v>0</v>
      </c>
      <c r="P133" s="378" t="str">
        <f ca="1">道具!$C$11</f>
        <v>ＢＰ恢复的石榴（特大）</v>
      </c>
      <c r="Q133" s="371"/>
      <c r="R133" s="371"/>
      <c r="S133" s="7"/>
      <c r="T133" s="7"/>
      <c r="U133" s="380"/>
      <c r="V133" s="371"/>
      <c r="W133" s="7"/>
      <c r="X133" s="7"/>
      <c r="Y133" s="7"/>
      <c r="Z133" s="7"/>
      <c r="AA133" s="7"/>
    </row>
    <row r="134" spans="1:27" ht="12.75" x14ac:dyDescent="0.2">
      <c r="A134" s="7"/>
      <c r="B134" s="406" t="str">
        <f ca="1">语言!A$344&amp;" ("&amp;语言!$A$12&amp;" 46)"</f>
        <v>废教会地下 (危险度 46)</v>
      </c>
      <c r="C134" s="371"/>
      <c r="D134" s="371"/>
      <c r="E134" s="371"/>
      <c r="F134" s="371"/>
      <c r="G134" s="371"/>
      <c r="H134" s="371"/>
      <c r="I134" s="371"/>
      <c r="J134" s="371"/>
      <c r="K134" s="371"/>
      <c r="L134" s="371"/>
      <c r="M134" s="371"/>
      <c r="N134" s="7"/>
      <c r="O134" s="8" t="b">
        <v>0</v>
      </c>
      <c r="P134" s="378" t="str">
        <f ca="1">道具!$C$8</f>
        <v>ＳＰ全体恢复的李子</v>
      </c>
      <c r="Q134" s="371"/>
      <c r="R134" s="371"/>
      <c r="S134" s="7"/>
      <c r="T134" s="7"/>
      <c r="U134" s="380"/>
      <c r="V134" s="371"/>
      <c r="W134" s="7"/>
      <c r="X134" s="7"/>
      <c r="Y134" s="7"/>
      <c r="Z134" s="7"/>
      <c r="AA134" s="7"/>
    </row>
    <row r="135" spans="1:27" ht="12.75" x14ac:dyDescent="0.2">
      <c r="A135" s="7"/>
      <c r="B135" s="10" t="b">
        <v>0</v>
      </c>
      <c r="C135" s="378" t="str">
        <f ca="1">敌人!C$39</f>
        <v>盗贼团干部 I</v>
      </c>
      <c r="D135" s="371"/>
      <c r="E135" s="10">
        <f>敌人!D$39</f>
        <v>2</v>
      </c>
      <c r="F135" s="10">
        <f>敌人!E$39</f>
        <v>0</v>
      </c>
      <c r="G135" s="10">
        <f>敌人!F$39</f>
        <v>0</v>
      </c>
      <c r="H135" s="10">
        <f>敌人!G$39</f>
        <v>0</v>
      </c>
      <c r="I135" s="10">
        <f>敌人!H$39</f>
        <v>0</v>
      </c>
      <c r="J135" s="10">
        <f>敌人!I$39</f>
        <v>0</v>
      </c>
      <c r="K135" s="378" t="str">
        <f ca="1">敌人!J$39</f>
        <v>ＨＰ全体恢复的葡萄</v>
      </c>
      <c r="L135" s="371"/>
      <c r="M135" s="371"/>
      <c r="N135" s="7"/>
      <c r="O135" s="8" t="b">
        <v>0</v>
      </c>
      <c r="P135" s="378" t="str">
        <f ca="1">道具!$C$12</f>
        <v>ＨＰ／ＳＰ恢复的果酱</v>
      </c>
      <c r="Q135" s="371"/>
      <c r="R135" s="371"/>
      <c r="S135" s="7"/>
      <c r="T135" s="7"/>
      <c r="U135" s="380"/>
      <c r="V135" s="371"/>
      <c r="W135" s="7"/>
      <c r="X135" s="7"/>
      <c r="Y135" s="7"/>
      <c r="Z135" s="7"/>
      <c r="AA135" s="7"/>
    </row>
    <row r="136" spans="1:27" ht="12.75" x14ac:dyDescent="0.2">
      <c r="A136" s="7"/>
      <c r="B136" s="10" t="b">
        <v>0</v>
      </c>
      <c r="C136" s="378" t="str">
        <f ca="1">敌人!C$40</f>
        <v>盗贼团干部 II</v>
      </c>
      <c r="D136" s="371"/>
      <c r="E136" s="10">
        <f>敌人!D$40</f>
        <v>1</v>
      </c>
      <c r="F136" s="10">
        <f>敌人!E$40</f>
        <v>0</v>
      </c>
      <c r="G136" s="10">
        <f>敌人!F$40</f>
        <v>0</v>
      </c>
      <c r="H136" s="10">
        <f>敌人!G$40</f>
        <v>0</v>
      </c>
      <c r="I136" s="10">
        <f>敌人!H$40</f>
        <v>0</v>
      </c>
      <c r="J136" s="10">
        <f>敌人!I$40</f>
        <v>0</v>
      </c>
      <c r="K136" s="378" t="str">
        <f ca="1">敌人!J$40</f>
        <v>ＳＰ恢复的李子（大）</v>
      </c>
      <c r="L136" s="371"/>
      <c r="M136" s="371"/>
      <c r="N136" s="7"/>
      <c r="O136" s="8" t="b">
        <v>0</v>
      </c>
      <c r="P136" s="378" t="str">
        <f ca="1">道具!$C$129</f>
        <v>奇特的古董</v>
      </c>
      <c r="Q136" s="371"/>
      <c r="R136" s="371"/>
      <c r="S136" s="7"/>
      <c r="T136" s="7"/>
      <c r="U136" s="380"/>
      <c r="V136" s="371"/>
      <c r="W136" s="7"/>
      <c r="X136" s="7"/>
      <c r="Y136" s="7"/>
      <c r="Z136" s="7"/>
      <c r="AA136" s="7"/>
    </row>
    <row r="137" spans="1:27" ht="12.75" x14ac:dyDescent="0.2">
      <c r="A137" s="7"/>
      <c r="B137" s="10" t="b">
        <v>0</v>
      </c>
      <c r="C137" s="378" t="str">
        <f ca="1">敌人!C$41</f>
        <v>盗贼团干部 III</v>
      </c>
      <c r="D137" s="371"/>
      <c r="E137" s="10">
        <f>敌人!D$41</f>
        <v>4</v>
      </c>
      <c r="F137" s="10">
        <f>敌人!E$41</f>
        <v>0</v>
      </c>
      <c r="G137" s="10">
        <f>敌人!F$41</f>
        <v>0</v>
      </c>
      <c r="H137" s="10">
        <f>敌人!G$41</f>
        <v>0</v>
      </c>
      <c r="I137" s="10">
        <f>敌人!H$41</f>
        <v>0</v>
      </c>
      <c r="J137" s="10">
        <f>敌人!I$41</f>
        <v>0</v>
      </c>
      <c r="K137" s="378" t="str">
        <f ca="1">敌人!J$41</f>
        <v>ＨＰ／ＳＰ恢复的果酱</v>
      </c>
      <c r="L137" s="371"/>
      <c r="M137" s="371"/>
      <c r="N137" s="7"/>
      <c r="O137" s="8" t="b">
        <v>0</v>
      </c>
      <c r="P137" s="378" t="str">
        <f ca="1">道具!$C$511</f>
        <v>霄暗避邪符</v>
      </c>
      <c r="Q137" s="371"/>
      <c r="R137" s="371"/>
      <c r="S137" s="7"/>
      <c r="T137" s="7"/>
      <c r="U137" s="380"/>
      <c r="V137" s="371"/>
      <c r="W137" s="7"/>
      <c r="X137" s="7"/>
      <c r="Y137" s="7"/>
      <c r="Z137" s="7"/>
      <c r="AA137" s="7"/>
    </row>
    <row r="138" spans="1:27" ht="12.75" x14ac:dyDescent="0.2">
      <c r="A138" s="7"/>
      <c r="B138" s="10" t="b">
        <v>0</v>
      </c>
      <c r="C138" s="378" t="str">
        <f ca="1">敌人!C$5</f>
        <v>冰冻的盔甲</v>
      </c>
      <c r="D138" s="371"/>
      <c r="E138" s="10">
        <f>敌人!D$5</f>
        <v>5</v>
      </c>
      <c r="F138" s="10">
        <f>敌人!E$5</f>
        <v>0</v>
      </c>
      <c r="G138" s="10">
        <f>敌人!F$5</f>
        <v>0</v>
      </c>
      <c r="H138" s="10">
        <f>敌人!G$5</f>
        <v>0</v>
      </c>
      <c r="I138" s="10">
        <f>敌人!H$5</f>
        <v>0</v>
      </c>
      <c r="J138" s="10">
        <f>敌人!I$5</f>
        <v>0</v>
      </c>
      <c r="K138" s="378" t="str">
        <f ca="1">敌人!J$5</f>
        <v>ＨＰ／ＳＰ恢复的果酱</v>
      </c>
      <c r="L138" s="371"/>
      <c r="M138" s="371"/>
      <c r="N138" s="7"/>
      <c r="O138" s="7"/>
      <c r="P138" s="405"/>
      <c r="Q138" s="371"/>
      <c r="R138" s="371"/>
      <c r="S138" s="7"/>
      <c r="T138" s="7"/>
      <c r="U138" s="380"/>
      <c r="V138" s="371"/>
      <c r="W138" s="7"/>
      <c r="X138" s="7"/>
      <c r="Y138" s="7"/>
      <c r="Z138" s="7"/>
      <c r="AA138" s="7"/>
    </row>
    <row r="139" spans="1:27" ht="12.75" x14ac:dyDescent="0.2">
      <c r="A139" s="7"/>
      <c r="B139" s="10" t="b">
        <v>0</v>
      </c>
      <c r="C139" s="378" t="str">
        <f ca="1">敌人!C$17</f>
        <v>山贼骷髅</v>
      </c>
      <c r="D139" s="371"/>
      <c r="E139" s="10">
        <f>敌人!D$17</f>
        <v>2</v>
      </c>
      <c r="F139" s="10">
        <f>敌人!E$17</f>
        <v>0</v>
      </c>
      <c r="G139" s="10">
        <f>敌人!F$17</f>
        <v>0</v>
      </c>
      <c r="H139" s="10">
        <f>敌人!G$17</f>
        <v>0</v>
      </c>
      <c r="I139" s="10">
        <f>敌人!H$17</f>
        <v>0</v>
      </c>
      <c r="J139" s="10">
        <f>敌人!I$17</f>
        <v>0</v>
      </c>
      <c r="K139" s="378" t="str">
        <f ca="1">敌人!J$17</f>
        <v>装了破烂儿的小袋子</v>
      </c>
      <c r="L139" s="371"/>
      <c r="M139" s="371"/>
      <c r="N139" s="7"/>
      <c r="O139" s="7"/>
      <c r="P139" s="380"/>
      <c r="Q139" s="371"/>
      <c r="R139" s="371"/>
      <c r="S139" s="7"/>
      <c r="T139" s="7"/>
      <c r="U139" s="380"/>
      <c r="V139" s="371"/>
      <c r="W139" s="7"/>
      <c r="X139" s="7"/>
      <c r="Y139" s="7"/>
      <c r="Z139" s="7"/>
      <c r="AA139" s="7"/>
    </row>
    <row r="140" spans="1:27" ht="12.75" x14ac:dyDescent="0.2">
      <c r="A140" s="7"/>
      <c r="B140" s="10" t="b">
        <v>0</v>
      </c>
      <c r="C140" s="378" t="str">
        <f ca="1">敌人!C$50</f>
        <v>肉食蝙蝠</v>
      </c>
      <c r="D140" s="371"/>
      <c r="E140" s="10">
        <f>敌人!D$50</f>
        <v>1</v>
      </c>
      <c r="F140" s="10">
        <f>敌人!E$50</f>
        <v>0</v>
      </c>
      <c r="G140" s="10">
        <f>敌人!F$50</f>
        <v>0</v>
      </c>
      <c r="H140" s="10">
        <f>敌人!G$50</f>
        <v>0</v>
      </c>
      <c r="I140" s="10">
        <f>敌人!H$50</f>
        <v>0</v>
      </c>
      <c r="J140" s="10">
        <f>敌人!I$50</f>
        <v>0</v>
      </c>
      <c r="K140" s="378" t="str">
        <f ca="1">敌人!J$50</f>
        <v>神秘之花</v>
      </c>
      <c r="L140" s="371"/>
      <c r="M140" s="371"/>
      <c r="N140" s="7"/>
      <c r="O140" s="7"/>
      <c r="P140" s="380"/>
      <c r="Q140" s="371"/>
      <c r="R140" s="371"/>
      <c r="S140" s="7"/>
      <c r="T140" s="7"/>
      <c r="U140" s="380"/>
      <c r="V140" s="371"/>
      <c r="W140" s="7"/>
      <c r="X140" s="7"/>
      <c r="Y140" s="7"/>
      <c r="Z140" s="7"/>
      <c r="AA140" s="7"/>
    </row>
    <row r="141" spans="1:27" ht="12.75" x14ac:dyDescent="0.2">
      <c r="A141" s="7"/>
      <c r="B141" s="10" t="b">
        <v>0</v>
      </c>
      <c r="C141" s="378" t="str">
        <f ca="1">敌人!C$171</f>
        <v>冰元素</v>
      </c>
      <c r="D141" s="371"/>
      <c r="E141" s="10">
        <f>敌人!D$171</f>
        <v>4</v>
      </c>
      <c r="F141" s="10">
        <f>敌人!E$171</f>
        <v>0</v>
      </c>
      <c r="G141" s="10">
        <f>敌人!F$171</f>
        <v>0</v>
      </c>
      <c r="H141" s="10">
        <f>敌人!G$171</f>
        <v>0</v>
      </c>
      <c r="I141" s="10">
        <f>敌人!H$171</f>
        <v>0</v>
      </c>
      <c r="J141" s="10">
        <f>敌人!I$171</f>
        <v>0</v>
      </c>
      <c r="K141" s="378" t="str">
        <f ca="1">敌人!J$171</f>
        <v>冰之精灵石（特大）</v>
      </c>
      <c r="L141" s="371"/>
      <c r="M141" s="371"/>
      <c r="N141" s="7"/>
      <c r="O141" s="7"/>
      <c r="P141" s="380"/>
      <c r="Q141" s="371"/>
      <c r="R141" s="371"/>
      <c r="S141" s="7"/>
      <c r="T141" s="7"/>
      <c r="U141" s="380"/>
      <c r="V141" s="371"/>
      <c r="W141" s="7"/>
      <c r="X141" s="7"/>
      <c r="Y141" s="7"/>
      <c r="Z141" s="7"/>
      <c r="AA141" s="7"/>
    </row>
    <row r="142" spans="1:27" ht="12.75" x14ac:dyDescent="0.2">
      <c r="A142" s="7"/>
      <c r="B142" s="428" t="str">
        <f ca="1">语言!$A$15</f>
        <v>Boss</v>
      </c>
      <c r="C142" s="371"/>
      <c r="D142" s="371"/>
      <c r="E142" s="371"/>
      <c r="F142" s="371"/>
      <c r="G142" s="371"/>
      <c r="H142" s="371"/>
      <c r="I142" s="371"/>
      <c r="J142" s="371"/>
      <c r="K142" s="371"/>
      <c r="L142" s="371"/>
      <c r="M142" s="371"/>
      <c r="N142" s="7"/>
      <c r="O142" s="7"/>
      <c r="P142" s="380"/>
      <c r="Q142" s="371"/>
      <c r="R142" s="371"/>
      <c r="S142" s="7"/>
      <c r="T142" s="7"/>
      <c r="U142" s="380"/>
      <c r="V142" s="371"/>
      <c r="W142" s="7"/>
      <c r="X142" s="7"/>
      <c r="Y142" s="7"/>
      <c r="Z142" s="7"/>
      <c r="AA142" s="7"/>
    </row>
    <row r="143" spans="1:27" ht="12.75" x14ac:dyDescent="0.2">
      <c r="A143" s="7"/>
      <c r="B143" s="10" t="b">
        <v>0</v>
      </c>
      <c r="C143" s="378" t="str">
        <f ca="1">敌人!C$481</f>
        <v>达留斯</v>
      </c>
      <c r="D143" s="371"/>
      <c r="E143" s="10">
        <f>敌人!D$481</f>
        <v>4</v>
      </c>
      <c r="F143" s="10">
        <f>敌人!E$481</f>
        <v>0</v>
      </c>
      <c r="G143" s="10">
        <f>敌人!F$481</f>
        <v>0</v>
      </c>
      <c r="H143" s="10">
        <f>敌人!G$481</f>
        <v>0</v>
      </c>
      <c r="I143" s="10">
        <f>敌人!H$481</f>
        <v>0</v>
      </c>
      <c r="J143" s="10">
        <f>敌人!I$481</f>
        <v>0</v>
      </c>
      <c r="K143" s="425" t="str">
        <f ca="1">敌人!J$481</f>
        <v>鲜红的苹果</v>
      </c>
      <c r="L143" s="371"/>
      <c r="M143" s="371"/>
      <c r="N143" s="7"/>
      <c r="O143" s="7"/>
      <c r="P143" s="380"/>
      <c r="Q143" s="371"/>
      <c r="R143" s="371"/>
      <c r="S143" s="7"/>
      <c r="T143" s="7"/>
      <c r="U143" s="380"/>
      <c r="V143" s="371"/>
      <c r="W143" s="7"/>
      <c r="X143" s="7"/>
      <c r="Y143" s="7"/>
      <c r="Z143" s="7"/>
      <c r="AA143" s="7"/>
    </row>
    <row r="144" spans="1:27" ht="12.75" x14ac:dyDescent="0.2">
      <c r="A144" s="7"/>
      <c r="B144" s="7"/>
      <c r="C144" s="380"/>
      <c r="D144" s="371"/>
      <c r="E144" s="7"/>
      <c r="F144" s="7"/>
      <c r="G144" s="7"/>
      <c r="H144" s="7"/>
      <c r="I144" s="7"/>
      <c r="J144" s="7"/>
      <c r="K144" s="380"/>
      <c r="L144" s="371"/>
      <c r="M144" s="371"/>
      <c r="N144" s="7"/>
      <c r="O144" s="7"/>
      <c r="P144" s="380"/>
      <c r="Q144" s="371"/>
      <c r="R144" s="371"/>
      <c r="S144" s="7"/>
      <c r="T144" s="7"/>
      <c r="U144" s="380"/>
      <c r="V144" s="371"/>
      <c r="W144" s="7"/>
      <c r="X144" s="7"/>
      <c r="Y144" s="7"/>
      <c r="Z144" s="7"/>
      <c r="AA144" s="7"/>
    </row>
    <row r="145" spans="1:27" ht="23.25" x14ac:dyDescent="0.35">
      <c r="A145" s="414" t="str">
        <f ca="1">语言!$A$345</f>
        <v>芙拉特兰多地区</v>
      </c>
      <c r="B145" s="371"/>
      <c r="C145" s="371"/>
      <c r="D145" s="371"/>
      <c r="E145" s="42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row>
    <row r="146" spans="1:27" ht="18" x14ac:dyDescent="0.25">
      <c r="A146" s="416" t="str">
        <f ca="1">语言!$A$323&amp;" 1"</f>
        <v>Tier 1</v>
      </c>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row>
    <row r="147" spans="1:27" ht="12.75" x14ac:dyDescent="0.2">
      <c r="A147" s="20"/>
      <c r="B147" s="21" t="b">
        <v>0</v>
      </c>
      <c r="C147" s="411" t="str">
        <f ca="1">敌人!C$48</f>
        <v>凯特林</v>
      </c>
      <c r="D147" s="371"/>
      <c r="E147" s="21">
        <f>敌人!D$48</f>
        <v>2</v>
      </c>
      <c r="F147" s="21">
        <f>敌人!E$48</f>
        <v>0</v>
      </c>
      <c r="G147" s="21">
        <f>敌人!F$48</f>
        <v>0</v>
      </c>
      <c r="H147" s="21">
        <f>敌人!G$48</f>
        <v>0</v>
      </c>
      <c r="I147" s="21">
        <f>敌人!H$48</f>
        <v>0</v>
      </c>
      <c r="J147" s="21">
        <f>敌人!I$48</f>
        <v>0</v>
      </c>
      <c r="K147" s="411" t="str">
        <f ca="1">敌人!J$48</f>
        <v>ＨＰ／ＳＰ／ＢＰ恢复的果酱</v>
      </c>
      <c r="L147" s="371"/>
      <c r="M147" s="371"/>
      <c r="N147" s="20"/>
      <c r="O147" s="418" t="str">
        <f ca="1">语言!A$346&amp;" (4 "&amp;语言!$A$19&amp;")"</f>
        <v>阿特拉斯达姆 (4 宝箱)</v>
      </c>
      <c r="P147" s="371"/>
      <c r="Q147" s="371"/>
      <c r="R147" s="371"/>
      <c r="S147" s="22"/>
      <c r="T147" s="418" t="str">
        <f ca="1">语言!A$346</f>
        <v>阿特拉斯达姆</v>
      </c>
      <c r="U147" s="371"/>
      <c r="V147" s="371"/>
      <c r="W147" s="20"/>
      <c r="X147" s="408" t="str">
        <f ca="1">语言!A$346</f>
        <v>阿特拉斯达姆</v>
      </c>
      <c r="Y147" s="371"/>
      <c r="Z147" s="371"/>
      <c r="AA147" s="20"/>
    </row>
    <row r="148" spans="1:27" ht="12.75" x14ac:dyDescent="0.2">
      <c r="A148" s="20"/>
      <c r="B148" s="417" t="str">
        <f ca="1">语言!$A$11&amp;" ("&amp;语言!$A$12&amp;" 1 - 4 - 7- 11)"</f>
        <v>以下地区的怪物都一样 (危险度 1 - 4 - 7- 11)</v>
      </c>
      <c r="C148" s="371"/>
      <c r="D148" s="371"/>
      <c r="E148" s="371"/>
      <c r="F148" s="371"/>
      <c r="G148" s="371"/>
      <c r="H148" s="371"/>
      <c r="I148" s="371"/>
      <c r="J148" s="371"/>
      <c r="K148" s="371"/>
      <c r="L148" s="371"/>
      <c r="M148" s="371"/>
      <c r="N148" s="20"/>
      <c r="O148" s="23" t="b">
        <v>0</v>
      </c>
      <c r="P148" s="426" t="str">
        <f ca="1">道具!$C$36</f>
        <v>雷之精灵石</v>
      </c>
      <c r="Q148" s="371"/>
      <c r="R148" s="371"/>
      <c r="S148" s="22"/>
      <c r="T148" s="21" t="b">
        <v>0</v>
      </c>
      <c r="U148" s="411" t="str">
        <f ca="1">道具!$C$44</f>
        <v>光之精灵石（大）</v>
      </c>
      <c r="V148" s="371"/>
      <c r="W148" s="20"/>
      <c r="X148" s="411" t="b">
        <v>0</v>
      </c>
      <c r="Y148" s="409" t="str">
        <f ca="1">语言!$A$1913&amp;" (NPC)"</f>
        <v>伊冯校长 (NPC)</v>
      </c>
      <c r="Z148" s="410" t="str">
        <f ca="1">"NPC is available only during "&amp;语言!$A$36&amp;" Chapter 1. He doesn't have much interesting on him but he deserves to get stolen (if you have either "&amp;语言!$A$37&amp;" or "&amp;语言!$A$41&amp;" at this point)."</f>
        <v>NPC is available only during 赛拉斯 Chapter 1. He doesn't have much interesting on him but he deserves to get stolen (if you have either 特蕾莎 or 泰里翁 at this point).</v>
      </c>
      <c r="AA148" s="20"/>
    </row>
    <row r="149" spans="1:27" ht="12.75" x14ac:dyDescent="0.2">
      <c r="A149" s="20"/>
      <c r="B149" s="418" t="str">
        <f ca="1">语言!A$350</f>
        <v>东阿特拉斯达姆平原</v>
      </c>
      <c r="C149" s="371"/>
      <c r="D149" s="371"/>
      <c r="E149" s="371"/>
      <c r="F149" s="371"/>
      <c r="G149" s="371"/>
      <c r="H149" s="371"/>
      <c r="I149" s="371"/>
      <c r="J149" s="371"/>
      <c r="K149" s="371"/>
      <c r="L149" s="371"/>
      <c r="M149" s="371"/>
      <c r="N149" s="20"/>
      <c r="O149" s="23" t="b">
        <v>0</v>
      </c>
      <c r="P149" s="426" t="str">
        <f ca="1">道具!$C$22</f>
        <v>睡眠治疗药草</v>
      </c>
      <c r="Q149" s="371"/>
      <c r="R149" s="371"/>
      <c r="S149" s="22"/>
      <c r="T149" s="21" t="b">
        <v>0</v>
      </c>
      <c r="U149" s="411" t="str">
        <f ca="1">道具!$C$49</f>
        <v>增强ＨＰ的坚果</v>
      </c>
      <c r="V149" s="371"/>
      <c r="W149" s="20"/>
      <c r="X149" s="371"/>
      <c r="Y149" s="371"/>
      <c r="Z149" s="371"/>
      <c r="AA149" s="20"/>
    </row>
    <row r="150" spans="1:27" ht="12.75" x14ac:dyDescent="0.2">
      <c r="A150" s="20"/>
      <c r="B150" s="418" t="str">
        <f ca="1">语言!A$351</f>
        <v>北阿特拉斯达姆平原</v>
      </c>
      <c r="C150" s="371"/>
      <c r="D150" s="371"/>
      <c r="E150" s="371"/>
      <c r="F150" s="371"/>
      <c r="G150" s="371"/>
      <c r="H150" s="371"/>
      <c r="I150" s="371"/>
      <c r="J150" s="371"/>
      <c r="K150" s="371"/>
      <c r="L150" s="371"/>
      <c r="M150" s="371"/>
      <c r="N150" s="20"/>
      <c r="O150" s="23" t="b">
        <v>0</v>
      </c>
      <c r="P150" s="426" t="str">
        <f ca="1">道具!$C$6</f>
        <v>ＳＰ恢复的李子</v>
      </c>
      <c r="Q150" s="371"/>
      <c r="R150" s="371"/>
      <c r="S150" s="22"/>
      <c r="T150" s="21" t="b">
        <v>0</v>
      </c>
      <c r="U150" s="411" t="str">
        <f ca="1">道具!$C$94</f>
        <v>空空的钱包</v>
      </c>
      <c r="V150" s="371"/>
      <c r="W150" s="20"/>
      <c r="X150" s="371"/>
      <c r="Y150" s="371"/>
      <c r="Z150" s="371"/>
      <c r="AA150" s="20"/>
    </row>
    <row r="151" spans="1:27" ht="12.75" x14ac:dyDescent="0.2">
      <c r="A151" s="20"/>
      <c r="B151" s="23" t="b">
        <v>0</v>
      </c>
      <c r="C151" s="419" t="str">
        <f ca="1">敌人!C$110</f>
        <v>平原巨蛙 I</v>
      </c>
      <c r="D151" s="371"/>
      <c r="E151" s="23">
        <f>敌人!D$110</f>
        <v>1</v>
      </c>
      <c r="F151" s="23">
        <f>敌人!E$110</f>
        <v>0</v>
      </c>
      <c r="G151" s="23">
        <f>敌人!F$110</f>
        <v>0</v>
      </c>
      <c r="H151" s="23">
        <f>敌人!G$110</f>
        <v>0</v>
      </c>
      <c r="I151" s="23">
        <f>敌人!H$110</f>
        <v>0</v>
      </c>
      <c r="J151" s="23">
        <f>敌人!I$110</f>
        <v>0</v>
      </c>
      <c r="K151" s="419" t="str">
        <f ca="1">敌人!J$110</f>
        <v>ＳＰ恢复的李子</v>
      </c>
      <c r="L151" s="371"/>
      <c r="M151" s="371"/>
      <c r="N151" s="20"/>
      <c r="O151" s="23" t="b">
        <v>0</v>
      </c>
      <c r="P151" s="426" t="str">
        <f ca="1">道具!$C$3</f>
        <v>ＨＰ恢复的葡萄</v>
      </c>
      <c r="Q151" s="371"/>
      <c r="R151" s="371"/>
      <c r="S151" s="22"/>
      <c r="T151" s="21" t="b">
        <v>0</v>
      </c>
      <c r="U151" s="411" t="str">
        <f ca="1">道具!$C$43</f>
        <v>光之精灵石</v>
      </c>
      <c r="V151" s="371"/>
      <c r="W151" s="20"/>
      <c r="X151" s="411" t="b">
        <v>0</v>
      </c>
      <c r="Y151" s="409" t="str">
        <f ca="1">语言!$A$1837&amp;" (NPC)"</f>
        <v>持有勋章的醉汉 (NPC)</v>
      </c>
      <c r="Z151" s="410" t="str">
        <f ca="1">"NPC disapear after you "&amp;语言!$A$47&amp;" / "&amp;语言!$A$51&amp;" him.  He doesn't have much interesting on him but he deserves to get stolen."</f>
        <v>NPC disapear after you 比试 / 唆使 him.  He doesn't have much interesting on him but he deserves to get stolen.</v>
      </c>
      <c r="AA151" s="20"/>
    </row>
    <row r="152" spans="1:27" ht="12.75" x14ac:dyDescent="0.2">
      <c r="A152" s="20"/>
      <c r="B152" s="23" t="b">
        <v>0</v>
      </c>
      <c r="C152" s="419" t="str">
        <f ca="1">敌人!C$111</f>
        <v>平原巨蛙 II</v>
      </c>
      <c r="D152" s="371"/>
      <c r="E152" s="23">
        <f>敌人!D$111</f>
        <v>2</v>
      </c>
      <c r="F152" s="23">
        <f>敌人!E$111</f>
        <v>0</v>
      </c>
      <c r="G152" s="23">
        <f>敌人!F$111</f>
        <v>0</v>
      </c>
      <c r="H152" s="23">
        <f>敌人!G$111</f>
        <v>0</v>
      </c>
      <c r="I152" s="23">
        <f>敌人!H$111</f>
        <v>0</v>
      </c>
      <c r="J152" s="23">
        <f>敌人!I$111</f>
        <v>0</v>
      </c>
      <c r="K152" s="419" t="str">
        <f ca="1">敌人!J$111</f>
        <v>毒利米树之叶</v>
      </c>
      <c r="L152" s="371"/>
      <c r="M152" s="371"/>
      <c r="N152" s="20"/>
      <c r="O152" s="418" t="str">
        <f ca="1">语言!A$350&amp;" (2 "&amp;语言!$A$19&amp;")"</f>
        <v>东阿特拉斯达姆平原 (2 宝箱)</v>
      </c>
      <c r="P152" s="371"/>
      <c r="Q152" s="371"/>
      <c r="R152" s="371"/>
      <c r="S152" s="22"/>
      <c r="T152" s="21" t="b">
        <v>0</v>
      </c>
      <c r="U152" s="411" t="str">
        <f ca="1">道具!$C$97</f>
        <v>大鸟的羽毛</v>
      </c>
      <c r="V152" s="371"/>
      <c r="W152" s="20"/>
      <c r="X152" s="371"/>
      <c r="Y152" s="371"/>
      <c r="Z152" s="371"/>
      <c r="AA152" s="20"/>
    </row>
    <row r="153" spans="1:27" ht="12.75" x14ac:dyDescent="0.2">
      <c r="A153" s="20"/>
      <c r="B153" s="23" t="b">
        <v>0</v>
      </c>
      <c r="C153" s="419" t="str">
        <f ca="1">敌人!C$112&amp;" (7+)"</f>
        <v>平原巨蛙 III (7+)</v>
      </c>
      <c r="D153" s="371"/>
      <c r="E153" s="23">
        <f>敌人!D$112</f>
        <v>3</v>
      </c>
      <c r="F153" s="23">
        <f>敌人!E$112</f>
        <v>0</v>
      </c>
      <c r="G153" s="23">
        <f>敌人!F$112</f>
        <v>0</v>
      </c>
      <c r="H153" s="23">
        <f>敌人!G$112</f>
        <v>0</v>
      </c>
      <c r="I153" s="23">
        <f>敌人!H$112</f>
        <v>0</v>
      </c>
      <c r="J153" s="23">
        <f>敌人!I$112</f>
        <v>0</v>
      </c>
      <c r="K153" s="419" t="str">
        <f ca="1">敌人!J$112</f>
        <v>ＨＰ恢复的葡萄</v>
      </c>
      <c r="L153" s="371"/>
      <c r="M153" s="371"/>
      <c r="N153" s="20"/>
      <c r="O153" s="23" t="b">
        <v>0</v>
      </c>
      <c r="P153" s="426" t="str">
        <f ca="1">道具!$C$6</f>
        <v>ＳＰ恢复的李子</v>
      </c>
      <c r="Q153" s="371"/>
      <c r="R153" s="371"/>
      <c r="S153" s="22"/>
      <c r="T153" s="21" t="b">
        <v>0</v>
      </c>
      <c r="U153" s="411" t="str">
        <f ca="1">道具!$C$7</f>
        <v>ＳＰ恢复的李子（大）</v>
      </c>
      <c r="V153" s="371"/>
      <c r="W153" s="20"/>
      <c r="X153" s="371"/>
      <c r="Y153" s="371"/>
      <c r="Z153" s="371"/>
      <c r="AA153" s="20"/>
    </row>
    <row r="154" spans="1:27" ht="12.75" x14ac:dyDescent="0.2">
      <c r="A154" s="20"/>
      <c r="B154" s="23" t="b">
        <v>0</v>
      </c>
      <c r="C154" s="425" t="str">
        <f ca="1">敌人!C$220&amp;" (7-)"</f>
        <v>比仆 (7-)</v>
      </c>
      <c r="D154" s="371"/>
      <c r="E154" s="23">
        <f>敌人!D$220</f>
        <v>2</v>
      </c>
      <c r="F154" s="23">
        <f>敌人!E$220</f>
        <v>0</v>
      </c>
      <c r="G154" s="23">
        <f>敌人!F$220</f>
        <v>0</v>
      </c>
      <c r="H154" s="23">
        <f>敌人!G$220</f>
        <v>0</v>
      </c>
      <c r="I154" s="23">
        <f>敌人!H$220</f>
        <v>0</v>
      </c>
      <c r="J154" s="23">
        <f>敌人!I$220</f>
        <v>0</v>
      </c>
      <c r="K154" s="419" t="str">
        <f ca="1">敌人!J$220</f>
        <v>混乱多之叶</v>
      </c>
      <c r="L154" s="371"/>
      <c r="M154" s="371"/>
      <c r="N154" s="20"/>
      <c r="O154" s="23" t="b">
        <v>0</v>
      </c>
      <c r="P154" s="458">
        <v>500</v>
      </c>
      <c r="Q154" s="371"/>
      <c r="R154" s="371"/>
      <c r="S154" s="22"/>
      <c r="T154" s="21" t="b">
        <v>0</v>
      </c>
      <c r="U154" s="411" t="str">
        <f ca="1">道具!$C$96</f>
        <v>装了破烂儿的小袋子</v>
      </c>
      <c r="V154" s="371"/>
      <c r="W154" s="26"/>
      <c r="X154" s="411" t="b">
        <v>0</v>
      </c>
      <c r="Y154" s="409" t="str">
        <f ca="1">语言!$A$2062&amp;" (NPC)"</f>
        <v>眼神凶恶的高利贷钱庄 (NPC)</v>
      </c>
      <c r="Z154" s="410" t="str">
        <f ca="1">"NPC disapear after you complete quest: "&amp;支线!$C$37&amp;". He doesn't have much interesting on him but he deserves to get stolen."</f>
        <v>NPC disapear after you complete quest: 教师提拉奇亚（３）. He doesn't have much interesting on him but he deserves to get stolen.</v>
      </c>
      <c r="AA154" s="20"/>
    </row>
    <row r="155" spans="1:27" ht="12.75" x14ac:dyDescent="0.2">
      <c r="A155" s="20"/>
      <c r="B155" s="23" t="b">
        <v>0</v>
      </c>
      <c r="C155" s="419" t="str">
        <f ca="1">敌人!C$313&amp;" (7+)"</f>
        <v>头领比仆 (7+)</v>
      </c>
      <c r="D155" s="371"/>
      <c r="E155" s="23">
        <f>敌人!D$313</f>
        <v>3</v>
      </c>
      <c r="F155" s="23">
        <f>敌人!E$313</f>
        <v>0</v>
      </c>
      <c r="G155" s="23">
        <f>敌人!F$313</f>
        <v>0</v>
      </c>
      <c r="H155" s="23">
        <f>敌人!G$313</f>
        <v>0</v>
      </c>
      <c r="I155" s="23">
        <f>敌人!H$313</f>
        <v>0</v>
      </c>
      <c r="J155" s="23">
        <f>敌人!I$313</f>
        <v>0</v>
      </c>
      <c r="K155" s="419" t="str">
        <f ca="1">敌人!J$313</f>
        <v>混乱多之叶</v>
      </c>
      <c r="L155" s="371"/>
      <c r="M155" s="371"/>
      <c r="N155" s="20"/>
      <c r="O155" s="418" t="str">
        <f ca="1">语言!A$351&amp;" (2 "&amp;语言!$A$19&amp;")"</f>
        <v>北阿特拉斯达姆平原 (2 宝箱)</v>
      </c>
      <c r="P155" s="371"/>
      <c r="Q155" s="371"/>
      <c r="R155" s="371"/>
      <c r="S155" s="22"/>
      <c r="T155" s="21" t="b">
        <v>0</v>
      </c>
      <c r="U155" s="411" t="str">
        <f ca="1">道具!$C$3</f>
        <v>ＨＰ恢复的葡萄</v>
      </c>
      <c r="V155" s="371"/>
      <c r="W155" s="26"/>
      <c r="X155" s="371"/>
      <c r="Y155" s="371"/>
      <c r="Z155" s="371"/>
      <c r="AA155" s="20"/>
    </row>
    <row r="156" spans="1:27" ht="12.75" x14ac:dyDescent="0.2">
      <c r="A156" s="20"/>
      <c r="B156" s="23" t="b">
        <v>0</v>
      </c>
      <c r="C156" s="419" t="str">
        <f ca="1">敌人!C$6</f>
        <v>断指蚁</v>
      </c>
      <c r="D156" s="371"/>
      <c r="E156" s="23">
        <f>敌人!D$6</f>
        <v>1</v>
      </c>
      <c r="F156" s="23">
        <f>敌人!E$6</f>
        <v>0</v>
      </c>
      <c r="G156" s="23">
        <f>敌人!F$6</f>
        <v>0</v>
      </c>
      <c r="H156" s="23">
        <f>敌人!G$6</f>
        <v>0</v>
      </c>
      <c r="I156" s="23">
        <f>敌人!H$6</f>
        <v>0</v>
      </c>
      <c r="J156" s="23">
        <f>敌人!I$6</f>
        <v>0</v>
      </c>
      <c r="K156" s="419" t="str">
        <f ca="1">敌人!J$6</f>
        <v>毒利米树之叶</v>
      </c>
      <c r="L156" s="371"/>
      <c r="M156" s="371"/>
      <c r="N156" s="20"/>
      <c r="O156" s="23" t="b">
        <v>0</v>
      </c>
      <c r="P156" s="426" t="str">
        <f ca="1">道具!$C$36</f>
        <v>雷之精灵石</v>
      </c>
      <c r="Q156" s="371"/>
      <c r="R156" s="371"/>
      <c r="S156" s="22"/>
      <c r="T156" s="21" t="b">
        <v>0</v>
      </c>
      <c r="U156" s="411" t="str">
        <f ca="1">道具!$C$355</f>
        <v>小圆盾</v>
      </c>
      <c r="V156" s="371"/>
      <c r="W156" s="26"/>
      <c r="X156" s="371"/>
      <c r="Y156" s="371"/>
      <c r="Z156" s="371"/>
      <c r="AA156" s="20"/>
    </row>
    <row r="157" spans="1:27" ht="12.75" x14ac:dyDescent="0.2">
      <c r="A157" s="20"/>
      <c r="B157" s="23" t="b">
        <v>0</v>
      </c>
      <c r="C157" s="419" t="str">
        <f ca="1">敌人!C$141&amp;" (11)"</f>
        <v>大绵羊 (11)</v>
      </c>
      <c r="D157" s="371"/>
      <c r="E157" s="23">
        <f>敌人!D$141</f>
        <v>3</v>
      </c>
      <c r="F157" s="23">
        <f>敌人!E$141</f>
        <v>0</v>
      </c>
      <c r="G157" s="23">
        <f>敌人!F$141</f>
        <v>0</v>
      </c>
      <c r="H157" s="23">
        <f>敌人!G$141</f>
        <v>0</v>
      </c>
      <c r="I157" s="23">
        <f>敌人!H$141</f>
        <v>0</v>
      </c>
      <c r="J157" s="23">
        <f>敌人!I$141</f>
        <v>0</v>
      </c>
      <c r="K157" s="419" t="str">
        <f ca="1">敌人!J$141</f>
        <v>橄榄花</v>
      </c>
      <c r="L157" s="371"/>
      <c r="M157" s="371"/>
      <c r="N157" s="20"/>
      <c r="O157" s="23" t="b">
        <v>0</v>
      </c>
      <c r="P157" s="426" t="str">
        <f ca="1">道具!$C$16</f>
        <v>复活的橄榄（大）</v>
      </c>
      <c r="Q157" s="371"/>
      <c r="R157" s="371"/>
      <c r="S157" s="22"/>
      <c r="T157" s="21" t="b">
        <v>0</v>
      </c>
      <c r="U157" s="411" t="str">
        <f ca="1">道具!$C$112</f>
        <v>小杯子</v>
      </c>
      <c r="V157" s="371"/>
      <c r="W157" s="26"/>
      <c r="X157" s="409" t="b">
        <v>0</v>
      </c>
      <c r="Y157" s="409" t="str">
        <f ca="1">语言!$A$1866&amp;" (NPC)
Item: "&amp;道具!$C$121</f>
        <v>前贵族家仆 (NPC)
Item: 鸡毛掸子</v>
      </c>
      <c r="Z157" s="410" t="str">
        <f ca="1">语言!$A$47&amp;" / "&amp;语言!$A$51&amp;" "&amp;语言!$A$1866&amp;", it's the only way to get "&amp;道具!$C$121&amp;" for your "&amp;语言!$A$9&amp;" achievement."</f>
        <v>比试 / 唆使 前贵族家仆, it's the only way to get 鸡毛掸子 for your 收藏家 achievement.</v>
      </c>
      <c r="AA157" s="20"/>
    </row>
    <row r="158" spans="1:27" ht="12.75" x14ac:dyDescent="0.2">
      <c r="A158" s="20"/>
      <c r="B158" s="20"/>
      <c r="C158" s="421"/>
      <c r="D158" s="371"/>
      <c r="E158" s="20"/>
      <c r="F158" s="20"/>
      <c r="G158" s="20"/>
      <c r="H158" s="20"/>
      <c r="I158" s="20"/>
      <c r="J158" s="20"/>
      <c r="K158" s="421"/>
      <c r="L158" s="371"/>
      <c r="M158" s="371"/>
      <c r="N158" s="20"/>
      <c r="O158" s="418" t="str">
        <f ca="1">语言!A$352&amp;" (5 "&amp;语言!$A$19&amp;")"</f>
        <v>夜啼之森 (5 宝箱)</v>
      </c>
      <c r="P158" s="371"/>
      <c r="Q158" s="371"/>
      <c r="R158" s="371"/>
      <c r="S158" s="22"/>
      <c r="T158" s="21" t="b">
        <v>0</v>
      </c>
      <c r="U158" s="411" t="str">
        <f ca="1">道具!$C$14</f>
        <v>复活的橄榄</v>
      </c>
      <c r="V158" s="371"/>
      <c r="W158" s="26"/>
      <c r="X158" s="371"/>
      <c r="Y158" s="371"/>
      <c r="Z158" s="371"/>
      <c r="AA158" s="20"/>
    </row>
    <row r="159" spans="1:27" ht="12.75" x14ac:dyDescent="0.2">
      <c r="A159" s="20"/>
      <c r="B159" s="418" t="str">
        <f ca="1">语言!A$352&amp;" ("&amp;语言!$A$12&amp;" 15)"</f>
        <v>夜啼之森 (危险度 15)</v>
      </c>
      <c r="C159" s="371"/>
      <c r="D159" s="371"/>
      <c r="E159" s="371"/>
      <c r="F159" s="371"/>
      <c r="G159" s="371"/>
      <c r="H159" s="371"/>
      <c r="I159" s="371"/>
      <c r="J159" s="371"/>
      <c r="K159" s="371"/>
      <c r="L159" s="371"/>
      <c r="M159" s="371"/>
      <c r="N159" s="20"/>
      <c r="O159" s="23" t="b">
        <v>0</v>
      </c>
      <c r="P159" s="419" t="s">
        <v>18</v>
      </c>
      <c r="Q159" s="371"/>
      <c r="R159" s="371"/>
      <c r="S159" s="22"/>
      <c r="T159" s="22"/>
      <c r="U159" s="412"/>
      <c r="V159" s="371"/>
      <c r="W159" s="20"/>
      <c r="X159" s="371"/>
      <c r="Y159" s="371"/>
      <c r="Z159" s="371"/>
      <c r="AA159" s="20"/>
    </row>
    <row r="160" spans="1:27" ht="12.75" x14ac:dyDescent="0.2">
      <c r="A160" s="20"/>
      <c r="B160" s="23" t="b">
        <v>0</v>
      </c>
      <c r="C160" s="419" t="str">
        <f ca="1">敌人!C$112</f>
        <v>平原巨蛙 III</v>
      </c>
      <c r="D160" s="371"/>
      <c r="E160" s="23">
        <f>敌人!D$112</f>
        <v>3</v>
      </c>
      <c r="F160" s="23">
        <f>敌人!E$112</f>
        <v>0</v>
      </c>
      <c r="G160" s="23">
        <f>敌人!F$112</f>
        <v>0</v>
      </c>
      <c r="H160" s="23">
        <f>敌人!G$112</f>
        <v>0</v>
      </c>
      <c r="I160" s="23">
        <f>敌人!H$112</f>
        <v>0</v>
      </c>
      <c r="J160" s="23">
        <f>敌人!I$112</f>
        <v>0</v>
      </c>
      <c r="K160" s="419" t="str">
        <f ca="1">敌人!J$112</f>
        <v>ＨＰ恢复的葡萄</v>
      </c>
      <c r="L160" s="371"/>
      <c r="M160" s="371"/>
      <c r="N160" s="20"/>
      <c r="O160" s="23" t="b">
        <v>0</v>
      </c>
      <c r="P160" s="419" t="str">
        <f ca="1">道具!$C$165</f>
        <v>银制剑</v>
      </c>
      <c r="Q160" s="371"/>
      <c r="R160" s="371"/>
      <c r="S160" s="22"/>
      <c r="T160" s="22"/>
      <c r="U160" s="412"/>
      <c r="V160" s="371"/>
      <c r="W160" s="27"/>
      <c r="X160" s="27"/>
      <c r="Y160" s="28"/>
      <c r="Z160" s="29"/>
      <c r="AA160" s="20"/>
    </row>
    <row r="161" spans="1:27" ht="12.75" x14ac:dyDescent="0.2">
      <c r="A161" s="20"/>
      <c r="B161" s="23" t="b">
        <v>0</v>
      </c>
      <c r="C161" s="419" t="str">
        <f ca="1">敌人!C$113</f>
        <v>平原巨蛙 IV</v>
      </c>
      <c r="D161" s="371"/>
      <c r="E161" s="23">
        <f>敌人!D$113</f>
        <v>2</v>
      </c>
      <c r="F161" s="23">
        <f>敌人!E$113</f>
        <v>0</v>
      </c>
      <c r="G161" s="23">
        <f>敌人!F$113</f>
        <v>0</v>
      </c>
      <c r="H161" s="23">
        <f>敌人!G$113</f>
        <v>0</v>
      </c>
      <c r="I161" s="23">
        <f>敌人!H$113</f>
        <v>0</v>
      </c>
      <c r="J161" s="23">
        <f>敌人!I$113</f>
        <v>0</v>
      </c>
      <c r="K161" s="419" t="str">
        <f ca="1">敌人!J$113</f>
        <v>ＳＰ恢复的李子</v>
      </c>
      <c r="L161" s="371"/>
      <c r="M161" s="371"/>
      <c r="N161" s="20"/>
      <c r="O161" s="23" t="b">
        <v>0</v>
      </c>
      <c r="P161" s="419" t="str">
        <f ca="1">道具!$C$9</f>
        <v>ＢＰ恢复的石榴</v>
      </c>
      <c r="Q161" s="371"/>
      <c r="R161" s="371"/>
      <c r="S161" s="22"/>
      <c r="T161" s="22"/>
      <c r="U161" s="412"/>
      <c r="V161" s="371"/>
      <c r="W161" s="27"/>
      <c r="X161" s="28"/>
      <c r="Y161" s="28"/>
      <c r="Z161" s="29"/>
      <c r="AA161" s="20"/>
    </row>
    <row r="162" spans="1:27" ht="12.75" x14ac:dyDescent="0.2">
      <c r="A162" s="20"/>
      <c r="B162" s="23" t="b">
        <v>0</v>
      </c>
      <c r="C162" s="419" t="str">
        <f ca="1">敌人!C$114</f>
        <v>平原巨蛙 V</v>
      </c>
      <c r="D162" s="371"/>
      <c r="E162" s="23">
        <f>敌人!D$114</f>
        <v>1</v>
      </c>
      <c r="F162" s="23">
        <f>敌人!E$114</f>
        <v>0</v>
      </c>
      <c r="G162" s="23">
        <f>敌人!F$114</f>
        <v>0</v>
      </c>
      <c r="H162" s="23">
        <f>敌人!G$114</f>
        <v>0</v>
      </c>
      <c r="I162" s="23">
        <f>敌人!H$114</f>
        <v>0</v>
      </c>
      <c r="J162" s="23">
        <f>敌人!I$114</f>
        <v>0</v>
      </c>
      <c r="K162" s="419" t="str">
        <f ca="1">敌人!J$114</f>
        <v>毒利米树之叶</v>
      </c>
      <c r="L162" s="371"/>
      <c r="M162" s="371"/>
      <c r="N162" s="20"/>
      <c r="O162" s="23" t="b">
        <v>0</v>
      </c>
      <c r="P162" s="419" t="str">
        <f ca="1">道具!$C$65</f>
        <v>增强属防的坚果</v>
      </c>
      <c r="Q162" s="371"/>
      <c r="R162" s="371"/>
      <c r="S162" s="22"/>
      <c r="T162" s="22"/>
      <c r="U162" s="412"/>
      <c r="V162" s="371"/>
      <c r="W162" s="27"/>
      <c r="X162" s="28"/>
      <c r="Y162" s="28"/>
      <c r="Z162" s="29"/>
      <c r="AA162" s="20"/>
    </row>
    <row r="163" spans="1:27" ht="12.75" x14ac:dyDescent="0.2">
      <c r="A163" s="20"/>
      <c r="B163" s="23" t="b">
        <v>0</v>
      </c>
      <c r="C163" s="419" t="str">
        <f ca="1">敌人!C$115</f>
        <v>平原巨蛙 VI</v>
      </c>
      <c r="D163" s="371"/>
      <c r="E163" s="23">
        <f>敌人!D$115</f>
        <v>3</v>
      </c>
      <c r="F163" s="23">
        <f>敌人!E$115</f>
        <v>0</v>
      </c>
      <c r="G163" s="23">
        <f>敌人!F$115</f>
        <v>0</v>
      </c>
      <c r="H163" s="23">
        <f>敌人!G$115</f>
        <v>0</v>
      </c>
      <c r="I163" s="23">
        <f>敌人!H$115</f>
        <v>0</v>
      </c>
      <c r="J163" s="23">
        <f>敌人!I$115</f>
        <v>0</v>
      </c>
      <c r="K163" s="419" t="str">
        <f ca="1">敌人!J$115</f>
        <v>ＨＰ恢复的葡萄（大）</v>
      </c>
      <c r="L163" s="371"/>
      <c r="M163" s="371"/>
      <c r="N163" s="20"/>
      <c r="O163" s="23" t="b">
        <v>0</v>
      </c>
      <c r="P163" s="419" t="str">
        <f ca="1">道具!$C$5</f>
        <v>ＨＰ全体恢复的葡萄</v>
      </c>
      <c r="Q163" s="371"/>
      <c r="R163" s="371"/>
      <c r="S163" s="22"/>
      <c r="T163" s="22"/>
      <c r="U163" s="412"/>
      <c r="V163" s="371"/>
      <c r="W163" s="27"/>
      <c r="X163" s="28"/>
      <c r="Y163" s="28"/>
      <c r="Z163" s="29"/>
      <c r="AA163" s="20"/>
    </row>
    <row r="164" spans="1:27" ht="12.75" x14ac:dyDescent="0.2">
      <c r="A164" s="20"/>
      <c r="B164" s="23" t="b">
        <v>0</v>
      </c>
      <c r="C164" s="419" t="str">
        <f ca="1">敌人!C$326</f>
        <v>薯虫</v>
      </c>
      <c r="D164" s="371"/>
      <c r="E164" s="23">
        <f>敌人!D$326</f>
        <v>3</v>
      </c>
      <c r="F164" s="23">
        <f>敌人!E$326</f>
        <v>0</v>
      </c>
      <c r="G164" s="23">
        <f>敌人!F$326</f>
        <v>0</v>
      </c>
      <c r="H164" s="23">
        <f>敌人!G$326</f>
        <v>0</v>
      </c>
      <c r="I164" s="23">
        <f>敌人!H$326</f>
        <v>0</v>
      </c>
      <c r="J164" s="23">
        <f>敌人!I$326</f>
        <v>0</v>
      </c>
      <c r="K164" s="419" t="str">
        <f ca="1">敌人!J$326</f>
        <v>ＨＰ恢复的葡萄（大）</v>
      </c>
      <c r="L164" s="371"/>
      <c r="M164" s="371"/>
      <c r="N164" s="26"/>
      <c r="O164" s="30"/>
      <c r="P164" s="457"/>
      <c r="Q164" s="371"/>
      <c r="R164" s="371"/>
      <c r="S164" s="26"/>
      <c r="T164" s="22"/>
      <c r="U164" s="412"/>
      <c r="V164" s="371"/>
      <c r="W164" s="27"/>
      <c r="X164" s="27"/>
      <c r="Y164" s="27"/>
      <c r="Z164" s="27"/>
      <c r="AA164" s="20"/>
    </row>
    <row r="165" spans="1:27" ht="12.75" x14ac:dyDescent="0.2">
      <c r="A165" s="20"/>
      <c r="B165" s="23" t="b">
        <v>0</v>
      </c>
      <c r="C165" s="419" t="str">
        <f ca="1">敌人!C$168</f>
        <v>咆哮者</v>
      </c>
      <c r="D165" s="371"/>
      <c r="E165" s="23">
        <f>敌人!D$168</f>
        <v>1</v>
      </c>
      <c r="F165" s="23">
        <f>敌人!E$168</f>
        <v>0</v>
      </c>
      <c r="G165" s="23">
        <f>敌人!F$168</f>
        <v>0</v>
      </c>
      <c r="H165" s="23">
        <f>敌人!G$168</f>
        <v>0</v>
      </c>
      <c r="I165" s="23">
        <f>敌人!H$168</f>
        <v>0</v>
      </c>
      <c r="J165" s="23">
        <f>敌人!I$168</f>
        <v>0</v>
      </c>
      <c r="K165" s="419" t="str">
        <f ca="1">敌人!J$168</f>
        <v>石榴树液</v>
      </c>
      <c r="L165" s="371"/>
      <c r="M165" s="371"/>
      <c r="N165" s="26"/>
      <c r="O165" s="30"/>
      <c r="P165" s="422"/>
      <c r="Q165" s="371"/>
      <c r="R165" s="371"/>
      <c r="S165" s="26"/>
      <c r="T165" s="22"/>
      <c r="U165" s="412"/>
      <c r="V165" s="371"/>
      <c r="W165" s="20"/>
      <c r="X165" s="20"/>
      <c r="Y165" s="20"/>
      <c r="Z165" s="20"/>
      <c r="AA165" s="20"/>
    </row>
    <row r="166" spans="1:27" ht="12.75" x14ac:dyDescent="0.2">
      <c r="A166" s="20"/>
      <c r="B166" s="20"/>
      <c r="C166" s="421"/>
      <c r="D166" s="371"/>
      <c r="E166" s="20"/>
      <c r="F166" s="20"/>
      <c r="G166" s="20"/>
      <c r="H166" s="20"/>
      <c r="I166" s="20"/>
      <c r="J166" s="20"/>
      <c r="K166" s="421"/>
      <c r="L166" s="371"/>
      <c r="M166" s="371"/>
      <c r="N166" s="26"/>
      <c r="O166" s="30"/>
      <c r="P166" s="422"/>
      <c r="Q166" s="371"/>
      <c r="R166" s="371"/>
      <c r="S166" s="26"/>
      <c r="T166" s="22"/>
      <c r="U166" s="412"/>
      <c r="V166" s="371"/>
      <c r="W166" s="20"/>
      <c r="X166" s="20"/>
      <c r="Y166" s="20"/>
      <c r="Z166" s="20"/>
      <c r="AA166" s="20"/>
    </row>
    <row r="167" spans="1:27" ht="12.75" x14ac:dyDescent="0.2">
      <c r="A167" s="20"/>
      <c r="B167" s="417" t="str">
        <f ca="1">语言!$A$36&amp;" "&amp;语言!$A$14&amp;" 1"</f>
        <v>赛拉斯 章节 1</v>
      </c>
      <c r="C167" s="371"/>
      <c r="D167" s="371"/>
      <c r="E167" s="371"/>
      <c r="F167" s="371"/>
      <c r="G167" s="371"/>
      <c r="H167" s="371"/>
      <c r="I167" s="371"/>
      <c r="J167" s="371"/>
      <c r="K167" s="371"/>
      <c r="L167" s="371"/>
      <c r="M167" s="371"/>
      <c r="N167" s="20"/>
      <c r="O167" s="429" t="str">
        <f ca="1">语言!$A$36&amp;" "&amp;语言!$A$14&amp;" 1"</f>
        <v>赛拉斯 章节 1</v>
      </c>
      <c r="P167" s="371"/>
      <c r="Q167" s="371"/>
      <c r="R167" s="371"/>
      <c r="S167" s="22"/>
      <c r="T167" s="22"/>
      <c r="U167" s="412"/>
      <c r="V167" s="371"/>
      <c r="W167" s="20"/>
      <c r="X167" s="20"/>
      <c r="Y167" s="20"/>
      <c r="Z167" s="20"/>
      <c r="AA167" s="20"/>
    </row>
    <row r="168" spans="1:27" ht="12.75" x14ac:dyDescent="0.2">
      <c r="A168" s="20"/>
      <c r="B168" s="418" t="str">
        <f ca="1">语言!A$353&amp;" ("&amp;语言!$A$12&amp;" 1 - 4 - 7 - 11)"</f>
        <v>地下研究室 (危险度 1 - 4 - 7 - 11)</v>
      </c>
      <c r="C168" s="371"/>
      <c r="D168" s="371"/>
      <c r="E168" s="371"/>
      <c r="F168" s="371"/>
      <c r="G168" s="371"/>
      <c r="H168" s="371"/>
      <c r="I168" s="371"/>
      <c r="J168" s="371"/>
      <c r="K168" s="371"/>
      <c r="L168" s="371"/>
      <c r="M168" s="371"/>
      <c r="N168" s="20"/>
      <c r="O168" s="418" t="str">
        <f ca="1">语言!A$353&amp;" (7 "&amp;语言!$A$19&amp;")"</f>
        <v>地下研究室 (7 宝箱)</v>
      </c>
      <c r="P168" s="371"/>
      <c r="Q168" s="371"/>
      <c r="R168" s="371"/>
      <c r="S168" s="22"/>
      <c r="T168" s="22"/>
      <c r="U168" s="412"/>
      <c r="V168" s="371"/>
      <c r="W168" s="20"/>
      <c r="X168" s="20"/>
      <c r="Y168" s="20"/>
      <c r="Z168" s="20"/>
      <c r="AA168" s="20"/>
    </row>
    <row r="169" spans="1:27" ht="12.75" x14ac:dyDescent="0.2">
      <c r="A169" s="20"/>
      <c r="B169" s="23" t="b">
        <v>0</v>
      </c>
      <c r="C169" s="419" t="str">
        <f ca="1">敌人!C$305&amp;" (7+)"</f>
        <v>魔导机 (7+)</v>
      </c>
      <c r="D169" s="371"/>
      <c r="E169" s="23">
        <f>敌人!D$305</f>
        <v>2</v>
      </c>
      <c r="F169" s="23">
        <f>敌人!E$305</f>
        <v>0</v>
      </c>
      <c r="G169" s="23">
        <f>敌人!F$305</f>
        <v>0</v>
      </c>
      <c r="H169" s="23">
        <f>敌人!G$305</f>
        <v>0</v>
      </c>
      <c r="I169" s="23">
        <f>敌人!H$305</f>
        <v>0</v>
      </c>
      <c r="J169" s="23">
        <f>敌人!I$305</f>
        <v>0</v>
      </c>
      <c r="K169" s="419" t="str">
        <f ca="1">敌人!J$305</f>
        <v>复活的橄榄</v>
      </c>
      <c r="L169" s="371"/>
      <c r="M169" s="371"/>
      <c r="N169" s="20"/>
      <c r="O169" s="23" t="b">
        <v>0</v>
      </c>
      <c r="P169" s="419" t="str">
        <f ca="1">道具!$C$3</f>
        <v>ＨＰ恢复的葡萄</v>
      </c>
      <c r="Q169" s="371"/>
      <c r="R169" s="371"/>
      <c r="S169" s="22"/>
      <c r="T169" s="22"/>
      <c r="U169" s="412"/>
      <c r="V169" s="371"/>
      <c r="W169" s="20"/>
      <c r="X169" s="20"/>
      <c r="Y169" s="20"/>
      <c r="Z169" s="20"/>
      <c r="AA169" s="20"/>
    </row>
    <row r="170" spans="1:27" ht="12.75" x14ac:dyDescent="0.2">
      <c r="A170" s="20"/>
      <c r="B170" s="23" t="b">
        <v>0</v>
      </c>
      <c r="C170" s="419" t="str">
        <f ca="1">敌人!C$102</f>
        <v>魔导机（火）</v>
      </c>
      <c r="D170" s="371"/>
      <c r="E170" s="23">
        <f>敌人!D$102</f>
        <v>1</v>
      </c>
      <c r="F170" s="23">
        <f>敌人!E$102</f>
        <v>0</v>
      </c>
      <c r="G170" s="23">
        <f>敌人!F$102</f>
        <v>0</v>
      </c>
      <c r="H170" s="23">
        <f>敌人!G$102</f>
        <v>0</v>
      </c>
      <c r="I170" s="23">
        <f>敌人!H$102</f>
        <v>0</v>
      </c>
      <c r="J170" s="23">
        <f>敌人!I$102</f>
        <v>0</v>
      </c>
      <c r="K170" s="419" t="str">
        <f ca="1">敌人!J$102</f>
        <v>火之精灵石</v>
      </c>
      <c r="L170" s="371"/>
      <c r="M170" s="371"/>
      <c r="N170" s="20"/>
      <c r="O170" s="23" t="b">
        <v>0</v>
      </c>
      <c r="P170" s="419" t="str">
        <f ca="1">道具!$C$19</f>
        <v>沉默治疗药草</v>
      </c>
      <c r="Q170" s="371"/>
      <c r="R170" s="371"/>
      <c r="S170" s="22"/>
      <c r="T170" s="22"/>
      <c r="U170" s="412"/>
      <c r="V170" s="371"/>
      <c r="W170" s="20"/>
      <c r="X170" s="20"/>
      <c r="Y170" s="20"/>
      <c r="Z170" s="20"/>
      <c r="AA170" s="20"/>
    </row>
    <row r="171" spans="1:27" ht="12.75" x14ac:dyDescent="0.2">
      <c r="A171" s="20"/>
      <c r="B171" s="23" t="b">
        <v>0</v>
      </c>
      <c r="C171" s="419" t="str">
        <f ca="1">敌人!C$186</f>
        <v>魔导机（冰）</v>
      </c>
      <c r="D171" s="371"/>
      <c r="E171" s="23">
        <f>敌人!D$186</f>
        <v>1</v>
      </c>
      <c r="F171" s="23">
        <f>敌人!E$186</f>
        <v>0</v>
      </c>
      <c r="G171" s="23">
        <f>敌人!F$186</f>
        <v>0</v>
      </c>
      <c r="H171" s="23">
        <f>敌人!G$186</f>
        <v>0</v>
      </c>
      <c r="I171" s="23">
        <f>敌人!H$186</f>
        <v>0</v>
      </c>
      <c r="J171" s="23">
        <f>敌人!I$186</f>
        <v>0</v>
      </c>
      <c r="K171" s="419" t="str">
        <f ca="1">敌人!J$186</f>
        <v>冰之精灵石</v>
      </c>
      <c r="L171" s="371"/>
      <c r="M171" s="371"/>
      <c r="N171" s="20"/>
      <c r="O171" s="23" t="b">
        <v>0</v>
      </c>
      <c r="P171" s="419" t="str">
        <f ca="1">道具!$C$447</f>
        <v>疾风之服</v>
      </c>
      <c r="Q171" s="371"/>
      <c r="R171" s="371"/>
      <c r="S171" s="22"/>
      <c r="T171" s="22"/>
      <c r="U171" s="412"/>
      <c r="V171" s="371"/>
      <c r="W171" s="20"/>
      <c r="X171" s="20"/>
      <c r="Y171" s="20"/>
      <c r="Z171" s="20"/>
      <c r="AA171" s="20"/>
    </row>
    <row r="172" spans="1:27" ht="12.75" x14ac:dyDescent="0.2">
      <c r="A172" s="22"/>
      <c r="B172" s="23" t="b">
        <v>0</v>
      </c>
      <c r="C172" s="419" t="str">
        <f ca="1">敌人!C$103&amp;" (4+)"</f>
        <v>火之鬼火 (4+)</v>
      </c>
      <c r="D172" s="371"/>
      <c r="E172" s="23">
        <f>敌人!D$103</f>
        <v>1</v>
      </c>
      <c r="F172" s="23">
        <f>敌人!E$103</f>
        <v>0</v>
      </c>
      <c r="G172" s="23">
        <f>敌人!F$103</f>
        <v>0</v>
      </c>
      <c r="H172" s="23">
        <f>敌人!G$103</f>
        <v>0</v>
      </c>
      <c r="I172" s="23">
        <f>敌人!H$103</f>
        <v>0</v>
      </c>
      <c r="J172" s="23">
        <f>敌人!I$103</f>
        <v>0</v>
      </c>
      <c r="K172" s="419" t="str">
        <f ca="1">敌人!J$103</f>
        <v>火之精灵石</v>
      </c>
      <c r="L172" s="371"/>
      <c r="M172" s="371"/>
      <c r="N172" s="20"/>
      <c r="O172" s="23" t="b">
        <v>0</v>
      </c>
      <c r="P172" s="426" t="str">
        <f ca="1">道具!$C$6</f>
        <v>ＳＰ恢复的李子</v>
      </c>
      <c r="Q172" s="371"/>
      <c r="R172" s="371"/>
      <c r="S172" s="22"/>
      <c r="T172" s="22"/>
      <c r="U172" s="412"/>
      <c r="V172" s="371"/>
      <c r="W172" s="20"/>
      <c r="X172" s="20"/>
      <c r="Y172" s="20"/>
      <c r="Z172" s="20"/>
      <c r="AA172" s="20"/>
    </row>
    <row r="173" spans="1:27" ht="12.75" x14ac:dyDescent="0.2">
      <c r="A173" s="20"/>
      <c r="B173" s="23" t="b">
        <v>0</v>
      </c>
      <c r="C173" s="419" t="str">
        <f ca="1">敌人!C$188&amp;" (7+)"</f>
        <v>冰之鬼火 (7+)</v>
      </c>
      <c r="D173" s="371"/>
      <c r="E173" s="23">
        <f>敌人!D$188</f>
        <v>1</v>
      </c>
      <c r="F173" s="23">
        <f>敌人!E$188</f>
        <v>0</v>
      </c>
      <c r="G173" s="23">
        <f>敌人!F$188</f>
        <v>0</v>
      </c>
      <c r="H173" s="23">
        <f>敌人!G$188</f>
        <v>0</v>
      </c>
      <c r="I173" s="23">
        <f>敌人!H$188</f>
        <v>0</v>
      </c>
      <c r="J173" s="23">
        <f>敌人!I$188</f>
        <v>0</v>
      </c>
      <c r="K173" s="419" t="str">
        <f ca="1">敌人!J$188</f>
        <v>冰之精灵石</v>
      </c>
      <c r="L173" s="371"/>
      <c r="M173" s="371"/>
      <c r="N173" s="20"/>
      <c r="O173" s="23" t="b">
        <v>0</v>
      </c>
      <c r="P173" s="419" t="str">
        <f ca="1">道具!$C$20</f>
        <v>黑暗治疗药草</v>
      </c>
      <c r="Q173" s="371"/>
      <c r="R173" s="371"/>
      <c r="S173" s="22"/>
      <c r="T173" s="22"/>
      <c r="U173" s="412"/>
      <c r="V173" s="371"/>
      <c r="W173" s="20"/>
      <c r="X173" s="20"/>
      <c r="Y173" s="20"/>
      <c r="Z173" s="20"/>
      <c r="AA173" s="20"/>
    </row>
    <row r="174" spans="1:27" ht="12.75" x14ac:dyDescent="0.2">
      <c r="A174" s="20"/>
      <c r="B174" s="23" t="b">
        <v>0</v>
      </c>
      <c r="C174" s="419" t="str">
        <f ca="1">敌人!C$8</f>
        <v>行走骷髅</v>
      </c>
      <c r="D174" s="371"/>
      <c r="E174" s="23">
        <f>敌人!D$8</f>
        <v>2</v>
      </c>
      <c r="F174" s="23">
        <f>敌人!E$8</f>
        <v>0</v>
      </c>
      <c r="G174" s="23">
        <f>敌人!F$8</f>
        <v>0</v>
      </c>
      <c r="H174" s="23">
        <f>敌人!G$8</f>
        <v>0</v>
      </c>
      <c r="I174" s="23">
        <f>敌人!H$8</f>
        <v>0</v>
      </c>
      <c r="J174" s="23">
        <f>敌人!I$8</f>
        <v>0</v>
      </c>
      <c r="K174" s="419" t="str">
        <f ca="1">敌人!J$8</f>
        <v>ＨＰ恢复的葡萄</v>
      </c>
      <c r="L174" s="371"/>
      <c r="M174" s="371"/>
      <c r="N174" s="20"/>
      <c r="O174" s="23" t="b">
        <v>0</v>
      </c>
      <c r="P174" s="419" t="str">
        <f ca="1">道具!$C$126</f>
        <v>旧硬币</v>
      </c>
      <c r="Q174" s="371"/>
      <c r="R174" s="371"/>
      <c r="S174" s="22"/>
      <c r="T174" s="22"/>
      <c r="U174" s="412"/>
      <c r="V174" s="371"/>
      <c r="W174" s="20"/>
      <c r="X174" s="20"/>
      <c r="Y174" s="20"/>
      <c r="Z174" s="20"/>
      <c r="AA174" s="20"/>
    </row>
    <row r="175" spans="1:27" ht="12.75" x14ac:dyDescent="0.2">
      <c r="A175" s="20"/>
      <c r="B175" s="23" t="b">
        <v>0</v>
      </c>
      <c r="C175" s="419" t="str">
        <f ca="1">敌人!C$307&amp;" (7+)"</f>
        <v>黑蝙蝠异种 (7+)</v>
      </c>
      <c r="D175" s="371"/>
      <c r="E175" s="23">
        <f>敌人!D$307</f>
        <v>2</v>
      </c>
      <c r="F175" s="23">
        <f>敌人!E$307</f>
        <v>0</v>
      </c>
      <c r="G175" s="23">
        <f>敌人!F$307</f>
        <v>0</v>
      </c>
      <c r="H175" s="23">
        <f>敌人!G$307</f>
        <v>0</v>
      </c>
      <c r="I175" s="23">
        <f>敌人!H$307</f>
        <v>0</v>
      </c>
      <c r="J175" s="23">
        <f>敌人!I$307</f>
        <v>0</v>
      </c>
      <c r="K175" s="419" t="str">
        <f ca="1">敌人!J$307</f>
        <v>神秘之花</v>
      </c>
      <c r="L175" s="371"/>
      <c r="M175" s="371"/>
      <c r="N175" s="20"/>
      <c r="O175" s="23" t="b">
        <v>0</v>
      </c>
      <c r="P175" s="419" t="str">
        <f ca="1">道具!$C$43</f>
        <v>光之精灵石</v>
      </c>
      <c r="Q175" s="371"/>
      <c r="R175" s="371"/>
      <c r="S175" s="22"/>
      <c r="T175" s="22"/>
      <c r="U175" s="412"/>
      <c r="V175" s="371"/>
      <c r="W175" s="20"/>
      <c r="X175" s="20"/>
      <c r="Y175" s="20"/>
      <c r="Z175" s="20"/>
      <c r="AA175" s="20"/>
    </row>
    <row r="176" spans="1:27" ht="12.75" x14ac:dyDescent="0.2">
      <c r="A176" s="20"/>
      <c r="B176" s="23" t="b">
        <v>0</v>
      </c>
      <c r="C176" s="419" t="str">
        <f ca="1">敌人!C$23&amp;" (7-)"</f>
        <v>黑蝙蝠 (7-)</v>
      </c>
      <c r="D176" s="371"/>
      <c r="E176" s="23">
        <f>敌人!D$23</f>
        <v>1</v>
      </c>
      <c r="F176" s="23">
        <f>敌人!E$23</f>
        <v>0</v>
      </c>
      <c r="G176" s="23">
        <f>敌人!F$23</f>
        <v>0</v>
      </c>
      <c r="H176" s="23">
        <f>敌人!G$23</f>
        <v>0</v>
      </c>
      <c r="I176" s="23">
        <f>敌人!H$23</f>
        <v>0</v>
      </c>
      <c r="J176" s="23">
        <f>敌人!I$23</f>
        <v>0</v>
      </c>
      <c r="K176" s="419" t="str">
        <f ca="1">敌人!J$23</f>
        <v>神秘之花</v>
      </c>
      <c r="L176" s="371"/>
      <c r="M176" s="371"/>
      <c r="N176" s="20"/>
      <c r="O176" s="20"/>
      <c r="P176" s="427"/>
      <c r="Q176" s="371"/>
      <c r="R176" s="371"/>
      <c r="S176" s="22"/>
      <c r="T176" s="22"/>
      <c r="U176" s="412"/>
      <c r="V176" s="371"/>
      <c r="W176" s="20"/>
      <c r="X176" s="20"/>
      <c r="Y176" s="20"/>
      <c r="Z176" s="20"/>
      <c r="AA176" s="20"/>
    </row>
    <row r="177" spans="1:27" ht="12.75" x14ac:dyDescent="0.2">
      <c r="A177" s="20"/>
      <c r="B177" s="423" t="str">
        <f ca="1">语言!$A$15</f>
        <v>Boss</v>
      </c>
      <c r="C177" s="371"/>
      <c r="D177" s="371"/>
      <c r="E177" s="371"/>
      <c r="F177" s="371"/>
      <c r="G177" s="371"/>
      <c r="H177" s="371"/>
      <c r="I177" s="371"/>
      <c r="J177" s="371"/>
      <c r="K177" s="371"/>
      <c r="L177" s="371"/>
      <c r="M177" s="371"/>
      <c r="N177" s="20"/>
      <c r="O177" s="20"/>
      <c r="P177" s="427"/>
      <c r="Q177" s="371"/>
      <c r="R177" s="371"/>
      <c r="S177" s="22"/>
      <c r="T177" s="22"/>
      <c r="U177" s="412"/>
      <c r="V177" s="371"/>
      <c r="W177" s="20"/>
      <c r="X177" s="20"/>
      <c r="Y177" s="20"/>
      <c r="Z177" s="20"/>
      <c r="AA177" s="20"/>
    </row>
    <row r="178" spans="1:27" ht="12.75" x14ac:dyDescent="0.2">
      <c r="A178" s="20"/>
      <c r="B178" s="23" t="b">
        <v>0</v>
      </c>
      <c r="C178" s="419" t="str">
        <f ca="1">敌人!C$392</f>
        <v>拉赛尔</v>
      </c>
      <c r="D178" s="371"/>
      <c r="E178" s="23" t="str">
        <f>敌人!D$392</f>
        <v>4+</v>
      </c>
      <c r="F178" s="23">
        <f>敌人!E$392</f>
        <v>0</v>
      </c>
      <c r="G178" s="23">
        <f>敌人!F$392</f>
        <v>0</v>
      </c>
      <c r="H178" s="23">
        <f>敌人!G$392</f>
        <v>0</v>
      </c>
      <c r="I178" s="23">
        <f>敌人!H$392</f>
        <v>0</v>
      </c>
      <c r="J178" s="23">
        <f>敌人!I$392</f>
        <v>0</v>
      </c>
      <c r="K178" s="419" t="str">
        <f ca="1">敌人!J$392</f>
        <v>ＨＰ／ＳＰ恢复的果酱</v>
      </c>
      <c r="L178" s="371"/>
      <c r="M178" s="371"/>
      <c r="N178" s="20"/>
      <c r="O178" s="20"/>
      <c r="P178" s="427"/>
      <c r="Q178" s="371"/>
      <c r="R178" s="371"/>
      <c r="S178" s="22"/>
      <c r="T178" s="22"/>
      <c r="U178" s="412"/>
      <c r="V178" s="371"/>
      <c r="W178" s="20"/>
      <c r="X178" s="20"/>
      <c r="Y178" s="20"/>
      <c r="Z178" s="20"/>
      <c r="AA178" s="20"/>
    </row>
    <row r="179" spans="1:27" ht="12.75" x14ac:dyDescent="0.2">
      <c r="A179" s="20"/>
      <c r="B179" s="23" t="b">
        <v>0</v>
      </c>
      <c r="C179" s="419" t="str">
        <f ca="1">敌人!C$393</f>
        <v>蓝鬼火</v>
      </c>
      <c r="D179" s="371"/>
      <c r="E179" s="23" t="str">
        <f>敌人!D$393</f>
        <v>2+</v>
      </c>
      <c r="F179" s="23">
        <f>敌人!E$393</f>
        <v>0</v>
      </c>
      <c r="G179" s="23">
        <f>敌人!F$393</f>
        <v>0</v>
      </c>
      <c r="H179" s="23">
        <f>敌人!G$393</f>
        <v>0</v>
      </c>
      <c r="I179" s="23">
        <f>敌人!H$393</f>
        <v>0</v>
      </c>
      <c r="J179" s="23">
        <f>敌人!I$393</f>
        <v>0</v>
      </c>
      <c r="K179" s="419" t="str">
        <f ca="1">敌人!J$393</f>
        <v>冰之精灵石</v>
      </c>
      <c r="L179" s="371"/>
      <c r="M179" s="371"/>
      <c r="N179" s="20"/>
      <c r="O179" s="20"/>
      <c r="P179" s="427"/>
      <c r="Q179" s="371"/>
      <c r="R179" s="371"/>
      <c r="S179" s="22"/>
      <c r="T179" s="22"/>
      <c r="U179" s="412"/>
      <c r="V179" s="371"/>
      <c r="W179" s="20"/>
      <c r="X179" s="20"/>
      <c r="Y179" s="20"/>
      <c r="Z179" s="20"/>
      <c r="AA179" s="20"/>
    </row>
    <row r="180" spans="1:27" ht="12.75" x14ac:dyDescent="0.2">
      <c r="A180" s="20"/>
      <c r="B180" s="20"/>
      <c r="C180" s="421"/>
      <c r="D180" s="371"/>
      <c r="E180" s="20"/>
      <c r="F180" s="20"/>
      <c r="G180" s="20"/>
      <c r="H180" s="20"/>
      <c r="I180" s="20"/>
      <c r="J180" s="20"/>
      <c r="K180" s="421"/>
      <c r="L180" s="371"/>
      <c r="M180" s="371"/>
      <c r="N180" s="20"/>
      <c r="O180" s="20"/>
      <c r="P180" s="427"/>
      <c r="Q180" s="371"/>
      <c r="R180" s="371"/>
      <c r="S180" s="22"/>
      <c r="T180" s="22"/>
      <c r="U180" s="412"/>
      <c r="V180" s="371"/>
      <c r="W180" s="20"/>
      <c r="X180" s="20"/>
      <c r="Y180" s="20"/>
      <c r="Z180" s="20"/>
      <c r="AA180" s="20"/>
    </row>
    <row r="181" spans="1:27" ht="18" x14ac:dyDescent="0.25">
      <c r="A181" s="416" t="str">
        <f ca="1">语言!$A$323&amp;" 2"</f>
        <v>Tier 2</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row>
    <row r="182" spans="1:27" ht="12.75" x14ac:dyDescent="0.2">
      <c r="A182" s="20"/>
      <c r="B182" s="21" t="b">
        <v>0</v>
      </c>
      <c r="C182" s="411" t="str">
        <f ca="1">敌人!C$69</f>
        <v>绅士凯特林</v>
      </c>
      <c r="D182" s="371"/>
      <c r="E182" s="21">
        <f>敌人!D$69</f>
        <v>4</v>
      </c>
      <c r="F182" s="21">
        <f>敌人!E$69</f>
        <v>0</v>
      </c>
      <c r="G182" s="21">
        <f>敌人!F$69</f>
        <v>0</v>
      </c>
      <c r="H182" s="21">
        <f>敌人!G$69</f>
        <v>0</v>
      </c>
      <c r="I182" s="21">
        <f>敌人!H$69</f>
        <v>0</v>
      </c>
      <c r="J182" s="21">
        <f>敌人!I$69</f>
        <v>0</v>
      </c>
      <c r="K182" s="411" t="str">
        <f ca="1">敌人!J$69</f>
        <v>ＨＰ／ＳＰ／ＢＰ恢复的果酱</v>
      </c>
      <c r="L182" s="371"/>
      <c r="M182" s="371"/>
      <c r="N182" s="20"/>
      <c r="O182" s="418" t="str">
        <f ca="1">语言!A$354&amp;" (4 "&amp;语言!$A$19&amp;")"</f>
        <v>诺布尔寇德 (4 宝箱)</v>
      </c>
      <c r="P182" s="371"/>
      <c r="Q182" s="371"/>
      <c r="R182" s="371"/>
      <c r="S182" s="20"/>
      <c r="T182" s="408" t="str">
        <f ca="1">语言!A$354</f>
        <v>诺布尔寇德</v>
      </c>
      <c r="U182" s="371"/>
      <c r="V182" s="371"/>
      <c r="W182" s="20"/>
      <c r="X182" s="408" t="str">
        <f ca="1">语言!A$356</f>
        <v>西诺布尔寇德平原</v>
      </c>
      <c r="Y182" s="371"/>
      <c r="Z182" s="371"/>
      <c r="AA182" s="20"/>
    </row>
    <row r="183" spans="1:27" ht="12.75" x14ac:dyDescent="0.2">
      <c r="A183" s="20"/>
      <c r="B183" s="418" t="str">
        <f ca="1">语言!A$356&amp;" ("&amp;语言!$A$12&amp;" 17 - 20 - 23 - 26)"</f>
        <v>西诺布尔寇德平原 (危险度 17 - 20 - 23 - 26)</v>
      </c>
      <c r="C183" s="371"/>
      <c r="D183" s="371"/>
      <c r="E183" s="371"/>
      <c r="F183" s="371"/>
      <c r="G183" s="371"/>
      <c r="H183" s="371"/>
      <c r="I183" s="371"/>
      <c r="J183" s="371"/>
      <c r="K183" s="371"/>
      <c r="L183" s="371"/>
      <c r="M183" s="371"/>
      <c r="N183" s="20"/>
      <c r="O183" s="23" t="b">
        <v>0</v>
      </c>
      <c r="P183" s="419" t="str">
        <f ca="1">道具!$C$14</f>
        <v>复活的橄榄</v>
      </c>
      <c r="Q183" s="371"/>
      <c r="R183" s="371"/>
      <c r="S183" s="20"/>
      <c r="T183" s="21" t="b">
        <v>0</v>
      </c>
      <c r="U183" s="411" t="str">
        <f ca="1">道具!$C$38</f>
        <v>雷之精灵石（特大）</v>
      </c>
      <c r="V183" s="371"/>
      <c r="W183" s="20"/>
      <c r="X183" s="409" t="b">
        <v>0</v>
      </c>
      <c r="Y183" s="409" t="str">
        <f ca="1">语言!$A$1792&amp;" (NPC)
Quest:
"&amp;支线!$C$34</f>
        <v>拙笨的青年 (NPC)
Quest:
守墓的工作</v>
      </c>
      <c r="Z183" s="410" t="str">
        <f ca="1">"Complete the quest with "&amp;语言!$A$47&amp;" / "&amp;语言!$A$51&amp;" solution, otherwise if you give to "&amp;语言!$A$2013&amp;" the "&amp;道具!$F$50&amp;", he presumebly kill the NPC and you can't find him anymore. Not a huge deal but if you still want to interract with the NPC after completing the quest, you'll have to give him a beating instead."</f>
        <v>Complete the quest with 比试 / 唆使 solution, otherwise if you give to 守墓的老人 the 老人也能用的短弓, he presumebly kill the NPC and you can't find him anymore. Not a huge deal but if you still want to interract with the NPC after completing the quest, you'll have to give him a beating instead.</v>
      </c>
      <c r="AA183" s="20"/>
    </row>
    <row r="184" spans="1:27" ht="12.75" x14ac:dyDescent="0.2">
      <c r="A184" s="20"/>
      <c r="B184" s="23" t="b">
        <v>0</v>
      </c>
      <c r="C184" s="419" t="str">
        <f ca="1">敌人!C$113</f>
        <v>平原巨蛙 IV</v>
      </c>
      <c r="D184" s="371"/>
      <c r="E184" s="23">
        <f>敌人!D$113</f>
        <v>2</v>
      </c>
      <c r="F184" s="23">
        <f>敌人!E$113</f>
        <v>0</v>
      </c>
      <c r="G184" s="23">
        <f>敌人!F$113</f>
        <v>0</v>
      </c>
      <c r="H184" s="23">
        <f>敌人!G$113</f>
        <v>0</v>
      </c>
      <c r="I184" s="23">
        <f>敌人!H$113</f>
        <v>0</v>
      </c>
      <c r="J184" s="23">
        <f>敌人!I$113</f>
        <v>0</v>
      </c>
      <c r="K184" s="419" t="str">
        <f ca="1">敌人!J$113</f>
        <v>ＳＰ恢复的李子</v>
      </c>
      <c r="L184" s="371"/>
      <c r="M184" s="371"/>
      <c r="N184" s="20"/>
      <c r="O184" s="23" t="b">
        <v>0</v>
      </c>
      <c r="P184" s="419" t="str">
        <f ca="1">道具!$C$20</f>
        <v>黑暗治疗药草</v>
      </c>
      <c r="Q184" s="371"/>
      <c r="R184" s="371"/>
      <c r="S184" s="20"/>
      <c r="T184" s="21" t="b">
        <v>0</v>
      </c>
      <c r="U184" s="411" t="str">
        <f ca="1">道具!$C$129</f>
        <v>奇特的古董</v>
      </c>
      <c r="V184" s="371"/>
      <c r="W184" s="20"/>
      <c r="X184" s="371"/>
      <c r="Y184" s="371"/>
      <c r="Z184" s="371"/>
      <c r="AA184" s="20"/>
    </row>
    <row r="185" spans="1:27" ht="12.75" x14ac:dyDescent="0.2">
      <c r="A185" s="20"/>
      <c r="B185" s="23" t="b">
        <v>0</v>
      </c>
      <c r="C185" s="419" t="str">
        <f ca="1">敌人!C$114</f>
        <v>平原巨蛙 V</v>
      </c>
      <c r="D185" s="371"/>
      <c r="E185" s="23">
        <f>敌人!D$114</f>
        <v>1</v>
      </c>
      <c r="F185" s="23">
        <f>敌人!E$114</f>
        <v>0</v>
      </c>
      <c r="G185" s="23">
        <f>敌人!F$114</f>
        <v>0</v>
      </c>
      <c r="H185" s="23">
        <f>敌人!G$114</f>
        <v>0</v>
      </c>
      <c r="I185" s="23">
        <f>敌人!H$114</f>
        <v>0</v>
      </c>
      <c r="J185" s="23">
        <f>敌人!I$114</f>
        <v>0</v>
      </c>
      <c r="K185" s="419" t="str">
        <f ca="1">敌人!J$114</f>
        <v>毒利米树之叶</v>
      </c>
      <c r="L185" s="371"/>
      <c r="M185" s="371"/>
      <c r="N185" s="20"/>
      <c r="O185" s="23" t="b">
        <v>0</v>
      </c>
      <c r="P185" s="419" t="str">
        <f ca="1">道具!$C$19</f>
        <v>沉默治疗药草</v>
      </c>
      <c r="Q185" s="371"/>
      <c r="R185" s="371"/>
      <c r="S185" s="20"/>
      <c r="T185" s="21" t="b">
        <v>0</v>
      </c>
      <c r="U185" s="411" t="str">
        <f ca="1">道具!$C$117</f>
        <v>鼓胀的钱包</v>
      </c>
      <c r="V185" s="371"/>
      <c r="W185" s="20"/>
      <c r="X185" s="371"/>
      <c r="Y185" s="371"/>
      <c r="Z185" s="371"/>
      <c r="AA185" s="20"/>
    </row>
    <row r="186" spans="1:27" ht="12.75" x14ac:dyDescent="0.2">
      <c r="A186" s="20"/>
      <c r="B186" s="23" t="b">
        <v>0</v>
      </c>
      <c r="C186" s="419" t="str">
        <f ca="1">敌人!C$115&amp;" (23+)"</f>
        <v>平原巨蛙 VI (23+)</v>
      </c>
      <c r="D186" s="371"/>
      <c r="E186" s="23">
        <f>敌人!D$115</f>
        <v>3</v>
      </c>
      <c r="F186" s="23">
        <f>敌人!E$115</f>
        <v>0</v>
      </c>
      <c r="G186" s="23">
        <f>敌人!F$115</f>
        <v>0</v>
      </c>
      <c r="H186" s="23">
        <f>敌人!G$115</f>
        <v>0</v>
      </c>
      <c r="I186" s="23">
        <f>敌人!H$115</f>
        <v>0</v>
      </c>
      <c r="J186" s="23">
        <f>敌人!I$115</f>
        <v>0</v>
      </c>
      <c r="K186" s="419" t="str">
        <f ca="1">敌人!J$115</f>
        <v>ＨＰ恢复的葡萄（大）</v>
      </c>
      <c r="L186" s="371"/>
      <c r="M186" s="371"/>
      <c r="N186" s="20"/>
      <c r="O186" s="23" t="b">
        <v>0</v>
      </c>
      <c r="P186" s="419" t="str">
        <f ca="1">"10 000$ ("&amp;语言!$A$20&amp;")"</f>
        <v>10 000$ (上锁宝箱)</v>
      </c>
      <c r="Q186" s="371"/>
      <c r="R186" s="371"/>
      <c r="S186" s="20"/>
      <c r="T186" s="21" t="b">
        <v>0</v>
      </c>
      <c r="U186" s="411" t="str">
        <f ca="1">道具!$C$10</f>
        <v>ＢＰ恢复的石榴（大）</v>
      </c>
      <c r="V186" s="371"/>
      <c r="W186" s="20"/>
      <c r="X186" s="371"/>
      <c r="Y186" s="371"/>
      <c r="Z186" s="371"/>
      <c r="AA186" s="20"/>
    </row>
    <row r="187" spans="1:27" ht="12.75" x14ac:dyDescent="0.2">
      <c r="A187" s="26"/>
      <c r="B187" s="23" t="b">
        <v>0</v>
      </c>
      <c r="C187" s="419" t="str">
        <f ca="1">敌人!C$116&amp;" (23+)"</f>
        <v>平原大巨蛙 I (23+)</v>
      </c>
      <c r="D187" s="371"/>
      <c r="E187" s="23">
        <f>敌人!D$116</f>
        <v>4</v>
      </c>
      <c r="F187" s="23">
        <f>敌人!E$116</f>
        <v>0</v>
      </c>
      <c r="G187" s="23">
        <f>敌人!F$116</f>
        <v>0</v>
      </c>
      <c r="H187" s="23">
        <f>敌人!G$116</f>
        <v>0</v>
      </c>
      <c r="I187" s="23">
        <f>敌人!H$116</f>
        <v>0</v>
      </c>
      <c r="J187" s="23">
        <f>敌人!I$116</f>
        <v>0</v>
      </c>
      <c r="K187" s="419" t="str">
        <f ca="1">敌人!J$116</f>
        <v>ＨＰ恢复的葡萄（大）</v>
      </c>
      <c r="L187" s="371"/>
      <c r="M187" s="371"/>
      <c r="N187" s="20"/>
      <c r="O187" s="418" t="str">
        <f ca="1">语言!A$356&amp;" (5 "&amp;语言!$A$19&amp;")"</f>
        <v>西诺布尔寇德平原 (5 宝箱)</v>
      </c>
      <c r="P187" s="371"/>
      <c r="Q187" s="371"/>
      <c r="R187" s="371"/>
      <c r="S187" s="20"/>
      <c r="T187" s="21" t="b">
        <v>0</v>
      </c>
      <c r="U187" s="411" t="str">
        <f ca="1">道具!$C$259</f>
        <v>钢斧</v>
      </c>
      <c r="V187" s="371"/>
      <c r="W187" s="20"/>
      <c r="X187" s="371"/>
      <c r="Y187" s="371"/>
      <c r="Z187" s="371"/>
      <c r="AA187" s="20"/>
    </row>
    <row r="188" spans="1:27" ht="12.75" x14ac:dyDescent="0.2">
      <c r="A188" s="26"/>
      <c r="B188" s="23" t="b">
        <v>0</v>
      </c>
      <c r="C188" s="419" t="str">
        <f ca="1">敌人!C$141&amp;" (20-)"</f>
        <v>大绵羊 (20-)</v>
      </c>
      <c r="D188" s="371"/>
      <c r="E188" s="23">
        <f>敌人!D$141</f>
        <v>3</v>
      </c>
      <c r="F188" s="23">
        <f>敌人!E$141</f>
        <v>0</v>
      </c>
      <c r="G188" s="23">
        <f>敌人!F$141</f>
        <v>0</v>
      </c>
      <c r="H188" s="23">
        <f>敌人!G$141</f>
        <v>0</v>
      </c>
      <c r="I188" s="23">
        <f>敌人!H$141</f>
        <v>0</v>
      </c>
      <c r="J188" s="23">
        <f>敌人!I$141</f>
        <v>0</v>
      </c>
      <c r="K188" s="419" t="str">
        <f ca="1">敌人!J$141</f>
        <v>橄榄花</v>
      </c>
      <c r="L188" s="371"/>
      <c r="M188" s="371"/>
      <c r="N188" s="20"/>
      <c r="O188" s="23" t="b">
        <v>0</v>
      </c>
      <c r="P188" s="419" t="str">
        <f ca="1">道具!$C$515</f>
        <v>风之避邪符</v>
      </c>
      <c r="Q188" s="371"/>
      <c r="R188" s="371"/>
      <c r="S188" s="20"/>
      <c r="T188" s="21" t="b">
        <v>0</v>
      </c>
      <c r="U188" s="411" t="str">
        <f ca="1">道具!$C$7</f>
        <v>ＳＰ恢复的李子（大）</v>
      </c>
      <c r="V188" s="371"/>
      <c r="W188" s="20"/>
      <c r="X188" s="371"/>
      <c r="Y188" s="371"/>
      <c r="Z188" s="371"/>
      <c r="AA188" s="20"/>
    </row>
    <row r="189" spans="1:27" ht="12.75" x14ac:dyDescent="0.2">
      <c r="A189" s="20"/>
      <c r="B189" s="23" t="b">
        <v>0</v>
      </c>
      <c r="C189" s="419" t="str">
        <f ca="1">敌人!C$214&amp;" (23+)"</f>
        <v>大绵羊异种 (23+)</v>
      </c>
      <c r="D189" s="371"/>
      <c r="E189" s="23">
        <f>敌人!D$214</f>
        <v>2</v>
      </c>
      <c r="F189" s="23">
        <f>敌人!E$214</f>
        <v>0</v>
      </c>
      <c r="G189" s="23">
        <f>敌人!F$214</f>
        <v>0</v>
      </c>
      <c r="H189" s="23">
        <f>敌人!G$214</f>
        <v>0</v>
      </c>
      <c r="I189" s="23">
        <f>敌人!H$214</f>
        <v>0</v>
      </c>
      <c r="J189" s="23">
        <f>敌人!I$214</f>
        <v>0</v>
      </c>
      <c r="K189" s="419" t="str">
        <f ca="1">敌人!J$214</f>
        <v>橄榄花</v>
      </c>
      <c r="L189" s="371"/>
      <c r="M189" s="371"/>
      <c r="N189" s="20"/>
      <c r="O189" s="23" t="b">
        <v>0</v>
      </c>
      <c r="P189" s="419" t="str">
        <f ca="1">道具!$C$4</f>
        <v>ＨＰ恢复的葡萄（大）</v>
      </c>
      <c r="Q189" s="371"/>
      <c r="R189" s="371"/>
      <c r="S189" s="20"/>
      <c r="T189" s="21" t="b">
        <v>0</v>
      </c>
      <c r="U189" s="411" t="str">
        <f ca="1">道具!$C$127</f>
        <v>放了铜块的麻袋</v>
      </c>
      <c r="V189" s="371"/>
      <c r="W189" s="20"/>
      <c r="X189" s="20"/>
      <c r="Y189" s="20"/>
      <c r="Z189" s="20"/>
      <c r="AA189" s="20"/>
    </row>
    <row r="190" spans="1:27" ht="12.75" x14ac:dyDescent="0.2">
      <c r="A190" s="20"/>
      <c r="B190" s="23" t="b">
        <v>0</v>
      </c>
      <c r="C190" s="419" t="str">
        <f ca="1">敌人!C$29&amp;" (23+)"</f>
        <v>血腥猛牛 (23+)</v>
      </c>
      <c r="D190" s="371"/>
      <c r="E190" s="23">
        <f>敌人!D$29</f>
        <v>2</v>
      </c>
      <c r="F190" s="23">
        <f>敌人!E$29</f>
        <v>0</v>
      </c>
      <c r="G190" s="23">
        <f>敌人!F$29</f>
        <v>0</v>
      </c>
      <c r="H190" s="23">
        <f>敌人!G$29</f>
        <v>0</v>
      </c>
      <c r="I190" s="23">
        <f>敌人!H$29</f>
        <v>0</v>
      </c>
      <c r="J190" s="23">
        <f>敌人!I$29</f>
        <v>0</v>
      </c>
      <c r="K190" s="419" t="str">
        <f ca="1">敌人!J$29</f>
        <v>复活的橄榄</v>
      </c>
      <c r="L190" s="371"/>
      <c r="M190" s="371"/>
      <c r="N190" s="20"/>
      <c r="O190" s="23" t="b">
        <v>0</v>
      </c>
      <c r="P190" s="419" t="str">
        <f ca="1">道具!$C$44</f>
        <v>光之精灵石（大）</v>
      </c>
      <c r="Q190" s="371"/>
      <c r="R190" s="371"/>
      <c r="S190" s="20"/>
      <c r="T190" s="21" t="b">
        <v>0</v>
      </c>
      <c r="U190" s="411" t="str">
        <f ca="1">道具!$C$115</f>
        <v>简单！冒险者入门</v>
      </c>
      <c r="V190" s="371"/>
      <c r="W190" s="20"/>
      <c r="X190" s="20"/>
      <c r="Y190" s="20"/>
      <c r="Z190" s="20"/>
      <c r="AA190" s="20"/>
    </row>
    <row r="191" spans="1:27" ht="12.75" x14ac:dyDescent="0.2">
      <c r="A191" s="20"/>
      <c r="B191" s="23" t="b">
        <v>0</v>
      </c>
      <c r="C191" s="419" t="str">
        <f ca="1">敌人!C$10</f>
        <v>断指蚁异种</v>
      </c>
      <c r="D191" s="371"/>
      <c r="E191" s="23">
        <f>敌人!D$10</f>
        <v>3</v>
      </c>
      <c r="F191" s="23">
        <f>敌人!E$10</f>
        <v>0</v>
      </c>
      <c r="G191" s="23">
        <f>敌人!F$10</f>
        <v>0</v>
      </c>
      <c r="H191" s="23">
        <f>敌人!G$10</f>
        <v>0</v>
      </c>
      <c r="I191" s="23">
        <f>敌人!H$10</f>
        <v>0</v>
      </c>
      <c r="J191" s="23">
        <f>敌人!I$10</f>
        <v>0</v>
      </c>
      <c r="K191" s="419" t="str">
        <f ca="1">敌人!J$10</f>
        <v>毒利米树之叶</v>
      </c>
      <c r="L191" s="371"/>
      <c r="M191" s="371"/>
      <c r="N191" s="20"/>
      <c r="O191" s="23" t="b">
        <v>0</v>
      </c>
      <c r="P191" s="419" t="s">
        <v>19</v>
      </c>
      <c r="Q191" s="371"/>
      <c r="R191" s="371"/>
      <c r="S191" s="20"/>
      <c r="T191" s="21" t="b">
        <v>0</v>
      </c>
      <c r="U191" s="411" t="str">
        <f ca="1">道具!$C$116</f>
        <v>稀奇的石头</v>
      </c>
      <c r="V191" s="371"/>
      <c r="W191" s="20"/>
      <c r="X191" s="20"/>
      <c r="Y191" s="20"/>
      <c r="Z191" s="20"/>
      <c r="AA191" s="20"/>
    </row>
    <row r="192" spans="1:27" ht="12.75" x14ac:dyDescent="0.2">
      <c r="A192" s="20"/>
      <c r="B192" s="23" t="b">
        <v>0</v>
      </c>
      <c r="C192" s="419" t="str">
        <f ca="1">敌人!C$347</f>
        <v>风来草</v>
      </c>
      <c r="D192" s="371"/>
      <c r="E192" s="23">
        <f>敌人!D$347</f>
        <v>3</v>
      </c>
      <c r="F192" s="23">
        <f>敌人!E$347</f>
        <v>0</v>
      </c>
      <c r="G192" s="23">
        <f>敌人!F$347</f>
        <v>0</v>
      </c>
      <c r="H192" s="23">
        <f>敌人!G$347</f>
        <v>0</v>
      </c>
      <c r="I192" s="23">
        <f>敌人!H$347</f>
        <v>0</v>
      </c>
      <c r="J192" s="23">
        <f>敌人!I$347</f>
        <v>0</v>
      </c>
      <c r="K192" s="419" t="str">
        <f ca="1">敌人!J$347</f>
        <v>混乱多之叶</v>
      </c>
      <c r="L192" s="371"/>
      <c r="M192" s="371"/>
      <c r="N192" s="20"/>
      <c r="O192" s="23" t="b">
        <v>0</v>
      </c>
      <c r="P192" s="419" t="str">
        <f ca="1">道具!$C$9</f>
        <v>ＢＰ恢复的石榴</v>
      </c>
      <c r="Q192" s="371"/>
      <c r="R192" s="371"/>
      <c r="S192" s="22"/>
      <c r="T192" s="22"/>
      <c r="U192" s="412"/>
      <c r="V192" s="371"/>
      <c r="W192" s="20"/>
      <c r="X192" s="20"/>
      <c r="Y192" s="20"/>
      <c r="Z192" s="20"/>
      <c r="AA192" s="20"/>
    </row>
    <row r="193" spans="1:27" ht="12.75" x14ac:dyDescent="0.2">
      <c r="A193" s="20"/>
      <c r="B193" s="23" t="b">
        <v>0</v>
      </c>
      <c r="C193" s="419" t="str">
        <f ca="1">敌人!C$230&amp;" (20-)"</f>
        <v>黑乌鸦 (20-)</v>
      </c>
      <c r="D193" s="371"/>
      <c r="E193" s="23">
        <f>敌人!D$230</f>
        <v>1</v>
      </c>
      <c r="F193" s="23">
        <f>敌人!E$230</f>
        <v>0</v>
      </c>
      <c r="G193" s="23">
        <f>敌人!F$230</f>
        <v>0</v>
      </c>
      <c r="H193" s="23">
        <f>敌人!G$230</f>
        <v>0</v>
      </c>
      <c r="I193" s="23">
        <f>敌人!H$230</f>
        <v>0</v>
      </c>
      <c r="J193" s="23">
        <f>敌人!I$230</f>
        <v>0</v>
      </c>
      <c r="K193" s="419" t="str">
        <f ca="1">敌人!J$230</f>
        <v>混乱多之叶</v>
      </c>
      <c r="L193" s="371"/>
      <c r="M193" s="371"/>
      <c r="N193" s="20"/>
      <c r="O193" s="418" t="str">
        <f ca="1">语言!A$357&amp;" (8 "&amp;语言!$A$19&amp;")"</f>
        <v>虚无的王座 (8 宝箱)</v>
      </c>
      <c r="P193" s="371"/>
      <c r="Q193" s="371"/>
      <c r="R193" s="371"/>
      <c r="S193" s="22"/>
      <c r="T193" s="22"/>
      <c r="U193" s="412"/>
      <c r="V193" s="371"/>
      <c r="W193" s="20"/>
      <c r="X193" s="20"/>
      <c r="Y193" s="20"/>
      <c r="Z193" s="20"/>
      <c r="AA193" s="20"/>
    </row>
    <row r="194" spans="1:27" ht="12.75" x14ac:dyDescent="0.2">
      <c r="A194" s="20"/>
      <c r="B194" s="23" t="b">
        <v>0</v>
      </c>
      <c r="C194" s="419" t="str">
        <f ca="1">敌人!C$90&amp;" (23+)"</f>
        <v>黑乌鸦异种 (23+)</v>
      </c>
      <c r="D194" s="371"/>
      <c r="E194" s="23">
        <f>敌人!D$90</f>
        <v>2</v>
      </c>
      <c r="F194" s="23">
        <f>敌人!E$90</f>
        <v>0</v>
      </c>
      <c r="G194" s="23">
        <f>敌人!F$90</f>
        <v>0</v>
      </c>
      <c r="H194" s="23">
        <f>敌人!G$90</f>
        <v>0</v>
      </c>
      <c r="I194" s="23">
        <f>敌人!H$90</f>
        <v>0</v>
      </c>
      <c r="J194" s="23">
        <f>敌人!I$90</f>
        <v>0</v>
      </c>
      <c r="K194" s="419" t="str">
        <f ca="1">敌人!J$90</f>
        <v>混乱多之叶</v>
      </c>
      <c r="L194" s="371"/>
      <c r="M194" s="371"/>
      <c r="N194" s="20"/>
      <c r="O194" s="23" t="b">
        <v>0</v>
      </c>
      <c r="P194" s="419" t="str">
        <f ca="1">道具!$C$519</f>
        <v>猛毒耐性石</v>
      </c>
      <c r="Q194" s="371"/>
      <c r="R194" s="371"/>
      <c r="S194" s="22"/>
      <c r="T194" s="22"/>
      <c r="U194" s="412"/>
      <c r="V194" s="371"/>
      <c r="W194" s="20"/>
      <c r="X194" s="20"/>
      <c r="Y194" s="20"/>
      <c r="Z194" s="20"/>
      <c r="AA194" s="20"/>
    </row>
    <row r="195" spans="1:27" ht="12.75" x14ac:dyDescent="0.2">
      <c r="A195" s="20"/>
      <c r="B195" s="418" t="str">
        <f ca="1">语言!A$357&amp;" ("&amp;语言!$A$12&amp;" 25)"</f>
        <v>虚无的王座 (危险度 25)</v>
      </c>
      <c r="C195" s="371"/>
      <c r="D195" s="371"/>
      <c r="E195" s="371"/>
      <c r="F195" s="371"/>
      <c r="G195" s="371"/>
      <c r="H195" s="371"/>
      <c r="I195" s="371"/>
      <c r="J195" s="371"/>
      <c r="K195" s="371"/>
      <c r="L195" s="371"/>
      <c r="M195" s="371"/>
      <c r="N195" s="20"/>
      <c r="O195" s="23" t="b">
        <v>0</v>
      </c>
      <c r="P195" s="419" t="str">
        <f ca="1">道具!$C$11</f>
        <v>ＢＰ恢复的石榴（特大）</v>
      </c>
      <c r="Q195" s="371"/>
      <c r="R195" s="371"/>
      <c r="S195" s="20"/>
      <c r="T195" s="20"/>
      <c r="U195" s="421"/>
      <c r="V195" s="371"/>
      <c r="W195" s="20"/>
      <c r="X195" s="20"/>
      <c r="Y195" s="20"/>
      <c r="Z195" s="20"/>
      <c r="AA195" s="20"/>
    </row>
    <row r="196" spans="1:27" ht="12.75" x14ac:dyDescent="0.2">
      <c r="A196" s="20"/>
      <c r="B196" s="23" t="b">
        <v>0</v>
      </c>
      <c r="C196" s="419" t="str">
        <f ca="1">敌人!C$249</f>
        <v>古代遗物（兽）</v>
      </c>
      <c r="D196" s="371"/>
      <c r="E196" s="23">
        <f>敌人!D$249</f>
        <v>3</v>
      </c>
      <c r="F196" s="23">
        <f>敌人!E$249</f>
        <v>0</v>
      </c>
      <c r="G196" s="23">
        <f>敌人!F$249</f>
        <v>0</v>
      </c>
      <c r="H196" s="23">
        <f>敌人!G$249</f>
        <v>0</v>
      </c>
      <c r="I196" s="23">
        <f>敌人!H$249</f>
        <v>0</v>
      </c>
      <c r="J196" s="23">
        <f>敌人!I$249</f>
        <v>0</v>
      </c>
      <c r="K196" s="419" t="str">
        <f ca="1">敌人!J$249</f>
        <v>复活的橄榄（大）</v>
      </c>
      <c r="L196" s="371"/>
      <c r="M196" s="371"/>
      <c r="N196" s="20"/>
      <c r="O196" s="23" t="b">
        <v>0</v>
      </c>
      <c r="P196" s="419" t="str">
        <f ca="1">道具!$C$13</f>
        <v>ＨＰ／ＳＰ／ＢＰ恢复的果酱</v>
      </c>
      <c r="Q196" s="371"/>
      <c r="R196" s="371"/>
      <c r="S196" s="20"/>
      <c r="T196" s="20"/>
      <c r="U196" s="421"/>
      <c r="V196" s="371"/>
      <c r="W196" s="20"/>
      <c r="X196" s="20"/>
      <c r="Y196" s="20"/>
      <c r="Z196" s="20"/>
      <c r="AA196" s="20"/>
    </row>
    <row r="197" spans="1:27" ht="12.75" x14ac:dyDescent="0.2">
      <c r="A197" s="20"/>
      <c r="B197" s="23" t="b">
        <v>0</v>
      </c>
      <c r="C197" s="419" t="str">
        <f ca="1">敌人!C$338</f>
        <v>古代遗物（雷兽）</v>
      </c>
      <c r="D197" s="371"/>
      <c r="E197" s="23">
        <f>敌人!D$338</f>
        <v>2</v>
      </c>
      <c r="F197" s="23">
        <f>敌人!E$338</f>
        <v>0</v>
      </c>
      <c r="G197" s="23">
        <f>敌人!F$338</f>
        <v>0</v>
      </c>
      <c r="H197" s="23">
        <f>敌人!G$338</f>
        <v>0</v>
      </c>
      <c r="I197" s="23">
        <f>敌人!H$338</f>
        <v>0</v>
      </c>
      <c r="J197" s="23">
        <f>敌人!I$338</f>
        <v>0</v>
      </c>
      <c r="K197" s="419" t="str">
        <f ca="1">敌人!J$338</f>
        <v>雷之精灵石（大）</v>
      </c>
      <c r="L197" s="371"/>
      <c r="M197" s="371"/>
      <c r="N197" s="20"/>
      <c r="O197" s="23" t="b">
        <v>0</v>
      </c>
      <c r="P197" s="419" t="s">
        <v>20</v>
      </c>
      <c r="Q197" s="371"/>
      <c r="R197" s="371"/>
      <c r="S197" s="20"/>
      <c r="T197" s="20"/>
      <c r="U197" s="421"/>
      <c r="V197" s="371"/>
      <c r="W197" s="20"/>
      <c r="X197" s="20"/>
      <c r="Y197" s="20"/>
      <c r="Z197" s="20"/>
      <c r="AA197" s="20"/>
    </row>
    <row r="198" spans="1:27" ht="12.75" x14ac:dyDescent="0.2">
      <c r="A198" s="20"/>
      <c r="B198" s="23" t="b">
        <v>0</v>
      </c>
      <c r="C198" s="419" t="str">
        <f ca="1">敌人!C$340</f>
        <v>古代遗物。雷兵</v>
      </c>
      <c r="D198" s="371"/>
      <c r="E198" s="23">
        <f>敌人!D$340</f>
        <v>7</v>
      </c>
      <c r="F198" s="23">
        <f>敌人!E$340</f>
        <v>0</v>
      </c>
      <c r="G198" s="23">
        <f>敌人!F$340</f>
        <v>0</v>
      </c>
      <c r="H198" s="23">
        <f>敌人!G$340</f>
        <v>0</v>
      </c>
      <c r="I198" s="23">
        <f>敌人!H$340</f>
        <v>0</v>
      </c>
      <c r="J198" s="23">
        <f>敌人!I$340</f>
        <v>0</v>
      </c>
      <c r="K198" s="419" t="str">
        <f ca="1">敌人!J$340</f>
        <v>ＳＰ全体恢复的李子</v>
      </c>
      <c r="L198" s="371"/>
      <c r="M198" s="371"/>
      <c r="N198" s="20"/>
      <c r="O198" s="23" t="b">
        <v>0</v>
      </c>
      <c r="P198" s="419" t="str">
        <f ca="1">道具!$C$255&amp;" ("&amp;语言!$A$20&amp;")"</f>
        <v>银斧 (上锁宝箱)</v>
      </c>
      <c r="Q198" s="371"/>
      <c r="R198" s="371"/>
      <c r="S198" s="20"/>
      <c r="T198" s="20"/>
      <c r="U198" s="421"/>
      <c r="V198" s="371"/>
      <c r="W198" s="20"/>
      <c r="X198" s="20"/>
      <c r="Y198" s="20"/>
      <c r="Z198" s="20"/>
      <c r="AA198" s="20"/>
    </row>
    <row r="199" spans="1:27" ht="12.75" x14ac:dyDescent="0.2">
      <c r="A199" s="20"/>
      <c r="B199" s="23" t="b">
        <v>0</v>
      </c>
      <c r="C199" s="419" t="str">
        <f ca="1">敌人!C$17</f>
        <v>山贼骷髅</v>
      </c>
      <c r="D199" s="371"/>
      <c r="E199" s="23">
        <f>敌人!D$17</f>
        <v>2</v>
      </c>
      <c r="F199" s="23">
        <f>敌人!E$17</f>
        <v>0</v>
      </c>
      <c r="G199" s="23">
        <f>敌人!F$17</f>
        <v>0</v>
      </c>
      <c r="H199" s="23">
        <f>敌人!G$17</f>
        <v>0</v>
      </c>
      <c r="I199" s="23">
        <f>敌人!H$17</f>
        <v>0</v>
      </c>
      <c r="J199" s="23">
        <f>敌人!I$17</f>
        <v>0</v>
      </c>
      <c r="K199" s="419" t="str">
        <f ca="1">敌人!J$17</f>
        <v>装了破烂儿的小袋子</v>
      </c>
      <c r="L199" s="371"/>
      <c r="M199" s="371"/>
      <c r="N199" s="20"/>
      <c r="O199" s="23" t="b">
        <v>0</v>
      </c>
      <c r="P199" s="419" t="str">
        <f ca="1">道具!$C$16</f>
        <v>复活的橄榄（大）</v>
      </c>
      <c r="Q199" s="371"/>
      <c r="R199" s="371"/>
      <c r="S199" s="20"/>
      <c r="T199" s="20"/>
      <c r="U199" s="421"/>
      <c r="V199" s="371"/>
      <c r="W199" s="20"/>
      <c r="X199" s="20"/>
      <c r="Y199" s="20"/>
      <c r="Z199" s="20"/>
      <c r="AA199" s="20"/>
    </row>
    <row r="200" spans="1:27" ht="12.75" x14ac:dyDescent="0.2">
      <c r="A200" s="20"/>
      <c r="B200" s="23" t="b">
        <v>0</v>
      </c>
      <c r="C200" s="419" t="str">
        <f ca="1">敌人!C$216</f>
        <v>傀儡骷髅</v>
      </c>
      <c r="D200" s="371"/>
      <c r="E200" s="23">
        <f>敌人!D$216</f>
        <v>1</v>
      </c>
      <c r="F200" s="23">
        <f>敌人!E$216</f>
        <v>0</v>
      </c>
      <c r="G200" s="23">
        <f>敌人!F$216</f>
        <v>0</v>
      </c>
      <c r="H200" s="23">
        <f>敌人!G$216</f>
        <v>0</v>
      </c>
      <c r="I200" s="23">
        <f>敌人!H$216</f>
        <v>0</v>
      </c>
      <c r="J200" s="23">
        <f>敌人!I$216</f>
        <v>0</v>
      </c>
      <c r="K200" s="419" t="str">
        <f ca="1">敌人!J$216</f>
        <v>混乱治疗药草</v>
      </c>
      <c r="L200" s="371"/>
      <c r="M200" s="371"/>
      <c r="N200" s="20"/>
      <c r="O200" s="23" t="b">
        <v>0</v>
      </c>
      <c r="P200" s="419" t="str">
        <f ca="1">道具!$C$4</f>
        <v>ＨＰ恢复的葡萄（大）</v>
      </c>
      <c r="Q200" s="371"/>
      <c r="R200" s="371"/>
      <c r="S200" s="20"/>
      <c r="T200" s="20"/>
      <c r="U200" s="421"/>
      <c r="V200" s="371"/>
      <c r="W200" s="20"/>
      <c r="X200" s="20"/>
      <c r="Y200" s="20"/>
      <c r="Z200" s="20"/>
      <c r="AA200" s="20"/>
    </row>
    <row r="201" spans="1:27" ht="12.75" x14ac:dyDescent="0.2">
      <c r="A201" s="20"/>
      <c r="B201" s="23" t="b">
        <v>0</v>
      </c>
      <c r="C201" s="419" t="str">
        <f ca="1">敌人!C$239</f>
        <v>傀儡骷髅异种</v>
      </c>
      <c r="D201" s="371"/>
      <c r="E201" s="23">
        <f>敌人!D$239</f>
        <v>2</v>
      </c>
      <c r="F201" s="23">
        <f>敌人!E$239</f>
        <v>0</v>
      </c>
      <c r="G201" s="23">
        <f>敌人!F$239</f>
        <v>0</v>
      </c>
      <c r="H201" s="23">
        <f>敌人!G$239</f>
        <v>0</v>
      </c>
      <c r="I201" s="23">
        <f>敌人!H$239</f>
        <v>0</v>
      </c>
      <c r="J201" s="23">
        <f>敌人!I$239</f>
        <v>0</v>
      </c>
      <c r="K201" s="419" t="str">
        <f ca="1">敌人!J$239</f>
        <v>混乱治疗药草</v>
      </c>
      <c r="L201" s="371"/>
      <c r="M201" s="371"/>
      <c r="N201" s="20"/>
      <c r="O201" s="23" t="b">
        <v>0</v>
      </c>
      <c r="P201" s="419" t="str">
        <f ca="1">道具!$C$155</f>
        <v>月之刃</v>
      </c>
      <c r="Q201" s="371"/>
      <c r="R201" s="371"/>
      <c r="S201" s="20"/>
      <c r="T201" s="20"/>
      <c r="U201" s="421"/>
      <c r="V201" s="371"/>
      <c r="W201" s="20"/>
      <c r="X201" s="20"/>
      <c r="Y201" s="20"/>
      <c r="Z201" s="20"/>
      <c r="AA201" s="20"/>
    </row>
    <row r="202" spans="1:27" ht="12.75" x14ac:dyDescent="0.2">
      <c r="A202" s="20"/>
      <c r="B202" s="23" t="b">
        <v>0</v>
      </c>
      <c r="C202" s="419" t="str">
        <f ca="1">敌人!C$207</f>
        <v>雷元素</v>
      </c>
      <c r="D202" s="371"/>
      <c r="E202" s="23">
        <f>敌人!D$207</f>
        <v>4</v>
      </c>
      <c r="F202" s="23">
        <f>敌人!E$207</f>
        <v>0</v>
      </c>
      <c r="G202" s="23">
        <f>敌人!F$207</f>
        <v>0</v>
      </c>
      <c r="H202" s="23">
        <f>敌人!G$207</f>
        <v>0</v>
      </c>
      <c r="I202" s="23">
        <f>敌人!H$207</f>
        <v>0</v>
      </c>
      <c r="J202" s="23">
        <f>敌人!I$207</f>
        <v>0</v>
      </c>
      <c r="K202" s="419" t="str">
        <f ca="1">敌人!J$207</f>
        <v>雷之精灵石（特大）</v>
      </c>
      <c r="L202" s="371"/>
      <c r="M202" s="371"/>
      <c r="N202" s="26"/>
      <c r="O202" s="30"/>
      <c r="P202" s="422"/>
      <c r="Q202" s="371"/>
      <c r="R202" s="371"/>
      <c r="S202" s="20"/>
      <c r="T202" s="20"/>
      <c r="U202" s="421"/>
      <c r="V202" s="371"/>
      <c r="W202" s="20"/>
      <c r="X202" s="20"/>
      <c r="Y202" s="20"/>
      <c r="Z202" s="20"/>
      <c r="AA202" s="20"/>
    </row>
    <row r="203" spans="1:27" ht="12.75" x14ac:dyDescent="0.2">
      <c r="A203" s="20"/>
      <c r="B203" s="423" t="str">
        <f ca="1">语言!$A$16</f>
        <v>小Boss</v>
      </c>
      <c r="C203" s="371"/>
      <c r="D203" s="371"/>
      <c r="E203" s="371"/>
      <c r="F203" s="371"/>
      <c r="G203" s="371"/>
      <c r="H203" s="371"/>
      <c r="I203" s="371"/>
      <c r="J203" s="371"/>
      <c r="K203" s="371"/>
      <c r="L203" s="371"/>
      <c r="M203" s="371"/>
      <c r="N203" s="26"/>
      <c r="O203" s="26"/>
      <c r="P203" s="424"/>
      <c r="Q203" s="371"/>
      <c r="R203" s="371"/>
      <c r="S203" s="26"/>
      <c r="T203" s="20"/>
      <c r="U203" s="421"/>
      <c r="V203" s="371"/>
      <c r="W203" s="20"/>
      <c r="X203" s="20"/>
      <c r="Y203" s="20"/>
      <c r="Z203" s="20"/>
      <c r="AA203" s="20"/>
    </row>
    <row r="204" spans="1:27" ht="12.75" x14ac:dyDescent="0.2">
      <c r="A204" s="20"/>
      <c r="B204" s="23" t="b">
        <v>0</v>
      </c>
      <c r="C204" s="419" t="str">
        <f ca="1">敌人!C$386</f>
        <v>王座的守护者</v>
      </c>
      <c r="D204" s="371"/>
      <c r="E204" s="23">
        <f>敌人!D$386</f>
        <v>4</v>
      </c>
      <c r="F204" s="23">
        <f>敌人!E$386</f>
        <v>0</v>
      </c>
      <c r="G204" s="23">
        <f>敌人!F$386</f>
        <v>0</v>
      </c>
      <c r="H204" s="23">
        <f>敌人!G$386</f>
        <v>0</v>
      </c>
      <c r="I204" s="23">
        <f>敌人!H$386</f>
        <v>0</v>
      </c>
      <c r="J204" s="23">
        <f>敌人!I$386</f>
        <v>0</v>
      </c>
      <c r="K204" s="419" t="str">
        <f ca="1">敌人!J$386</f>
        <v>ＳＰ全体恢复的李子</v>
      </c>
      <c r="L204" s="371"/>
      <c r="M204" s="371"/>
      <c r="N204" s="26"/>
      <c r="O204" s="26"/>
      <c r="P204" s="424"/>
      <c r="Q204" s="371"/>
      <c r="R204" s="371"/>
      <c r="S204" s="26"/>
      <c r="T204" s="20"/>
      <c r="U204" s="421"/>
      <c r="V204" s="371"/>
      <c r="W204" s="20"/>
      <c r="X204" s="20"/>
      <c r="Y204" s="20"/>
      <c r="Z204" s="20"/>
      <c r="AA204" s="20"/>
    </row>
    <row r="205" spans="1:27" ht="12.75" x14ac:dyDescent="0.2">
      <c r="A205" s="20"/>
      <c r="B205" s="20"/>
      <c r="C205" s="421"/>
      <c r="D205" s="371"/>
      <c r="E205" s="20"/>
      <c r="F205" s="20"/>
      <c r="G205" s="20"/>
      <c r="H205" s="20"/>
      <c r="I205" s="20"/>
      <c r="J205" s="20"/>
      <c r="K205" s="421"/>
      <c r="L205" s="371"/>
      <c r="M205" s="371"/>
      <c r="N205" s="26"/>
      <c r="O205" s="30"/>
      <c r="P205" s="422"/>
      <c r="Q205" s="371"/>
      <c r="R205" s="371"/>
      <c r="S205" s="26"/>
      <c r="T205" s="20"/>
      <c r="U205" s="421"/>
      <c r="V205" s="371"/>
      <c r="W205" s="20"/>
      <c r="X205" s="20"/>
      <c r="Y205" s="20"/>
      <c r="Z205" s="20"/>
      <c r="AA205" s="20"/>
    </row>
    <row r="206" spans="1:27" ht="12.75" x14ac:dyDescent="0.2">
      <c r="A206" s="20"/>
      <c r="B206" s="417" t="str">
        <f ca="1">语言!$A$41&amp;" "&amp;语言!$A$14&amp;" 2"</f>
        <v>泰里翁 章节 2</v>
      </c>
      <c r="C206" s="371"/>
      <c r="D206" s="371"/>
      <c r="E206" s="371"/>
      <c r="F206" s="371"/>
      <c r="G206" s="371"/>
      <c r="H206" s="371"/>
      <c r="I206" s="371"/>
      <c r="J206" s="371"/>
      <c r="K206" s="371"/>
      <c r="L206" s="371"/>
      <c r="M206" s="371"/>
      <c r="N206" s="20"/>
      <c r="O206" s="417" t="str">
        <f ca="1">语言!$A$41&amp;" "&amp;语言!$A$14&amp;" 2"</f>
        <v>泰里翁 章节 2</v>
      </c>
      <c r="P206" s="371"/>
      <c r="Q206" s="371"/>
      <c r="R206" s="371"/>
      <c r="S206" s="20"/>
      <c r="T206" s="20"/>
      <c r="U206" s="421"/>
      <c r="V206" s="371"/>
      <c r="W206" s="20"/>
      <c r="X206" s="20"/>
      <c r="Y206" s="20"/>
      <c r="Z206" s="20"/>
      <c r="AA206" s="20"/>
    </row>
    <row r="207" spans="1:27" ht="12.75" x14ac:dyDescent="0.2">
      <c r="A207" s="20"/>
      <c r="B207" s="418" t="str">
        <f ca="1">语言!A$358&amp;" ("&amp;语言!$A$12&amp;" 22)"</f>
        <v>奥立克的宅邸 (危险度 22)</v>
      </c>
      <c r="C207" s="371"/>
      <c r="D207" s="371"/>
      <c r="E207" s="371"/>
      <c r="F207" s="371"/>
      <c r="G207" s="371"/>
      <c r="H207" s="371"/>
      <c r="I207" s="371"/>
      <c r="J207" s="371"/>
      <c r="K207" s="371"/>
      <c r="L207" s="371"/>
      <c r="M207" s="371"/>
      <c r="N207" s="20"/>
      <c r="O207" s="418" t="str">
        <f ca="1">语言!A$358&amp;" (7 "&amp;语言!$A$19&amp;")"</f>
        <v>奥立克的宅邸 (7 宝箱)</v>
      </c>
      <c r="P207" s="371"/>
      <c r="Q207" s="371"/>
      <c r="R207" s="371"/>
      <c r="S207" s="20"/>
      <c r="T207" s="20"/>
      <c r="U207" s="421"/>
      <c r="V207" s="371"/>
      <c r="W207" s="20"/>
      <c r="X207" s="20"/>
      <c r="Y207" s="20"/>
      <c r="Z207" s="20"/>
      <c r="AA207" s="20"/>
    </row>
    <row r="208" spans="1:27" ht="12.75" x14ac:dyDescent="0.2">
      <c r="A208" s="20"/>
      <c r="B208" s="23" t="b">
        <v>0</v>
      </c>
      <c r="C208" s="419" t="str">
        <f ca="1">敌人!C$32</f>
        <v>保镖 I</v>
      </c>
      <c r="D208" s="371"/>
      <c r="E208" s="23">
        <f>敌人!D$32</f>
        <v>3</v>
      </c>
      <c r="F208" s="23">
        <f>敌人!E$32</f>
        <v>0</v>
      </c>
      <c r="G208" s="23">
        <f>敌人!F$32</f>
        <v>0</v>
      </c>
      <c r="H208" s="23">
        <f>敌人!G$32</f>
        <v>0</v>
      </c>
      <c r="I208" s="23">
        <f>敌人!H$32</f>
        <v>0</v>
      </c>
      <c r="J208" s="23">
        <f>敌人!I$32</f>
        <v>0</v>
      </c>
      <c r="K208" s="419" t="str">
        <f ca="1">敌人!J$32</f>
        <v>钱包</v>
      </c>
      <c r="L208" s="371"/>
      <c r="M208" s="371"/>
      <c r="N208" s="20"/>
      <c r="O208" s="23" t="b">
        <v>0</v>
      </c>
      <c r="P208" s="419" t="str">
        <f ca="1">道具!$C$5</f>
        <v>ＨＰ全体恢复的葡萄</v>
      </c>
      <c r="Q208" s="371"/>
      <c r="R208" s="371"/>
      <c r="S208" s="20"/>
      <c r="T208" s="20"/>
      <c r="U208" s="421"/>
      <c r="V208" s="371"/>
      <c r="W208" s="20"/>
      <c r="X208" s="20"/>
      <c r="Y208" s="20"/>
      <c r="Z208" s="20"/>
      <c r="AA208" s="20"/>
    </row>
    <row r="209" spans="1:27" ht="12.75" x14ac:dyDescent="0.2">
      <c r="A209" s="20"/>
      <c r="B209" s="23" t="b">
        <v>0</v>
      </c>
      <c r="C209" s="419" t="str">
        <f ca="1">敌人!C$33</f>
        <v>保镖 II</v>
      </c>
      <c r="D209" s="371"/>
      <c r="E209" s="23">
        <f>敌人!D$33</f>
        <v>2</v>
      </c>
      <c r="F209" s="23">
        <f>敌人!E$33</f>
        <v>0</v>
      </c>
      <c r="G209" s="23">
        <f>敌人!F$33</f>
        <v>0</v>
      </c>
      <c r="H209" s="23">
        <f>敌人!G$33</f>
        <v>0</v>
      </c>
      <c r="I209" s="23">
        <f>敌人!H$33</f>
        <v>0</v>
      </c>
      <c r="J209" s="23">
        <f>敌人!I$33</f>
        <v>0</v>
      </c>
      <c r="K209" s="419" t="str">
        <f ca="1">敌人!J$33</f>
        <v>钱包</v>
      </c>
      <c r="L209" s="371"/>
      <c r="M209" s="371"/>
      <c r="N209" s="20"/>
      <c r="O209" s="23" t="b">
        <v>0</v>
      </c>
      <c r="P209" s="419" t="str">
        <f ca="1">道具!$C$44</f>
        <v>光之精灵石（大）</v>
      </c>
      <c r="Q209" s="371"/>
      <c r="R209" s="371"/>
      <c r="S209" s="20"/>
      <c r="T209" s="20"/>
      <c r="U209" s="421"/>
      <c r="V209" s="371"/>
      <c r="W209" s="20"/>
      <c r="X209" s="20"/>
      <c r="Y209" s="20"/>
      <c r="Z209" s="20"/>
      <c r="AA209" s="20"/>
    </row>
    <row r="210" spans="1:27" ht="12.75" x14ac:dyDescent="0.2">
      <c r="A210" s="20"/>
      <c r="B210" s="23" t="b">
        <v>0</v>
      </c>
      <c r="C210" s="419" t="str">
        <f ca="1">敌人!C$148</f>
        <v>魔导机兵</v>
      </c>
      <c r="D210" s="371"/>
      <c r="E210" s="23">
        <f>敌人!D$148</f>
        <v>4</v>
      </c>
      <c r="F210" s="23">
        <f>敌人!E$148</f>
        <v>0</v>
      </c>
      <c r="G210" s="23">
        <f>敌人!F$148</f>
        <v>0</v>
      </c>
      <c r="H210" s="23">
        <f>敌人!G$148</f>
        <v>0</v>
      </c>
      <c r="I210" s="23">
        <f>敌人!H$148</f>
        <v>0</v>
      </c>
      <c r="J210" s="23">
        <f>敌人!I$148</f>
        <v>0</v>
      </c>
      <c r="K210" s="419" t="str">
        <f ca="1">敌人!J$148</f>
        <v>ＨＰ恢复的葡萄（大）</v>
      </c>
      <c r="L210" s="371"/>
      <c r="M210" s="371"/>
      <c r="N210" s="20"/>
      <c r="O210" s="23" t="b">
        <v>0</v>
      </c>
      <c r="P210" s="419" t="s">
        <v>21</v>
      </c>
      <c r="Q210" s="371"/>
      <c r="R210" s="371"/>
      <c r="S210" s="20"/>
      <c r="T210" s="20"/>
      <c r="U210" s="421"/>
      <c r="V210" s="371"/>
      <c r="W210" s="20"/>
      <c r="X210" s="20"/>
      <c r="Y210" s="20"/>
      <c r="Z210" s="20"/>
      <c r="AA210" s="20"/>
    </row>
    <row r="211" spans="1:27" ht="12.75" x14ac:dyDescent="0.2">
      <c r="A211" s="20"/>
      <c r="B211" s="23" t="b">
        <v>0</v>
      </c>
      <c r="C211" s="419" t="str">
        <f ca="1">敌人!C$172</f>
        <v>魔导机兵（冰）</v>
      </c>
      <c r="D211" s="371"/>
      <c r="E211" s="23">
        <f>敌人!D$172</f>
        <v>2</v>
      </c>
      <c r="F211" s="23">
        <f>敌人!E$172</f>
        <v>0</v>
      </c>
      <c r="G211" s="23">
        <f>敌人!F$172</f>
        <v>0</v>
      </c>
      <c r="H211" s="23">
        <f>敌人!G$172</f>
        <v>0</v>
      </c>
      <c r="I211" s="23">
        <f>敌人!H$172</f>
        <v>0</v>
      </c>
      <c r="J211" s="23">
        <f>敌人!I$172</f>
        <v>0</v>
      </c>
      <c r="K211" s="419" t="str">
        <f ca="1">敌人!J$172</f>
        <v>冰之精灵石</v>
      </c>
      <c r="L211" s="371"/>
      <c r="M211" s="371"/>
      <c r="N211" s="20"/>
      <c r="O211" s="23" t="b">
        <v>0</v>
      </c>
      <c r="P211" s="419" t="str">
        <f ca="1">道具!$C$14</f>
        <v>复活的橄榄</v>
      </c>
      <c r="Q211" s="371"/>
      <c r="R211" s="371"/>
      <c r="S211" s="20"/>
      <c r="T211" s="20"/>
      <c r="U211" s="421"/>
      <c r="V211" s="371"/>
      <c r="W211" s="20"/>
      <c r="X211" s="20"/>
      <c r="Y211" s="20"/>
      <c r="Z211" s="20"/>
      <c r="AA211" s="20"/>
    </row>
    <row r="212" spans="1:27" ht="12.75" x14ac:dyDescent="0.2">
      <c r="A212" s="20"/>
      <c r="B212" s="23" t="b">
        <v>0</v>
      </c>
      <c r="C212" s="419" t="str">
        <f ca="1">敌人!C$75</f>
        <v>魔导机兵（暗）</v>
      </c>
      <c r="D212" s="371"/>
      <c r="E212" s="23">
        <f>敌人!D$75</f>
        <v>3</v>
      </c>
      <c r="F212" s="23">
        <f>敌人!E$75</f>
        <v>0</v>
      </c>
      <c r="G212" s="23">
        <f>敌人!F$75</f>
        <v>0</v>
      </c>
      <c r="H212" s="23">
        <f>敌人!G$75</f>
        <v>0</v>
      </c>
      <c r="I212" s="23">
        <f>敌人!H$75</f>
        <v>0</v>
      </c>
      <c r="J212" s="23">
        <f>敌人!I$75</f>
        <v>0</v>
      </c>
      <c r="K212" s="419" t="str">
        <f ca="1">敌人!J$75</f>
        <v>暗之精灵石</v>
      </c>
      <c r="L212" s="371"/>
      <c r="M212" s="371"/>
      <c r="N212" s="20"/>
      <c r="O212" s="23" t="b">
        <v>0</v>
      </c>
      <c r="P212" s="426" t="str">
        <f ca="1">道具!$C$6</f>
        <v>ＳＰ恢复的李子</v>
      </c>
      <c r="Q212" s="371"/>
      <c r="R212" s="371"/>
      <c r="S212" s="20"/>
      <c r="T212" s="20"/>
      <c r="U212" s="421"/>
      <c r="V212" s="371"/>
      <c r="W212" s="20"/>
      <c r="X212" s="20"/>
      <c r="Y212" s="20"/>
      <c r="Z212" s="20"/>
      <c r="AA212" s="20"/>
    </row>
    <row r="213" spans="1:27" ht="12.75" x14ac:dyDescent="0.2">
      <c r="A213" s="20"/>
      <c r="B213" s="23" t="b">
        <v>0</v>
      </c>
      <c r="C213" s="419" t="str">
        <f ca="1">敌人!C$80</f>
        <v>魔导机（暗）</v>
      </c>
      <c r="D213" s="371"/>
      <c r="E213" s="23">
        <f>敌人!D$80</f>
        <v>1</v>
      </c>
      <c r="F213" s="23">
        <f>敌人!E$80</f>
        <v>0</v>
      </c>
      <c r="G213" s="23">
        <f>敌人!F$80</f>
        <v>0</v>
      </c>
      <c r="H213" s="23">
        <f>敌人!G$80</f>
        <v>0</v>
      </c>
      <c r="I213" s="23">
        <f>敌人!H$80</f>
        <v>0</v>
      </c>
      <c r="J213" s="23">
        <f>敌人!I$80</f>
        <v>0</v>
      </c>
      <c r="K213" s="419" t="str">
        <f ca="1">敌人!J$80</f>
        <v>暗之精灵石</v>
      </c>
      <c r="L213" s="371"/>
      <c r="M213" s="371"/>
      <c r="N213" s="26"/>
      <c r="O213" s="23" t="b">
        <v>0</v>
      </c>
      <c r="P213" s="419" t="str">
        <f ca="1">道具!$C$516&amp;" ("&amp;语言!$A$20&amp;")"</f>
        <v>雷之避邪符 (上锁宝箱)</v>
      </c>
      <c r="Q213" s="371"/>
      <c r="R213" s="371"/>
      <c r="S213" s="26"/>
      <c r="T213" s="20"/>
      <c r="U213" s="421"/>
      <c r="V213" s="371"/>
      <c r="W213" s="20"/>
      <c r="X213" s="20"/>
      <c r="Y213" s="20"/>
      <c r="Z213" s="20"/>
      <c r="AA213" s="20"/>
    </row>
    <row r="214" spans="1:27" ht="12.75" x14ac:dyDescent="0.2">
      <c r="A214" s="20"/>
      <c r="B214" s="23" t="b">
        <v>0</v>
      </c>
      <c r="C214" s="419" t="str">
        <f ca="1">敌人!C$70</f>
        <v>魔导飞器</v>
      </c>
      <c r="D214" s="371"/>
      <c r="E214" s="23">
        <f>敌人!D$70</f>
        <v>3</v>
      </c>
      <c r="F214" s="23">
        <f>敌人!E$70</f>
        <v>0</v>
      </c>
      <c r="G214" s="23">
        <f>敌人!F$70</f>
        <v>0</v>
      </c>
      <c r="H214" s="23">
        <f>敌人!G$70</f>
        <v>0</v>
      </c>
      <c r="I214" s="23">
        <f>敌人!H$70</f>
        <v>0</v>
      </c>
      <c r="J214" s="23">
        <f>敌人!I$70</f>
        <v>0</v>
      </c>
      <c r="K214" s="419" t="str">
        <f ca="1">敌人!J$70</f>
        <v>ＳＰ恢复的李子（大）</v>
      </c>
      <c r="L214" s="371"/>
      <c r="M214" s="371"/>
      <c r="N214" s="26"/>
      <c r="O214" s="23" t="b">
        <v>0</v>
      </c>
      <c r="P214" s="419" t="str">
        <f ca="1">道具!$C$12</f>
        <v>ＨＰ／ＳＰ恢复的果酱</v>
      </c>
      <c r="Q214" s="371"/>
      <c r="R214" s="371"/>
      <c r="S214" s="26"/>
      <c r="T214" s="20"/>
      <c r="U214" s="421"/>
      <c r="V214" s="371"/>
      <c r="W214" s="20"/>
      <c r="X214" s="20"/>
      <c r="Y214" s="20"/>
      <c r="Z214" s="20"/>
      <c r="AA214" s="20"/>
    </row>
    <row r="215" spans="1:27" ht="12.75" x14ac:dyDescent="0.2">
      <c r="A215" s="20"/>
      <c r="B215" s="423" t="str">
        <f ca="1">语言!$A$15</f>
        <v>Boss</v>
      </c>
      <c r="C215" s="371"/>
      <c r="D215" s="371"/>
      <c r="E215" s="371"/>
      <c r="F215" s="371"/>
      <c r="G215" s="371"/>
      <c r="H215" s="371"/>
      <c r="I215" s="371"/>
      <c r="J215" s="371"/>
      <c r="K215" s="371"/>
      <c r="L215" s="371"/>
      <c r="M215" s="371"/>
      <c r="N215" s="26"/>
      <c r="O215" s="30"/>
      <c r="P215" s="422"/>
      <c r="Q215" s="371"/>
      <c r="R215" s="371"/>
      <c r="S215" s="26"/>
      <c r="T215" s="20"/>
      <c r="U215" s="421"/>
      <c r="V215" s="371"/>
      <c r="W215" s="20"/>
      <c r="X215" s="20"/>
      <c r="Y215" s="20"/>
      <c r="Z215" s="20"/>
      <c r="AA215" s="20"/>
    </row>
    <row r="216" spans="1:27" ht="12.75" x14ac:dyDescent="0.2">
      <c r="A216" s="20"/>
      <c r="B216" s="23" t="b">
        <v>0</v>
      </c>
      <c r="C216" s="419" t="str">
        <f ca="1">敌人!C$424</f>
        <v>奥立克</v>
      </c>
      <c r="D216" s="371"/>
      <c r="E216" s="23">
        <f>敌人!D$424</f>
        <v>7</v>
      </c>
      <c r="F216" s="23">
        <f>敌人!E$424</f>
        <v>0</v>
      </c>
      <c r="G216" s="23">
        <f>敌人!F$424</f>
        <v>0</v>
      </c>
      <c r="H216" s="23">
        <f>敌人!G$424</f>
        <v>0</v>
      </c>
      <c r="I216" s="23">
        <f>敌人!H$424</f>
        <v>0</v>
      </c>
      <c r="J216" s="23">
        <f>敌人!I$424</f>
        <v>0</v>
      </c>
      <c r="K216" s="419" t="str">
        <f ca="1">敌人!J$424</f>
        <v>ＳＰ全体恢复的李子</v>
      </c>
      <c r="L216" s="371"/>
      <c r="M216" s="371"/>
      <c r="N216" s="26"/>
      <c r="O216" s="30"/>
      <c r="P216" s="422"/>
      <c r="Q216" s="371"/>
      <c r="R216" s="371"/>
      <c r="S216" s="26"/>
      <c r="T216" s="20"/>
      <c r="U216" s="421"/>
      <c r="V216" s="371"/>
      <c r="W216" s="20"/>
      <c r="X216" s="20"/>
      <c r="Y216" s="20"/>
      <c r="Z216" s="20"/>
      <c r="AA216" s="20"/>
    </row>
    <row r="217" spans="1:27" ht="12.75" x14ac:dyDescent="0.2">
      <c r="A217" s="20"/>
      <c r="B217" s="23" t="b">
        <v>0</v>
      </c>
      <c r="C217" s="419" t="str">
        <f ca="1">敌人!C$425</f>
        <v>奥立克的部下</v>
      </c>
      <c r="D217" s="371"/>
      <c r="E217" s="23">
        <f>敌人!D$425</f>
        <v>4</v>
      </c>
      <c r="F217" s="23">
        <f>敌人!E$425</f>
        <v>0</v>
      </c>
      <c r="G217" s="23">
        <f>敌人!F$425</f>
        <v>0</v>
      </c>
      <c r="H217" s="23">
        <f>敌人!G$425</f>
        <v>0</v>
      </c>
      <c r="I217" s="23">
        <f>敌人!H$425</f>
        <v>0</v>
      </c>
      <c r="J217" s="23">
        <f>敌人!I$425</f>
        <v>0</v>
      </c>
      <c r="K217" s="419" t="str">
        <f ca="1">敌人!J$425</f>
        <v>ＳＰ恢复的李子（大）</v>
      </c>
      <c r="L217" s="371"/>
      <c r="M217" s="371"/>
      <c r="N217" s="26"/>
      <c r="O217" s="30"/>
      <c r="P217" s="422"/>
      <c r="Q217" s="371"/>
      <c r="R217" s="371"/>
      <c r="S217" s="26"/>
      <c r="T217" s="20"/>
      <c r="U217" s="421"/>
      <c r="V217" s="371"/>
      <c r="W217" s="20"/>
      <c r="X217" s="20"/>
      <c r="Y217" s="20"/>
      <c r="Z217" s="20"/>
      <c r="AA217" s="20"/>
    </row>
    <row r="218" spans="1:27" ht="12.75" x14ac:dyDescent="0.2">
      <c r="A218" s="20"/>
      <c r="B218" s="23" t="b">
        <v>0</v>
      </c>
      <c r="C218" s="419" t="str">
        <f ca="1">敌人!C$426</f>
        <v>魔导机兵（奥立克型）</v>
      </c>
      <c r="D218" s="371"/>
      <c r="E218" s="23">
        <f>敌人!D$426</f>
        <v>8</v>
      </c>
      <c r="F218" s="23">
        <f>敌人!E$426</f>
        <v>0</v>
      </c>
      <c r="G218" s="23">
        <f>敌人!F$426</f>
        <v>0</v>
      </c>
      <c r="H218" s="23">
        <f>敌人!G$426</f>
        <v>0</v>
      </c>
      <c r="I218" s="23">
        <f>敌人!H$426</f>
        <v>0</v>
      </c>
      <c r="J218" s="23">
        <f>敌人!I$426</f>
        <v>0</v>
      </c>
      <c r="K218" s="419" t="str">
        <f>敌人!J$426</f>
        <v>(can't steal)</v>
      </c>
      <c r="L218" s="371"/>
      <c r="M218" s="371"/>
      <c r="N218" s="26"/>
      <c r="O218" s="30"/>
      <c r="P218" s="422"/>
      <c r="Q218" s="371"/>
      <c r="R218" s="371"/>
      <c r="S218" s="26"/>
      <c r="T218" s="20"/>
      <c r="U218" s="421"/>
      <c r="V218" s="371"/>
      <c r="W218" s="20"/>
      <c r="X218" s="20"/>
      <c r="Y218" s="20"/>
      <c r="Z218" s="20"/>
      <c r="AA218" s="20"/>
    </row>
    <row r="219" spans="1:27" ht="12.75" x14ac:dyDescent="0.2">
      <c r="A219" s="20"/>
      <c r="B219" s="20"/>
      <c r="C219" s="421"/>
      <c r="D219" s="371"/>
      <c r="E219" s="20"/>
      <c r="F219" s="20"/>
      <c r="G219" s="20"/>
      <c r="H219" s="20"/>
      <c r="I219" s="20"/>
      <c r="J219" s="20"/>
      <c r="K219" s="421"/>
      <c r="L219" s="371"/>
      <c r="M219" s="371"/>
      <c r="N219" s="26"/>
      <c r="O219" s="30"/>
      <c r="P219" s="422"/>
      <c r="Q219" s="371"/>
      <c r="R219" s="371"/>
      <c r="S219" s="26"/>
      <c r="T219" s="20"/>
      <c r="U219" s="421"/>
      <c r="V219" s="371"/>
      <c r="W219" s="20"/>
      <c r="X219" s="20"/>
      <c r="Y219" s="20"/>
      <c r="Z219" s="20"/>
      <c r="AA219" s="20"/>
    </row>
    <row r="220" spans="1:27" ht="12.75" x14ac:dyDescent="0.2">
      <c r="A220" s="20"/>
      <c r="B220" s="417" t="str">
        <f ca="1">语言!$A$39&amp;" "&amp;语言!$A$14&amp;" 3"</f>
        <v>普里姆萝洁 章节 3</v>
      </c>
      <c r="C220" s="371"/>
      <c r="D220" s="371"/>
      <c r="E220" s="371"/>
      <c r="F220" s="371"/>
      <c r="G220" s="371"/>
      <c r="H220" s="371"/>
      <c r="I220" s="371"/>
      <c r="J220" s="371"/>
      <c r="K220" s="371"/>
      <c r="L220" s="371"/>
      <c r="M220" s="371"/>
      <c r="N220" s="20"/>
      <c r="O220" s="417" t="str">
        <f ca="1">语言!$A$39&amp;" "&amp;语言!$A$14&amp;" 3"</f>
        <v>普里姆萝洁 章节 3</v>
      </c>
      <c r="P220" s="371"/>
      <c r="Q220" s="371"/>
      <c r="R220" s="371"/>
      <c r="S220" s="20"/>
      <c r="T220" s="20"/>
      <c r="U220" s="421"/>
      <c r="V220" s="371"/>
      <c r="W220" s="20"/>
      <c r="X220" s="20"/>
      <c r="Y220" s="20"/>
      <c r="Z220" s="20"/>
      <c r="AA220" s="20"/>
    </row>
    <row r="221" spans="1:27" ht="12.75" x14ac:dyDescent="0.2">
      <c r="A221" s="20"/>
      <c r="B221" s="418" t="str">
        <f ca="1">语言!A$359&amp;" ("&amp;语言!$A$12&amp;" 40)"</f>
        <v>黑曜会之馆 (危险度 40)</v>
      </c>
      <c r="C221" s="371"/>
      <c r="D221" s="371"/>
      <c r="E221" s="371"/>
      <c r="F221" s="371"/>
      <c r="G221" s="371"/>
      <c r="H221" s="371"/>
      <c r="I221" s="371"/>
      <c r="J221" s="371"/>
      <c r="K221" s="371"/>
      <c r="L221" s="371"/>
      <c r="M221" s="371"/>
      <c r="N221" s="20"/>
      <c r="O221" s="418" t="str">
        <f ca="1">语言!A$359&amp;" (9 "&amp;语言!$A$19&amp;")"</f>
        <v>黑曜会之馆 (9 宝箱)</v>
      </c>
      <c r="P221" s="371"/>
      <c r="Q221" s="371"/>
      <c r="R221" s="371"/>
      <c r="S221" s="20"/>
      <c r="T221" s="20"/>
      <c r="U221" s="421"/>
      <c r="V221" s="371"/>
      <c r="W221" s="20"/>
      <c r="X221" s="20"/>
      <c r="Y221" s="20"/>
      <c r="Z221" s="20"/>
      <c r="AA221" s="20"/>
    </row>
    <row r="222" spans="1:27" ht="12.75" x14ac:dyDescent="0.2">
      <c r="A222" s="20"/>
      <c r="B222" s="23" t="b">
        <v>0</v>
      </c>
      <c r="C222" s="419" t="str">
        <f ca="1">敌人!C$64</f>
        <v>黑曜会成员 I</v>
      </c>
      <c r="D222" s="371"/>
      <c r="E222" s="23">
        <f>敌人!D$64</f>
        <v>2</v>
      </c>
      <c r="F222" s="23">
        <f>敌人!E$64</f>
        <v>0</v>
      </c>
      <c r="G222" s="23">
        <f>敌人!F$64</f>
        <v>0</v>
      </c>
      <c r="H222" s="23">
        <f>敌人!G$64</f>
        <v>0</v>
      </c>
      <c r="I222" s="23">
        <f>敌人!H$64</f>
        <v>0</v>
      </c>
      <c r="J222" s="23">
        <f>敌人!I$64</f>
        <v>0</v>
      </c>
      <c r="K222" s="419" t="str">
        <f ca="1">敌人!J$64</f>
        <v>毒治疗药草</v>
      </c>
      <c r="L222" s="371"/>
      <c r="M222" s="371"/>
      <c r="N222" s="20"/>
      <c r="O222" s="23" t="b">
        <v>0</v>
      </c>
      <c r="P222" s="419" t="str">
        <f ca="1">道具!$C$5</f>
        <v>ＨＰ全体恢复的葡萄</v>
      </c>
      <c r="Q222" s="371"/>
      <c r="R222" s="371"/>
      <c r="S222" s="20"/>
      <c r="T222" s="20"/>
      <c r="U222" s="421"/>
      <c r="V222" s="371"/>
      <c r="W222" s="20"/>
      <c r="X222" s="20"/>
      <c r="Y222" s="20"/>
      <c r="Z222" s="20"/>
      <c r="AA222" s="20"/>
    </row>
    <row r="223" spans="1:27" ht="12.75" x14ac:dyDescent="0.2">
      <c r="A223" s="20"/>
      <c r="B223" s="23" t="b">
        <v>0</v>
      </c>
      <c r="C223" s="419" t="str">
        <f ca="1">敌人!C$65</f>
        <v>黑曜会成员 II</v>
      </c>
      <c r="D223" s="371"/>
      <c r="E223" s="23">
        <f>敌人!D$65</f>
        <v>1</v>
      </c>
      <c r="F223" s="23">
        <f>敌人!E$65</f>
        <v>0</v>
      </c>
      <c r="G223" s="23">
        <f>敌人!F$65</f>
        <v>0</v>
      </c>
      <c r="H223" s="23">
        <f>敌人!G$65</f>
        <v>0</v>
      </c>
      <c r="I223" s="23">
        <f>敌人!H$65</f>
        <v>0</v>
      </c>
      <c r="J223" s="23">
        <f>敌人!I$65</f>
        <v>0</v>
      </c>
      <c r="K223" s="419" t="str">
        <f ca="1">敌人!J$65</f>
        <v>毒瓶</v>
      </c>
      <c r="L223" s="371"/>
      <c r="M223" s="371"/>
      <c r="N223" s="20"/>
      <c r="O223" s="23" t="b">
        <v>0</v>
      </c>
      <c r="P223" s="419" t="str">
        <f ca="1">道具!$C$372&amp;" ("&amp;语言!$A$20&amp;")"</f>
        <v>元素帽 (上锁宝箱)</v>
      </c>
      <c r="Q223" s="371"/>
      <c r="R223" s="371"/>
      <c r="S223" s="20"/>
      <c r="T223" s="20"/>
      <c r="U223" s="421"/>
      <c r="V223" s="371"/>
      <c r="W223" s="20"/>
      <c r="X223" s="20"/>
      <c r="Y223" s="20"/>
      <c r="Z223" s="20"/>
      <c r="AA223" s="20"/>
    </row>
    <row r="224" spans="1:27" ht="12.75" x14ac:dyDescent="0.2">
      <c r="A224" s="20"/>
      <c r="B224" s="23" t="b">
        <v>0</v>
      </c>
      <c r="C224" s="419" t="str">
        <f ca="1">敌人!C$189</f>
        <v>黑蛞蝓怪</v>
      </c>
      <c r="D224" s="371"/>
      <c r="E224" s="23">
        <f>敌人!D$189</f>
        <v>3</v>
      </c>
      <c r="F224" s="23">
        <f>敌人!E$189</f>
        <v>0</v>
      </c>
      <c r="G224" s="23">
        <f>敌人!F$189</f>
        <v>0</v>
      </c>
      <c r="H224" s="23">
        <f>敌人!G$189</f>
        <v>0</v>
      </c>
      <c r="I224" s="23">
        <f>敌人!H$189</f>
        <v>0</v>
      </c>
      <c r="J224" s="23">
        <f>敌人!I$189</f>
        <v>0</v>
      </c>
      <c r="K224" s="419" t="str">
        <f ca="1">敌人!J$189</f>
        <v>毒利米树之叶</v>
      </c>
      <c r="L224" s="371"/>
      <c r="M224" s="371"/>
      <c r="N224" s="20"/>
      <c r="O224" s="23" t="b">
        <v>0</v>
      </c>
      <c r="P224" s="419" t="s">
        <v>19</v>
      </c>
      <c r="Q224" s="371"/>
      <c r="R224" s="371"/>
      <c r="S224" s="20"/>
      <c r="T224" s="20"/>
      <c r="U224" s="421"/>
      <c r="V224" s="371"/>
      <c r="W224" s="20"/>
      <c r="X224" s="20"/>
      <c r="Y224" s="20"/>
      <c r="Z224" s="20"/>
      <c r="AA224" s="20"/>
    </row>
    <row r="225" spans="1:27" ht="12.75" x14ac:dyDescent="0.2">
      <c r="A225" s="20"/>
      <c r="B225" s="23" t="b">
        <v>0</v>
      </c>
      <c r="C225" s="419" t="str">
        <f ca="1">敌人!C$313</f>
        <v>头领比仆</v>
      </c>
      <c r="D225" s="371"/>
      <c r="E225" s="23">
        <f>敌人!D$313</f>
        <v>3</v>
      </c>
      <c r="F225" s="23">
        <f>敌人!E$313</f>
        <v>0</v>
      </c>
      <c r="G225" s="23">
        <f>敌人!F$313</f>
        <v>0</v>
      </c>
      <c r="H225" s="23">
        <f>敌人!G$313</f>
        <v>0</v>
      </c>
      <c r="I225" s="23">
        <f>敌人!H$313</f>
        <v>0</v>
      </c>
      <c r="J225" s="23">
        <f>敌人!I$313</f>
        <v>0</v>
      </c>
      <c r="K225" s="419" t="str">
        <f ca="1">敌人!J$313</f>
        <v>混乱多之叶</v>
      </c>
      <c r="L225" s="371"/>
      <c r="M225" s="371"/>
      <c r="N225" s="20"/>
      <c r="O225" s="23" t="b">
        <v>0</v>
      </c>
      <c r="P225" s="419" t="str">
        <f ca="1">道具!$C$8</f>
        <v>ＳＰ全体恢复的李子</v>
      </c>
      <c r="Q225" s="371"/>
      <c r="R225" s="371"/>
      <c r="S225" s="20"/>
      <c r="T225" s="20"/>
      <c r="U225" s="421"/>
      <c r="V225" s="371"/>
      <c r="W225" s="20"/>
      <c r="X225" s="20"/>
      <c r="Y225" s="20"/>
      <c r="Z225" s="20"/>
      <c r="AA225" s="20"/>
    </row>
    <row r="226" spans="1:27" ht="12.75" x14ac:dyDescent="0.2">
      <c r="A226" s="20"/>
      <c r="B226" s="23" t="b">
        <v>0</v>
      </c>
      <c r="C226" s="419" t="str">
        <f ca="1">敌人!C$205</f>
        <v>魔导机（光）・异型</v>
      </c>
      <c r="D226" s="371"/>
      <c r="E226" s="23">
        <f>敌人!D$205</f>
        <v>1</v>
      </c>
      <c r="F226" s="23">
        <f>敌人!E$205</f>
        <v>0</v>
      </c>
      <c r="G226" s="23">
        <f>敌人!F$205</f>
        <v>0</v>
      </c>
      <c r="H226" s="23">
        <f>敌人!G$205</f>
        <v>0</v>
      </c>
      <c r="I226" s="23">
        <f>敌人!H$205</f>
        <v>0</v>
      </c>
      <c r="J226" s="23">
        <f>敌人!I$205</f>
        <v>0</v>
      </c>
      <c r="K226" s="419" t="str">
        <f ca="1">敌人!J$205</f>
        <v>光之精灵石（大）</v>
      </c>
      <c r="L226" s="371"/>
      <c r="M226" s="371"/>
      <c r="N226" s="20"/>
      <c r="O226" s="23" t="b">
        <v>0</v>
      </c>
      <c r="P226" s="419" t="str">
        <f ca="1">道具!$C$519</f>
        <v>猛毒耐性石</v>
      </c>
      <c r="Q226" s="371"/>
      <c r="R226" s="371"/>
      <c r="S226" s="20"/>
      <c r="T226" s="20"/>
      <c r="U226" s="421"/>
      <c r="V226" s="371"/>
      <c r="W226" s="20"/>
      <c r="X226" s="20"/>
      <c r="Y226" s="20"/>
      <c r="Z226" s="20"/>
      <c r="AA226" s="20"/>
    </row>
    <row r="227" spans="1:27" ht="12.75" x14ac:dyDescent="0.2">
      <c r="A227" s="20"/>
      <c r="B227" s="23" t="b">
        <v>0</v>
      </c>
      <c r="C227" s="419" t="str">
        <f ca="1">敌人!C$334</f>
        <v>魔导飞器（雷）</v>
      </c>
      <c r="D227" s="371"/>
      <c r="E227" s="23">
        <f>敌人!D$334</f>
        <v>1</v>
      </c>
      <c r="F227" s="23">
        <f>敌人!E$334</f>
        <v>0</v>
      </c>
      <c r="G227" s="23">
        <f>敌人!F$334</f>
        <v>0</v>
      </c>
      <c r="H227" s="23">
        <f>敌人!G$334</f>
        <v>0</v>
      </c>
      <c r="I227" s="23">
        <f>敌人!H$334</f>
        <v>0</v>
      </c>
      <c r="J227" s="23">
        <f>敌人!I$334</f>
        <v>0</v>
      </c>
      <c r="K227" s="419" t="str">
        <f ca="1">敌人!J$334</f>
        <v>雷之精灵石</v>
      </c>
      <c r="L227" s="371"/>
      <c r="M227" s="371"/>
      <c r="N227" s="20"/>
      <c r="O227" s="23" t="b">
        <v>0</v>
      </c>
      <c r="P227" s="419" t="str">
        <f ca="1">道具!$C$10</f>
        <v>ＢＰ恢复的石榴（大）</v>
      </c>
      <c r="Q227" s="371"/>
      <c r="R227" s="371"/>
      <c r="S227" s="20"/>
      <c r="T227" s="20"/>
      <c r="U227" s="421"/>
      <c r="V227" s="371"/>
      <c r="W227" s="20"/>
      <c r="X227" s="20"/>
      <c r="Y227" s="20"/>
      <c r="Z227" s="20"/>
      <c r="AA227" s="20"/>
    </row>
    <row r="228" spans="1:27" ht="12.75" x14ac:dyDescent="0.2">
      <c r="A228" s="20"/>
      <c r="B228" s="23" t="b">
        <v>0</v>
      </c>
      <c r="C228" s="419" t="str">
        <f ca="1">敌人!C$89</f>
        <v>高地乌鸦异种</v>
      </c>
      <c r="D228" s="371"/>
      <c r="E228" s="23">
        <f>敌人!D$89</f>
        <v>2</v>
      </c>
      <c r="F228" s="23">
        <f>敌人!E$89</f>
        <v>0</v>
      </c>
      <c r="G228" s="23">
        <f>敌人!F$89</f>
        <v>0</v>
      </c>
      <c r="H228" s="23">
        <f>敌人!G$89</f>
        <v>0</v>
      </c>
      <c r="I228" s="23">
        <f>敌人!H$89</f>
        <v>0</v>
      </c>
      <c r="J228" s="23">
        <f>敌人!I$89</f>
        <v>0</v>
      </c>
      <c r="K228" s="419" t="str">
        <f ca="1">敌人!J$89</f>
        <v>混乱多之叶</v>
      </c>
      <c r="L228" s="371"/>
      <c r="M228" s="371"/>
      <c r="N228" s="20"/>
      <c r="O228" s="23" t="b">
        <v>0</v>
      </c>
      <c r="P228" s="419" t="str">
        <f ca="1">道具!$C$17</f>
        <v>复活的橄榄（特大）</v>
      </c>
      <c r="Q228" s="371"/>
      <c r="R228" s="371"/>
      <c r="S228" s="20"/>
      <c r="T228" s="20"/>
      <c r="U228" s="421"/>
      <c r="V228" s="371"/>
      <c r="W228" s="20"/>
      <c r="X228" s="20"/>
      <c r="Y228" s="20"/>
      <c r="Z228" s="20"/>
      <c r="AA228" s="20"/>
    </row>
    <row r="229" spans="1:27" ht="12.75" x14ac:dyDescent="0.2">
      <c r="A229" s="20"/>
      <c r="B229" s="23" t="b">
        <v>0</v>
      </c>
      <c r="C229" s="419" t="str">
        <f ca="1">敌人!C$314</f>
        <v>天上蜘蛛</v>
      </c>
      <c r="D229" s="371"/>
      <c r="E229" s="23">
        <f>敌人!D$314</f>
        <v>4</v>
      </c>
      <c r="F229" s="23">
        <f>敌人!E$314</f>
        <v>0</v>
      </c>
      <c r="G229" s="23">
        <f>敌人!F$314</f>
        <v>0</v>
      </c>
      <c r="H229" s="23">
        <f>敌人!G$314</f>
        <v>0</v>
      </c>
      <c r="I229" s="23">
        <f>敌人!H$314</f>
        <v>0</v>
      </c>
      <c r="J229" s="23">
        <f>敌人!I$314</f>
        <v>0</v>
      </c>
      <c r="K229" s="419" t="str">
        <f ca="1">敌人!J$314</f>
        <v>混乱多之叶</v>
      </c>
      <c r="L229" s="371"/>
      <c r="M229" s="371"/>
      <c r="N229" s="20"/>
      <c r="O229" s="23" t="b">
        <v>0</v>
      </c>
      <c r="P229" s="419" t="str">
        <f ca="1">道具!$C$120</f>
        <v>放了银块的皮袋</v>
      </c>
      <c r="Q229" s="371"/>
      <c r="R229" s="371"/>
      <c r="S229" s="20"/>
      <c r="T229" s="20"/>
      <c r="U229" s="421"/>
      <c r="V229" s="371"/>
      <c r="W229" s="20"/>
      <c r="X229" s="20"/>
      <c r="Y229" s="20"/>
      <c r="Z229" s="20"/>
      <c r="AA229" s="20"/>
    </row>
    <row r="230" spans="1:27" ht="12.75" x14ac:dyDescent="0.2">
      <c r="A230" s="20"/>
      <c r="B230" s="423" t="str">
        <f ca="1">语言!$A$15</f>
        <v>Boss</v>
      </c>
      <c r="C230" s="371"/>
      <c r="D230" s="371"/>
      <c r="E230" s="371"/>
      <c r="F230" s="371"/>
      <c r="G230" s="371"/>
      <c r="H230" s="371"/>
      <c r="I230" s="371"/>
      <c r="J230" s="371"/>
      <c r="K230" s="371"/>
      <c r="L230" s="371"/>
      <c r="M230" s="371"/>
      <c r="N230" s="20"/>
      <c r="O230" s="23" t="b">
        <v>0</v>
      </c>
      <c r="P230" s="419" t="str">
        <f ca="1">道具!$C$7</f>
        <v>ＳＰ恢复的李子（大）</v>
      </c>
      <c r="Q230" s="371"/>
      <c r="R230" s="371"/>
      <c r="S230" s="20"/>
      <c r="T230" s="20"/>
      <c r="U230" s="421"/>
      <c r="V230" s="371"/>
      <c r="W230" s="20"/>
      <c r="X230" s="20"/>
      <c r="Y230" s="20"/>
      <c r="Z230" s="20"/>
      <c r="AA230" s="20"/>
    </row>
    <row r="231" spans="1:27" ht="12.75" x14ac:dyDescent="0.2">
      <c r="A231" s="20"/>
      <c r="B231" s="23" t="b">
        <v>0</v>
      </c>
      <c r="C231" s="419" t="str">
        <f ca="1">敌人!C$447</f>
        <v>右腕之男阿尔巴斯</v>
      </c>
      <c r="D231" s="371"/>
      <c r="E231" s="23">
        <f>敌人!D$447</f>
        <v>8</v>
      </c>
      <c r="F231" s="23">
        <f>敌人!E$447</f>
        <v>0</v>
      </c>
      <c r="G231" s="23">
        <f>敌人!F$447</f>
        <v>0</v>
      </c>
      <c r="H231" s="23">
        <f>敌人!G$447</f>
        <v>0</v>
      </c>
      <c r="I231" s="23">
        <f>敌人!H$447</f>
        <v>0</v>
      </c>
      <c r="J231" s="23">
        <f>敌人!I$447</f>
        <v>0</v>
      </c>
      <c r="K231" s="419" t="str">
        <f ca="1">敌人!J$447</f>
        <v>ＳＰ全体恢复的李子</v>
      </c>
      <c r="L231" s="371"/>
      <c r="M231" s="371"/>
      <c r="N231" s="20"/>
      <c r="O231" s="20"/>
      <c r="P231" s="427"/>
      <c r="Q231" s="371"/>
      <c r="R231" s="371"/>
      <c r="S231" s="20"/>
      <c r="T231" s="20"/>
      <c r="U231" s="421"/>
      <c r="V231" s="371"/>
      <c r="W231" s="20"/>
      <c r="X231" s="20"/>
      <c r="Y231" s="20"/>
      <c r="Z231" s="20"/>
      <c r="AA231" s="20"/>
    </row>
    <row r="232" spans="1:27" ht="12.75" x14ac:dyDescent="0.2">
      <c r="A232" s="20"/>
      <c r="B232" s="23" t="b">
        <v>0</v>
      </c>
      <c r="C232" s="419" t="str">
        <f ca="1">敌人!C$448</f>
        <v>黑曜会干部</v>
      </c>
      <c r="D232" s="371"/>
      <c r="E232" s="23">
        <f>敌人!D$448</f>
        <v>4</v>
      </c>
      <c r="F232" s="23">
        <f>敌人!E$448</f>
        <v>0</v>
      </c>
      <c r="G232" s="23">
        <f>敌人!F$448</f>
        <v>0</v>
      </c>
      <c r="H232" s="23">
        <f>敌人!G$448</f>
        <v>0</v>
      </c>
      <c r="I232" s="23">
        <f>敌人!H$448</f>
        <v>0</v>
      </c>
      <c r="J232" s="23">
        <f>敌人!I$448</f>
        <v>0</v>
      </c>
      <c r="K232" s="425" t="str">
        <f ca="1">敌人!J$448</f>
        <v>黑曜会之服</v>
      </c>
      <c r="L232" s="371"/>
      <c r="M232" s="371"/>
      <c r="N232" s="20"/>
      <c r="O232" s="20"/>
      <c r="P232" s="427"/>
      <c r="Q232" s="371"/>
      <c r="R232" s="371"/>
      <c r="S232" s="20"/>
      <c r="T232" s="20"/>
      <c r="U232" s="421"/>
      <c r="V232" s="371"/>
      <c r="W232" s="20"/>
      <c r="X232" s="20"/>
      <c r="Y232" s="20"/>
      <c r="Z232" s="20"/>
      <c r="AA232" s="20"/>
    </row>
    <row r="233" spans="1:27" ht="12.75" x14ac:dyDescent="0.2">
      <c r="A233" s="20"/>
      <c r="B233" s="20"/>
      <c r="C233" s="421"/>
      <c r="D233" s="371"/>
      <c r="E233" s="20"/>
      <c r="F233" s="20"/>
      <c r="G233" s="20"/>
      <c r="H233" s="20"/>
      <c r="I233" s="20"/>
      <c r="J233" s="20"/>
      <c r="K233" s="421"/>
      <c r="L233" s="371"/>
      <c r="M233" s="371"/>
      <c r="N233" s="20"/>
      <c r="O233" s="20"/>
      <c r="P233" s="427"/>
      <c r="Q233" s="371"/>
      <c r="R233" s="371"/>
      <c r="S233" s="20"/>
      <c r="T233" s="20"/>
      <c r="U233" s="421"/>
      <c r="V233" s="371"/>
      <c r="W233" s="20"/>
      <c r="X233" s="20"/>
      <c r="Y233" s="20"/>
      <c r="Z233" s="20"/>
      <c r="AA233" s="20"/>
    </row>
    <row r="234" spans="1:27" ht="18" x14ac:dyDescent="0.25">
      <c r="A234" s="416" t="str">
        <f ca="1">语言!$A$323&amp;" 3"</f>
        <v>Tier 3</v>
      </c>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row>
    <row r="235" spans="1:27" ht="12.75" x14ac:dyDescent="0.2">
      <c r="A235" s="20"/>
      <c r="B235" s="21" t="b">
        <v>0</v>
      </c>
      <c r="C235" s="411" t="str">
        <f ca="1">敌人!C$53</f>
        <v>布尔乔亚凯特林</v>
      </c>
      <c r="D235" s="371"/>
      <c r="E235" s="21">
        <f>敌人!D$53</f>
        <v>4</v>
      </c>
      <c r="F235" s="21">
        <f>敌人!E$53</f>
        <v>0</v>
      </c>
      <c r="G235" s="21">
        <f>敌人!F$53</f>
        <v>0</v>
      </c>
      <c r="H235" s="21">
        <f>敌人!G$53</f>
        <v>0</v>
      </c>
      <c r="I235" s="21">
        <f>敌人!H$53</f>
        <v>0</v>
      </c>
      <c r="J235" s="21">
        <f>敌人!I$53</f>
        <v>0</v>
      </c>
      <c r="K235" s="411" t="str">
        <f ca="1">敌人!J$53</f>
        <v>ＨＰ／ＳＰ／ＢＰ恢复的果酱</v>
      </c>
      <c r="L235" s="371"/>
      <c r="M235" s="371"/>
      <c r="N235" s="20"/>
      <c r="O235" s="418" t="str">
        <f ca="1">语言!A$360&amp;" (1 "&amp;语言!$A$19&amp;")"</f>
        <v>维斯帕米尔 (1 宝箱)</v>
      </c>
      <c r="P235" s="371"/>
      <c r="Q235" s="371"/>
      <c r="R235" s="371"/>
      <c r="S235" s="20"/>
      <c r="T235" s="408" t="str">
        <f ca="1">语言!A$360</f>
        <v>维斯帕米尔</v>
      </c>
      <c r="U235" s="371"/>
      <c r="V235" s="371"/>
      <c r="W235" s="20"/>
      <c r="X235" s="20"/>
      <c r="Y235" s="20"/>
      <c r="Z235" s="20"/>
      <c r="AA235" s="20"/>
    </row>
    <row r="236" spans="1:27" ht="12.75" x14ac:dyDescent="0.2">
      <c r="A236" s="20"/>
      <c r="B236" s="418" t="str">
        <f ca="1">语言!A$361&amp;" ("&amp;语言!$A$12&amp;" 45)"</f>
        <v>西维斯帕米尔平原 (危险度 45)</v>
      </c>
      <c r="C236" s="371"/>
      <c r="D236" s="371"/>
      <c r="E236" s="371"/>
      <c r="F236" s="371"/>
      <c r="G236" s="371"/>
      <c r="H236" s="371"/>
      <c r="I236" s="371"/>
      <c r="J236" s="371"/>
      <c r="K236" s="371"/>
      <c r="L236" s="371"/>
      <c r="M236" s="371"/>
      <c r="N236" s="20"/>
      <c r="O236" s="23" t="b">
        <v>0</v>
      </c>
      <c r="P236" s="419" t="str">
        <f ca="1">道具!$C$37</f>
        <v>雷之精灵石（大）</v>
      </c>
      <c r="Q236" s="371"/>
      <c r="R236" s="371"/>
      <c r="S236" s="20"/>
      <c r="T236" s="21" t="b">
        <v>0</v>
      </c>
      <c r="U236" s="411" t="str">
        <f ca="1">道具!$C$8</f>
        <v>ＳＰ全体恢复的李子</v>
      </c>
      <c r="V236" s="371"/>
      <c r="W236" s="20"/>
      <c r="X236" s="20"/>
      <c r="Y236" s="20"/>
      <c r="Z236" s="20"/>
      <c r="AA236" s="20"/>
    </row>
    <row r="237" spans="1:27" ht="12.75" x14ac:dyDescent="0.2">
      <c r="A237" s="20"/>
      <c r="B237" s="23" t="b">
        <v>0</v>
      </c>
      <c r="C237" s="419" t="str">
        <f ca="1">敌人!C$116</f>
        <v>平原大巨蛙 I</v>
      </c>
      <c r="D237" s="371"/>
      <c r="E237" s="23">
        <f>敌人!D$116</f>
        <v>4</v>
      </c>
      <c r="F237" s="23">
        <f>敌人!E$116</f>
        <v>0</v>
      </c>
      <c r="G237" s="23">
        <f>敌人!F$116</f>
        <v>0</v>
      </c>
      <c r="H237" s="23">
        <f>敌人!G$116</f>
        <v>0</v>
      </c>
      <c r="I237" s="23">
        <f>敌人!H$116</f>
        <v>0</v>
      </c>
      <c r="J237" s="23">
        <f>敌人!I$116</f>
        <v>0</v>
      </c>
      <c r="K237" s="419" t="str">
        <f ca="1">敌人!J$116</f>
        <v>ＨＰ恢复的葡萄（大）</v>
      </c>
      <c r="L237" s="371"/>
      <c r="M237" s="371"/>
      <c r="N237" s="20"/>
      <c r="O237" s="418" t="str">
        <f ca="1">语言!A$361&amp;" (3 "&amp;语言!$A$19&amp;")"</f>
        <v>西维斯帕米尔平原 (3 宝箱)</v>
      </c>
      <c r="P237" s="371"/>
      <c r="Q237" s="371"/>
      <c r="R237" s="371"/>
      <c r="S237" s="20"/>
      <c r="T237" s="21" t="b">
        <v>0</v>
      </c>
      <c r="U237" s="411" t="str">
        <f ca="1">道具!$C$126</f>
        <v>旧硬币</v>
      </c>
      <c r="V237" s="371"/>
      <c r="W237" s="20"/>
      <c r="X237" s="20"/>
      <c r="Y237" s="20"/>
      <c r="Z237" s="20"/>
      <c r="AA237" s="20"/>
    </row>
    <row r="238" spans="1:27" ht="12.75" x14ac:dyDescent="0.2">
      <c r="A238" s="20"/>
      <c r="B238" s="23" t="b">
        <v>0</v>
      </c>
      <c r="C238" s="419" t="str">
        <f ca="1">敌人!C$117</f>
        <v>平原大巨蛙 II</v>
      </c>
      <c r="D238" s="371"/>
      <c r="E238" s="23">
        <f>敌人!D$117</f>
        <v>3</v>
      </c>
      <c r="F238" s="23">
        <f>敌人!E$117</f>
        <v>0</v>
      </c>
      <c r="G238" s="23">
        <f>敌人!F$117</f>
        <v>0</v>
      </c>
      <c r="H238" s="23">
        <f>敌人!G$117</f>
        <v>0</v>
      </c>
      <c r="I238" s="23">
        <f>敌人!H$117</f>
        <v>0</v>
      </c>
      <c r="J238" s="23">
        <f>敌人!I$117</f>
        <v>0</v>
      </c>
      <c r="K238" s="419" t="str">
        <f ca="1">敌人!J$117</f>
        <v>毒利米树之叶</v>
      </c>
      <c r="L238" s="371"/>
      <c r="M238" s="371"/>
      <c r="N238" s="20"/>
      <c r="O238" s="23" t="b">
        <v>0</v>
      </c>
      <c r="P238" s="419" t="str">
        <f ca="1">道具!$C$10</f>
        <v>ＢＰ恢复的石榴（大）</v>
      </c>
      <c r="Q238" s="371"/>
      <c r="R238" s="371"/>
      <c r="S238" s="20"/>
      <c r="T238" s="21" t="b">
        <v>0</v>
      </c>
      <c r="U238" s="411" t="str">
        <f ca="1">道具!$C$118</f>
        <v>纪念金币</v>
      </c>
      <c r="V238" s="371"/>
      <c r="W238" s="20"/>
      <c r="X238" s="20"/>
      <c r="Y238" s="20"/>
      <c r="Z238" s="20"/>
      <c r="AA238" s="20"/>
    </row>
    <row r="239" spans="1:27" ht="12.75" x14ac:dyDescent="0.2">
      <c r="A239" s="20"/>
      <c r="B239" s="23" t="b">
        <v>0</v>
      </c>
      <c r="C239" s="419" t="str">
        <f ca="1">敌人!C$118</f>
        <v>平原大巨蛙 III</v>
      </c>
      <c r="D239" s="371"/>
      <c r="E239" s="23">
        <f>敌人!D$118</f>
        <v>5</v>
      </c>
      <c r="F239" s="23">
        <f>敌人!E$118</f>
        <v>0</v>
      </c>
      <c r="G239" s="23">
        <f>敌人!F$118</f>
        <v>0</v>
      </c>
      <c r="H239" s="23">
        <f>敌人!G$118</f>
        <v>0</v>
      </c>
      <c r="I239" s="23">
        <f>敌人!H$118</f>
        <v>0</v>
      </c>
      <c r="J239" s="23">
        <f>敌人!I$118</f>
        <v>0</v>
      </c>
      <c r="K239" s="419" t="str">
        <f ca="1">敌人!J$118</f>
        <v>ＳＰ恢复的李子（大）</v>
      </c>
      <c r="L239" s="371"/>
      <c r="M239" s="371"/>
      <c r="N239" s="20"/>
      <c r="O239" s="23" t="b">
        <v>0</v>
      </c>
      <c r="P239" s="419" t="str">
        <f ca="1">道具!$C$124</f>
        <v>猫眼石</v>
      </c>
      <c r="Q239" s="371"/>
      <c r="R239" s="371"/>
      <c r="S239" s="20"/>
      <c r="T239" s="21" t="b">
        <v>0</v>
      </c>
      <c r="U239" s="409" t="str">
        <f ca="1">道具!$C$12</f>
        <v>ＨＰ／ＳＰ恢复的果酱</v>
      </c>
      <c r="V239" s="371"/>
      <c r="W239" s="20"/>
      <c r="X239" s="20"/>
      <c r="Y239" s="20"/>
      <c r="Z239" s="20"/>
      <c r="AA239" s="20"/>
    </row>
    <row r="240" spans="1:27" ht="12.75" x14ac:dyDescent="0.2">
      <c r="A240" s="20"/>
      <c r="B240" s="23" t="b">
        <v>0</v>
      </c>
      <c r="C240" s="419" t="str">
        <f ca="1">敌人!C$240</f>
        <v>猛角犀牛</v>
      </c>
      <c r="D240" s="371"/>
      <c r="E240" s="23">
        <f>敌人!D$240</f>
        <v>6</v>
      </c>
      <c r="F240" s="23">
        <f>敌人!E$240</f>
        <v>0</v>
      </c>
      <c r="G240" s="23">
        <f>敌人!F$240</f>
        <v>0</v>
      </c>
      <c r="H240" s="23">
        <f>敌人!G$240</f>
        <v>0</v>
      </c>
      <c r="I240" s="23">
        <f>敌人!H$240</f>
        <v>0</v>
      </c>
      <c r="J240" s="23">
        <f>敌人!I$240</f>
        <v>0</v>
      </c>
      <c r="K240" s="419" t="str">
        <f ca="1">敌人!J$240</f>
        <v>复活的橄榄</v>
      </c>
      <c r="L240" s="371"/>
      <c r="M240" s="371"/>
      <c r="N240" s="20"/>
      <c r="O240" s="23" t="b">
        <v>0</v>
      </c>
      <c r="P240" s="419" t="str">
        <f ca="1">道具!$C$16</f>
        <v>复活的橄榄（大）</v>
      </c>
      <c r="Q240" s="371"/>
      <c r="R240" s="371"/>
      <c r="S240" s="26"/>
      <c r="T240" s="26"/>
      <c r="U240" s="430"/>
      <c r="V240" s="371"/>
      <c r="W240" s="20"/>
      <c r="X240" s="20"/>
      <c r="Y240" s="20"/>
      <c r="Z240" s="20"/>
      <c r="AA240" s="20"/>
    </row>
    <row r="241" spans="1:27" ht="12.75" x14ac:dyDescent="0.2">
      <c r="A241" s="20"/>
      <c r="B241" s="23" t="b">
        <v>0</v>
      </c>
      <c r="C241" s="419" t="str">
        <f ca="1">敌人!C$133</f>
        <v>狂暴菌类</v>
      </c>
      <c r="D241" s="371"/>
      <c r="E241" s="23">
        <f>敌人!D$133</f>
        <v>2</v>
      </c>
      <c r="F241" s="23">
        <f>敌人!E$133</f>
        <v>0</v>
      </c>
      <c r="G241" s="23">
        <f>敌人!F$133</f>
        <v>0</v>
      </c>
      <c r="H241" s="23">
        <f>敌人!G$133</f>
        <v>0</v>
      </c>
      <c r="I241" s="23">
        <f>敌人!H$133</f>
        <v>0</v>
      </c>
      <c r="J241" s="23">
        <f>敌人!I$133</f>
        <v>0</v>
      </c>
      <c r="K241" s="419" t="str">
        <f ca="1">敌人!J$133</f>
        <v>昏迷治疗药草</v>
      </c>
      <c r="L241" s="371"/>
      <c r="M241" s="371"/>
      <c r="N241" s="20"/>
      <c r="O241" s="418" t="str">
        <f ca="1">语言!A$362&amp;" (6 "&amp;语言!$A$19&amp;")"</f>
        <v>净化之森 (6 宝箱)</v>
      </c>
      <c r="P241" s="371"/>
      <c r="Q241" s="371"/>
      <c r="R241" s="371"/>
      <c r="S241" s="26"/>
      <c r="T241" s="26"/>
      <c r="U241" s="431"/>
      <c r="V241" s="371"/>
      <c r="W241" s="20"/>
      <c r="X241" s="20"/>
      <c r="Y241" s="20"/>
      <c r="Z241" s="20"/>
      <c r="AA241" s="20"/>
    </row>
    <row r="242" spans="1:27" ht="12.75" x14ac:dyDescent="0.2">
      <c r="A242" s="20"/>
      <c r="B242" s="23" t="b">
        <v>0</v>
      </c>
      <c r="C242" s="419" t="str">
        <f ca="1">敌人!C$224</f>
        <v>猛毒菇</v>
      </c>
      <c r="D242" s="371"/>
      <c r="E242" s="23">
        <f>敌人!D$224</f>
        <v>1</v>
      </c>
      <c r="F242" s="23">
        <f>敌人!E$224</f>
        <v>0</v>
      </c>
      <c r="G242" s="23">
        <f>敌人!F$224</f>
        <v>0</v>
      </c>
      <c r="H242" s="23">
        <f>敌人!G$224</f>
        <v>0</v>
      </c>
      <c r="I242" s="23">
        <f>敌人!H$224</f>
        <v>0</v>
      </c>
      <c r="J242" s="23">
        <f>敌人!I$224</f>
        <v>0</v>
      </c>
      <c r="K242" s="419" t="str">
        <f ca="1">敌人!J$224</f>
        <v>毒治疗药草</v>
      </c>
      <c r="L242" s="371"/>
      <c r="M242" s="371"/>
      <c r="N242" s="20"/>
      <c r="O242" s="23" t="b">
        <v>0</v>
      </c>
      <c r="P242" s="419" t="str">
        <f ca="1">道具!$C$45</f>
        <v>光之精灵石（特大）</v>
      </c>
      <c r="Q242" s="371"/>
      <c r="R242" s="371"/>
      <c r="S242" s="22"/>
      <c r="T242" s="22"/>
      <c r="U242" s="412"/>
      <c r="V242" s="371"/>
      <c r="W242" s="20"/>
      <c r="X242" s="20"/>
      <c r="Y242" s="20"/>
      <c r="Z242" s="20"/>
      <c r="AA242" s="20"/>
    </row>
    <row r="243" spans="1:27" ht="12.75" x14ac:dyDescent="0.2">
      <c r="A243" s="20"/>
      <c r="B243" s="23" t="b">
        <v>0</v>
      </c>
      <c r="C243" s="419" t="str">
        <f ca="1">敌人!C$237</f>
        <v>翼蜥蜴</v>
      </c>
      <c r="D243" s="371"/>
      <c r="E243" s="23">
        <f>敌人!D$237</f>
        <v>2</v>
      </c>
      <c r="F243" s="23">
        <f>敌人!E$237</f>
        <v>0</v>
      </c>
      <c r="G243" s="23">
        <f>敌人!F$237</f>
        <v>0</v>
      </c>
      <c r="H243" s="23">
        <f>敌人!G$237</f>
        <v>0</v>
      </c>
      <c r="I243" s="23">
        <f>敌人!H$237</f>
        <v>0</v>
      </c>
      <c r="J243" s="23">
        <f>敌人!I$237</f>
        <v>0</v>
      </c>
      <c r="K243" s="419" t="str">
        <f ca="1">敌人!J$237</f>
        <v>混乱多之叶</v>
      </c>
      <c r="L243" s="371"/>
      <c r="M243" s="371"/>
      <c r="N243" s="20"/>
      <c r="O243" s="23" t="b">
        <v>0</v>
      </c>
      <c r="P243" s="419" t="str">
        <f ca="1">道具!$C$508</f>
        <v>龙卷风避邪符</v>
      </c>
      <c r="Q243" s="371"/>
      <c r="R243" s="371"/>
      <c r="S243" s="20"/>
      <c r="T243" s="20"/>
      <c r="U243" s="421"/>
      <c r="V243" s="371"/>
      <c r="W243" s="20"/>
      <c r="X243" s="20"/>
      <c r="Y243" s="20"/>
      <c r="Z243" s="20"/>
      <c r="AA243" s="20"/>
    </row>
    <row r="244" spans="1:27" ht="12.75" x14ac:dyDescent="0.2">
      <c r="A244" s="20"/>
      <c r="B244" s="418" t="str">
        <f ca="1">语言!A$362&amp;" ("&amp;语言!$A$12&amp;" 58)"</f>
        <v>净化之森 (危险度 58)</v>
      </c>
      <c r="C244" s="371"/>
      <c r="D244" s="371"/>
      <c r="E244" s="371"/>
      <c r="F244" s="371"/>
      <c r="G244" s="371"/>
      <c r="H244" s="371"/>
      <c r="I244" s="371"/>
      <c r="J244" s="371"/>
      <c r="K244" s="371"/>
      <c r="L244" s="371"/>
      <c r="M244" s="371"/>
      <c r="N244" s="20"/>
      <c r="O244" s="23" t="b">
        <v>0</v>
      </c>
      <c r="P244" s="419" t="str">
        <f ca="1">道具!$C$206&amp;" ("&amp;语言!$A$20&amp;")"</f>
        <v>禁忌短剑 (上锁宝箱)</v>
      </c>
      <c r="Q244" s="371"/>
      <c r="R244" s="371"/>
      <c r="S244" s="20"/>
      <c r="T244" s="20"/>
      <c r="U244" s="421"/>
      <c r="V244" s="371"/>
      <c r="W244" s="20"/>
      <c r="X244" s="20"/>
      <c r="Y244" s="20"/>
      <c r="Z244" s="20"/>
      <c r="AA244" s="20"/>
    </row>
    <row r="245" spans="1:27" ht="12.75" x14ac:dyDescent="0.2">
      <c r="A245" s="20"/>
      <c r="B245" s="23" t="b">
        <v>0</v>
      </c>
      <c r="C245" s="419" t="str">
        <f ca="1">敌人!C$241</f>
        <v>狂暴树木</v>
      </c>
      <c r="D245" s="371"/>
      <c r="E245" s="23">
        <f>敌人!D$241</f>
        <v>1</v>
      </c>
      <c r="F245" s="23">
        <f>敌人!E$241</f>
        <v>0</v>
      </c>
      <c r="G245" s="23">
        <f>敌人!F$241</f>
        <v>0</v>
      </c>
      <c r="H245" s="23">
        <f>敌人!G$241</f>
        <v>0</v>
      </c>
      <c r="I245" s="23">
        <f>敌人!H$241</f>
        <v>0</v>
      </c>
      <c r="J245" s="23">
        <f>敌人!I$241</f>
        <v>0</v>
      </c>
      <c r="K245" s="419" t="str">
        <f ca="1">敌人!J$241</f>
        <v>石榴树液</v>
      </c>
      <c r="L245" s="371"/>
      <c r="M245" s="371"/>
      <c r="N245" s="20"/>
      <c r="O245" s="23" t="b">
        <v>0</v>
      </c>
      <c r="P245" s="419" t="s">
        <v>22</v>
      </c>
      <c r="Q245" s="371"/>
      <c r="R245" s="371"/>
      <c r="S245" s="20"/>
      <c r="T245" s="20"/>
      <c r="U245" s="421"/>
      <c r="V245" s="371"/>
      <c r="W245" s="20"/>
      <c r="X245" s="20"/>
      <c r="Y245" s="20"/>
      <c r="Z245" s="20"/>
      <c r="AA245" s="20"/>
    </row>
    <row r="246" spans="1:27" ht="12.75" x14ac:dyDescent="0.2">
      <c r="A246" s="20"/>
      <c r="B246" s="23" t="b">
        <v>0</v>
      </c>
      <c r="C246" s="419" t="str">
        <f ca="1">敌人!C$233</f>
        <v>九命树</v>
      </c>
      <c r="D246" s="371"/>
      <c r="E246" s="23">
        <f>敌人!D$233</f>
        <v>4</v>
      </c>
      <c r="F246" s="23">
        <f>敌人!E$233</f>
        <v>0</v>
      </c>
      <c r="G246" s="23">
        <f>敌人!F$233</f>
        <v>0</v>
      </c>
      <c r="H246" s="23">
        <f>敌人!G$233</f>
        <v>0</v>
      </c>
      <c r="I246" s="23">
        <f>敌人!H$233</f>
        <v>0</v>
      </c>
      <c r="J246" s="23">
        <f>敌人!I$233</f>
        <v>0</v>
      </c>
      <c r="K246" s="419" t="str">
        <f ca="1">敌人!J$233</f>
        <v>复活的橄榄（大）</v>
      </c>
      <c r="L246" s="371"/>
      <c r="M246" s="371"/>
      <c r="N246" s="20"/>
      <c r="O246" s="23" t="b">
        <v>0</v>
      </c>
      <c r="P246" s="419" t="str">
        <f ca="1">道具!$C$38</f>
        <v>雷之精灵石（特大）</v>
      </c>
      <c r="Q246" s="371"/>
      <c r="R246" s="371"/>
      <c r="S246" s="20"/>
      <c r="T246" s="20"/>
      <c r="U246" s="421"/>
      <c r="V246" s="371"/>
      <c r="W246" s="20"/>
      <c r="X246" s="20"/>
      <c r="Y246" s="20"/>
      <c r="Z246" s="20"/>
      <c r="AA246" s="20"/>
    </row>
    <row r="247" spans="1:27" ht="12.75" x14ac:dyDescent="0.2">
      <c r="A247" s="20"/>
      <c r="B247" s="23" t="b">
        <v>0</v>
      </c>
      <c r="C247" s="419" t="str">
        <f ca="1">敌人!C$133</f>
        <v>狂暴菌类</v>
      </c>
      <c r="D247" s="371"/>
      <c r="E247" s="23">
        <f>敌人!D$133</f>
        <v>2</v>
      </c>
      <c r="F247" s="23">
        <f>敌人!E$133</f>
        <v>0</v>
      </c>
      <c r="G247" s="23">
        <f>敌人!F$133</f>
        <v>0</v>
      </c>
      <c r="H247" s="23">
        <f>敌人!G$133</f>
        <v>0</v>
      </c>
      <c r="I247" s="23">
        <f>敌人!H$133</f>
        <v>0</v>
      </c>
      <c r="J247" s="23">
        <f>敌人!I$133</f>
        <v>0</v>
      </c>
      <c r="K247" s="419" t="str">
        <f ca="1">敌人!J$133</f>
        <v>昏迷治疗药草</v>
      </c>
      <c r="L247" s="371"/>
      <c r="M247" s="371"/>
      <c r="N247" s="20"/>
      <c r="O247" s="23" t="b">
        <v>0</v>
      </c>
      <c r="P247" s="419" t="str">
        <f ca="1">道具!$C$17</f>
        <v>复活的橄榄（特大）</v>
      </c>
      <c r="Q247" s="371"/>
      <c r="R247" s="371"/>
      <c r="S247" s="20"/>
      <c r="T247" s="20"/>
      <c r="U247" s="421"/>
      <c r="V247" s="371"/>
      <c r="W247" s="20"/>
      <c r="X247" s="20"/>
      <c r="Y247" s="20"/>
      <c r="Z247" s="20"/>
      <c r="AA247" s="20"/>
    </row>
    <row r="248" spans="1:27" ht="12.75" x14ac:dyDescent="0.2">
      <c r="A248" s="20"/>
      <c r="B248" s="23" t="b">
        <v>0</v>
      </c>
      <c r="C248" s="419" t="str">
        <f ca="1">敌人!C$224</f>
        <v>猛毒菇</v>
      </c>
      <c r="D248" s="371"/>
      <c r="E248" s="23">
        <f>敌人!D$224</f>
        <v>1</v>
      </c>
      <c r="F248" s="23">
        <f>敌人!E$224</f>
        <v>0</v>
      </c>
      <c r="G248" s="23">
        <f>敌人!F$224</f>
        <v>0</v>
      </c>
      <c r="H248" s="23">
        <f>敌人!G$224</f>
        <v>0</v>
      </c>
      <c r="I248" s="23">
        <f>敌人!H$224</f>
        <v>0</v>
      </c>
      <c r="J248" s="23">
        <f>敌人!I$224</f>
        <v>0</v>
      </c>
      <c r="K248" s="419" t="str">
        <f ca="1">敌人!J$224</f>
        <v>毒治疗药草</v>
      </c>
      <c r="L248" s="371"/>
      <c r="M248" s="371"/>
      <c r="N248" s="20"/>
      <c r="O248" s="418" t="str">
        <f ca="1">语言!A$363&amp;" (4 "&amp;语言!$A$19&amp;")"</f>
        <v>占星师的祠堂 (4 宝箱)</v>
      </c>
      <c r="P248" s="371"/>
      <c r="Q248" s="371"/>
      <c r="R248" s="371"/>
      <c r="S248" s="20"/>
      <c r="T248" s="20"/>
      <c r="U248" s="421"/>
      <c r="V248" s="371"/>
      <c r="W248" s="20"/>
      <c r="X248" s="20"/>
      <c r="Y248" s="20"/>
      <c r="Z248" s="20"/>
      <c r="AA248" s="20"/>
    </row>
    <row r="249" spans="1:27" ht="12.75" x14ac:dyDescent="0.2">
      <c r="A249" s="20"/>
      <c r="B249" s="23" t="b">
        <v>0</v>
      </c>
      <c r="C249" s="419" t="str">
        <f ca="1">敌人!C$97</f>
        <v>双子蛇异种</v>
      </c>
      <c r="D249" s="371"/>
      <c r="E249" s="23">
        <f>敌人!D$97</f>
        <v>3</v>
      </c>
      <c r="F249" s="23">
        <f>敌人!E$97</f>
        <v>0</v>
      </c>
      <c r="G249" s="23">
        <f>敌人!F$97</f>
        <v>0</v>
      </c>
      <c r="H249" s="23">
        <f>敌人!G$97</f>
        <v>0</v>
      </c>
      <c r="I249" s="23">
        <f>敌人!H$97</f>
        <v>0</v>
      </c>
      <c r="J249" s="23">
        <f>敌人!I$97</f>
        <v>0</v>
      </c>
      <c r="K249" s="419" t="str">
        <f ca="1">敌人!J$97</f>
        <v>睡眠瓶</v>
      </c>
      <c r="L249" s="371"/>
      <c r="M249" s="371"/>
      <c r="N249" s="20"/>
      <c r="O249" s="23" t="b">
        <v>0</v>
      </c>
      <c r="P249" s="419" t="str">
        <f ca="1">道具!$C$7</f>
        <v>ＳＰ恢复的李子（大）</v>
      </c>
      <c r="Q249" s="371"/>
      <c r="R249" s="371"/>
      <c r="S249" s="20"/>
      <c r="T249" s="20"/>
      <c r="U249" s="421"/>
      <c r="V249" s="371"/>
      <c r="W249" s="20"/>
      <c r="X249" s="20"/>
      <c r="Y249" s="20"/>
      <c r="Z249" s="20"/>
      <c r="AA249" s="20"/>
    </row>
    <row r="250" spans="1:27" ht="12.75" x14ac:dyDescent="0.2">
      <c r="A250" s="20"/>
      <c r="B250" s="23" t="b">
        <v>0</v>
      </c>
      <c r="C250" s="419" t="str">
        <f ca="1">敌人!C$87</f>
        <v>邪鹿怪异种</v>
      </c>
      <c r="D250" s="371"/>
      <c r="E250" s="23">
        <f>敌人!D$87</f>
        <v>5</v>
      </c>
      <c r="F250" s="23">
        <f>敌人!E$87</f>
        <v>0</v>
      </c>
      <c r="G250" s="23">
        <f>敌人!F$87</f>
        <v>0</v>
      </c>
      <c r="H250" s="23">
        <f>敌人!G$87</f>
        <v>0</v>
      </c>
      <c r="I250" s="23">
        <f>敌人!H$87</f>
        <v>0</v>
      </c>
      <c r="J250" s="23">
        <f>敌人!I$87</f>
        <v>0</v>
      </c>
      <c r="K250" s="419" t="str">
        <f ca="1">敌人!J$87</f>
        <v>复活的橄榄（特大）</v>
      </c>
      <c r="L250" s="371"/>
      <c r="M250" s="371"/>
      <c r="N250" s="20"/>
      <c r="O250" s="23" t="b">
        <v>0</v>
      </c>
      <c r="P250" s="419" t="str">
        <f ca="1">道具!$C$45</f>
        <v>光之精灵石（特大）</v>
      </c>
      <c r="Q250" s="371"/>
      <c r="R250" s="371"/>
      <c r="S250" s="20"/>
      <c r="T250" s="20"/>
      <c r="U250" s="421"/>
      <c r="V250" s="371"/>
      <c r="W250" s="20"/>
      <c r="X250" s="20"/>
      <c r="Y250" s="20"/>
      <c r="Z250" s="20"/>
      <c r="AA250" s="20"/>
    </row>
    <row r="251" spans="1:27" ht="12.75" x14ac:dyDescent="0.2">
      <c r="A251" s="20"/>
      <c r="B251" s="23" t="b">
        <v>0</v>
      </c>
      <c r="C251" s="419" t="str">
        <f ca="1">敌人!C$221</f>
        <v>法尔帕斯异种</v>
      </c>
      <c r="D251" s="371"/>
      <c r="E251" s="23">
        <f>敌人!D$221</f>
        <v>5</v>
      </c>
      <c r="F251" s="23">
        <f>敌人!E$221</f>
        <v>0</v>
      </c>
      <c r="G251" s="23">
        <f>敌人!F$221</f>
        <v>0</v>
      </c>
      <c r="H251" s="23">
        <f>敌人!G$221</f>
        <v>0</v>
      </c>
      <c r="I251" s="23">
        <f>敌人!H$221</f>
        <v>0</v>
      </c>
      <c r="J251" s="23">
        <f>敌人!I$221</f>
        <v>0</v>
      </c>
      <c r="K251" s="419" t="str">
        <f ca="1">敌人!J$221</f>
        <v>ＨＰ全体恢复的葡萄</v>
      </c>
      <c r="L251" s="371"/>
      <c r="M251" s="371"/>
      <c r="N251" s="20"/>
      <c r="O251" s="23" t="b">
        <v>0</v>
      </c>
      <c r="P251" s="419" t="str">
        <f ca="1">道具!$C$12</f>
        <v>ＨＰ／ＳＰ恢复的果酱</v>
      </c>
      <c r="Q251" s="371"/>
      <c r="R251" s="371"/>
      <c r="S251" s="20"/>
      <c r="T251" s="20"/>
      <c r="U251" s="421"/>
      <c r="V251" s="371"/>
      <c r="W251" s="20"/>
      <c r="X251" s="20"/>
      <c r="Y251" s="20"/>
      <c r="Z251" s="20"/>
      <c r="AA251" s="20"/>
    </row>
    <row r="252" spans="1:27" ht="12.75" x14ac:dyDescent="0.2">
      <c r="A252" s="20"/>
      <c r="B252" s="23" t="b">
        <v>0</v>
      </c>
      <c r="C252" s="419" t="str">
        <f ca="1">敌人!C$250</f>
        <v>古代遗物（兽）・异型</v>
      </c>
      <c r="D252" s="371"/>
      <c r="E252" s="23">
        <f>敌人!D$250</f>
        <v>5</v>
      </c>
      <c r="F252" s="23">
        <f>敌人!E$250</f>
        <v>0</v>
      </c>
      <c r="G252" s="23">
        <f>敌人!F$250</f>
        <v>0</v>
      </c>
      <c r="H252" s="23">
        <f>敌人!G$250</f>
        <v>0</v>
      </c>
      <c r="I252" s="23">
        <f>敌人!H$250</f>
        <v>0</v>
      </c>
      <c r="J252" s="23">
        <f>敌人!I$250</f>
        <v>0</v>
      </c>
      <c r="K252" s="419" t="str">
        <f ca="1">敌人!J$250</f>
        <v>复活的橄榄（特大）</v>
      </c>
      <c r="L252" s="371"/>
      <c r="M252" s="371"/>
      <c r="N252" s="20"/>
      <c r="O252" s="23" t="b">
        <v>0</v>
      </c>
      <c r="P252" s="419" t="str">
        <f ca="1">道具!$C$519</f>
        <v>猛毒耐性石</v>
      </c>
      <c r="Q252" s="371"/>
      <c r="R252" s="371"/>
      <c r="S252" s="20"/>
      <c r="T252" s="20"/>
      <c r="U252" s="421"/>
      <c r="V252" s="371"/>
      <c r="W252" s="20"/>
      <c r="X252" s="20"/>
      <c r="Y252" s="20"/>
      <c r="Z252" s="20"/>
      <c r="AA252" s="20"/>
    </row>
    <row r="253" spans="1:27" ht="12.75" x14ac:dyDescent="0.2">
      <c r="A253" s="20"/>
      <c r="B253" s="23" t="b">
        <v>0</v>
      </c>
      <c r="C253" s="419" t="str">
        <f ca="1">敌人!C$256</f>
        <v>古代遗物・兵</v>
      </c>
      <c r="D253" s="371"/>
      <c r="E253" s="23">
        <f>敌人!D$256</f>
        <v>9</v>
      </c>
      <c r="F253" s="23">
        <f>敌人!E$256</f>
        <v>0</v>
      </c>
      <c r="G253" s="23">
        <f>敌人!F$256</f>
        <v>0</v>
      </c>
      <c r="H253" s="23">
        <f>敌人!G$256</f>
        <v>0</v>
      </c>
      <c r="I253" s="23">
        <f>敌人!H$256</f>
        <v>0</v>
      </c>
      <c r="J253" s="23">
        <f>敌人!I$256</f>
        <v>0</v>
      </c>
      <c r="K253" s="419" t="str">
        <f ca="1">敌人!J$256</f>
        <v>ＨＰ／ＳＰ／ＢＰ恢复的果酱</v>
      </c>
      <c r="L253" s="371"/>
      <c r="M253" s="371"/>
      <c r="N253" s="26"/>
      <c r="O253" s="26"/>
      <c r="P253" s="424"/>
      <c r="Q253" s="371"/>
      <c r="R253" s="371"/>
      <c r="S253" s="26"/>
      <c r="T253" s="20"/>
      <c r="U253" s="421"/>
      <c r="V253" s="371"/>
      <c r="W253" s="20"/>
      <c r="X253" s="20"/>
      <c r="Y253" s="20"/>
      <c r="Z253" s="20"/>
      <c r="AA253" s="20"/>
    </row>
    <row r="254" spans="1:27" ht="12.75" x14ac:dyDescent="0.2">
      <c r="A254" s="20"/>
      <c r="B254" s="423" t="str">
        <f ca="1">语言!$A$15&amp;" (quest: Scaredy Sheep)"</f>
        <v>Boss (quest: Scaredy Sheep)</v>
      </c>
      <c r="C254" s="371"/>
      <c r="D254" s="371"/>
      <c r="E254" s="371"/>
      <c r="F254" s="371"/>
      <c r="G254" s="371"/>
      <c r="H254" s="371"/>
      <c r="I254" s="371"/>
      <c r="J254" s="371"/>
      <c r="K254" s="371"/>
      <c r="L254" s="371"/>
      <c r="M254" s="371"/>
      <c r="N254" s="26"/>
      <c r="O254" s="26"/>
      <c r="P254" s="424"/>
      <c r="Q254" s="371"/>
      <c r="R254" s="371"/>
      <c r="S254" s="26"/>
      <c r="T254" s="20"/>
      <c r="U254" s="421"/>
      <c r="V254" s="371"/>
      <c r="W254" s="20"/>
      <c r="X254" s="20"/>
      <c r="Y254" s="20"/>
      <c r="Z254" s="20"/>
      <c r="AA254" s="20"/>
    </row>
    <row r="255" spans="1:27" ht="12.75" x14ac:dyDescent="0.2">
      <c r="A255" s="20"/>
      <c r="B255" s="23" t="b">
        <v>0</v>
      </c>
      <c r="C255" s="419" t="str">
        <f ca="1">敌人!C$498</f>
        <v>玛纳加尔姆</v>
      </c>
      <c r="D255" s="371"/>
      <c r="E255" s="23">
        <f>敌人!D$498</f>
        <v>6</v>
      </c>
      <c r="F255" s="23">
        <f>敌人!E$498</f>
        <v>0</v>
      </c>
      <c r="G255" s="23">
        <f>敌人!F$498</f>
        <v>0</v>
      </c>
      <c r="H255" s="23">
        <f>敌人!G$498</f>
        <v>0</v>
      </c>
      <c r="I255" s="23">
        <f>敌人!H$498</f>
        <v>0</v>
      </c>
      <c r="J255" s="23">
        <f>敌人!I$498</f>
        <v>0</v>
      </c>
      <c r="K255" s="419" t="str">
        <f ca="1">敌人!J$498</f>
        <v>大狼的獠牙 (can't steal)</v>
      </c>
      <c r="L255" s="371"/>
      <c r="M255" s="371"/>
      <c r="N255" s="26"/>
      <c r="O255" s="30"/>
      <c r="P255" s="422"/>
      <c r="Q255" s="371"/>
      <c r="R255" s="371"/>
      <c r="S255" s="26"/>
      <c r="T255" s="20"/>
      <c r="U255" s="421"/>
      <c r="V255" s="371"/>
      <c r="W255" s="20"/>
      <c r="X255" s="20"/>
      <c r="Y255" s="20"/>
      <c r="Z255" s="20"/>
      <c r="AA255" s="20"/>
    </row>
    <row r="256" spans="1:27" ht="12.75" x14ac:dyDescent="0.2">
      <c r="A256" s="20"/>
      <c r="B256" s="23" t="b">
        <v>0</v>
      </c>
      <c r="C256" s="419" t="str">
        <f ca="1">敌人!C$499</f>
        <v>骑士狼</v>
      </c>
      <c r="D256" s="371"/>
      <c r="E256" s="23">
        <f>敌人!D$499</f>
        <v>5</v>
      </c>
      <c r="F256" s="23">
        <f>敌人!E$499</f>
        <v>0</v>
      </c>
      <c r="G256" s="23">
        <f>敌人!F$499</f>
        <v>0</v>
      </c>
      <c r="H256" s="23">
        <f>敌人!G$499</f>
        <v>0</v>
      </c>
      <c r="I256" s="23">
        <f>敌人!H$499</f>
        <v>0</v>
      </c>
      <c r="J256" s="23">
        <f>敌人!I$499</f>
        <v>0</v>
      </c>
      <c r="K256" s="419" t="str">
        <f ca="1">敌人!J$499</f>
        <v>ＨＰ全体恢复的葡萄</v>
      </c>
      <c r="L256" s="371"/>
      <c r="M256" s="371"/>
      <c r="N256" s="26"/>
      <c r="O256" s="30"/>
      <c r="P256" s="422"/>
      <c r="Q256" s="371"/>
      <c r="R256" s="371"/>
      <c r="S256" s="26"/>
      <c r="T256" s="20"/>
      <c r="U256" s="421"/>
      <c r="V256" s="371"/>
      <c r="W256" s="20"/>
      <c r="X256" s="20"/>
      <c r="Y256" s="20"/>
      <c r="Z256" s="20"/>
      <c r="AA256" s="20"/>
    </row>
    <row r="257" spans="1:27" ht="12.75" x14ac:dyDescent="0.2">
      <c r="A257" s="20"/>
      <c r="B257" s="408" t="str">
        <f ca="1">语言!A$363&amp;" ("&amp;语言!$A$12&amp;" 50)"</f>
        <v>占星师的祠堂 (危险度 50)</v>
      </c>
      <c r="C257" s="371"/>
      <c r="D257" s="371"/>
      <c r="E257" s="371"/>
      <c r="F257" s="371"/>
      <c r="G257" s="371"/>
      <c r="H257" s="371"/>
      <c r="I257" s="371"/>
      <c r="J257" s="371"/>
      <c r="K257" s="371"/>
      <c r="L257" s="371"/>
      <c r="M257" s="371"/>
      <c r="N257" s="26"/>
      <c r="O257" s="30"/>
      <c r="P257" s="422"/>
      <c r="Q257" s="371"/>
      <c r="R257" s="371"/>
      <c r="S257" s="26"/>
      <c r="T257" s="20"/>
      <c r="U257" s="421"/>
      <c r="V257" s="371"/>
      <c r="W257" s="20"/>
      <c r="X257" s="20"/>
      <c r="Y257" s="20"/>
      <c r="Z257" s="20"/>
      <c r="AA257" s="20"/>
    </row>
    <row r="258" spans="1:27" ht="12.75" x14ac:dyDescent="0.2">
      <c r="A258" s="20"/>
      <c r="B258" s="21" t="b">
        <v>0</v>
      </c>
      <c r="C258" s="419" t="str">
        <f ca="1">敌人!C$364</f>
        <v>古代遗物（风兽）・异型</v>
      </c>
      <c r="D258" s="371"/>
      <c r="E258" s="23">
        <f>敌人!D$364</f>
        <v>2</v>
      </c>
      <c r="F258" s="23">
        <f>敌人!E$364</f>
        <v>0</v>
      </c>
      <c r="G258" s="23">
        <f>敌人!F$364</f>
        <v>0</v>
      </c>
      <c r="H258" s="23">
        <f>敌人!G$364</f>
        <v>0</v>
      </c>
      <c r="I258" s="23">
        <f>敌人!H$364</f>
        <v>0</v>
      </c>
      <c r="J258" s="23">
        <f>敌人!I$364</f>
        <v>0</v>
      </c>
      <c r="K258" s="419" t="str">
        <f ca="1">敌人!J$364</f>
        <v>风之精灵石（特大）</v>
      </c>
      <c r="L258" s="371"/>
      <c r="M258" s="371"/>
      <c r="N258" s="26"/>
      <c r="O258" s="30"/>
      <c r="P258" s="422"/>
      <c r="Q258" s="371"/>
      <c r="R258" s="371"/>
      <c r="S258" s="26"/>
      <c r="T258" s="20"/>
      <c r="U258" s="421"/>
      <c r="V258" s="371"/>
      <c r="W258" s="20"/>
      <c r="X258" s="20"/>
      <c r="Y258" s="20"/>
      <c r="Z258" s="20"/>
      <c r="AA258" s="20"/>
    </row>
    <row r="259" spans="1:27" ht="12.75" x14ac:dyDescent="0.2">
      <c r="A259" s="20"/>
      <c r="B259" s="21" t="b">
        <v>0</v>
      </c>
      <c r="C259" s="419" t="str">
        <f ca="1">敌人!C$365</f>
        <v>古代遗物・风兵</v>
      </c>
      <c r="D259" s="371"/>
      <c r="E259" s="23">
        <f>敌人!D$365</f>
        <v>7</v>
      </c>
      <c r="F259" s="23">
        <f>敌人!E$365</f>
        <v>0</v>
      </c>
      <c r="G259" s="23">
        <f>敌人!F$365</f>
        <v>0</v>
      </c>
      <c r="H259" s="23">
        <f>敌人!G$365</f>
        <v>0</v>
      </c>
      <c r="I259" s="23">
        <f>敌人!H$365</f>
        <v>0</v>
      </c>
      <c r="J259" s="23">
        <f>敌人!I$365</f>
        <v>0</v>
      </c>
      <c r="K259" s="419" t="str">
        <f ca="1">敌人!J$365</f>
        <v>ＳＰ全体恢复的李子</v>
      </c>
      <c r="L259" s="371"/>
      <c r="M259" s="371"/>
      <c r="N259" s="26"/>
      <c r="O259" s="30"/>
      <c r="P259" s="422"/>
      <c r="Q259" s="371"/>
      <c r="R259" s="371"/>
      <c r="S259" s="26"/>
      <c r="T259" s="20"/>
      <c r="U259" s="421"/>
      <c r="V259" s="371"/>
      <c r="W259" s="20"/>
      <c r="X259" s="20"/>
      <c r="Y259" s="20"/>
      <c r="Z259" s="20"/>
      <c r="AA259" s="20"/>
    </row>
    <row r="260" spans="1:27" ht="12.75" x14ac:dyDescent="0.2">
      <c r="A260" s="20"/>
      <c r="B260" s="21" t="b">
        <v>0</v>
      </c>
      <c r="C260" s="419" t="str">
        <f ca="1">敌人!C$202</f>
        <v>古代遗物（光兽）・异型</v>
      </c>
      <c r="D260" s="371"/>
      <c r="E260" s="23">
        <f>敌人!D$202</f>
        <v>3</v>
      </c>
      <c r="F260" s="23">
        <f>敌人!E$202</f>
        <v>0</v>
      </c>
      <c r="G260" s="23">
        <f>敌人!F$202</f>
        <v>0</v>
      </c>
      <c r="H260" s="23">
        <f>敌人!G$202</f>
        <v>0</v>
      </c>
      <c r="I260" s="23">
        <f>敌人!H$202</f>
        <v>0</v>
      </c>
      <c r="J260" s="23">
        <f>敌人!I$202</f>
        <v>0</v>
      </c>
      <c r="K260" s="419" t="str">
        <f ca="1">敌人!J$202</f>
        <v>光之精灵石（特大）</v>
      </c>
      <c r="L260" s="371"/>
      <c r="M260" s="371"/>
      <c r="N260" s="26"/>
      <c r="O260" s="30"/>
      <c r="P260" s="422"/>
      <c r="Q260" s="371"/>
      <c r="R260" s="371"/>
      <c r="S260" s="26"/>
      <c r="T260" s="20"/>
      <c r="U260" s="421"/>
      <c r="V260" s="371"/>
      <c r="W260" s="20"/>
      <c r="X260" s="20"/>
      <c r="Y260" s="20"/>
      <c r="Z260" s="20"/>
      <c r="AA260" s="20"/>
    </row>
    <row r="261" spans="1:27" ht="12.75" x14ac:dyDescent="0.2">
      <c r="A261" s="20"/>
      <c r="B261" s="21" t="b">
        <v>0</v>
      </c>
      <c r="C261" s="419" t="str">
        <f ca="1">敌人!C$203</f>
        <v>古代遗物・光兵</v>
      </c>
      <c r="D261" s="371"/>
      <c r="E261" s="23">
        <f>敌人!D$203</f>
        <v>8</v>
      </c>
      <c r="F261" s="23">
        <f>敌人!E$203</f>
        <v>0</v>
      </c>
      <c r="G261" s="23">
        <f>敌人!F$203</f>
        <v>0</v>
      </c>
      <c r="H261" s="23">
        <f>敌人!G$203</f>
        <v>0</v>
      </c>
      <c r="I261" s="23">
        <f>敌人!H$203</f>
        <v>0</v>
      </c>
      <c r="J261" s="23">
        <f>敌人!I$203</f>
        <v>0</v>
      </c>
      <c r="K261" s="419" t="str">
        <f ca="1">敌人!J$203</f>
        <v>ＳＰ全体恢复的李子</v>
      </c>
      <c r="L261" s="371"/>
      <c r="M261" s="371"/>
      <c r="N261" s="26"/>
      <c r="O261" s="30"/>
      <c r="P261" s="422"/>
      <c r="Q261" s="371"/>
      <c r="R261" s="371"/>
      <c r="S261" s="26"/>
      <c r="T261" s="20"/>
      <c r="U261" s="421"/>
      <c r="V261" s="371"/>
      <c r="W261" s="20"/>
      <c r="X261" s="20"/>
      <c r="Y261" s="20"/>
      <c r="Z261" s="20"/>
      <c r="AA261" s="20"/>
    </row>
    <row r="262" spans="1:27" ht="12.75" x14ac:dyDescent="0.2">
      <c r="A262" s="20"/>
      <c r="B262" s="21" t="b">
        <v>0</v>
      </c>
      <c r="C262" s="419" t="str">
        <f ca="1">敌人!C$309</f>
        <v>古代遗物（暗兽）・异型</v>
      </c>
      <c r="D262" s="371"/>
      <c r="E262" s="23">
        <f>敌人!D$309</f>
        <v>4</v>
      </c>
      <c r="F262" s="23">
        <f>敌人!E$309</f>
        <v>0</v>
      </c>
      <c r="G262" s="23">
        <f>敌人!F$309</f>
        <v>0</v>
      </c>
      <c r="H262" s="23">
        <f>敌人!G$309</f>
        <v>0</v>
      </c>
      <c r="I262" s="23">
        <f>敌人!H$309</f>
        <v>0</v>
      </c>
      <c r="J262" s="23">
        <f>敌人!I$309</f>
        <v>0</v>
      </c>
      <c r="K262" s="419" t="str">
        <f ca="1">敌人!J$309</f>
        <v>暗之精灵石（特大）</v>
      </c>
      <c r="L262" s="371"/>
      <c r="M262" s="371"/>
      <c r="N262" s="26"/>
      <c r="O262" s="30"/>
      <c r="P262" s="422"/>
      <c r="Q262" s="371"/>
      <c r="R262" s="371"/>
      <c r="S262" s="26"/>
      <c r="T262" s="20"/>
      <c r="U262" s="421"/>
      <c r="V262" s="371"/>
      <c r="W262" s="20"/>
      <c r="X262" s="20"/>
      <c r="Y262" s="20"/>
      <c r="Z262" s="20"/>
      <c r="AA262" s="20"/>
    </row>
    <row r="263" spans="1:27" ht="12.75" x14ac:dyDescent="0.2">
      <c r="A263" s="20"/>
      <c r="B263" s="21" t="b">
        <v>0</v>
      </c>
      <c r="C263" s="419" t="str">
        <f ca="1">敌人!C$310</f>
        <v>古代遗物・暗兵</v>
      </c>
      <c r="D263" s="371"/>
      <c r="E263" s="23">
        <f>敌人!D$310</f>
        <v>9</v>
      </c>
      <c r="F263" s="23">
        <f>敌人!E$310</f>
        <v>0</v>
      </c>
      <c r="G263" s="23">
        <f>敌人!F$310</f>
        <v>0</v>
      </c>
      <c r="H263" s="23">
        <f>敌人!G$310</f>
        <v>0</v>
      </c>
      <c r="I263" s="23">
        <f>敌人!H$310</f>
        <v>0</v>
      </c>
      <c r="J263" s="23">
        <f>敌人!I$310</f>
        <v>0</v>
      </c>
      <c r="K263" s="419" t="str">
        <f ca="1">敌人!J$310</f>
        <v>ＳＰ全体恢复的李子</v>
      </c>
      <c r="L263" s="371"/>
      <c r="M263" s="371"/>
      <c r="N263" s="26"/>
      <c r="O263" s="30"/>
      <c r="P263" s="422"/>
      <c r="Q263" s="371"/>
      <c r="R263" s="371"/>
      <c r="S263" s="26"/>
      <c r="T263" s="20"/>
      <c r="U263" s="421"/>
      <c r="V263" s="371"/>
      <c r="W263" s="20"/>
      <c r="X263" s="20"/>
      <c r="Y263" s="20"/>
      <c r="Z263" s="20"/>
      <c r="AA263" s="20"/>
    </row>
    <row r="264" spans="1:27" ht="12.75" x14ac:dyDescent="0.2">
      <c r="A264" s="20"/>
      <c r="B264" s="21" t="b">
        <v>0</v>
      </c>
      <c r="C264" s="419" t="str">
        <f ca="1">敌人!C$9</f>
        <v>腐朽的盔甲</v>
      </c>
      <c r="D264" s="371"/>
      <c r="E264" s="23">
        <f>敌人!D$9</f>
        <v>6</v>
      </c>
      <c r="F264" s="23">
        <f>敌人!E$9</f>
        <v>0</v>
      </c>
      <c r="G264" s="23">
        <f>敌人!F$9</f>
        <v>0</v>
      </c>
      <c r="H264" s="23">
        <f>敌人!G$9</f>
        <v>0</v>
      </c>
      <c r="I264" s="23">
        <f>敌人!H$9</f>
        <v>0</v>
      </c>
      <c r="J264" s="23">
        <f>敌人!I$9</f>
        <v>0</v>
      </c>
      <c r="K264" s="419" t="str">
        <f ca="1">敌人!J$9</f>
        <v>ＨＰ／ＳＰ恢复的果酱</v>
      </c>
      <c r="L264" s="371"/>
      <c r="M264" s="371"/>
      <c r="N264" s="26"/>
      <c r="O264" s="30"/>
      <c r="P264" s="422"/>
      <c r="Q264" s="371"/>
      <c r="R264" s="371"/>
      <c r="S264" s="26"/>
      <c r="T264" s="20"/>
      <c r="U264" s="421"/>
      <c r="V264" s="371"/>
      <c r="W264" s="20"/>
      <c r="X264" s="20"/>
      <c r="Y264" s="20"/>
      <c r="Z264" s="20"/>
      <c r="AA264" s="20"/>
    </row>
    <row r="265" spans="1:27" ht="12.75" x14ac:dyDescent="0.2">
      <c r="A265" s="20"/>
      <c r="B265" s="420" t="str">
        <f ca="1">语言!$A$15</f>
        <v>Boss</v>
      </c>
      <c r="C265" s="371"/>
      <c r="D265" s="371"/>
      <c r="E265" s="371"/>
      <c r="F265" s="371"/>
      <c r="G265" s="371"/>
      <c r="H265" s="371"/>
      <c r="I265" s="371"/>
      <c r="J265" s="371"/>
      <c r="K265" s="371"/>
      <c r="L265" s="371"/>
      <c r="M265" s="371"/>
      <c r="N265" s="26"/>
      <c r="O265" s="30"/>
      <c r="P265" s="422"/>
      <c r="Q265" s="371"/>
      <c r="R265" s="371"/>
      <c r="S265" s="26"/>
      <c r="T265" s="20"/>
      <c r="U265" s="421"/>
      <c r="V265" s="371"/>
      <c r="W265" s="20"/>
      <c r="X265" s="20"/>
      <c r="Y265" s="20"/>
      <c r="Z265" s="20"/>
      <c r="AA265" s="20"/>
    </row>
    <row r="266" spans="1:27" ht="12.75" x14ac:dyDescent="0.2">
      <c r="A266" s="20"/>
      <c r="B266" s="411" t="b">
        <v>0</v>
      </c>
      <c r="C266" s="409" t="str">
        <f ca="1">敌人!C$485</f>
        <v>占星师史黛欧拉</v>
      </c>
      <c r="D266" s="371"/>
      <c r="E266" s="21">
        <f>敌人!D$485</f>
        <v>7</v>
      </c>
      <c r="F266" s="21">
        <f>敌人!E$485</f>
        <v>0</v>
      </c>
      <c r="G266" s="21">
        <f>敌人!F$485</f>
        <v>0</v>
      </c>
      <c r="H266" s="21">
        <f>敌人!G$485</f>
        <v>0</v>
      </c>
      <c r="I266" s="21">
        <f>敌人!H$485</f>
        <v>0</v>
      </c>
      <c r="J266" s="21">
        <f>敌人!I$485</f>
        <v>0</v>
      </c>
      <c r="K266" s="409" t="str">
        <f ca="1">敌人!J$485</f>
        <v>ＨＰ／ＳＰ恢复的果酱</v>
      </c>
      <c r="L266" s="371"/>
      <c r="M266" s="371"/>
      <c r="N266" s="26"/>
      <c r="O266" s="30"/>
      <c r="P266" s="422"/>
      <c r="Q266" s="371"/>
      <c r="R266" s="371"/>
      <c r="S266" s="26"/>
      <c r="T266" s="20"/>
      <c r="U266" s="421"/>
      <c r="V266" s="371"/>
      <c r="W266" s="20"/>
      <c r="X266" s="20"/>
      <c r="Y266" s="20"/>
      <c r="Z266" s="20"/>
      <c r="AA266" s="20"/>
    </row>
    <row r="267" spans="1:27" ht="12.75" x14ac:dyDescent="0.2">
      <c r="A267" s="20"/>
      <c r="B267" s="371"/>
      <c r="C267" s="371"/>
      <c r="D267" s="371"/>
      <c r="E267" s="21">
        <f>敌人!D$486</f>
        <v>4</v>
      </c>
      <c r="F267" s="21">
        <f>敌人!E$486</f>
        <v>0</v>
      </c>
      <c r="G267" s="21">
        <f>敌人!F$486</f>
        <v>0</v>
      </c>
      <c r="H267" s="21">
        <f>敌人!G$486</f>
        <v>0</v>
      </c>
      <c r="I267" s="21">
        <f>敌人!H$486</f>
        <v>0</v>
      </c>
      <c r="J267" s="21">
        <f>敌人!I$486</f>
        <v>0</v>
      </c>
      <c r="K267" s="371"/>
      <c r="L267" s="371"/>
      <c r="M267" s="371"/>
      <c r="N267" s="26"/>
      <c r="O267" s="30"/>
      <c r="P267" s="422"/>
      <c r="Q267" s="371"/>
      <c r="R267" s="371"/>
      <c r="S267" s="26"/>
      <c r="T267" s="20"/>
      <c r="U267" s="421"/>
      <c r="V267" s="371"/>
      <c r="W267" s="20"/>
      <c r="X267" s="20"/>
      <c r="Y267" s="20"/>
      <c r="Z267" s="20"/>
      <c r="AA267" s="20"/>
    </row>
    <row r="268" spans="1:27" ht="12.75" x14ac:dyDescent="0.2">
      <c r="A268" s="20"/>
      <c r="B268" s="371"/>
      <c r="C268" s="371"/>
      <c r="D268" s="371"/>
      <c r="E268" s="21">
        <f>敌人!D$487</f>
        <v>12</v>
      </c>
      <c r="F268" s="21">
        <f>敌人!E$487</f>
        <v>0</v>
      </c>
      <c r="G268" s="21">
        <f>敌人!F$487</f>
        <v>0</v>
      </c>
      <c r="H268" s="21">
        <f>敌人!G$487</f>
        <v>0</v>
      </c>
      <c r="I268" s="21">
        <f>敌人!H$487</f>
        <v>0</v>
      </c>
      <c r="J268" s="21">
        <f>敌人!I$487</f>
        <v>0</v>
      </c>
      <c r="K268" s="371"/>
      <c r="L268" s="371"/>
      <c r="M268" s="371"/>
      <c r="N268" s="26"/>
      <c r="O268" s="30"/>
      <c r="P268" s="422"/>
      <c r="Q268" s="371"/>
      <c r="R268" s="371"/>
      <c r="S268" s="26"/>
      <c r="T268" s="20"/>
      <c r="U268" s="421"/>
      <c r="V268" s="371"/>
      <c r="W268" s="20"/>
      <c r="X268" s="20"/>
      <c r="Y268" s="20"/>
      <c r="Z268" s="20"/>
      <c r="AA268" s="20"/>
    </row>
    <row r="269" spans="1:27" ht="12.75" x14ac:dyDescent="0.2">
      <c r="A269" s="20"/>
      <c r="B269" s="371"/>
      <c r="C269" s="371"/>
      <c r="D269" s="371"/>
      <c r="E269" s="21">
        <f>敌人!D$488</f>
        <v>8</v>
      </c>
      <c r="F269" s="21">
        <f>敌人!E$488</f>
        <v>0</v>
      </c>
      <c r="G269" s="21">
        <f>敌人!F$488</f>
        <v>0</v>
      </c>
      <c r="H269" s="21">
        <f>敌人!G$488</f>
        <v>0</v>
      </c>
      <c r="I269" s="21">
        <f>敌人!H$488</f>
        <v>0</v>
      </c>
      <c r="J269" s="21">
        <f>敌人!I$488</f>
        <v>0</v>
      </c>
      <c r="K269" s="371"/>
      <c r="L269" s="371"/>
      <c r="M269" s="371"/>
      <c r="N269" s="26"/>
      <c r="O269" s="26"/>
      <c r="P269" s="424"/>
      <c r="Q269" s="371"/>
      <c r="R269" s="371"/>
      <c r="S269" s="26"/>
      <c r="T269" s="20"/>
      <c r="U269" s="421"/>
      <c r="V269" s="371"/>
      <c r="W269" s="20"/>
      <c r="X269" s="20"/>
      <c r="Y269" s="20"/>
      <c r="Z269" s="20"/>
      <c r="AA269" s="20"/>
    </row>
    <row r="270" spans="1:27" ht="12.75" x14ac:dyDescent="0.2">
      <c r="A270" s="20"/>
      <c r="B270" s="20"/>
      <c r="C270" s="421"/>
      <c r="D270" s="371"/>
      <c r="E270" s="20"/>
      <c r="F270" s="20"/>
      <c r="G270" s="20"/>
      <c r="H270" s="20"/>
      <c r="I270" s="20"/>
      <c r="J270" s="20"/>
      <c r="K270" s="421"/>
      <c r="L270" s="371"/>
      <c r="M270" s="371"/>
      <c r="N270" s="20"/>
      <c r="O270" s="20"/>
      <c r="P270" s="427"/>
      <c r="Q270" s="371"/>
      <c r="R270" s="371"/>
      <c r="S270" s="20"/>
      <c r="T270" s="20"/>
      <c r="U270" s="421"/>
      <c r="V270" s="371"/>
      <c r="W270" s="20"/>
      <c r="X270" s="20"/>
      <c r="Y270" s="20"/>
      <c r="Z270" s="20"/>
      <c r="AA270" s="20"/>
    </row>
    <row r="271" spans="1:27" ht="12.75" x14ac:dyDescent="0.2">
      <c r="A271" s="20"/>
      <c r="B271" s="417" t="str">
        <f ca="1">语言!$A$35&amp;" "&amp;语言!$A$14&amp;" 4"</f>
        <v>欧菲莉亚 章节 4</v>
      </c>
      <c r="C271" s="371"/>
      <c r="D271" s="371"/>
      <c r="E271" s="371"/>
      <c r="F271" s="371"/>
      <c r="G271" s="371"/>
      <c r="H271" s="371"/>
      <c r="I271" s="371"/>
      <c r="J271" s="371"/>
      <c r="K271" s="371"/>
      <c r="L271" s="371"/>
      <c r="M271" s="371"/>
      <c r="N271" s="20"/>
      <c r="O271" s="417" t="str">
        <f ca="1">语言!$A$35&amp;" "&amp;语言!$A$14&amp;" 4"</f>
        <v>欧菲莉亚 章节 4</v>
      </c>
      <c r="P271" s="371"/>
      <c r="Q271" s="371"/>
      <c r="R271" s="371"/>
      <c r="S271" s="20"/>
      <c r="T271" s="20"/>
      <c r="U271" s="421"/>
      <c r="V271" s="371"/>
      <c r="W271" s="20"/>
      <c r="X271" s="417" t="str">
        <f ca="1">语言!$A$35&amp;" "&amp;语言!$A$14&amp;" 4"</f>
        <v>欧菲莉亚 章节 4</v>
      </c>
      <c r="Y271" s="371"/>
      <c r="Z271" s="371"/>
      <c r="AA271" s="20"/>
    </row>
    <row r="272" spans="1:27" ht="12.75" x14ac:dyDescent="0.2">
      <c r="A272" s="20"/>
      <c r="B272" s="418" t="str">
        <f ca="1">语言!A$364&amp;" ("&amp;语言!$A$12&amp;" 45)"</f>
        <v>漆黑洞窟 (危险度 45)</v>
      </c>
      <c r="C272" s="371"/>
      <c r="D272" s="371"/>
      <c r="E272" s="371"/>
      <c r="F272" s="371"/>
      <c r="G272" s="371"/>
      <c r="H272" s="371"/>
      <c r="I272" s="371"/>
      <c r="J272" s="371"/>
      <c r="K272" s="371"/>
      <c r="L272" s="371"/>
      <c r="M272" s="371"/>
      <c r="N272" s="20"/>
      <c r="O272" s="418" t="str">
        <f ca="1">语言!A$364&amp;" (45) (4 "&amp;语言!$A$19&amp;")"</f>
        <v>漆黑洞窟 (45) (4 宝箱)</v>
      </c>
      <c r="P272" s="371"/>
      <c r="Q272" s="371"/>
      <c r="R272" s="371"/>
      <c r="S272" s="20"/>
      <c r="T272" s="20"/>
      <c r="U272" s="421"/>
      <c r="V272" s="371"/>
      <c r="W272" s="20"/>
      <c r="X272" s="408" t="str">
        <f ca="1">语言!A$364</f>
        <v>漆黑洞窟</v>
      </c>
      <c r="Y272" s="371"/>
      <c r="Z272" s="371"/>
      <c r="AA272" s="20"/>
    </row>
    <row r="273" spans="1:27" ht="12.75" x14ac:dyDescent="0.2">
      <c r="A273" s="20"/>
      <c r="B273" s="23" t="b">
        <v>0</v>
      </c>
      <c r="C273" s="419" t="str">
        <f ca="1">敌人!C$374</f>
        <v>黑炎教信徒（高级）I</v>
      </c>
      <c r="D273" s="371"/>
      <c r="E273" s="23">
        <f>敌人!D$374</f>
        <v>2</v>
      </c>
      <c r="F273" s="23">
        <f>敌人!E$374</f>
        <v>0</v>
      </c>
      <c r="G273" s="23">
        <f>敌人!F$374</f>
        <v>0</v>
      </c>
      <c r="H273" s="23">
        <f>敌人!G$374</f>
        <v>0</v>
      </c>
      <c r="I273" s="23">
        <f>敌人!H$374</f>
        <v>0</v>
      </c>
      <c r="J273" s="23">
        <f>敌人!I$374</f>
        <v>0</v>
      </c>
      <c r="K273" s="419" t="str">
        <f ca="1">敌人!J$374</f>
        <v>魔物香水</v>
      </c>
      <c r="L273" s="371"/>
      <c r="M273" s="371"/>
      <c r="N273" s="20"/>
      <c r="O273" s="23" t="b">
        <v>0</v>
      </c>
      <c r="P273" s="419" t="str">
        <f ca="1">道具!$C$16</f>
        <v>复活的橄榄（大）</v>
      </c>
      <c r="Q273" s="371"/>
      <c r="R273" s="371"/>
      <c r="S273" s="20"/>
      <c r="T273" s="20"/>
      <c r="U273" s="421"/>
      <c r="V273" s="371"/>
      <c r="W273" s="20"/>
      <c r="X273" s="409" t="b">
        <v>0</v>
      </c>
      <c r="Y273" s="409" t="str">
        <f ca="1">敌人!$C$374&amp;"&amp;II
"&amp;语言!$A$50&amp;"/"&amp;语言!$A$13&amp;":
"&amp;道具!$C$111</f>
        <v>黑炎教信徒（高级）I&amp;II
偷取/掉落物:
魔物香水</v>
      </c>
      <c r="Z273" s="410" t="str">
        <f ca="1">"If you still don't have any "&amp;道具!$C$111&amp;", "&amp;敌人!$C$374&amp;"&amp;II is one of only a few source for your "&amp;语言!$A$9&amp;" achievement."</f>
        <v>If you still don't have any 魔物香水, 黑炎教信徒（高级）I&amp;II is one of only a few source for your 收藏家 achievement.</v>
      </c>
      <c r="AA273" s="20"/>
    </row>
    <row r="274" spans="1:27" ht="12.75" x14ac:dyDescent="0.2">
      <c r="A274" s="20"/>
      <c r="B274" s="23" t="b">
        <v>0</v>
      </c>
      <c r="C274" s="419" t="str">
        <f ca="1">敌人!C$375</f>
        <v>黑炎教信徒（高级）II</v>
      </c>
      <c r="D274" s="371"/>
      <c r="E274" s="23">
        <f>敌人!D$375</f>
        <v>4</v>
      </c>
      <c r="F274" s="23">
        <f>敌人!E$375</f>
        <v>0</v>
      </c>
      <c r="G274" s="23">
        <f>敌人!F$375</f>
        <v>0</v>
      </c>
      <c r="H274" s="23">
        <f>敌人!G$375</f>
        <v>0</v>
      </c>
      <c r="I274" s="23">
        <f>敌人!H$375</f>
        <v>0</v>
      </c>
      <c r="J274" s="23">
        <f>敌人!I$375</f>
        <v>0</v>
      </c>
      <c r="K274" s="419" t="str">
        <f ca="1">敌人!J$375</f>
        <v>魔物香水</v>
      </c>
      <c r="L274" s="371"/>
      <c r="M274" s="371"/>
      <c r="N274" s="20"/>
      <c r="O274" s="23" t="b">
        <v>0</v>
      </c>
      <c r="P274" s="419" t="str">
        <f ca="1">道具!$C$311</f>
        <v>巨人棍棒</v>
      </c>
      <c r="Q274" s="371"/>
      <c r="R274" s="371"/>
      <c r="S274" s="20"/>
      <c r="T274" s="20"/>
      <c r="U274" s="421"/>
      <c r="V274" s="371"/>
      <c r="W274" s="20"/>
      <c r="X274" s="371"/>
      <c r="Y274" s="371"/>
      <c r="Z274" s="371"/>
      <c r="AA274" s="20"/>
    </row>
    <row r="275" spans="1:27" ht="12.75" x14ac:dyDescent="0.2">
      <c r="A275" s="20"/>
      <c r="B275" s="23" t="b">
        <v>0</v>
      </c>
      <c r="C275" s="419" t="str">
        <f ca="1">敌人!C$224</f>
        <v>猛毒菇</v>
      </c>
      <c r="D275" s="371"/>
      <c r="E275" s="23">
        <f>敌人!D$224</f>
        <v>1</v>
      </c>
      <c r="F275" s="23">
        <f>敌人!E$224</f>
        <v>0</v>
      </c>
      <c r="G275" s="23">
        <f>敌人!F$224</f>
        <v>0</v>
      </c>
      <c r="H275" s="23">
        <f>敌人!G$224</f>
        <v>0</v>
      </c>
      <c r="I275" s="23">
        <f>敌人!H$224</f>
        <v>0</v>
      </c>
      <c r="J275" s="23">
        <f>敌人!I$224</f>
        <v>0</v>
      </c>
      <c r="K275" s="419" t="str">
        <f ca="1">敌人!J$224</f>
        <v>毒治疗药草</v>
      </c>
      <c r="L275" s="371"/>
      <c r="M275" s="371"/>
      <c r="N275" s="20"/>
      <c r="O275" s="23" t="b">
        <v>0</v>
      </c>
      <c r="P275" s="419" t="str">
        <f ca="1">道具!$C$10</f>
        <v>ＢＰ恢复的石榴（大）</v>
      </c>
      <c r="Q275" s="371"/>
      <c r="R275" s="371"/>
      <c r="S275" s="20"/>
      <c r="T275" s="20"/>
      <c r="U275" s="421"/>
      <c r="V275" s="371"/>
      <c r="W275" s="20"/>
      <c r="X275" s="371"/>
      <c r="Y275" s="371"/>
      <c r="Z275" s="371"/>
      <c r="AA275" s="20"/>
    </row>
    <row r="276" spans="1:27" ht="12.75" x14ac:dyDescent="0.2">
      <c r="A276" s="20"/>
      <c r="B276" s="23" t="b">
        <v>0</v>
      </c>
      <c r="C276" s="419" t="str">
        <f ca="1">敌人!C$345</f>
        <v>食人蝙蝠</v>
      </c>
      <c r="D276" s="371"/>
      <c r="E276" s="23">
        <f>敌人!D$345</f>
        <v>1</v>
      </c>
      <c r="F276" s="23">
        <f>敌人!E$345</f>
        <v>0</v>
      </c>
      <c r="G276" s="23">
        <f>敌人!F$345</f>
        <v>0</v>
      </c>
      <c r="H276" s="23">
        <f>敌人!G$345</f>
        <v>0</v>
      </c>
      <c r="I276" s="23">
        <f>敌人!H$345</f>
        <v>0</v>
      </c>
      <c r="J276" s="23">
        <f>敌人!I$345</f>
        <v>0</v>
      </c>
      <c r="K276" s="419" t="str">
        <f ca="1">敌人!J$345</f>
        <v>神秘之花</v>
      </c>
      <c r="L276" s="371"/>
      <c r="M276" s="371"/>
      <c r="N276" s="20"/>
      <c r="O276" s="23" t="b">
        <v>0</v>
      </c>
      <c r="P276" s="419" t="str">
        <f ca="1">道具!$C$12</f>
        <v>ＨＰ／ＳＰ恢复的果酱</v>
      </c>
      <c r="Q276" s="371"/>
      <c r="R276" s="371"/>
      <c r="S276" s="20"/>
      <c r="T276" s="20"/>
      <c r="U276" s="421"/>
      <c r="V276" s="371"/>
      <c r="W276" s="20"/>
      <c r="X276" s="20"/>
      <c r="Y276" s="20"/>
      <c r="Z276" s="20"/>
      <c r="AA276" s="20"/>
    </row>
    <row r="277" spans="1:27" ht="12.75" x14ac:dyDescent="0.2">
      <c r="A277" s="20"/>
      <c r="B277" s="23" t="b">
        <v>0</v>
      </c>
      <c r="C277" s="419" t="str">
        <f ca="1">敌人!C$74</f>
        <v>暗元素</v>
      </c>
      <c r="D277" s="371"/>
      <c r="E277" s="23">
        <f>敌人!D$74</f>
        <v>4</v>
      </c>
      <c r="F277" s="23">
        <f>敌人!E$74</f>
        <v>0</v>
      </c>
      <c r="G277" s="23">
        <f>敌人!F$74</f>
        <v>0</v>
      </c>
      <c r="H277" s="23">
        <f>敌人!G$74</f>
        <v>0</v>
      </c>
      <c r="I277" s="23">
        <f>敌人!H$74</f>
        <v>0</v>
      </c>
      <c r="J277" s="23">
        <f>敌人!I$74</f>
        <v>0</v>
      </c>
      <c r="K277" s="419" t="str">
        <f ca="1">敌人!J$74</f>
        <v>暗之精灵石（特大）</v>
      </c>
      <c r="L277" s="371"/>
      <c r="M277" s="371"/>
      <c r="N277" s="20"/>
      <c r="O277" s="418" t="str">
        <f ca="1">语言!A$364&amp;" (46) (8 "&amp;语言!$A$19&amp;")"</f>
        <v>漆黑洞窟 (46) (8 宝箱)</v>
      </c>
      <c r="P277" s="371"/>
      <c r="Q277" s="371"/>
      <c r="R277" s="371"/>
      <c r="S277" s="20"/>
      <c r="T277" s="20"/>
      <c r="U277" s="421"/>
      <c r="V277" s="371"/>
      <c r="W277" s="20"/>
      <c r="X277" s="20"/>
      <c r="Y277" s="20"/>
      <c r="Z277" s="20"/>
      <c r="AA277" s="20"/>
    </row>
    <row r="278" spans="1:27" ht="12.75" x14ac:dyDescent="0.2">
      <c r="A278" s="20"/>
      <c r="B278" s="418" t="str">
        <f ca="1">语言!A$364&amp;" ("&amp;语言!$A$12&amp;" 46)"</f>
        <v>漆黑洞窟 (危险度 46)</v>
      </c>
      <c r="C278" s="371"/>
      <c r="D278" s="371"/>
      <c r="E278" s="371"/>
      <c r="F278" s="371"/>
      <c r="G278" s="371"/>
      <c r="H278" s="371"/>
      <c r="I278" s="371"/>
      <c r="J278" s="371"/>
      <c r="K278" s="371"/>
      <c r="L278" s="371"/>
      <c r="M278" s="371"/>
      <c r="N278" s="22"/>
      <c r="O278" s="23" t="b">
        <v>0</v>
      </c>
      <c r="P278" s="419" t="str">
        <f ca="1">道具!$C$5</f>
        <v>ＨＰ全体恢复的葡萄</v>
      </c>
      <c r="Q278" s="371"/>
      <c r="R278" s="371"/>
      <c r="S278" s="22"/>
      <c r="T278" s="22"/>
      <c r="U278" s="421"/>
      <c r="V278" s="371"/>
      <c r="W278" s="20"/>
      <c r="X278" s="20"/>
      <c r="Y278" s="20"/>
      <c r="Z278" s="20"/>
      <c r="AA278" s="20"/>
    </row>
    <row r="279" spans="1:27" ht="12.75" x14ac:dyDescent="0.2">
      <c r="A279" s="20"/>
      <c r="B279" s="23" t="b">
        <v>0</v>
      </c>
      <c r="C279" s="419" t="str">
        <f ca="1">敌人!C$309</f>
        <v>古代遗物（暗兽）・异型</v>
      </c>
      <c r="D279" s="371"/>
      <c r="E279" s="23">
        <f>敌人!D$309</f>
        <v>4</v>
      </c>
      <c r="F279" s="23">
        <f>敌人!E$309</f>
        <v>0</v>
      </c>
      <c r="G279" s="23">
        <f>敌人!F$309</f>
        <v>0</v>
      </c>
      <c r="H279" s="23">
        <f>敌人!G$309</f>
        <v>0</v>
      </c>
      <c r="I279" s="23">
        <f>敌人!H$309</f>
        <v>0</v>
      </c>
      <c r="J279" s="23">
        <f>敌人!I$309</f>
        <v>0</v>
      </c>
      <c r="K279" s="419" t="str">
        <f ca="1">敌人!J$309</f>
        <v>暗之精灵石（特大）</v>
      </c>
      <c r="L279" s="371"/>
      <c r="M279" s="371"/>
      <c r="N279" s="22"/>
      <c r="O279" s="23" t="b">
        <v>0</v>
      </c>
      <c r="P279" s="419" t="str">
        <f ca="1">道具!$C$10</f>
        <v>ＢＰ恢复的石榴（大）</v>
      </c>
      <c r="Q279" s="371"/>
      <c r="R279" s="371"/>
      <c r="S279" s="22"/>
      <c r="T279" s="22"/>
      <c r="U279" s="421"/>
      <c r="V279" s="371"/>
      <c r="W279" s="20"/>
      <c r="X279" s="20"/>
      <c r="Y279" s="20"/>
      <c r="Z279" s="20"/>
      <c r="AA279" s="20"/>
    </row>
    <row r="280" spans="1:27" ht="12.75" x14ac:dyDescent="0.2">
      <c r="A280" s="20"/>
      <c r="B280" s="23" t="b">
        <v>0</v>
      </c>
      <c r="C280" s="419" t="str">
        <f ca="1">敌人!C$224</f>
        <v>猛毒菇</v>
      </c>
      <c r="D280" s="371"/>
      <c r="E280" s="23">
        <f>敌人!D$224</f>
        <v>1</v>
      </c>
      <c r="F280" s="23">
        <f>敌人!E$224</f>
        <v>0</v>
      </c>
      <c r="G280" s="23">
        <f>敌人!F$224</f>
        <v>0</v>
      </c>
      <c r="H280" s="23">
        <f>敌人!G$224</f>
        <v>0</v>
      </c>
      <c r="I280" s="23">
        <f>敌人!H$224</f>
        <v>0</v>
      </c>
      <c r="J280" s="23">
        <f>敌人!I$224</f>
        <v>0</v>
      </c>
      <c r="K280" s="419" t="str">
        <f ca="1">敌人!J$224</f>
        <v>毒治疗药草</v>
      </c>
      <c r="L280" s="371"/>
      <c r="M280" s="371"/>
      <c r="N280" s="22"/>
      <c r="O280" s="23" t="b">
        <v>0</v>
      </c>
      <c r="P280" s="419" t="str">
        <f ca="1">道具!$C$7</f>
        <v>ＳＰ恢复的李子（大）</v>
      </c>
      <c r="Q280" s="371"/>
      <c r="R280" s="371"/>
      <c r="S280" s="22"/>
      <c r="T280" s="22"/>
      <c r="U280" s="421"/>
      <c r="V280" s="371"/>
      <c r="W280" s="20"/>
      <c r="X280" s="20"/>
      <c r="Y280" s="20"/>
      <c r="Z280" s="20"/>
      <c r="AA280" s="20"/>
    </row>
    <row r="281" spans="1:27" ht="12.75" x14ac:dyDescent="0.2">
      <c r="A281" s="20"/>
      <c r="B281" s="23" t="b">
        <v>0</v>
      </c>
      <c r="C281" s="419" t="str">
        <f ca="1">敌人!C$310</f>
        <v>古代遗物・暗兵</v>
      </c>
      <c r="D281" s="371"/>
      <c r="E281" s="23">
        <f>敌人!D$310</f>
        <v>9</v>
      </c>
      <c r="F281" s="23">
        <f>敌人!E$310</f>
        <v>0</v>
      </c>
      <c r="G281" s="23">
        <f>敌人!F$310</f>
        <v>0</v>
      </c>
      <c r="H281" s="23">
        <f>敌人!G$310</f>
        <v>0</v>
      </c>
      <c r="I281" s="23">
        <f>敌人!H$310</f>
        <v>0</v>
      </c>
      <c r="J281" s="23">
        <f>敌人!I$310</f>
        <v>0</v>
      </c>
      <c r="K281" s="419" t="str">
        <f ca="1">敌人!J$310</f>
        <v>ＳＰ全体恢复的李子</v>
      </c>
      <c r="L281" s="371"/>
      <c r="M281" s="371"/>
      <c r="N281" s="22"/>
      <c r="O281" s="23" t="b">
        <v>0</v>
      </c>
      <c r="P281" s="419" t="str">
        <f ca="1">道具!$C$510</f>
        <v>雷电避邪符</v>
      </c>
      <c r="Q281" s="371"/>
      <c r="R281" s="371"/>
      <c r="S281" s="22"/>
      <c r="T281" s="22"/>
      <c r="U281" s="421"/>
      <c r="V281" s="371"/>
      <c r="W281" s="20"/>
      <c r="X281" s="20"/>
      <c r="Y281" s="20"/>
      <c r="Z281" s="20"/>
      <c r="AA281" s="20"/>
    </row>
    <row r="282" spans="1:27" ht="12.75" x14ac:dyDescent="0.2">
      <c r="A282" s="20"/>
      <c r="B282" s="23" t="b">
        <v>0</v>
      </c>
      <c r="C282" s="419" t="str">
        <f ca="1">敌人!C$345</f>
        <v>食人蝙蝠</v>
      </c>
      <c r="D282" s="371"/>
      <c r="E282" s="23">
        <f>敌人!D$345</f>
        <v>1</v>
      </c>
      <c r="F282" s="23">
        <f>敌人!E$345</f>
        <v>0</v>
      </c>
      <c r="G282" s="23">
        <f>敌人!F$345</f>
        <v>0</v>
      </c>
      <c r="H282" s="23">
        <f>敌人!G$345</f>
        <v>0</v>
      </c>
      <c r="I282" s="23">
        <f>敌人!H$345</f>
        <v>0</v>
      </c>
      <c r="J282" s="23">
        <f>敌人!I$345</f>
        <v>0</v>
      </c>
      <c r="K282" s="419" t="str">
        <f ca="1">敌人!J$345</f>
        <v>神秘之花</v>
      </c>
      <c r="L282" s="371"/>
      <c r="M282" s="371"/>
      <c r="N282" s="22"/>
      <c r="O282" s="23" t="b">
        <v>0</v>
      </c>
      <c r="P282" s="419" t="str">
        <f ca="1">道具!$C$519</f>
        <v>猛毒耐性石</v>
      </c>
      <c r="Q282" s="371"/>
      <c r="R282" s="371"/>
      <c r="S282" s="22"/>
      <c r="T282" s="22"/>
      <c r="U282" s="421"/>
      <c r="V282" s="371"/>
      <c r="W282" s="20"/>
      <c r="X282" s="20"/>
      <c r="Y282" s="20"/>
      <c r="Z282" s="20"/>
      <c r="AA282" s="20"/>
    </row>
    <row r="283" spans="1:27" ht="12.75" x14ac:dyDescent="0.2">
      <c r="A283" s="20"/>
      <c r="B283" s="23" t="b">
        <v>0</v>
      </c>
      <c r="C283" s="419" t="str">
        <f ca="1">敌人!C$74</f>
        <v>暗元素</v>
      </c>
      <c r="D283" s="371"/>
      <c r="E283" s="23">
        <f>敌人!D$74</f>
        <v>4</v>
      </c>
      <c r="F283" s="23">
        <f>敌人!E$74</f>
        <v>0</v>
      </c>
      <c r="G283" s="23">
        <f>敌人!F$74</f>
        <v>0</v>
      </c>
      <c r="H283" s="23">
        <f>敌人!G$74</f>
        <v>0</v>
      </c>
      <c r="I283" s="23">
        <f>敌人!H$74</f>
        <v>0</v>
      </c>
      <c r="J283" s="23">
        <f>敌人!I$74</f>
        <v>0</v>
      </c>
      <c r="K283" s="419" t="str">
        <f ca="1">敌人!J$74</f>
        <v>暗之精灵石（特大）</v>
      </c>
      <c r="L283" s="371"/>
      <c r="M283" s="371"/>
      <c r="N283" s="22"/>
      <c r="O283" s="23" t="b">
        <v>0</v>
      </c>
      <c r="P283" s="419" t="str">
        <f ca="1">道具!$C$16</f>
        <v>复活的橄榄（大）</v>
      </c>
      <c r="Q283" s="371"/>
      <c r="R283" s="371"/>
      <c r="S283" s="22"/>
      <c r="T283" s="22"/>
      <c r="U283" s="421"/>
      <c r="V283" s="371"/>
      <c r="W283" s="20"/>
      <c r="X283" s="20"/>
      <c r="Y283" s="20"/>
      <c r="Z283" s="20"/>
      <c r="AA283" s="20"/>
    </row>
    <row r="284" spans="1:27" ht="12.75" x14ac:dyDescent="0.2">
      <c r="A284" s="20"/>
      <c r="B284" s="423" t="str">
        <f ca="1">语言!$A$17</f>
        <v>特殊怪</v>
      </c>
      <c r="C284" s="371"/>
      <c r="D284" s="371"/>
      <c r="E284" s="371"/>
      <c r="F284" s="371"/>
      <c r="G284" s="371"/>
      <c r="H284" s="371"/>
      <c r="I284" s="371"/>
      <c r="J284" s="371"/>
      <c r="K284" s="371"/>
      <c r="L284" s="371"/>
      <c r="M284" s="371"/>
      <c r="N284" s="22"/>
      <c r="O284" s="23" t="b">
        <v>0</v>
      </c>
      <c r="P284" s="419" t="str">
        <f ca="1">道具!$C$358&amp;" ("&amp;语言!$A$20&amp;")"</f>
        <v>金钢合金帽 (上锁宝箱)</v>
      </c>
      <c r="Q284" s="371"/>
      <c r="R284" s="371"/>
      <c r="S284" s="22"/>
      <c r="T284" s="22"/>
      <c r="U284" s="421"/>
      <c r="V284" s="371"/>
      <c r="W284" s="20"/>
      <c r="X284" s="20"/>
      <c r="Y284" s="20"/>
      <c r="Z284" s="20"/>
      <c r="AA284" s="20"/>
    </row>
    <row r="285" spans="1:27" ht="12.75" x14ac:dyDescent="0.2">
      <c r="A285" s="20"/>
      <c r="B285" s="23" t="b">
        <v>0</v>
      </c>
      <c r="C285" s="419" t="str">
        <f ca="1">敌人!C$458</f>
        <v>玛提亚斯的随从 I</v>
      </c>
      <c r="D285" s="371"/>
      <c r="E285" s="23">
        <f>敌人!D$458</f>
        <v>4</v>
      </c>
      <c r="F285" s="23">
        <f>敌人!E$458</f>
        <v>0</v>
      </c>
      <c r="G285" s="23">
        <f>敌人!F$458</f>
        <v>0</v>
      </c>
      <c r="H285" s="23">
        <f>敌人!G$458</f>
        <v>0</v>
      </c>
      <c r="I285" s="23">
        <f>敌人!H$458</f>
        <v>0</v>
      </c>
      <c r="J285" s="23">
        <f>敌人!I$458</f>
        <v>0</v>
      </c>
      <c r="K285" s="419" t="str">
        <f ca="1">敌人!J$458</f>
        <v>魔物香水</v>
      </c>
      <c r="L285" s="371"/>
      <c r="M285" s="371"/>
      <c r="N285" s="22"/>
      <c r="O285" s="23" t="b">
        <v>0</v>
      </c>
      <c r="P285" s="419" t="s">
        <v>17</v>
      </c>
      <c r="Q285" s="371"/>
      <c r="R285" s="371"/>
      <c r="S285" s="22"/>
      <c r="T285" s="22"/>
      <c r="U285" s="421"/>
      <c r="V285" s="371"/>
      <c r="W285" s="20"/>
      <c r="X285" s="20"/>
      <c r="Y285" s="20"/>
      <c r="Z285" s="20"/>
      <c r="AA285" s="20"/>
    </row>
    <row r="286" spans="1:27" ht="12.75" x14ac:dyDescent="0.2">
      <c r="A286" s="20"/>
      <c r="B286" s="23" t="b">
        <v>0</v>
      </c>
      <c r="C286" s="419" t="str">
        <f ca="1">敌人!C$459</f>
        <v>玛提亚斯的随从 II</v>
      </c>
      <c r="D286" s="371"/>
      <c r="E286" s="23">
        <f>敌人!D$459</f>
        <v>3</v>
      </c>
      <c r="F286" s="23">
        <f>敌人!E$459</f>
        <v>0</v>
      </c>
      <c r="G286" s="23">
        <f>敌人!F$459</f>
        <v>0</v>
      </c>
      <c r="H286" s="23">
        <f>敌人!G$459</f>
        <v>0</v>
      </c>
      <c r="I286" s="23">
        <f>敌人!H$459</f>
        <v>0</v>
      </c>
      <c r="J286" s="23">
        <f>敌人!I$459</f>
        <v>0</v>
      </c>
      <c r="K286" s="419" t="str">
        <f ca="1">敌人!J$459</f>
        <v>魔物香水</v>
      </c>
      <c r="L286" s="371"/>
      <c r="M286" s="371"/>
      <c r="N286" s="22"/>
      <c r="O286" s="31"/>
      <c r="P286" s="432"/>
      <c r="Q286" s="371"/>
      <c r="R286" s="371"/>
      <c r="S286" s="22"/>
      <c r="T286" s="22"/>
      <c r="U286" s="421"/>
      <c r="V286" s="371"/>
      <c r="W286" s="20"/>
      <c r="X286" s="20"/>
      <c r="Y286" s="20"/>
      <c r="Z286" s="20"/>
      <c r="AA286" s="20"/>
    </row>
    <row r="287" spans="1:27" ht="12.75" x14ac:dyDescent="0.2">
      <c r="A287" s="20"/>
      <c r="B287" s="423" t="str">
        <f ca="1">语言!$A$15</f>
        <v>Boss</v>
      </c>
      <c r="C287" s="371"/>
      <c r="D287" s="371"/>
      <c r="E287" s="371"/>
      <c r="F287" s="371"/>
      <c r="G287" s="371"/>
      <c r="H287" s="371"/>
      <c r="I287" s="371"/>
      <c r="J287" s="371"/>
      <c r="K287" s="371"/>
      <c r="L287" s="371"/>
      <c r="M287" s="371"/>
      <c r="N287" s="22"/>
      <c r="O287" s="31"/>
      <c r="P287" s="432"/>
      <c r="Q287" s="371"/>
      <c r="R287" s="371"/>
      <c r="S287" s="22"/>
      <c r="T287" s="22"/>
      <c r="U287" s="421"/>
      <c r="V287" s="371"/>
      <c r="W287" s="20"/>
      <c r="X287" s="20"/>
      <c r="Y287" s="20"/>
      <c r="Z287" s="20"/>
      <c r="AA287" s="20"/>
    </row>
    <row r="288" spans="1:27" ht="12.75" x14ac:dyDescent="0.2">
      <c r="A288" s="20"/>
      <c r="B288" s="23" t="b">
        <v>0</v>
      </c>
      <c r="C288" s="419" t="str">
        <f ca="1">敌人!C$460</f>
        <v>马提亚斯</v>
      </c>
      <c r="D288" s="371"/>
      <c r="E288" s="23">
        <f>敌人!D$460</f>
        <v>4</v>
      </c>
      <c r="F288" s="23">
        <f>敌人!E$460</f>
        <v>0</v>
      </c>
      <c r="G288" s="23">
        <f>敌人!F$460</f>
        <v>0</v>
      </c>
      <c r="H288" s="23">
        <f>敌人!G$460</f>
        <v>0</v>
      </c>
      <c r="I288" s="23">
        <f>敌人!H$460</f>
        <v>0</v>
      </c>
      <c r="J288" s="23">
        <f>敌人!I$460</f>
        <v>0</v>
      </c>
      <c r="K288" s="419" t="str">
        <f ca="1">敌人!J$460</f>
        <v>马提亚斯之杖 (can't steal)</v>
      </c>
      <c r="L288" s="371"/>
      <c r="M288" s="371"/>
      <c r="N288" s="22"/>
      <c r="O288" s="31"/>
      <c r="P288" s="432"/>
      <c r="Q288" s="371"/>
      <c r="R288" s="371"/>
      <c r="S288" s="22"/>
      <c r="T288" s="22"/>
      <c r="U288" s="421"/>
      <c r="V288" s="371"/>
      <c r="W288" s="20"/>
      <c r="X288" s="20"/>
      <c r="Y288" s="20"/>
      <c r="Z288" s="20"/>
      <c r="AA288" s="20"/>
    </row>
    <row r="289" spans="1:27" ht="12.75" x14ac:dyDescent="0.2">
      <c r="A289" s="20"/>
      <c r="B289" s="23" t="b">
        <v>0</v>
      </c>
      <c r="C289" s="419" t="str">
        <f ca="1">敌人!C$461</f>
        <v>黑炎教信徒（干部）</v>
      </c>
      <c r="D289" s="371"/>
      <c r="E289" s="23">
        <f>敌人!D$461</f>
        <v>7</v>
      </c>
      <c r="F289" s="23">
        <f>敌人!E$461</f>
        <v>0</v>
      </c>
      <c r="G289" s="23">
        <f>敌人!F$461</f>
        <v>0</v>
      </c>
      <c r="H289" s="23">
        <f>敌人!G$461</f>
        <v>0</v>
      </c>
      <c r="I289" s="23">
        <f>敌人!H$461</f>
        <v>0</v>
      </c>
      <c r="J289" s="23">
        <f>敌人!I$461</f>
        <v>0</v>
      </c>
      <c r="K289" s="419" t="str">
        <f>敌人!J$461</f>
        <v>(can't steal)</v>
      </c>
      <c r="L289" s="371"/>
      <c r="M289" s="371"/>
      <c r="N289" s="22"/>
      <c r="O289" s="31"/>
      <c r="P289" s="432"/>
      <c r="Q289" s="371"/>
      <c r="R289" s="371"/>
      <c r="S289" s="22"/>
      <c r="T289" s="22"/>
      <c r="U289" s="421"/>
      <c r="V289" s="371"/>
      <c r="W289" s="20"/>
      <c r="X289" s="20"/>
      <c r="Y289" s="20"/>
      <c r="Z289" s="20"/>
      <c r="AA289" s="20"/>
    </row>
    <row r="290" spans="1:27" ht="12.75" x14ac:dyDescent="0.2">
      <c r="A290" s="20"/>
      <c r="B290" s="23" t="b">
        <v>0</v>
      </c>
      <c r="C290" s="419" t="str">
        <f ca="1">敌人!C$462</f>
        <v>黑元素</v>
      </c>
      <c r="D290" s="371"/>
      <c r="E290" s="23">
        <f>敌人!D$462</f>
        <v>5</v>
      </c>
      <c r="F290" s="23">
        <f>敌人!E$462</f>
        <v>0</v>
      </c>
      <c r="G290" s="23">
        <f>敌人!F$462</f>
        <v>0</v>
      </c>
      <c r="H290" s="23">
        <f>敌人!G$462</f>
        <v>0</v>
      </c>
      <c r="I290" s="23">
        <f>敌人!H$462</f>
        <v>0</v>
      </c>
      <c r="J290" s="23">
        <f>敌人!I$462</f>
        <v>0</v>
      </c>
      <c r="K290" s="419" t="str">
        <f>敌人!J$462</f>
        <v>(can't steal)</v>
      </c>
      <c r="L290" s="371"/>
      <c r="M290" s="371"/>
      <c r="N290" s="22"/>
      <c r="O290" s="31"/>
      <c r="P290" s="432"/>
      <c r="Q290" s="371"/>
      <c r="R290" s="371"/>
      <c r="S290" s="22"/>
      <c r="T290" s="22"/>
      <c r="U290" s="421"/>
      <c r="V290" s="371"/>
      <c r="W290" s="20"/>
      <c r="X290" s="20"/>
      <c r="Y290" s="20"/>
      <c r="Z290" s="20"/>
      <c r="AA290" s="20"/>
    </row>
    <row r="291" spans="1:27" ht="12.75" x14ac:dyDescent="0.2">
      <c r="A291" s="20"/>
      <c r="B291" s="23" t="b">
        <v>0</v>
      </c>
      <c r="C291" s="419" t="str">
        <f ca="1">敌人!C$463</f>
        <v>古代遗物（兽）・特殊</v>
      </c>
      <c r="D291" s="371"/>
      <c r="E291" s="23">
        <f>敌人!D$463</f>
        <v>6</v>
      </c>
      <c r="F291" s="23">
        <f>敌人!E$463</f>
        <v>0</v>
      </c>
      <c r="G291" s="23">
        <f>敌人!F$463</f>
        <v>0</v>
      </c>
      <c r="H291" s="23">
        <f>敌人!G$463</f>
        <v>0</v>
      </c>
      <c r="I291" s="23">
        <f>敌人!H$463</f>
        <v>0</v>
      </c>
      <c r="J291" s="23">
        <f>敌人!I$463</f>
        <v>0</v>
      </c>
      <c r="K291" s="419" t="str">
        <f>敌人!J$463</f>
        <v>(can't steal)</v>
      </c>
      <c r="L291" s="371"/>
      <c r="M291" s="371"/>
      <c r="N291" s="22"/>
      <c r="O291" s="31"/>
      <c r="P291" s="432"/>
      <c r="Q291" s="371"/>
      <c r="R291" s="371"/>
      <c r="S291" s="22"/>
      <c r="T291" s="22"/>
      <c r="U291" s="421"/>
      <c r="V291" s="371"/>
      <c r="W291" s="20"/>
      <c r="X291" s="20"/>
      <c r="Y291" s="20"/>
      <c r="Z291" s="20"/>
      <c r="AA291" s="20"/>
    </row>
    <row r="292" spans="1:27" ht="12.75" x14ac:dyDescent="0.2">
      <c r="A292" s="20"/>
      <c r="B292" s="20"/>
      <c r="C292" s="421"/>
      <c r="D292" s="371"/>
      <c r="E292" s="20"/>
      <c r="F292" s="20"/>
      <c r="G292" s="20"/>
      <c r="H292" s="20"/>
      <c r="I292" s="20"/>
      <c r="J292" s="20"/>
      <c r="K292" s="421"/>
      <c r="L292" s="371"/>
      <c r="M292" s="371"/>
      <c r="N292" s="22"/>
      <c r="O292" s="31"/>
      <c r="P292" s="432"/>
      <c r="Q292" s="371"/>
      <c r="R292" s="371"/>
      <c r="S292" s="22"/>
      <c r="T292" s="22"/>
      <c r="U292" s="421"/>
      <c r="V292" s="371"/>
      <c r="W292" s="20"/>
      <c r="X292" s="20"/>
      <c r="Y292" s="20"/>
      <c r="Z292" s="20"/>
      <c r="AA292" s="20"/>
    </row>
    <row r="293" spans="1:27" ht="23.25" x14ac:dyDescent="0.35">
      <c r="A293" s="386" t="str">
        <f ca="1">语言!$A$365</f>
        <v>寇斯特兰多地区</v>
      </c>
      <c r="B293" s="371"/>
      <c r="C293" s="371"/>
      <c r="D293" s="371"/>
      <c r="E293" s="376"/>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row>
    <row r="294" spans="1:27" ht="18" x14ac:dyDescent="0.25">
      <c r="A294" s="388" t="str">
        <f ca="1">语言!$A$323&amp;" 1"</f>
        <v>Tier 1</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row>
    <row r="295" spans="1:27" ht="12.75" x14ac:dyDescent="0.2">
      <c r="A295" s="32"/>
      <c r="B295" s="33" t="b">
        <v>0</v>
      </c>
      <c r="C295" s="372" t="str">
        <f ca="1">敌人!C$48</f>
        <v>凯特林</v>
      </c>
      <c r="D295" s="371"/>
      <c r="E295" s="33">
        <f>敌人!D$48</f>
        <v>2</v>
      </c>
      <c r="F295" s="33">
        <f>敌人!E$48</f>
        <v>0</v>
      </c>
      <c r="G295" s="33">
        <f>敌人!F$48</f>
        <v>0</v>
      </c>
      <c r="H295" s="33">
        <f>敌人!G$48</f>
        <v>0</v>
      </c>
      <c r="I295" s="33">
        <f>敌人!H$48</f>
        <v>0</v>
      </c>
      <c r="J295" s="33">
        <f>敌人!I$48</f>
        <v>0</v>
      </c>
      <c r="K295" s="372" t="str">
        <f ca="1">敌人!J$48</f>
        <v>ＨＰ／ＳＰ／ＢＰ恢复的果酱</v>
      </c>
      <c r="L295" s="371"/>
      <c r="M295" s="371"/>
      <c r="N295" s="32"/>
      <c r="O295" s="375" t="str">
        <f ca="1">语言!A$366&amp;" (4 "&amp;语言!$A$19&amp;")"</f>
        <v>利布尔泰德 (4 宝箱)</v>
      </c>
      <c r="P295" s="371"/>
      <c r="Q295" s="371"/>
      <c r="R295" s="371"/>
      <c r="S295" s="32"/>
      <c r="T295" s="373" t="str">
        <f ca="1">语言!A$366</f>
        <v>利布尔泰德</v>
      </c>
      <c r="U295" s="371"/>
      <c r="V295" s="371"/>
      <c r="W295" s="32"/>
      <c r="X295" s="32"/>
      <c r="Y295" s="32"/>
      <c r="Z295" s="32"/>
      <c r="AA295" s="32"/>
    </row>
    <row r="296" spans="1:27" ht="12.75" x14ac:dyDescent="0.2">
      <c r="A296" s="32"/>
      <c r="B296" s="374" t="str">
        <f ca="1">语言!$A$11&amp;" ("&amp;语言!$A$12&amp;" 1 - 4 - 7- 11)"</f>
        <v>以下地区的怪物都一样 (危险度 1 - 4 - 7- 11)</v>
      </c>
      <c r="C296" s="371"/>
      <c r="D296" s="371"/>
      <c r="E296" s="371"/>
      <c r="F296" s="371"/>
      <c r="G296" s="371"/>
      <c r="H296" s="371"/>
      <c r="I296" s="371"/>
      <c r="J296" s="371"/>
      <c r="K296" s="371"/>
      <c r="L296" s="371"/>
      <c r="M296" s="371"/>
      <c r="N296" s="32"/>
      <c r="O296" s="34" t="b">
        <v>0</v>
      </c>
      <c r="P296" s="433" t="str">
        <f ca="1">道具!$C$25</f>
        <v>毒瓶</v>
      </c>
      <c r="Q296" s="371"/>
      <c r="R296" s="371"/>
      <c r="S296" s="32"/>
      <c r="T296" s="33" t="b">
        <v>0</v>
      </c>
      <c r="U296" s="372" t="str">
        <f ca="1">道具!$C$4</f>
        <v>ＨＰ恢复的葡萄（大）</v>
      </c>
      <c r="V296" s="371"/>
      <c r="W296" s="32"/>
      <c r="X296" s="35"/>
      <c r="Y296" s="35"/>
      <c r="Z296" s="36"/>
      <c r="AA296" s="32"/>
    </row>
    <row r="297" spans="1:27" ht="12.75" x14ac:dyDescent="0.2">
      <c r="A297" s="32"/>
      <c r="B297" s="375" t="str">
        <f ca="1">语言!A$367</f>
        <v>东利布尔泰德海道</v>
      </c>
      <c r="C297" s="371"/>
      <c r="D297" s="371"/>
      <c r="E297" s="371"/>
      <c r="F297" s="371"/>
      <c r="G297" s="371"/>
      <c r="H297" s="371"/>
      <c r="I297" s="371"/>
      <c r="J297" s="371"/>
      <c r="K297" s="371"/>
      <c r="L297" s="371"/>
      <c r="M297" s="371"/>
      <c r="N297" s="32"/>
      <c r="O297" s="34" t="b">
        <v>0</v>
      </c>
      <c r="P297" s="433" t="str">
        <f ca="1">道具!$C$6</f>
        <v>ＳＰ恢复的李子</v>
      </c>
      <c r="Q297" s="371"/>
      <c r="R297" s="371"/>
      <c r="S297" s="32"/>
      <c r="T297" s="33" t="b">
        <v>0</v>
      </c>
      <c r="U297" s="372" t="str">
        <f ca="1">道具!$C$521</f>
        <v>沉默耐性石</v>
      </c>
      <c r="V297" s="371"/>
      <c r="W297" s="32"/>
      <c r="X297" s="35"/>
      <c r="Y297" s="35"/>
      <c r="Z297" s="36"/>
      <c r="AA297" s="32"/>
    </row>
    <row r="298" spans="1:27" ht="12.75" x14ac:dyDescent="0.2">
      <c r="A298" s="32"/>
      <c r="B298" s="375" t="str">
        <f ca="1">语言!A$368</f>
        <v>北利布尔泰德海道</v>
      </c>
      <c r="C298" s="371"/>
      <c r="D298" s="371"/>
      <c r="E298" s="371"/>
      <c r="F298" s="371"/>
      <c r="G298" s="371"/>
      <c r="H298" s="371"/>
      <c r="I298" s="371"/>
      <c r="J298" s="371"/>
      <c r="K298" s="371"/>
      <c r="L298" s="371"/>
      <c r="M298" s="371"/>
      <c r="N298" s="32"/>
      <c r="O298" s="34" t="b">
        <v>0</v>
      </c>
      <c r="P298" s="433" t="str">
        <f ca="1">道具!$C$3</f>
        <v>ＨＰ恢复的葡萄</v>
      </c>
      <c r="Q298" s="371"/>
      <c r="R298" s="371"/>
      <c r="S298" s="32"/>
      <c r="T298" s="33" t="b">
        <v>0</v>
      </c>
      <c r="U298" s="372" t="str">
        <f ca="1">道具!$C$540</f>
        <v>葡萄树液</v>
      </c>
      <c r="V298" s="371"/>
      <c r="W298" s="32"/>
      <c r="X298" s="35"/>
      <c r="Y298" s="35"/>
      <c r="Z298" s="36"/>
      <c r="AA298" s="32"/>
    </row>
    <row r="299" spans="1:27" ht="12.75" x14ac:dyDescent="0.2">
      <c r="A299" s="32"/>
      <c r="B299" s="375" t="str">
        <f ca="1">语言!A$370&amp;" ("&amp;语言!$A$37&amp;" "&amp;语言!$A$14&amp;" 1)"</f>
        <v>通往麦亚洞窟的道路 (特蕾莎 章节 1)</v>
      </c>
      <c r="C299" s="371"/>
      <c r="D299" s="371"/>
      <c r="E299" s="371"/>
      <c r="F299" s="371"/>
      <c r="G299" s="371"/>
      <c r="H299" s="371"/>
      <c r="I299" s="371"/>
      <c r="J299" s="371"/>
      <c r="K299" s="371"/>
      <c r="L299" s="371"/>
      <c r="M299" s="371"/>
      <c r="N299" s="32"/>
      <c r="O299" s="34" t="b">
        <v>0</v>
      </c>
      <c r="P299" s="389">
        <v>500</v>
      </c>
      <c r="Q299" s="371"/>
      <c r="R299" s="371"/>
      <c r="S299" s="32"/>
      <c r="T299" s="33" t="b">
        <v>0</v>
      </c>
      <c r="U299" s="372" t="str">
        <f ca="1">道具!$C$38</f>
        <v>雷之精灵石（特大）</v>
      </c>
      <c r="V299" s="371"/>
      <c r="W299" s="32"/>
      <c r="X299" s="32"/>
      <c r="Y299" s="32"/>
      <c r="Z299" s="32"/>
      <c r="AA299" s="32"/>
    </row>
    <row r="300" spans="1:27" ht="12.75" x14ac:dyDescent="0.2">
      <c r="A300" s="32"/>
      <c r="B300" s="34" t="b">
        <v>0</v>
      </c>
      <c r="C300" s="370" t="str">
        <f ca="1">敌人!C$293</f>
        <v>海之鸟人 I</v>
      </c>
      <c r="D300" s="371"/>
      <c r="E300" s="34">
        <f>敌人!D$293</f>
        <v>1</v>
      </c>
      <c r="F300" s="34">
        <f>敌人!E$293</f>
        <v>0</v>
      </c>
      <c r="G300" s="34">
        <f>敌人!F$293</f>
        <v>0</v>
      </c>
      <c r="H300" s="34">
        <f>敌人!G$293</f>
        <v>0</v>
      </c>
      <c r="I300" s="34">
        <f>敌人!H$293</f>
        <v>0</v>
      </c>
      <c r="J300" s="34">
        <f>敌人!I$293</f>
        <v>0</v>
      </c>
      <c r="K300" s="370" t="str">
        <f ca="1">敌人!J$293</f>
        <v>ＨＰ恢复的葡萄</v>
      </c>
      <c r="L300" s="371"/>
      <c r="M300" s="371"/>
      <c r="N300" s="32"/>
      <c r="O300" s="375" t="str">
        <f ca="1">语言!A$367&amp;" (3 "&amp;语言!$A$19&amp;")"</f>
        <v>东利布尔泰德海道 (3 宝箱)</v>
      </c>
      <c r="P300" s="371"/>
      <c r="Q300" s="371"/>
      <c r="R300" s="371"/>
      <c r="S300" s="32"/>
      <c r="T300" s="33" t="b">
        <v>0</v>
      </c>
      <c r="U300" s="372" t="str">
        <f ca="1">道具!$C$538</f>
        <v>睡眠花之叶</v>
      </c>
      <c r="V300" s="371"/>
      <c r="W300" s="32"/>
      <c r="X300" s="32"/>
      <c r="Y300" s="32"/>
      <c r="Z300" s="32"/>
      <c r="AA300" s="32"/>
    </row>
    <row r="301" spans="1:27" ht="12.75" x14ac:dyDescent="0.2">
      <c r="A301" s="32"/>
      <c r="B301" s="34" t="b">
        <v>0</v>
      </c>
      <c r="C301" s="370" t="str">
        <f ca="1">敌人!C$294</f>
        <v>海之鸟人 II</v>
      </c>
      <c r="D301" s="371"/>
      <c r="E301" s="34">
        <f>敌人!D$294</f>
        <v>2</v>
      </c>
      <c r="F301" s="34">
        <f>敌人!E$294</f>
        <v>0</v>
      </c>
      <c r="G301" s="34">
        <f>敌人!F$294</f>
        <v>0</v>
      </c>
      <c r="H301" s="34">
        <f>敌人!G$294</f>
        <v>0</v>
      </c>
      <c r="I301" s="34">
        <f>敌人!H$294</f>
        <v>0</v>
      </c>
      <c r="J301" s="34">
        <f>敌人!I$294</f>
        <v>0</v>
      </c>
      <c r="K301" s="370" t="str">
        <f ca="1">敌人!J$294</f>
        <v>睡眠花之叶</v>
      </c>
      <c r="L301" s="371"/>
      <c r="M301" s="371"/>
      <c r="N301" s="32"/>
      <c r="O301" s="34" t="b">
        <v>0</v>
      </c>
      <c r="P301" s="433" t="str">
        <f ca="1">道具!$C$62</f>
        <v>增强属攻的坚果</v>
      </c>
      <c r="Q301" s="371"/>
      <c r="R301" s="371"/>
      <c r="S301" s="32"/>
      <c r="T301" s="32"/>
      <c r="U301" s="376"/>
      <c r="V301" s="371"/>
      <c r="W301" s="32"/>
      <c r="X301" s="32"/>
      <c r="Y301" s="32"/>
      <c r="Z301" s="32"/>
      <c r="AA301" s="32"/>
    </row>
    <row r="302" spans="1:27" ht="12.75" x14ac:dyDescent="0.2">
      <c r="A302" s="32"/>
      <c r="B302" s="34" t="b">
        <v>0</v>
      </c>
      <c r="C302" s="370" t="str">
        <f ca="1">敌人!C$295&amp;" (7+)"</f>
        <v>海之鸟人 III (7+)</v>
      </c>
      <c r="D302" s="371"/>
      <c r="E302" s="34">
        <f>敌人!D$295</f>
        <v>3</v>
      </c>
      <c r="F302" s="34">
        <f>敌人!E$295</f>
        <v>0</v>
      </c>
      <c r="G302" s="34">
        <f>敌人!F$295</f>
        <v>0</v>
      </c>
      <c r="H302" s="34">
        <f>敌人!G$295</f>
        <v>0</v>
      </c>
      <c r="I302" s="34">
        <f>敌人!H$295</f>
        <v>0</v>
      </c>
      <c r="J302" s="34">
        <f>敌人!I$295</f>
        <v>0</v>
      </c>
      <c r="K302" s="370" t="str">
        <f ca="1">敌人!J$295</f>
        <v>ＳＰ恢复的李子</v>
      </c>
      <c r="L302" s="371"/>
      <c r="M302" s="371"/>
      <c r="N302" s="32"/>
      <c r="O302" s="34" t="b">
        <v>0</v>
      </c>
      <c r="P302" s="433" t="str">
        <f ca="1">道具!$C$6</f>
        <v>ＳＰ恢复的李子</v>
      </c>
      <c r="Q302" s="371"/>
      <c r="R302" s="371"/>
      <c r="S302" s="32"/>
      <c r="T302" s="32"/>
      <c r="U302" s="376"/>
      <c r="V302" s="371"/>
      <c r="W302" s="32"/>
      <c r="X302" s="32"/>
      <c r="Y302" s="32"/>
      <c r="Z302" s="32"/>
      <c r="AA302" s="32"/>
    </row>
    <row r="303" spans="1:27" ht="12.75" x14ac:dyDescent="0.2">
      <c r="A303" s="32"/>
      <c r="B303" s="34" t="b">
        <v>0</v>
      </c>
      <c r="C303" s="370" t="str">
        <f ca="1">敌人!C$151</f>
        <v>寄居贝</v>
      </c>
      <c r="D303" s="371"/>
      <c r="E303" s="34">
        <f>敌人!D$151</f>
        <v>2</v>
      </c>
      <c r="F303" s="34">
        <f>敌人!E$151</f>
        <v>0</v>
      </c>
      <c r="G303" s="34">
        <f>敌人!F$151</f>
        <v>0</v>
      </c>
      <c r="H303" s="34">
        <f>敌人!G$151</f>
        <v>0</v>
      </c>
      <c r="I303" s="34">
        <f>敌人!H$151</f>
        <v>0</v>
      </c>
      <c r="J303" s="34">
        <f>敌人!I$151</f>
        <v>0</v>
      </c>
      <c r="K303" s="370" t="str">
        <f ca="1">敌人!J$151</f>
        <v>睡眠花之叶</v>
      </c>
      <c r="L303" s="371"/>
      <c r="M303" s="371"/>
      <c r="N303" s="32"/>
      <c r="O303" s="34" t="b">
        <v>0</v>
      </c>
      <c r="P303" s="433" t="str">
        <f ca="1">道具!$C$39</f>
        <v>风之精灵石</v>
      </c>
      <c r="Q303" s="371"/>
      <c r="R303" s="371"/>
      <c r="S303" s="32"/>
      <c r="T303" s="32"/>
      <c r="U303" s="376"/>
      <c r="V303" s="371"/>
      <c r="W303" s="32"/>
      <c r="X303" s="32"/>
      <c r="Y303" s="32"/>
      <c r="Z303" s="32"/>
      <c r="AA303" s="32"/>
    </row>
    <row r="304" spans="1:27" ht="12.75" x14ac:dyDescent="0.2">
      <c r="A304" s="32"/>
      <c r="B304" s="34" t="b">
        <v>0</v>
      </c>
      <c r="C304" s="370" t="str">
        <f ca="1">敌人!C$119</f>
        <v>飞鱼</v>
      </c>
      <c r="D304" s="371"/>
      <c r="E304" s="34">
        <f>敌人!D$119</f>
        <v>1</v>
      </c>
      <c r="F304" s="34">
        <f>敌人!E$119</f>
        <v>0</v>
      </c>
      <c r="G304" s="34">
        <f>敌人!F$119</f>
        <v>0</v>
      </c>
      <c r="H304" s="34">
        <f>敌人!G$119</f>
        <v>0</v>
      </c>
      <c r="I304" s="34">
        <f>敌人!H$119</f>
        <v>0</v>
      </c>
      <c r="J304" s="34">
        <f>敌人!I$119</f>
        <v>0</v>
      </c>
      <c r="K304" s="370" t="str">
        <f ca="1">敌人!J$119</f>
        <v>葡萄树液</v>
      </c>
      <c r="L304" s="371"/>
      <c r="M304" s="371"/>
      <c r="N304" s="32"/>
      <c r="O304" s="375" t="str">
        <f ca="1">语言!A$368&amp;" (3 "&amp;语言!$A$19&amp;")"</f>
        <v>北利布尔泰德海道 (3 宝箱)</v>
      </c>
      <c r="P304" s="371"/>
      <c r="Q304" s="371"/>
      <c r="R304" s="371"/>
      <c r="S304" s="32"/>
      <c r="T304" s="32"/>
      <c r="U304" s="376"/>
      <c r="V304" s="371"/>
      <c r="W304" s="32"/>
      <c r="X304" s="32"/>
      <c r="Y304" s="32"/>
      <c r="Z304" s="32"/>
      <c r="AA304" s="32"/>
    </row>
    <row r="305" spans="1:27" ht="12.75" x14ac:dyDescent="0.2">
      <c r="A305" s="32"/>
      <c r="B305" s="34" t="b">
        <v>0</v>
      </c>
      <c r="C305" s="370" t="str">
        <f ca="1">敌人!C$271&amp;" (7+)"</f>
        <v>飞鱼异种 (7+)</v>
      </c>
      <c r="D305" s="371"/>
      <c r="E305" s="34">
        <f>敌人!D$271</f>
        <v>2</v>
      </c>
      <c r="F305" s="34">
        <f>敌人!E$271</f>
        <v>0</v>
      </c>
      <c r="G305" s="34">
        <f>敌人!F$271</f>
        <v>0</v>
      </c>
      <c r="H305" s="34">
        <f>敌人!G$271</f>
        <v>0</v>
      </c>
      <c r="I305" s="34">
        <f>敌人!H$271</f>
        <v>0</v>
      </c>
      <c r="J305" s="34">
        <f>敌人!I$271</f>
        <v>0</v>
      </c>
      <c r="K305" s="370" t="str">
        <f ca="1">敌人!J$271</f>
        <v>葡萄树液</v>
      </c>
      <c r="L305" s="371"/>
      <c r="M305" s="371"/>
      <c r="N305" s="32"/>
      <c r="O305" s="34" t="b">
        <v>0</v>
      </c>
      <c r="P305" s="433" t="str">
        <f ca="1">道具!$C$56</f>
        <v>增强物攻的坚果</v>
      </c>
      <c r="Q305" s="371"/>
      <c r="R305" s="371"/>
      <c r="S305" s="32"/>
      <c r="T305" s="32"/>
      <c r="U305" s="376"/>
      <c r="V305" s="371"/>
      <c r="W305" s="32"/>
      <c r="X305" s="32"/>
      <c r="Y305" s="32"/>
      <c r="Z305" s="32"/>
      <c r="AA305" s="32"/>
    </row>
    <row r="306" spans="1:27" ht="12.75" x14ac:dyDescent="0.2">
      <c r="A306" s="32"/>
      <c r="B306" s="34" t="b">
        <v>0</v>
      </c>
      <c r="C306" s="370" t="str">
        <f ca="1">敌人!C$269&amp;" (11)"</f>
        <v>岩龟 (11)</v>
      </c>
      <c r="D306" s="371"/>
      <c r="E306" s="34">
        <f>敌人!D$269</f>
        <v>3</v>
      </c>
      <c r="F306" s="34">
        <f>敌人!E$269</f>
        <v>0</v>
      </c>
      <c r="G306" s="34">
        <f>敌人!F$269</f>
        <v>0</v>
      </c>
      <c r="H306" s="34">
        <f>敌人!G$269</f>
        <v>0</v>
      </c>
      <c r="I306" s="34">
        <f>敌人!H$269</f>
        <v>0</v>
      </c>
      <c r="J306" s="34">
        <f>敌人!I$269</f>
        <v>0</v>
      </c>
      <c r="K306" s="370" t="str">
        <f ca="1">敌人!J$269</f>
        <v>橄榄花</v>
      </c>
      <c r="L306" s="371"/>
      <c r="M306" s="371"/>
      <c r="N306" s="32"/>
      <c r="O306" s="34" t="b">
        <v>0</v>
      </c>
      <c r="P306" s="433" t="str">
        <f ca="1">道具!$C$3</f>
        <v>ＨＰ恢复的葡萄</v>
      </c>
      <c r="Q306" s="371"/>
      <c r="R306" s="371"/>
      <c r="S306" s="32"/>
      <c r="T306" s="32"/>
      <c r="U306" s="376"/>
      <c r="V306" s="371"/>
      <c r="W306" s="32"/>
      <c r="X306" s="32"/>
      <c r="Y306" s="32"/>
      <c r="Z306" s="32"/>
      <c r="AA306" s="32"/>
    </row>
    <row r="307" spans="1:27" ht="12.75" x14ac:dyDescent="0.2">
      <c r="A307" s="32"/>
      <c r="B307" s="32"/>
      <c r="C307" s="376"/>
      <c r="D307" s="371"/>
      <c r="E307" s="32"/>
      <c r="F307" s="32"/>
      <c r="G307" s="32"/>
      <c r="H307" s="32"/>
      <c r="I307" s="32"/>
      <c r="J307" s="32"/>
      <c r="K307" s="376"/>
      <c r="L307" s="371"/>
      <c r="M307" s="371"/>
      <c r="N307" s="32"/>
      <c r="O307" s="34" t="b">
        <v>0</v>
      </c>
      <c r="P307" s="433" t="str">
        <f ca="1">道具!$C$14</f>
        <v>复活的橄榄</v>
      </c>
      <c r="Q307" s="371"/>
      <c r="R307" s="371"/>
      <c r="S307" s="32"/>
      <c r="T307" s="32"/>
      <c r="U307" s="376"/>
      <c r="V307" s="371"/>
      <c r="W307" s="32"/>
      <c r="X307" s="32"/>
      <c r="Y307" s="32"/>
      <c r="Z307" s="32"/>
      <c r="AA307" s="32"/>
    </row>
    <row r="308" spans="1:27" ht="12.75" x14ac:dyDescent="0.2">
      <c r="A308" s="32"/>
      <c r="B308" s="375" t="str">
        <f ca="1">语言!A$369&amp;" ("&amp;语言!$A$12&amp;" 45)"</f>
        <v>波隐岩窟 (危险度 45)</v>
      </c>
      <c r="C308" s="371"/>
      <c r="D308" s="371"/>
      <c r="E308" s="371"/>
      <c r="F308" s="371"/>
      <c r="G308" s="371"/>
      <c r="H308" s="371"/>
      <c r="I308" s="371"/>
      <c r="J308" s="371"/>
      <c r="K308" s="371"/>
      <c r="L308" s="371"/>
      <c r="M308" s="371"/>
      <c r="N308" s="32"/>
      <c r="O308" s="375" t="str">
        <f ca="1">语言!A$369&amp;" (7 "&amp;语言!$A$19&amp;")"</f>
        <v>波隐岩窟 (7 宝箱)</v>
      </c>
      <c r="P308" s="371"/>
      <c r="Q308" s="371"/>
      <c r="R308" s="371"/>
      <c r="S308" s="32"/>
      <c r="T308" s="32"/>
      <c r="U308" s="376"/>
      <c r="V308" s="371"/>
      <c r="W308" s="32"/>
      <c r="X308" s="32"/>
      <c r="Y308" s="32"/>
      <c r="Z308" s="32"/>
      <c r="AA308" s="32"/>
    </row>
    <row r="309" spans="1:27" ht="12.75" x14ac:dyDescent="0.2">
      <c r="A309" s="32"/>
      <c r="B309" s="34" t="b">
        <v>0</v>
      </c>
      <c r="C309" s="370" t="str">
        <f ca="1">敌人!C$52</f>
        <v>巨鲸</v>
      </c>
      <c r="D309" s="371"/>
      <c r="E309" s="34">
        <f>敌人!D$52</f>
        <v>6</v>
      </c>
      <c r="F309" s="34">
        <f>敌人!E$52</f>
        <v>0</v>
      </c>
      <c r="G309" s="34">
        <f>敌人!F$52</f>
        <v>0</v>
      </c>
      <c r="H309" s="34">
        <f>敌人!G$52</f>
        <v>0</v>
      </c>
      <c r="I309" s="34">
        <f>敌人!H$52</f>
        <v>0</v>
      </c>
      <c r="J309" s="34">
        <f>敌人!I$52</f>
        <v>0</v>
      </c>
      <c r="K309" s="370" t="str">
        <f ca="1">敌人!J$52</f>
        <v>混乱多之叶</v>
      </c>
      <c r="L309" s="371"/>
      <c r="M309" s="371"/>
      <c r="N309" s="32"/>
      <c r="O309" s="34" t="b">
        <v>0</v>
      </c>
      <c r="P309" s="433" t="str">
        <f ca="1">道具!$C$5</f>
        <v>ＨＰ全体恢复的葡萄</v>
      </c>
      <c r="Q309" s="371"/>
      <c r="R309" s="371"/>
      <c r="S309" s="32"/>
      <c r="T309" s="32"/>
      <c r="U309" s="376"/>
      <c r="V309" s="371"/>
      <c r="W309" s="32"/>
      <c r="X309" s="32"/>
      <c r="Y309" s="32"/>
      <c r="Z309" s="32"/>
      <c r="AA309" s="32"/>
    </row>
    <row r="310" spans="1:27" ht="12.75" x14ac:dyDescent="0.2">
      <c r="A310" s="32"/>
      <c r="B310" s="34" t="b">
        <v>0</v>
      </c>
      <c r="C310" s="370" t="str">
        <f ca="1">敌人!C$246</f>
        <v>双剪蟹</v>
      </c>
      <c r="D310" s="371"/>
      <c r="E310" s="34">
        <f>敌人!D$246</f>
        <v>5</v>
      </c>
      <c r="F310" s="34">
        <f>敌人!E$246</f>
        <v>0</v>
      </c>
      <c r="G310" s="34">
        <f>敌人!F$246</f>
        <v>0</v>
      </c>
      <c r="H310" s="34">
        <f>敌人!G$246</f>
        <v>0</v>
      </c>
      <c r="I310" s="34">
        <f>敌人!H$246</f>
        <v>0</v>
      </c>
      <c r="J310" s="34">
        <f>敌人!I$246</f>
        <v>0</v>
      </c>
      <c r="K310" s="370" t="str">
        <f ca="1">敌人!J$246</f>
        <v>睡眠花之叶</v>
      </c>
      <c r="L310" s="371"/>
      <c r="M310" s="371"/>
      <c r="N310" s="32"/>
      <c r="O310" s="34" t="b">
        <v>0</v>
      </c>
      <c r="P310" s="433" t="str">
        <f ca="1">道具!$C$7</f>
        <v>ＳＰ恢复的李子（大）</v>
      </c>
      <c r="Q310" s="371"/>
      <c r="R310" s="371"/>
      <c r="S310" s="32"/>
      <c r="T310" s="32"/>
      <c r="U310" s="376"/>
      <c r="V310" s="371"/>
      <c r="W310" s="32"/>
      <c r="X310" s="32"/>
      <c r="Y310" s="32"/>
      <c r="Z310" s="32"/>
      <c r="AA310" s="32"/>
    </row>
    <row r="311" spans="1:27" ht="12.75" x14ac:dyDescent="0.2">
      <c r="A311" s="32"/>
      <c r="B311" s="34" t="b">
        <v>0</v>
      </c>
      <c r="C311" s="370" t="str">
        <f ca="1">敌人!C$25</f>
        <v>黑剪蟹</v>
      </c>
      <c r="D311" s="371"/>
      <c r="E311" s="34">
        <f>敌人!D$25</f>
        <v>2</v>
      </c>
      <c r="F311" s="34">
        <f>敌人!E$25</f>
        <v>0</v>
      </c>
      <c r="G311" s="34">
        <f>敌人!F$25</f>
        <v>0</v>
      </c>
      <c r="H311" s="34">
        <f>敌人!G$25</f>
        <v>0</v>
      </c>
      <c r="I311" s="34">
        <f>敌人!H$25</f>
        <v>0</v>
      </c>
      <c r="J311" s="34">
        <f>敌人!I$25</f>
        <v>0</v>
      </c>
      <c r="K311" s="370" t="str">
        <f ca="1">敌人!J$25</f>
        <v>神秘之花</v>
      </c>
      <c r="L311" s="371"/>
      <c r="M311" s="371"/>
      <c r="N311" s="32"/>
      <c r="O311" s="34" t="b">
        <v>0</v>
      </c>
      <c r="P311" s="433" t="s">
        <v>22</v>
      </c>
      <c r="Q311" s="371"/>
      <c r="R311" s="371"/>
      <c r="S311" s="32"/>
      <c r="T311" s="32"/>
      <c r="U311" s="376"/>
      <c r="V311" s="371"/>
      <c r="W311" s="32"/>
      <c r="X311" s="32"/>
      <c r="Y311" s="32"/>
      <c r="Z311" s="32"/>
      <c r="AA311" s="32"/>
    </row>
    <row r="312" spans="1:27" ht="12.75" x14ac:dyDescent="0.2">
      <c r="A312" s="32"/>
      <c r="B312" s="34" t="b">
        <v>0</v>
      </c>
      <c r="C312" s="370" t="str">
        <f ca="1">敌人!C$82</f>
        <v>海盗骷髅异种</v>
      </c>
      <c r="D312" s="371"/>
      <c r="E312" s="34">
        <f>敌人!D$82</f>
        <v>3</v>
      </c>
      <c r="F312" s="34">
        <f>敌人!E$82</f>
        <v>0</v>
      </c>
      <c r="G312" s="34">
        <f>敌人!F$82</f>
        <v>0</v>
      </c>
      <c r="H312" s="34">
        <f>敌人!G$82</f>
        <v>0</v>
      </c>
      <c r="I312" s="34">
        <f>敌人!H$82</f>
        <v>0</v>
      </c>
      <c r="J312" s="34">
        <f>敌人!I$82</f>
        <v>0</v>
      </c>
      <c r="K312" s="370" t="str">
        <f ca="1">敌人!J$82</f>
        <v>铜制提灯</v>
      </c>
      <c r="L312" s="371"/>
      <c r="M312" s="371"/>
      <c r="N312" s="32"/>
      <c r="O312" s="34" t="b">
        <v>0</v>
      </c>
      <c r="P312" s="433" t="str">
        <f ca="1">道具!$C$8</f>
        <v>ＳＰ全体恢复的李子</v>
      </c>
      <c r="Q312" s="371"/>
      <c r="R312" s="371"/>
      <c r="S312" s="32"/>
      <c r="T312" s="32"/>
      <c r="U312" s="376"/>
      <c r="V312" s="371"/>
      <c r="W312" s="32"/>
      <c r="X312" s="32"/>
      <c r="Y312" s="32"/>
      <c r="Z312" s="32"/>
      <c r="AA312" s="32"/>
    </row>
    <row r="313" spans="1:27" ht="12.75" x14ac:dyDescent="0.2">
      <c r="A313" s="32"/>
      <c r="B313" s="34" t="b">
        <v>0</v>
      </c>
      <c r="C313" s="370" t="str">
        <f ca="1">敌人!C$46</f>
        <v>海盗骷髅</v>
      </c>
      <c r="D313" s="371"/>
      <c r="E313" s="34">
        <f>敌人!D$46</f>
        <v>1</v>
      </c>
      <c r="F313" s="34">
        <f>敌人!E$46</f>
        <v>0</v>
      </c>
      <c r="G313" s="34">
        <f>敌人!F$46</f>
        <v>0</v>
      </c>
      <c r="H313" s="34">
        <f>敌人!G$46</f>
        <v>0</v>
      </c>
      <c r="I313" s="34">
        <f>敌人!H$46</f>
        <v>0</v>
      </c>
      <c r="J313" s="34">
        <f>敌人!I$46</f>
        <v>0</v>
      </c>
      <c r="K313" s="370" t="str">
        <f ca="1">敌人!J$46</f>
        <v>发梳</v>
      </c>
      <c r="L313" s="371"/>
      <c r="M313" s="371"/>
      <c r="N313" s="32"/>
      <c r="O313" s="34" t="b">
        <v>0</v>
      </c>
      <c r="P313" s="433" t="str">
        <f ca="1">道具!$C$16</f>
        <v>复活的橄榄（大）</v>
      </c>
      <c r="Q313" s="371"/>
      <c r="R313" s="371"/>
      <c r="S313" s="32"/>
      <c r="T313" s="32"/>
      <c r="U313" s="376"/>
      <c r="V313" s="371"/>
      <c r="W313" s="32"/>
      <c r="X313" s="32"/>
      <c r="Y313" s="32"/>
      <c r="Z313" s="32"/>
      <c r="AA313" s="32"/>
    </row>
    <row r="314" spans="1:27" ht="12.75" x14ac:dyDescent="0.2">
      <c r="A314" s="32"/>
      <c r="B314" s="34" t="b">
        <v>0</v>
      </c>
      <c r="C314" s="370" t="str">
        <f ca="1">敌人!C$360</f>
        <v>风元素</v>
      </c>
      <c r="D314" s="371"/>
      <c r="E314" s="34">
        <f>敌人!D$360</f>
        <v>4</v>
      </c>
      <c r="F314" s="34">
        <f>敌人!E$360</f>
        <v>0</v>
      </c>
      <c r="G314" s="34">
        <f>敌人!F$360</f>
        <v>0</v>
      </c>
      <c r="H314" s="34">
        <f>敌人!G$360</f>
        <v>0</v>
      </c>
      <c r="I314" s="34">
        <f>敌人!H$360</f>
        <v>0</v>
      </c>
      <c r="J314" s="34">
        <f>敌人!I$360</f>
        <v>0</v>
      </c>
      <c r="K314" s="370" t="str">
        <f ca="1">敌人!J$360</f>
        <v>风之精灵石（特大）</v>
      </c>
      <c r="L314" s="371"/>
      <c r="M314" s="371"/>
      <c r="N314" s="32"/>
      <c r="O314" s="34" t="b">
        <v>0</v>
      </c>
      <c r="P314" s="433" t="str">
        <f ca="1">道具!$C$215&amp;" ("&amp;语言!$A$20&amp;")"</f>
        <v>正义破坏者 (上锁宝箱)</v>
      </c>
      <c r="Q314" s="371"/>
      <c r="R314" s="371"/>
      <c r="S314" s="32"/>
      <c r="T314" s="32"/>
      <c r="U314" s="376"/>
      <c r="V314" s="371"/>
      <c r="W314" s="32"/>
      <c r="X314" s="32"/>
      <c r="Y314" s="32"/>
      <c r="Z314" s="32"/>
      <c r="AA314" s="32"/>
    </row>
    <row r="315" spans="1:27" ht="12.75" x14ac:dyDescent="0.2">
      <c r="A315" s="32"/>
      <c r="B315" s="32"/>
      <c r="C315" s="376"/>
      <c r="D315" s="371"/>
      <c r="E315" s="32"/>
      <c r="F315" s="32"/>
      <c r="G315" s="32"/>
      <c r="H315" s="32"/>
      <c r="I315" s="32"/>
      <c r="J315" s="32"/>
      <c r="K315" s="376"/>
      <c r="L315" s="371"/>
      <c r="M315" s="371"/>
      <c r="N315" s="32"/>
      <c r="O315" s="34" t="b">
        <v>0</v>
      </c>
      <c r="P315" s="433" t="str">
        <f ca="1">道具!$C$12</f>
        <v>ＨＰ／ＳＰ恢复的果酱</v>
      </c>
      <c r="Q315" s="371"/>
      <c r="R315" s="371"/>
      <c r="S315" s="32"/>
      <c r="T315" s="32"/>
      <c r="U315" s="376"/>
      <c r="V315" s="371"/>
      <c r="W315" s="32"/>
      <c r="X315" s="32"/>
      <c r="Y315" s="32"/>
      <c r="Z315" s="32"/>
      <c r="AA315" s="32"/>
    </row>
    <row r="316" spans="1:27" ht="12.75" x14ac:dyDescent="0.2">
      <c r="A316" s="32"/>
      <c r="B316" s="32"/>
      <c r="C316" s="391"/>
      <c r="D316" s="371"/>
      <c r="E316" s="32"/>
      <c r="F316" s="32"/>
      <c r="G316" s="32"/>
      <c r="H316" s="32"/>
      <c r="I316" s="32"/>
      <c r="J316" s="32"/>
      <c r="K316" s="376"/>
      <c r="L316" s="371"/>
      <c r="M316" s="371"/>
      <c r="N316" s="32"/>
      <c r="O316" s="32"/>
      <c r="P316" s="470"/>
      <c r="Q316" s="371"/>
      <c r="R316" s="371"/>
      <c r="S316" s="32"/>
      <c r="T316" s="32"/>
      <c r="U316" s="376"/>
      <c r="V316" s="371"/>
      <c r="W316" s="32"/>
      <c r="X316" s="32"/>
      <c r="Y316" s="32"/>
      <c r="Z316" s="32"/>
      <c r="AA316" s="32"/>
    </row>
    <row r="317" spans="1:27" ht="12.75" x14ac:dyDescent="0.2">
      <c r="A317" s="32"/>
      <c r="B317" s="374" t="str">
        <f ca="1">语言!$A$37&amp;" "&amp;语言!$A$14&amp;" 1"</f>
        <v>特蕾莎 章节 1</v>
      </c>
      <c r="C317" s="371"/>
      <c r="D317" s="371"/>
      <c r="E317" s="371"/>
      <c r="F317" s="371"/>
      <c r="G317" s="371"/>
      <c r="H317" s="371"/>
      <c r="I317" s="371"/>
      <c r="J317" s="371"/>
      <c r="K317" s="371"/>
      <c r="L317" s="371"/>
      <c r="M317" s="371"/>
      <c r="N317" s="32"/>
      <c r="O317" s="374" t="str">
        <f ca="1">语言!$A$37&amp;" "&amp;语言!$A$14&amp;" 1"</f>
        <v>特蕾莎 章节 1</v>
      </c>
      <c r="P317" s="371"/>
      <c r="Q317" s="371"/>
      <c r="R317" s="371"/>
      <c r="S317" s="32"/>
      <c r="T317" s="32"/>
      <c r="U317" s="376"/>
      <c r="V317" s="371"/>
      <c r="W317" s="32"/>
      <c r="X317" s="374" t="str">
        <f ca="1">语言!$A$37&amp;" "&amp;语言!$A$14&amp;" 1"</f>
        <v>特蕾莎 章节 1</v>
      </c>
      <c r="Y317" s="371"/>
      <c r="Z317" s="371"/>
      <c r="AA317" s="32"/>
    </row>
    <row r="318" spans="1:27" ht="12.75" x14ac:dyDescent="0.2">
      <c r="A318" s="32"/>
      <c r="B318" s="375" t="str">
        <f ca="1">语言!A$371&amp;" ("&amp;语言!$A$12&amp;" 1 - 4 - 7 - 11)"</f>
        <v>麦亚洞窟 (危险度 1 - 4 - 7 - 11)</v>
      </c>
      <c r="C318" s="371"/>
      <c r="D318" s="371"/>
      <c r="E318" s="371"/>
      <c r="F318" s="371"/>
      <c r="G318" s="371"/>
      <c r="H318" s="371"/>
      <c r="I318" s="371"/>
      <c r="J318" s="371"/>
      <c r="K318" s="371"/>
      <c r="L318" s="371"/>
      <c r="M318" s="371"/>
      <c r="N318" s="32"/>
      <c r="O318" s="375" t="str">
        <f ca="1">语言!A$370&amp;" (4 "&amp;语言!$A$19&amp;")"</f>
        <v>通往麦亚洞窟的道路 (4 宝箱)</v>
      </c>
      <c r="P318" s="371"/>
      <c r="Q318" s="371"/>
      <c r="R318" s="371"/>
      <c r="S318" s="32"/>
      <c r="T318" s="32"/>
      <c r="U318" s="376"/>
      <c r="V318" s="371"/>
      <c r="W318" s="32"/>
      <c r="X318" s="373" t="str">
        <f ca="1">语言!A$366</f>
        <v>利布尔泰德</v>
      </c>
      <c r="Y318" s="371"/>
      <c r="Z318" s="371"/>
      <c r="AA318" s="32"/>
    </row>
    <row r="319" spans="1:27" ht="12.75" x14ac:dyDescent="0.2">
      <c r="A319" s="32"/>
      <c r="B319" s="34" t="b">
        <v>0</v>
      </c>
      <c r="C319" s="370" t="str">
        <f ca="1">敌人!C$234</f>
        <v>海盗（枪） I</v>
      </c>
      <c r="D319" s="371"/>
      <c r="E319" s="34">
        <f>敌人!D$234</f>
        <v>1</v>
      </c>
      <c r="F319" s="34">
        <f>敌人!E$234</f>
        <v>0</v>
      </c>
      <c r="G319" s="34">
        <f>敌人!F$234</f>
        <v>0</v>
      </c>
      <c r="H319" s="34">
        <f>敌人!G$234</f>
        <v>0</v>
      </c>
      <c r="I319" s="34">
        <f>敌人!H$234</f>
        <v>0</v>
      </c>
      <c r="J319" s="34">
        <f>敌人!I$234</f>
        <v>0</v>
      </c>
      <c r="K319" s="370" t="str">
        <f ca="1">敌人!J$234</f>
        <v>鱼齿</v>
      </c>
      <c r="L319" s="371"/>
      <c r="M319" s="371"/>
      <c r="N319" s="32"/>
      <c r="O319" s="34" t="b">
        <v>0</v>
      </c>
      <c r="P319" s="433" t="str">
        <f ca="1">道具!$C$3</f>
        <v>ＨＰ恢复的葡萄</v>
      </c>
      <c r="Q319" s="371"/>
      <c r="R319" s="371"/>
      <c r="S319" s="32"/>
      <c r="T319" s="32"/>
      <c r="U319" s="376"/>
      <c r="V319" s="371"/>
      <c r="W319" s="32"/>
      <c r="X319" s="471" t="b">
        <v>0</v>
      </c>
      <c r="Y319" s="480" t="str">
        <f ca="1">语言!$A$1975&amp;" (NPC) x 3
Items:
"&amp;道具!$C$91&amp;", "&amp;道具!$C$87</f>
        <v>商人 (NPC) x 3
Items:
树木果实, 小酒壶</v>
      </c>
      <c r="Z319" s="472" t="str">
        <f ca="1">"NPC available only during "&amp;语言!$A$37&amp;"'s chapter 1 tale. Don't skip ""Hear the begining of the tale"". "&amp;语言!$A$46&amp;" those guys before they leave. "&amp;道具!$C$91&amp;" is a limited item. "&amp;道具!$C$87&amp;" is not Missable nor Limited but it's the easiest way to get one, other way involves "&amp;语言!$A$47&amp;" / "&amp;语言!$A$51&amp;" which can be a pain sometimes."</f>
        <v>NPC available only during 特蕾莎's chapter 1 tale. Don't skip "Hear the begining of the tale". 购买 those guys before they leave. 树木果实 is a limited item. 小酒壶 is not Missable nor Limited but it's the easiest way to get one, other way involves 比试 / 唆使 which can be a pain sometimes.</v>
      </c>
      <c r="AA319" s="32"/>
    </row>
    <row r="320" spans="1:27" ht="12.75" x14ac:dyDescent="0.2">
      <c r="A320" s="32"/>
      <c r="B320" s="34" t="b">
        <v>0</v>
      </c>
      <c r="C320" s="370" t="str">
        <f ca="1">敌人!C$235</f>
        <v>海盗（枪） II</v>
      </c>
      <c r="D320" s="371"/>
      <c r="E320" s="34">
        <f>敌人!D$235</f>
        <v>2</v>
      </c>
      <c r="F320" s="34">
        <f>敌人!E$235</f>
        <v>0</v>
      </c>
      <c r="G320" s="34">
        <f>敌人!F$235</f>
        <v>0</v>
      </c>
      <c r="H320" s="34">
        <f>敌人!G$235</f>
        <v>0</v>
      </c>
      <c r="I320" s="34">
        <f>敌人!H$235</f>
        <v>0</v>
      </c>
      <c r="J320" s="34">
        <f>敌人!I$235</f>
        <v>0</v>
      </c>
      <c r="K320" s="370" t="str">
        <f ca="1">敌人!J$235</f>
        <v>原石</v>
      </c>
      <c r="L320" s="371"/>
      <c r="M320" s="371"/>
      <c r="N320" s="32"/>
      <c r="O320" s="34" t="b">
        <v>0</v>
      </c>
      <c r="P320" s="433" t="str">
        <f ca="1">道具!$C$6</f>
        <v>ＳＰ恢复的李子</v>
      </c>
      <c r="Q320" s="371"/>
      <c r="R320" s="371"/>
      <c r="S320" s="32"/>
      <c r="T320" s="32"/>
      <c r="U320" s="376"/>
      <c r="V320" s="371"/>
      <c r="W320" s="32"/>
      <c r="X320" s="371"/>
      <c r="Y320" s="371"/>
      <c r="Z320" s="371"/>
      <c r="AA320" s="32"/>
    </row>
    <row r="321" spans="1:27" ht="12.75" x14ac:dyDescent="0.2">
      <c r="A321" s="32"/>
      <c r="B321" s="34" t="b">
        <v>0</v>
      </c>
      <c r="C321" s="370" t="str">
        <f ca="1">敌人!C$236&amp;" (7+)"</f>
        <v>海盗（枪） III (7+)</v>
      </c>
      <c r="D321" s="371"/>
      <c r="E321" s="34">
        <f>敌人!D$236</f>
        <v>3</v>
      </c>
      <c r="F321" s="34">
        <f>敌人!E$236</f>
        <v>0</v>
      </c>
      <c r="G321" s="34">
        <f>敌人!F$236</f>
        <v>0</v>
      </c>
      <c r="H321" s="34">
        <f>敌人!G$236</f>
        <v>0</v>
      </c>
      <c r="I321" s="34">
        <f>敌人!H$236</f>
        <v>0</v>
      </c>
      <c r="J321" s="34">
        <f>敌人!I$236</f>
        <v>0</v>
      </c>
      <c r="K321" s="370" t="str">
        <f ca="1">敌人!J$236</f>
        <v>空空的钱包</v>
      </c>
      <c r="L321" s="371"/>
      <c r="M321" s="371"/>
      <c r="N321" s="32"/>
      <c r="O321" s="34" t="b">
        <v>0</v>
      </c>
      <c r="P321" s="433" t="str">
        <f ca="1">道具!$C$21</f>
        <v>混乱治疗药草</v>
      </c>
      <c r="Q321" s="371"/>
      <c r="R321" s="371"/>
      <c r="S321" s="32"/>
      <c r="T321" s="32"/>
      <c r="U321" s="376"/>
      <c r="V321" s="371"/>
      <c r="W321" s="32"/>
      <c r="X321" s="371"/>
      <c r="Y321" s="371"/>
      <c r="Z321" s="371"/>
      <c r="AA321" s="32"/>
    </row>
    <row r="322" spans="1:27" ht="12.75" x14ac:dyDescent="0.2">
      <c r="A322" s="32"/>
      <c r="B322" s="34" t="b">
        <v>0</v>
      </c>
      <c r="C322" s="370" t="str">
        <f ca="1">敌人!C$151</f>
        <v>寄居贝</v>
      </c>
      <c r="D322" s="371"/>
      <c r="E322" s="34">
        <f>敌人!D$151</f>
        <v>2</v>
      </c>
      <c r="F322" s="34">
        <f>敌人!E$151</f>
        <v>0</v>
      </c>
      <c r="G322" s="34">
        <f>敌人!F$151</f>
        <v>0</v>
      </c>
      <c r="H322" s="34">
        <f>敌人!G$151</f>
        <v>0</v>
      </c>
      <c r="I322" s="34">
        <f>敌人!H$151</f>
        <v>0</v>
      </c>
      <c r="J322" s="34">
        <f>敌人!I$151</f>
        <v>0</v>
      </c>
      <c r="K322" s="370" t="str">
        <f ca="1">敌人!J$151</f>
        <v>睡眠花之叶</v>
      </c>
      <c r="L322" s="371"/>
      <c r="M322" s="371"/>
      <c r="N322" s="32"/>
      <c r="O322" s="34" t="b">
        <v>0</v>
      </c>
      <c r="P322" s="433" t="str">
        <f ca="1">道具!$C$3</f>
        <v>ＨＰ恢复的葡萄</v>
      </c>
      <c r="Q322" s="371"/>
      <c r="R322" s="371"/>
      <c r="S322" s="32"/>
      <c r="T322" s="32"/>
      <c r="U322" s="376"/>
      <c r="V322" s="371"/>
      <c r="W322" s="32"/>
      <c r="X322" s="371"/>
      <c r="Y322" s="371"/>
      <c r="Z322" s="371"/>
      <c r="AA322" s="32"/>
    </row>
    <row r="323" spans="1:27" ht="12.75" x14ac:dyDescent="0.2">
      <c r="A323" s="32"/>
      <c r="B323" s="34" t="b">
        <v>0</v>
      </c>
      <c r="C323" s="370" t="str">
        <f ca="1">敌人!C$289&amp;" (4-)"</f>
        <v>鳞蛇 (4-)</v>
      </c>
      <c r="D323" s="371"/>
      <c r="E323" s="34">
        <f>敌人!D$289</f>
        <v>1</v>
      </c>
      <c r="F323" s="34">
        <f>敌人!E$289</f>
        <v>0</v>
      </c>
      <c r="G323" s="34">
        <f>敌人!F$289</f>
        <v>0</v>
      </c>
      <c r="H323" s="34">
        <f>敌人!G$289</f>
        <v>0</v>
      </c>
      <c r="I323" s="34">
        <f>敌人!H$289</f>
        <v>0</v>
      </c>
      <c r="J323" s="34">
        <f>敌人!I$289</f>
        <v>0</v>
      </c>
      <c r="K323" s="370" t="str">
        <f ca="1">敌人!J$289</f>
        <v>毒治疗药草</v>
      </c>
      <c r="L323" s="371"/>
      <c r="M323" s="371"/>
      <c r="N323" s="32"/>
      <c r="O323" s="375" t="str">
        <f ca="1">语言!A$371&amp;" (5 "&amp;语言!$A$19&amp;")"</f>
        <v>麦亚洞窟 (5 宝箱)</v>
      </c>
      <c r="P323" s="371"/>
      <c r="Q323" s="371"/>
      <c r="R323" s="371"/>
      <c r="S323" s="32"/>
      <c r="T323" s="32"/>
      <c r="U323" s="376"/>
      <c r="V323" s="371"/>
      <c r="W323" s="32"/>
      <c r="X323" s="371"/>
      <c r="Y323" s="371"/>
      <c r="Z323" s="371"/>
      <c r="AA323" s="32"/>
    </row>
    <row r="324" spans="1:27" ht="12.75" x14ac:dyDescent="0.2">
      <c r="A324" s="32"/>
      <c r="B324" s="34" t="b">
        <v>0</v>
      </c>
      <c r="C324" s="370" t="str">
        <f ca="1">敌人!C$304&amp;" (7+)"</f>
        <v>蓝蛇 (7+)</v>
      </c>
      <c r="D324" s="371"/>
      <c r="E324" s="34">
        <f>敌人!D$304</f>
        <v>1</v>
      </c>
      <c r="F324" s="34">
        <f>敌人!E$304</f>
        <v>0</v>
      </c>
      <c r="G324" s="34">
        <f>敌人!F$304</f>
        <v>0</v>
      </c>
      <c r="H324" s="34">
        <f>敌人!G$304</f>
        <v>0</v>
      </c>
      <c r="I324" s="34">
        <f>敌人!H$304</f>
        <v>0</v>
      </c>
      <c r="J324" s="34">
        <f>敌人!I$304</f>
        <v>0</v>
      </c>
      <c r="K324" s="370" t="str">
        <f ca="1">敌人!J$304</f>
        <v>毒治疗药草</v>
      </c>
      <c r="L324" s="371"/>
      <c r="M324" s="371"/>
      <c r="N324" s="32"/>
      <c r="O324" s="34" t="b">
        <v>0</v>
      </c>
      <c r="P324" s="389">
        <v>1000</v>
      </c>
      <c r="Q324" s="371"/>
      <c r="R324" s="371"/>
      <c r="S324" s="32"/>
      <c r="T324" s="32"/>
      <c r="U324" s="376"/>
      <c r="V324" s="371"/>
      <c r="W324" s="32"/>
      <c r="X324" s="371"/>
      <c r="Y324" s="371"/>
      <c r="Z324" s="371"/>
      <c r="AA324" s="32"/>
    </row>
    <row r="325" spans="1:27" ht="12.75" x14ac:dyDescent="0.2">
      <c r="A325" s="32"/>
      <c r="B325" s="34" t="b">
        <v>0</v>
      </c>
      <c r="C325" s="370" t="str">
        <f ca="1">敌人!C$307&amp;" (7+)"</f>
        <v>黑蝙蝠异种 (7+)</v>
      </c>
      <c r="D325" s="371"/>
      <c r="E325" s="34">
        <f>敌人!D$307</f>
        <v>2</v>
      </c>
      <c r="F325" s="34">
        <f>敌人!E$307</f>
        <v>0</v>
      </c>
      <c r="G325" s="34">
        <f>敌人!F$307</f>
        <v>0</v>
      </c>
      <c r="H325" s="34">
        <f>敌人!G$307</f>
        <v>0</v>
      </c>
      <c r="I325" s="34">
        <f>敌人!H$307</f>
        <v>0</v>
      </c>
      <c r="J325" s="34">
        <f>敌人!I$307</f>
        <v>0</v>
      </c>
      <c r="K325" s="370" t="str">
        <f ca="1">敌人!J$307</f>
        <v>神秘之花</v>
      </c>
      <c r="L325" s="371"/>
      <c r="M325" s="371"/>
      <c r="N325" s="32"/>
      <c r="O325" s="34" t="b">
        <v>0</v>
      </c>
      <c r="P325" s="433" t="str">
        <f ca="1">道具!$C$3</f>
        <v>ＨＰ恢复的葡萄</v>
      </c>
      <c r="Q325" s="371"/>
      <c r="R325" s="371"/>
      <c r="S325" s="32"/>
      <c r="T325" s="32"/>
      <c r="U325" s="376"/>
      <c r="V325" s="371"/>
      <c r="W325" s="32"/>
      <c r="X325" s="32"/>
      <c r="Y325" s="32"/>
      <c r="Z325" s="32"/>
      <c r="AA325" s="32"/>
    </row>
    <row r="326" spans="1:27" ht="12.75" x14ac:dyDescent="0.2">
      <c r="A326" s="32"/>
      <c r="B326" s="34" t="b">
        <v>0</v>
      </c>
      <c r="C326" s="370" t="str">
        <f ca="1">敌人!C$23</f>
        <v>黑蝙蝠</v>
      </c>
      <c r="D326" s="371"/>
      <c r="E326" s="34">
        <f>敌人!D$23</f>
        <v>1</v>
      </c>
      <c r="F326" s="34">
        <f>敌人!E$23</f>
        <v>0</v>
      </c>
      <c r="G326" s="34">
        <f>敌人!F$23</f>
        <v>0</v>
      </c>
      <c r="H326" s="34">
        <f>敌人!G$23</f>
        <v>0</v>
      </c>
      <c r="I326" s="34">
        <f>敌人!H$23</f>
        <v>0</v>
      </c>
      <c r="J326" s="34">
        <f>敌人!I$23</f>
        <v>0</v>
      </c>
      <c r="K326" s="370" t="str">
        <f ca="1">敌人!J$23</f>
        <v>神秘之花</v>
      </c>
      <c r="L326" s="371"/>
      <c r="M326" s="371"/>
      <c r="N326" s="32"/>
      <c r="O326" s="34" t="b">
        <v>0</v>
      </c>
      <c r="P326" s="433" t="str">
        <f ca="1">道具!$C$6</f>
        <v>ＳＰ恢复的李子</v>
      </c>
      <c r="Q326" s="371"/>
      <c r="R326" s="371"/>
      <c r="S326" s="32"/>
      <c r="T326" s="32"/>
      <c r="U326" s="376"/>
      <c r="V326" s="371"/>
      <c r="W326" s="32"/>
      <c r="X326" s="32"/>
      <c r="Y326" s="32"/>
      <c r="Z326" s="32"/>
      <c r="AA326" s="32"/>
    </row>
    <row r="327" spans="1:27" ht="12.75" x14ac:dyDescent="0.2">
      <c r="A327" s="32"/>
      <c r="B327" s="475" t="str">
        <f ca="1">语言!$A$15</f>
        <v>Boss</v>
      </c>
      <c r="C327" s="371"/>
      <c r="D327" s="371"/>
      <c r="E327" s="371"/>
      <c r="F327" s="371"/>
      <c r="G327" s="371"/>
      <c r="H327" s="371"/>
      <c r="I327" s="371"/>
      <c r="J327" s="371"/>
      <c r="K327" s="371"/>
      <c r="L327" s="371"/>
      <c r="M327" s="371"/>
      <c r="N327" s="32"/>
      <c r="O327" s="34" t="b">
        <v>0</v>
      </c>
      <c r="P327" s="433" t="str">
        <f ca="1">道具!$C$36</f>
        <v>雷之精灵石</v>
      </c>
      <c r="Q327" s="371"/>
      <c r="R327" s="371"/>
      <c r="S327" s="32"/>
      <c r="T327" s="32"/>
      <c r="U327" s="376"/>
      <c r="V327" s="371"/>
      <c r="W327" s="32"/>
      <c r="X327" s="32"/>
      <c r="Y327" s="32"/>
      <c r="Z327" s="32"/>
      <c r="AA327" s="32"/>
    </row>
    <row r="328" spans="1:27" ht="12.75" x14ac:dyDescent="0.2">
      <c r="A328" s="32"/>
      <c r="B328" s="34" t="b">
        <v>0</v>
      </c>
      <c r="C328" s="370" t="str">
        <f ca="1">敌人!C$394</f>
        <v>米克</v>
      </c>
      <c r="D328" s="371"/>
      <c r="E328" s="34" t="str">
        <f>敌人!D$394</f>
        <v>3+</v>
      </c>
      <c r="F328" s="34">
        <f>敌人!E$394</f>
        <v>0</v>
      </c>
      <c r="G328" s="34">
        <f>敌人!F$394</f>
        <v>0</v>
      </c>
      <c r="H328" s="34">
        <f>敌人!G$394</f>
        <v>0</v>
      </c>
      <c r="I328" s="34">
        <f>敌人!H$394</f>
        <v>0</v>
      </c>
      <c r="J328" s="34">
        <f>敌人!I$394</f>
        <v>0</v>
      </c>
      <c r="K328" s="370" t="str">
        <f ca="1">敌人!J$394</f>
        <v>冰之精灵石（大）</v>
      </c>
      <c r="L328" s="371"/>
      <c r="M328" s="371"/>
      <c r="N328" s="32"/>
      <c r="O328" s="34" t="b">
        <v>0</v>
      </c>
      <c r="P328" s="433" t="str">
        <f ca="1">道具!$C$12</f>
        <v>ＨＰ／ＳＰ恢复的果酱</v>
      </c>
      <c r="Q328" s="371"/>
      <c r="R328" s="371"/>
      <c r="S328" s="32"/>
      <c r="T328" s="32"/>
      <c r="U328" s="376"/>
      <c r="V328" s="371"/>
      <c r="W328" s="32"/>
      <c r="X328" s="32"/>
      <c r="Y328" s="32"/>
      <c r="Z328" s="32"/>
      <c r="AA328" s="32"/>
    </row>
    <row r="329" spans="1:27" ht="12.75" x14ac:dyDescent="0.2">
      <c r="A329" s="32"/>
      <c r="B329" s="34" t="b">
        <v>0</v>
      </c>
      <c r="C329" s="370" t="str">
        <f ca="1">敌人!C$395</f>
        <v>马克</v>
      </c>
      <c r="D329" s="371"/>
      <c r="E329" s="34" t="str">
        <f>敌人!D$395</f>
        <v>4+</v>
      </c>
      <c r="F329" s="34">
        <f>敌人!E$395</f>
        <v>0</v>
      </c>
      <c r="G329" s="34">
        <f>敌人!F$395</f>
        <v>0</v>
      </c>
      <c r="H329" s="34">
        <f>敌人!G$395</f>
        <v>0</v>
      </c>
      <c r="I329" s="34">
        <f>敌人!H$395</f>
        <v>0</v>
      </c>
      <c r="J329" s="34">
        <f>敌人!I$395</f>
        <v>0</v>
      </c>
      <c r="K329" s="370" t="str">
        <f ca="1">敌人!J$395</f>
        <v>ＳＰ恢复的李子（大）</v>
      </c>
      <c r="L329" s="371"/>
      <c r="M329" s="371"/>
      <c r="N329" s="32"/>
      <c r="O329" s="37"/>
      <c r="P329" s="481"/>
      <c r="Q329" s="371"/>
      <c r="R329" s="371"/>
      <c r="S329" s="32"/>
      <c r="T329" s="32"/>
      <c r="U329" s="376"/>
      <c r="V329" s="371"/>
      <c r="W329" s="32"/>
      <c r="X329" s="32"/>
      <c r="Y329" s="32"/>
      <c r="Z329" s="32"/>
      <c r="AA329" s="32"/>
    </row>
    <row r="330" spans="1:27" ht="12.75" x14ac:dyDescent="0.2">
      <c r="A330" s="32"/>
      <c r="B330" s="32"/>
      <c r="C330" s="376"/>
      <c r="D330" s="371"/>
      <c r="E330" s="32"/>
      <c r="F330" s="32"/>
      <c r="G330" s="32"/>
      <c r="H330" s="32"/>
      <c r="I330" s="32"/>
      <c r="J330" s="32"/>
      <c r="K330" s="376"/>
      <c r="L330" s="371"/>
      <c r="M330" s="371"/>
      <c r="N330" s="32"/>
      <c r="O330" s="32"/>
      <c r="P330" s="470"/>
      <c r="Q330" s="371"/>
      <c r="R330" s="371"/>
      <c r="S330" s="32"/>
      <c r="T330" s="32"/>
      <c r="U330" s="376"/>
      <c r="V330" s="371"/>
      <c r="W330" s="32"/>
      <c r="X330" s="32"/>
      <c r="Y330" s="32"/>
      <c r="Z330" s="32"/>
      <c r="AA330" s="32"/>
    </row>
    <row r="331" spans="1:27" ht="18" x14ac:dyDescent="0.25">
      <c r="A331" s="388" t="str">
        <f ca="1">语言!$A$323&amp;" 2"</f>
        <v>Tier 2</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row>
    <row r="332" spans="1:27" ht="12.75" x14ac:dyDescent="0.2">
      <c r="A332" s="32"/>
      <c r="B332" s="33" t="b">
        <v>0</v>
      </c>
      <c r="C332" s="372" t="str">
        <f ca="1">敌人!C$69</f>
        <v>绅士凯特林</v>
      </c>
      <c r="D332" s="371"/>
      <c r="E332" s="33">
        <f>敌人!D$69</f>
        <v>4</v>
      </c>
      <c r="F332" s="33">
        <f>敌人!E$69</f>
        <v>0</v>
      </c>
      <c r="G332" s="33">
        <f>敌人!F$69</f>
        <v>0</v>
      </c>
      <c r="H332" s="33">
        <f>敌人!G$69</f>
        <v>0</v>
      </c>
      <c r="I332" s="33">
        <f>敌人!H$69</f>
        <v>0</v>
      </c>
      <c r="J332" s="33">
        <f>敌人!I$69</f>
        <v>0</v>
      </c>
      <c r="K332" s="372" t="str">
        <f ca="1">敌人!J$69</f>
        <v>ＨＰ／ＳＰ／ＢＰ恢复的果酱</v>
      </c>
      <c r="L332" s="371"/>
      <c r="M332" s="371"/>
      <c r="N332" s="32"/>
      <c r="O332" s="375" t="str">
        <f ca="1">语言!A$372&amp;" (9 "&amp;语言!$A$19&amp;")"</f>
        <v>葛鲁德修亚 (9 宝箱)</v>
      </c>
      <c r="P332" s="371"/>
      <c r="Q332" s="371"/>
      <c r="R332" s="371"/>
      <c r="S332" s="32"/>
      <c r="T332" s="373" t="str">
        <f ca="1">语言!A$372</f>
        <v>葛鲁德修亚</v>
      </c>
      <c r="U332" s="371"/>
      <c r="V332" s="371"/>
      <c r="W332" s="32"/>
      <c r="X332" s="373" t="str">
        <f ca="1">语言!A$372</f>
        <v>葛鲁德修亚</v>
      </c>
      <c r="Y332" s="371"/>
      <c r="Z332" s="371"/>
      <c r="AA332" s="32"/>
    </row>
    <row r="333" spans="1:27" ht="12.75" x14ac:dyDescent="0.2">
      <c r="A333" s="32"/>
      <c r="B333" s="374" t="str">
        <f ca="1">"Common Areas ("&amp;语言!$A$12&amp;" 23 - 26 - 31 - 34)"</f>
        <v>Common Areas (危险度 23 - 26 - 31 - 34)</v>
      </c>
      <c r="C333" s="371"/>
      <c r="D333" s="371"/>
      <c r="E333" s="371"/>
      <c r="F333" s="371"/>
      <c r="G333" s="371"/>
      <c r="H333" s="371"/>
      <c r="I333" s="371"/>
      <c r="J333" s="371"/>
      <c r="K333" s="371"/>
      <c r="L333" s="371"/>
      <c r="M333" s="371"/>
      <c r="N333" s="32"/>
      <c r="O333" s="34" t="b">
        <v>0</v>
      </c>
      <c r="P333" s="370" t="str">
        <f ca="1">道具!$C$6</f>
        <v>ＳＰ恢复的李子</v>
      </c>
      <c r="Q333" s="371"/>
      <c r="R333" s="371"/>
      <c r="S333" s="32"/>
      <c r="T333" s="33" t="b">
        <v>0</v>
      </c>
      <c r="U333" s="372" t="str">
        <f ca="1">道具!$C$38</f>
        <v>雷之精灵石（特大）</v>
      </c>
      <c r="V333" s="371"/>
      <c r="W333" s="32"/>
      <c r="X333" s="372" t="b">
        <v>0</v>
      </c>
      <c r="Y333" s="471" t="str">
        <f ca="1">语言!$A$1838&amp;" (NPC)"</f>
        <v>持有勋章的凶暴男子 (NPC)</v>
      </c>
      <c r="Z333" s="472" t="str">
        <f ca="1">"NPC disapear after you "&amp;语言!$A$47&amp;" / "&amp;语言!$A$51&amp;" him.  He doesn't have much interesting on him but he deserves to get stolen."</f>
        <v>NPC disapear after you 比试 / 唆使 him.  He doesn't have much interesting on him but he deserves to get stolen.</v>
      </c>
      <c r="AA333" s="32"/>
    </row>
    <row r="334" spans="1:27" ht="12.75" x14ac:dyDescent="0.2">
      <c r="A334" s="32"/>
      <c r="B334" s="375" t="str">
        <f ca="1">语言!A$375</f>
        <v>月隐海道</v>
      </c>
      <c r="C334" s="371"/>
      <c r="D334" s="371"/>
      <c r="E334" s="371"/>
      <c r="F334" s="371"/>
      <c r="G334" s="371"/>
      <c r="H334" s="371"/>
      <c r="I334" s="371"/>
      <c r="J334" s="371"/>
      <c r="K334" s="371"/>
      <c r="L334" s="371"/>
      <c r="M334" s="371"/>
      <c r="N334" s="32"/>
      <c r="O334" s="34" t="b">
        <v>0</v>
      </c>
      <c r="P334" s="370" t="str">
        <f ca="1">道具!$C$37</f>
        <v>雷之精灵石（大）</v>
      </c>
      <c r="Q334" s="371"/>
      <c r="R334" s="371"/>
      <c r="S334" s="32"/>
      <c r="T334" s="33" t="b">
        <v>0</v>
      </c>
      <c r="U334" s="372" t="str">
        <f ca="1">道具!$C$127</f>
        <v>放了铜块的麻袋</v>
      </c>
      <c r="V334" s="371"/>
      <c r="W334" s="32"/>
      <c r="X334" s="371"/>
      <c r="Y334" s="371"/>
      <c r="Z334" s="371"/>
      <c r="AA334" s="32"/>
    </row>
    <row r="335" spans="1:27" ht="12.75" x14ac:dyDescent="0.2">
      <c r="A335" s="32"/>
      <c r="B335" s="375" t="str">
        <f ca="1">语言!A$376</f>
        <v>西葛鲁德修亚海道</v>
      </c>
      <c r="C335" s="371"/>
      <c r="D335" s="371"/>
      <c r="E335" s="371"/>
      <c r="F335" s="371"/>
      <c r="G335" s="371"/>
      <c r="H335" s="371"/>
      <c r="I335" s="371"/>
      <c r="J335" s="371"/>
      <c r="K335" s="371"/>
      <c r="L335" s="371"/>
      <c r="M335" s="371"/>
      <c r="N335" s="32"/>
      <c r="O335" s="34" t="b">
        <v>0</v>
      </c>
      <c r="P335" s="370" t="str">
        <f ca="1">道具!$C$14</f>
        <v>复活的橄榄</v>
      </c>
      <c r="Q335" s="371"/>
      <c r="R335" s="371"/>
      <c r="S335" s="32"/>
      <c r="T335" s="33" t="b">
        <v>0</v>
      </c>
      <c r="U335" s="372" t="str">
        <f ca="1">道具!$C$5</f>
        <v>ＨＰ全体恢复的葡萄</v>
      </c>
      <c r="V335" s="371"/>
      <c r="W335" s="32"/>
      <c r="X335" s="371"/>
      <c r="Y335" s="371"/>
      <c r="Z335" s="371"/>
      <c r="AA335" s="32"/>
    </row>
    <row r="336" spans="1:27" ht="12.75" x14ac:dyDescent="0.2">
      <c r="A336" s="32"/>
      <c r="B336" s="34" t="b">
        <v>0</v>
      </c>
      <c r="C336" s="425" t="str">
        <f ca="1">敌人!C$296&amp;" (31-)"</f>
        <v>海之鸟人 IV (31-)</v>
      </c>
      <c r="D336" s="371"/>
      <c r="E336" s="34">
        <f>敌人!D$296</f>
        <v>2</v>
      </c>
      <c r="F336" s="34">
        <f>敌人!E$296</f>
        <v>0</v>
      </c>
      <c r="G336" s="34">
        <f>敌人!F$296</f>
        <v>0</v>
      </c>
      <c r="H336" s="34">
        <f>敌人!G$296</f>
        <v>0</v>
      </c>
      <c r="I336" s="34">
        <f>敌人!H$296</f>
        <v>0</v>
      </c>
      <c r="J336" s="34">
        <f>敌人!I$296</f>
        <v>0</v>
      </c>
      <c r="K336" s="370" t="str">
        <f ca="1">敌人!J$296</f>
        <v>ＨＰ恢复的葡萄（大）</v>
      </c>
      <c r="L336" s="371"/>
      <c r="M336" s="371"/>
      <c r="N336" s="32"/>
      <c r="O336" s="34" t="b">
        <v>0</v>
      </c>
      <c r="P336" s="370" t="s">
        <v>23</v>
      </c>
      <c r="Q336" s="371"/>
      <c r="R336" s="371"/>
      <c r="S336" s="32"/>
      <c r="T336" s="33" t="b">
        <v>0</v>
      </c>
      <c r="U336" s="372" t="str">
        <f ca="1">道具!$C$96</f>
        <v>装了破烂儿的小袋子</v>
      </c>
      <c r="V336" s="371"/>
      <c r="W336" s="32"/>
      <c r="X336" s="32"/>
      <c r="Y336" s="32"/>
      <c r="Z336" s="32"/>
      <c r="AA336" s="32"/>
    </row>
    <row r="337" spans="1:27" ht="12.75" x14ac:dyDescent="0.2">
      <c r="A337" s="32"/>
      <c r="B337" s="34" t="b">
        <v>0</v>
      </c>
      <c r="C337" s="370" t="str">
        <f ca="1">敌人!C$297</f>
        <v>海之鸟人 V</v>
      </c>
      <c r="D337" s="371"/>
      <c r="E337" s="34">
        <f>敌人!D$297</f>
        <v>3</v>
      </c>
      <c r="F337" s="34">
        <f>敌人!E$297</f>
        <v>0</v>
      </c>
      <c r="G337" s="34">
        <f>敌人!F$297</f>
        <v>0</v>
      </c>
      <c r="H337" s="34">
        <f>敌人!G$297</f>
        <v>0</v>
      </c>
      <c r="I337" s="34">
        <f>敌人!H$297</f>
        <v>0</v>
      </c>
      <c r="J337" s="34">
        <f>敌人!I$297</f>
        <v>0</v>
      </c>
      <c r="K337" s="370" t="str">
        <f ca="1">敌人!J$297</f>
        <v>睡眠花之叶</v>
      </c>
      <c r="L337" s="371"/>
      <c r="M337" s="371"/>
      <c r="N337" s="32"/>
      <c r="O337" s="34" t="b">
        <v>0</v>
      </c>
      <c r="P337" s="370" t="str">
        <f ca="1">道具!$C$19</f>
        <v>沉默治疗药草</v>
      </c>
      <c r="Q337" s="371"/>
      <c r="R337" s="371"/>
      <c r="S337" s="32"/>
      <c r="T337" s="33" t="b">
        <v>0</v>
      </c>
      <c r="U337" s="372" t="str">
        <f ca="1">道具!$C$4</f>
        <v>ＨＰ恢复的葡萄（大）</v>
      </c>
      <c r="V337" s="371"/>
      <c r="W337" s="32"/>
      <c r="X337" s="32"/>
      <c r="Y337" s="32"/>
      <c r="Z337" s="32"/>
      <c r="AA337" s="32"/>
    </row>
    <row r="338" spans="1:27" ht="12.75" x14ac:dyDescent="0.2">
      <c r="A338" s="32"/>
      <c r="B338" s="34" t="b">
        <v>0</v>
      </c>
      <c r="C338" s="370" t="str">
        <f ca="1">敌人!C$298&amp;" (26+)"</f>
        <v>海之鸟人 VI (26+)</v>
      </c>
      <c r="D338" s="371"/>
      <c r="E338" s="34">
        <f>敌人!D$298</f>
        <v>1</v>
      </c>
      <c r="F338" s="34">
        <f>敌人!E$298</f>
        <v>0</v>
      </c>
      <c r="G338" s="34">
        <f>敌人!F$298</f>
        <v>0</v>
      </c>
      <c r="H338" s="34">
        <f>敌人!G$298</f>
        <v>0</v>
      </c>
      <c r="I338" s="34">
        <f>敌人!H$298</f>
        <v>0</v>
      </c>
      <c r="J338" s="34">
        <f>敌人!I$298</f>
        <v>0</v>
      </c>
      <c r="K338" s="370" t="str">
        <f ca="1">敌人!J$298</f>
        <v>ＳＰ恢复的李子</v>
      </c>
      <c r="L338" s="371"/>
      <c r="M338" s="371"/>
      <c r="N338" s="32"/>
      <c r="O338" s="34" t="b">
        <v>0</v>
      </c>
      <c r="P338" s="370" t="str">
        <f ca="1">道具!$C$10</f>
        <v>ＢＰ恢复的石榴（大）</v>
      </c>
      <c r="Q338" s="371"/>
      <c r="R338" s="371"/>
      <c r="S338" s="32"/>
      <c r="T338" s="33" t="b">
        <v>0</v>
      </c>
      <c r="U338" s="372" t="str">
        <f ca="1">道具!$C$264</f>
        <v>银制斧</v>
      </c>
      <c r="V338" s="371"/>
      <c r="W338" s="32"/>
      <c r="X338" s="32"/>
      <c r="Y338" s="32"/>
      <c r="Z338" s="32"/>
      <c r="AA338" s="32"/>
    </row>
    <row r="339" spans="1:27" ht="12.75" x14ac:dyDescent="0.2">
      <c r="A339" s="32"/>
      <c r="B339" s="34" t="b">
        <v>0</v>
      </c>
      <c r="C339" s="370" t="str">
        <f ca="1">敌人!C$299&amp;" (31+)"</f>
        <v>海之大鸟人 I (31+)</v>
      </c>
      <c r="D339" s="371"/>
      <c r="E339" s="34">
        <f>敌人!D$299</f>
        <v>3</v>
      </c>
      <c r="F339" s="34">
        <f>敌人!E$299</f>
        <v>0</v>
      </c>
      <c r="G339" s="34">
        <f>敌人!F$299</f>
        <v>0</v>
      </c>
      <c r="H339" s="34">
        <f>敌人!G$299</f>
        <v>0</v>
      </c>
      <c r="I339" s="34">
        <f>敌人!H$299</f>
        <v>0</v>
      </c>
      <c r="J339" s="34">
        <f>敌人!I$299</f>
        <v>0</v>
      </c>
      <c r="K339" s="370" t="str">
        <f ca="1">敌人!J$299</f>
        <v>ＳＰ恢复的李子</v>
      </c>
      <c r="L339" s="371"/>
      <c r="M339" s="371"/>
      <c r="N339" s="32"/>
      <c r="O339" s="34" t="b">
        <v>0</v>
      </c>
      <c r="P339" s="370" t="str">
        <f ca="1">道具!$C$14</f>
        <v>复活的橄榄</v>
      </c>
      <c r="Q339" s="371"/>
      <c r="R339" s="371"/>
      <c r="S339" s="32"/>
      <c r="T339" s="33" t="b">
        <v>0</v>
      </c>
      <c r="U339" s="372" t="str">
        <f ca="1">道具!$C$42</f>
        <v>风之精灵石（特大）</v>
      </c>
      <c r="V339" s="371"/>
      <c r="W339" s="32"/>
      <c r="X339" s="32"/>
      <c r="Y339" s="32"/>
      <c r="Z339" s="32"/>
      <c r="AA339" s="32"/>
    </row>
    <row r="340" spans="1:27" ht="12.75" x14ac:dyDescent="0.2">
      <c r="A340" s="32"/>
      <c r="B340" s="34" t="b">
        <v>0</v>
      </c>
      <c r="C340" s="425" t="str">
        <f ca="1">敌人!C$42&amp;" (31-)"</f>
        <v>海盗（曲剑） I (31-)</v>
      </c>
      <c r="D340" s="371"/>
      <c r="E340" s="34">
        <f>敌人!D$42</f>
        <v>2</v>
      </c>
      <c r="F340" s="34">
        <f>敌人!E$42</f>
        <v>0</v>
      </c>
      <c r="G340" s="34">
        <f>敌人!F$42</f>
        <v>0</v>
      </c>
      <c r="H340" s="34">
        <f>敌人!G$42</f>
        <v>0</v>
      </c>
      <c r="I340" s="34">
        <f>敌人!H$42</f>
        <v>0</v>
      </c>
      <c r="J340" s="34">
        <f>敌人!I$42</f>
        <v>0</v>
      </c>
      <c r="K340" s="370" t="str">
        <f ca="1">敌人!J$42</f>
        <v>空空的钱包</v>
      </c>
      <c r="L340" s="371"/>
      <c r="M340" s="371"/>
      <c r="N340" s="32"/>
      <c r="O340" s="34" t="b">
        <v>0</v>
      </c>
      <c r="P340" s="370" t="str">
        <f ca="1">道具!$C$20</f>
        <v>黑暗治疗药草</v>
      </c>
      <c r="Q340" s="371"/>
      <c r="R340" s="371"/>
      <c r="S340" s="32"/>
      <c r="T340" s="33" t="b">
        <v>0</v>
      </c>
      <c r="U340" s="372" t="str">
        <f ca="1">道具!$C$10</f>
        <v>ＢＰ恢复的石榴（大）</v>
      </c>
      <c r="V340" s="371"/>
      <c r="W340" s="32"/>
      <c r="X340" s="32"/>
      <c r="Y340" s="32"/>
      <c r="Z340" s="32"/>
      <c r="AA340" s="32"/>
    </row>
    <row r="341" spans="1:27" ht="12.75" x14ac:dyDescent="0.2">
      <c r="A341" s="32"/>
      <c r="B341" s="34" t="b">
        <v>0</v>
      </c>
      <c r="C341" s="370" t="str">
        <f ca="1">敌人!C$43</f>
        <v>海盗（曲剑） II</v>
      </c>
      <c r="D341" s="371"/>
      <c r="E341" s="34">
        <f>敌人!D$43</f>
        <v>3</v>
      </c>
      <c r="F341" s="34">
        <f>敌人!E$43</f>
        <v>0</v>
      </c>
      <c r="G341" s="34">
        <f>敌人!F$43</f>
        <v>0</v>
      </c>
      <c r="H341" s="34">
        <f>敌人!G$43</f>
        <v>0</v>
      </c>
      <c r="I341" s="34">
        <f>敌人!H$43</f>
        <v>0</v>
      </c>
      <c r="J341" s="34">
        <f>敌人!I$43</f>
        <v>0</v>
      </c>
      <c r="K341" s="370" t="str">
        <f ca="1">敌人!J$43</f>
        <v>空空的钱包</v>
      </c>
      <c r="L341" s="371"/>
      <c r="M341" s="371"/>
      <c r="N341" s="32"/>
      <c r="O341" s="34" t="b">
        <v>0</v>
      </c>
      <c r="P341" s="370" t="str">
        <f ca="1">道具!$C$8</f>
        <v>ＳＰ全体恢复的李子</v>
      </c>
      <c r="Q341" s="371"/>
      <c r="R341" s="371"/>
      <c r="S341" s="32"/>
      <c r="T341" s="32"/>
      <c r="U341" s="376"/>
      <c r="V341" s="371"/>
      <c r="W341" s="32"/>
      <c r="X341" s="32"/>
      <c r="Y341" s="32"/>
      <c r="Z341" s="32"/>
      <c r="AA341" s="32"/>
    </row>
    <row r="342" spans="1:27" ht="12.75" x14ac:dyDescent="0.2">
      <c r="A342" s="32"/>
      <c r="B342" s="34" t="b">
        <v>0</v>
      </c>
      <c r="C342" s="370" t="str">
        <f ca="1">敌人!C$290&amp;" (31-)"</f>
        <v>剪刀蟹 (31-)</v>
      </c>
      <c r="D342" s="371"/>
      <c r="E342" s="34">
        <f>敌人!D$290</f>
        <v>2</v>
      </c>
      <c r="F342" s="34">
        <f>敌人!E$290</f>
        <v>0</v>
      </c>
      <c r="G342" s="34">
        <f>敌人!F$290</f>
        <v>0</v>
      </c>
      <c r="H342" s="34">
        <f>敌人!G$290</f>
        <v>0</v>
      </c>
      <c r="I342" s="34">
        <f>敌人!H$290</f>
        <v>0</v>
      </c>
      <c r="J342" s="34">
        <f>敌人!I$290</f>
        <v>0</v>
      </c>
      <c r="K342" s="370" t="str">
        <f ca="1">敌人!J$290</f>
        <v>睡眠花之叶</v>
      </c>
      <c r="L342" s="371"/>
      <c r="M342" s="371"/>
      <c r="N342" s="32"/>
      <c r="O342" s="375" t="str">
        <f ca="1">语言!A$375&amp;" (4 "&amp;语言!$A$19&amp;")"</f>
        <v>月隐海道 (4 宝箱)</v>
      </c>
      <c r="P342" s="371"/>
      <c r="Q342" s="371"/>
      <c r="R342" s="371"/>
      <c r="S342" s="32"/>
      <c r="T342" s="32"/>
      <c r="U342" s="376"/>
      <c r="V342" s="371"/>
      <c r="W342" s="32"/>
      <c r="X342" s="32"/>
      <c r="Y342" s="32"/>
      <c r="Z342" s="32"/>
      <c r="AA342" s="32"/>
    </row>
    <row r="343" spans="1:27" ht="12.75" x14ac:dyDescent="0.2">
      <c r="A343" s="32"/>
      <c r="B343" s="34" t="b">
        <v>0</v>
      </c>
      <c r="C343" s="370" t="str">
        <f ca="1">敌人!C$291&amp;" (31+)"</f>
        <v>剪刀蟹异种 (31+)</v>
      </c>
      <c r="D343" s="371"/>
      <c r="E343" s="34">
        <f>敌人!D$291</f>
        <v>3</v>
      </c>
      <c r="F343" s="34">
        <f>敌人!E$291</f>
        <v>0</v>
      </c>
      <c r="G343" s="34">
        <f>敌人!F$291</f>
        <v>0</v>
      </c>
      <c r="H343" s="34">
        <f>敌人!G$291</f>
        <v>0</v>
      </c>
      <c r="I343" s="34">
        <f>敌人!H$291</f>
        <v>0</v>
      </c>
      <c r="J343" s="34">
        <f>敌人!I$291</f>
        <v>0</v>
      </c>
      <c r="K343" s="370" t="str">
        <f ca="1">敌人!J$291</f>
        <v>睡眠花之叶</v>
      </c>
      <c r="L343" s="371"/>
      <c r="M343" s="371"/>
      <c r="N343" s="32"/>
      <c r="O343" s="34" t="b">
        <v>0</v>
      </c>
      <c r="P343" s="370" t="str">
        <f ca="1">道具!$C$4</f>
        <v>ＨＰ恢复的葡萄（大）</v>
      </c>
      <c r="Q343" s="371"/>
      <c r="R343" s="371"/>
      <c r="S343" s="32"/>
      <c r="T343" s="32"/>
      <c r="U343" s="376"/>
      <c r="V343" s="371"/>
      <c r="W343" s="32"/>
      <c r="X343" s="32"/>
      <c r="Y343" s="32"/>
      <c r="Z343" s="32"/>
      <c r="AA343" s="32"/>
    </row>
    <row r="344" spans="1:27" ht="12.75" x14ac:dyDescent="0.2">
      <c r="A344" s="32"/>
      <c r="B344" s="34" t="b">
        <v>0</v>
      </c>
      <c r="C344" s="370" t="str">
        <f ca="1">敌人!C$269&amp;" (23-26-34)"</f>
        <v>岩龟 (23-26-34)</v>
      </c>
      <c r="D344" s="371"/>
      <c r="E344" s="34">
        <f>敌人!D$269</f>
        <v>3</v>
      </c>
      <c r="F344" s="34">
        <f>敌人!E$269</f>
        <v>0</v>
      </c>
      <c r="G344" s="34">
        <f>敌人!F$269</f>
        <v>0</v>
      </c>
      <c r="H344" s="34">
        <f>敌人!G$269</f>
        <v>0</v>
      </c>
      <c r="I344" s="34">
        <f>敌人!H$269</f>
        <v>0</v>
      </c>
      <c r="J344" s="34">
        <f>敌人!I$269</f>
        <v>0</v>
      </c>
      <c r="K344" s="370" t="str">
        <f ca="1">敌人!J$269</f>
        <v>橄榄花</v>
      </c>
      <c r="L344" s="371"/>
      <c r="M344" s="371"/>
      <c r="N344" s="32"/>
      <c r="O344" s="34" t="b">
        <v>0</v>
      </c>
      <c r="P344" s="370" t="str">
        <f ca="1">道具!$C$127</f>
        <v>放了铜块的麻袋</v>
      </c>
      <c r="Q344" s="371"/>
      <c r="R344" s="371"/>
      <c r="S344" s="32"/>
      <c r="T344" s="32"/>
      <c r="U344" s="376"/>
      <c r="V344" s="371"/>
      <c r="W344" s="32"/>
      <c r="X344" s="32"/>
      <c r="Y344" s="32"/>
      <c r="Z344" s="32"/>
      <c r="AA344" s="32"/>
    </row>
    <row r="345" spans="1:27" ht="12.75" x14ac:dyDescent="0.2">
      <c r="A345" s="32"/>
      <c r="B345" s="34" t="b">
        <v>0</v>
      </c>
      <c r="C345" s="370" t="str">
        <f ca="1">敌人!C$226&amp;" (31+)"</f>
        <v>苔龟 (31+)</v>
      </c>
      <c r="D345" s="371"/>
      <c r="E345" s="34">
        <f>敌人!D$226</f>
        <v>4</v>
      </c>
      <c r="F345" s="34">
        <f>敌人!E$226</f>
        <v>0</v>
      </c>
      <c r="G345" s="34">
        <f>敌人!F$226</f>
        <v>0</v>
      </c>
      <c r="H345" s="34">
        <f>敌人!G$226</f>
        <v>0</v>
      </c>
      <c r="I345" s="34">
        <f>敌人!H$226</f>
        <v>0</v>
      </c>
      <c r="J345" s="34">
        <f>敌人!I$226</f>
        <v>0</v>
      </c>
      <c r="K345" s="370" t="str">
        <f ca="1">敌人!J$226</f>
        <v>橄榄花</v>
      </c>
      <c r="L345" s="371"/>
      <c r="M345" s="371"/>
      <c r="N345" s="32"/>
      <c r="O345" s="34" t="b">
        <v>0</v>
      </c>
      <c r="P345" s="370" t="str">
        <f ca="1">道具!$C$521&amp;" ("&amp;语言!$A$20&amp;")"</f>
        <v>沉默耐性石 (上锁宝箱)</v>
      </c>
      <c r="Q345" s="371"/>
      <c r="R345" s="371"/>
      <c r="S345" s="32"/>
      <c r="T345" s="32"/>
      <c r="U345" s="376"/>
      <c r="V345" s="371"/>
      <c r="W345" s="32"/>
      <c r="X345" s="32"/>
      <c r="Y345" s="32"/>
      <c r="Z345" s="32"/>
      <c r="AA345" s="32"/>
    </row>
    <row r="346" spans="1:27" ht="12.75" x14ac:dyDescent="0.2">
      <c r="A346" s="32"/>
      <c r="B346" s="34" t="b">
        <v>0</v>
      </c>
      <c r="C346" s="370" t="str">
        <f ca="1">敌人!C$194&amp;" (31+)"</f>
        <v>海雀 (31+)</v>
      </c>
      <c r="D346" s="371"/>
      <c r="E346" s="34">
        <f>敌人!D$194</f>
        <v>3</v>
      </c>
      <c r="F346" s="34">
        <f>敌人!E$194</f>
        <v>0</v>
      </c>
      <c r="G346" s="34">
        <f>敌人!F$194</f>
        <v>0</v>
      </c>
      <c r="H346" s="34">
        <f>敌人!G$194</f>
        <v>0</v>
      </c>
      <c r="I346" s="34">
        <f>敌人!H$194</f>
        <v>0</v>
      </c>
      <c r="J346" s="34">
        <f>敌人!I$194</f>
        <v>0</v>
      </c>
      <c r="K346" s="370" t="str">
        <f ca="1">敌人!J$194</f>
        <v>复活的橄榄</v>
      </c>
      <c r="L346" s="371"/>
      <c r="M346" s="371"/>
      <c r="N346" s="32"/>
      <c r="O346" s="34" t="b">
        <v>0</v>
      </c>
      <c r="P346" s="370" t="str">
        <f ca="1">道具!$C$6</f>
        <v>ＳＰ恢复的李子</v>
      </c>
      <c r="Q346" s="371"/>
      <c r="R346" s="371"/>
      <c r="S346" s="32"/>
      <c r="T346" s="32"/>
      <c r="U346" s="376"/>
      <c r="V346" s="371"/>
      <c r="W346" s="32"/>
      <c r="X346" s="32"/>
      <c r="Y346" s="32"/>
      <c r="Z346" s="32"/>
      <c r="AA346" s="32"/>
    </row>
    <row r="347" spans="1:27" ht="12.75" x14ac:dyDescent="0.2">
      <c r="A347" s="32"/>
      <c r="B347" s="32"/>
      <c r="C347" s="376"/>
      <c r="D347" s="371"/>
      <c r="E347" s="32"/>
      <c r="F347" s="32"/>
      <c r="G347" s="32"/>
      <c r="H347" s="32"/>
      <c r="I347" s="32"/>
      <c r="J347" s="32"/>
      <c r="K347" s="376"/>
      <c r="L347" s="371"/>
      <c r="M347" s="371"/>
      <c r="N347" s="32"/>
      <c r="O347" s="375" t="str">
        <f ca="1">语言!A$376&amp;" (4 "&amp;语言!$A$19&amp;")"</f>
        <v>西葛鲁德修亚海道 (4 宝箱)</v>
      </c>
      <c r="P347" s="371"/>
      <c r="Q347" s="371"/>
      <c r="R347" s="371"/>
      <c r="S347" s="32"/>
      <c r="T347" s="32"/>
      <c r="U347" s="376"/>
      <c r="V347" s="371"/>
      <c r="W347" s="32"/>
      <c r="X347" s="32"/>
      <c r="Y347" s="32"/>
      <c r="Z347" s="32"/>
      <c r="AA347" s="32"/>
    </row>
    <row r="348" spans="1:27" ht="12.75" x14ac:dyDescent="0.2">
      <c r="A348" s="32"/>
      <c r="B348" s="375" t="str">
        <f ca="1">语言!A$377&amp;" ("&amp;语言!$A$12&amp;" 35)"</f>
        <v>噬船海穴 (危险度 35)</v>
      </c>
      <c r="C348" s="371"/>
      <c r="D348" s="371"/>
      <c r="E348" s="371"/>
      <c r="F348" s="371"/>
      <c r="G348" s="371"/>
      <c r="H348" s="371"/>
      <c r="I348" s="371"/>
      <c r="J348" s="371"/>
      <c r="K348" s="371"/>
      <c r="L348" s="371"/>
      <c r="M348" s="371"/>
      <c r="N348" s="32"/>
      <c r="O348" s="34" t="b">
        <v>0</v>
      </c>
      <c r="P348" s="370" t="str">
        <f ca="1">道具!$C$9</f>
        <v>ＢＰ恢复的石榴</v>
      </c>
      <c r="Q348" s="371"/>
      <c r="R348" s="371"/>
      <c r="S348" s="32"/>
      <c r="T348" s="32"/>
      <c r="U348" s="376"/>
      <c r="V348" s="371"/>
      <c r="W348" s="32"/>
      <c r="X348" s="32"/>
      <c r="Y348" s="32"/>
      <c r="Z348" s="32"/>
      <c r="AA348" s="32"/>
    </row>
    <row r="349" spans="1:27" ht="12.75" x14ac:dyDescent="0.2">
      <c r="A349" s="32"/>
      <c r="B349" s="34" t="b">
        <v>0</v>
      </c>
      <c r="C349" s="370" t="str">
        <f ca="1">敌人!C$16</f>
        <v>蓝苔海胆</v>
      </c>
      <c r="D349" s="371"/>
      <c r="E349" s="34">
        <f>敌人!D$16</f>
        <v>1</v>
      </c>
      <c r="F349" s="34">
        <f>敌人!E$16</f>
        <v>0</v>
      </c>
      <c r="G349" s="34">
        <f>敌人!F$16</f>
        <v>0</v>
      </c>
      <c r="H349" s="34">
        <f>敌人!G$16</f>
        <v>0</v>
      </c>
      <c r="I349" s="34">
        <f>敌人!H$16</f>
        <v>0</v>
      </c>
      <c r="J349" s="34">
        <f>敌人!I$16</f>
        <v>0</v>
      </c>
      <c r="K349" s="370" t="str">
        <f ca="1">敌人!J$16</f>
        <v>复活的橄榄</v>
      </c>
      <c r="L349" s="371"/>
      <c r="M349" s="371"/>
      <c r="N349" s="32"/>
      <c r="O349" s="34" t="b">
        <v>0</v>
      </c>
      <c r="P349" s="370" t="str">
        <f ca="1">道具!$C$26</f>
        <v>暗黑瓶</v>
      </c>
      <c r="Q349" s="371"/>
      <c r="R349" s="371"/>
      <c r="S349" s="32"/>
      <c r="T349" s="32"/>
      <c r="U349" s="376"/>
      <c r="V349" s="371"/>
      <c r="W349" s="32"/>
      <c r="X349" s="32"/>
      <c r="Y349" s="32"/>
      <c r="Z349" s="32"/>
      <c r="AA349" s="32"/>
    </row>
    <row r="350" spans="1:27" ht="12.75" x14ac:dyDescent="0.2">
      <c r="A350" s="32"/>
      <c r="B350" s="34" t="b">
        <v>0</v>
      </c>
      <c r="C350" s="370" t="str">
        <f ca="1">敌人!C$25</f>
        <v>黑剪蟹</v>
      </c>
      <c r="D350" s="371"/>
      <c r="E350" s="34">
        <f>敌人!D$25</f>
        <v>2</v>
      </c>
      <c r="F350" s="34">
        <f>敌人!E$25</f>
        <v>0</v>
      </c>
      <c r="G350" s="34">
        <f>敌人!F$25</f>
        <v>0</v>
      </c>
      <c r="H350" s="34">
        <f>敌人!G$25</f>
        <v>0</v>
      </c>
      <c r="I350" s="34">
        <f>敌人!H$25</f>
        <v>0</v>
      </c>
      <c r="J350" s="34">
        <f>敌人!I$25</f>
        <v>0</v>
      </c>
      <c r="K350" s="370" t="str">
        <f ca="1">敌人!J$25</f>
        <v>神秘之花</v>
      </c>
      <c r="L350" s="371"/>
      <c r="M350" s="371"/>
      <c r="N350" s="32"/>
      <c r="O350" s="34" t="b">
        <v>0</v>
      </c>
      <c r="P350" s="370" t="str">
        <f ca="1">道具!$C$23</f>
        <v>恐怖治疗药草</v>
      </c>
      <c r="Q350" s="371"/>
      <c r="R350" s="371"/>
      <c r="S350" s="32"/>
      <c r="T350" s="32"/>
      <c r="U350" s="376"/>
      <c r="V350" s="371"/>
      <c r="W350" s="32"/>
      <c r="X350" s="32"/>
      <c r="Y350" s="32"/>
      <c r="Z350" s="32"/>
      <c r="AA350" s="32"/>
    </row>
    <row r="351" spans="1:27" ht="12.75" x14ac:dyDescent="0.2">
      <c r="A351" s="32"/>
      <c r="B351" s="34" t="b">
        <v>0</v>
      </c>
      <c r="C351" s="370" t="str">
        <f ca="1">敌人!C$46</f>
        <v>海盗骷髅</v>
      </c>
      <c r="D351" s="371"/>
      <c r="E351" s="34">
        <f>敌人!D$46</f>
        <v>1</v>
      </c>
      <c r="F351" s="34">
        <f>敌人!E$46</f>
        <v>0</v>
      </c>
      <c r="G351" s="34">
        <f>敌人!F$46</f>
        <v>0</v>
      </c>
      <c r="H351" s="34">
        <f>敌人!G$46</f>
        <v>0</v>
      </c>
      <c r="I351" s="34">
        <f>敌人!H$46</f>
        <v>0</v>
      </c>
      <c r="J351" s="34">
        <f>敌人!I$46</f>
        <v>0</v>
      </c>
      <c r="K351" s="370" t="str">
        <f ca="1">敌人!J$46</f>
        <v>发梳</v>
      </c>
      <c r="L351" s="371"/>
      <c r="M351" s="371"/>
      <c r="N351" s="32"/>
      <c r="O351" s="34" t="b">
        <v>0</v>
      </c>
      <c r="P351" s="370" t="str">
        <f ca="1">道具!$C$37</f>
        <v>雷之精灵石（大）</v>
      </c>
      <c r="Q351" s="371"/>
      <c r="R351" s="371"/>
      <c r="S351" s="32"/>
      <c r="T351" s="32"/>
      <c r="U351" s="376"/>
      <c r="V351" s="371"/>
      <c r="W351" s="32"/>
      <c r="X351" s="32"/>
      <c r="Y351" s="32"/>
      <c r="Z351" s="32"/>
      <c r="AA351" s="32"/>
    </row>
    <row r="352" spans="1:27" ht="12.75" x14ac:dyDescent="0.2">
      <c r="A352" s="32"/>
      <c r="B352" s="34" t="b">
        <v>0</v>
      </c>
      <c r="C352" s="370" t="str">
        <f ca="1">敌人!C$82</f>
        <v>海盗骷髅异种</v>
      </c>
      <c r="D352" s="371"/>
      <c r="E352" s="34">
        <f>敌人!D$82</f>
        <v>3</v>
      </c>
      <c r="F352" s="34">
        <f>敌人!E$82</f>
        <v>0</v>
      </c>
      <c r="G352" s="34">
        <f>敌人!F$82</f>
        <v>0</v>
      </c>
      <c r="H352" s="34">
        <f>敌人!G$82</f>
        <v>0</v>
      </c>
      <c r="I352" s="34">
        <f>敌人!H$82</f>
        <v>0</v>
      </c>
      <c r="J352" s="34">
        <f>敌人!I$82</f>
        <v>0</v>
      </c>
      <c r="K352" s="370" t="str">
        <f ca="1">敌人!J$82</f>
        <v>铜制提灯</v>
      </c>
      <c r="L352" s="371"/>
      <c r="M352" s="371"/>
      <c r="N352" s="32"/>
      <c r="O352" s="375" t="str">
        <f ca="1">语言!A$377&amp;" (6 "&amp;语言!$A$19&amp;")"</f>
        <v>噬船海穴 (6 宝箱)</v>
      </c>
      <c r="P352" s="371"/>
      <c r="Q352" s="371"/>
      <c r="R352" s="371"/>
      <c r="S352" s="32"/>
      <c r="T352" s="32"/>
      <c r="U352" s="376"/>
      <c r="V352" s="371"/>
      <c r="W352" s="32"/>
      <c r="X352" s="32"/>
      <c r="Y352" s="32"/>
      <c r="Z352" s="32"/>
      <c r="AA352" s="32"/>
    </row>
    <row r="353" spans="1:27" ht="12.75" x14ac:dyDescent="0.2">
      <c r="A353" s="32"/>
      <c r="B353" s="34" t="b">
        <v>0</v>
      </c>
      <c r="C353" s="370" t="str">
        <f ca="1">敌人!C$226</f>
        <v>苔龟</v>
      </c>
      <c r="D353" s="371"/>
      <c r="E353" s="34">
        <f>敌人!D$226</f>
        <v>4</v>
      </c>
      <c r="F353" s="34">
        <f>敌人!E$226</f>
        <v>0</v>
      </c>
      <c r="G353" s="34">
        <f>敌人!F$226</f>
        <v>0</v>
      </c>
      <c r="H353" s="34">
        <f>敌人!G$226</f>
        <v>0</v>
      </c>
      <c r="I353" s="34">
        <f>敌人!H$226</f>
        <v>0</v>
      </c>
      <c r="J353" s="34">
        <f>敌人!I$226</f>
        <v>0</v>
      </c>
      <c r="K353" s="370" t="str">
        <f ca="1">敌人!J$226</f>
        <v>橄榄花</v>
      </c>
      <c r="L353" s="371"/>
      <c r="M353" s="371"/>
      <c r="N353" s="32"/>
      <c r="O353" s="34" t="b">
        <v>0</v>
      </c>
      <c r="P353" s="370" t="str">
        <f ca="1">道具!$C$16</f>
        <v>复活的橄榄（大）</v>
      </c>
      <c r="Q353" s="371"/>
      <c r="R353" s="371"/>
      <c r="S353" s="32"/>
      <c r="T353" s="32"/>
      <c r="U353" s="376"/>
      <c r="V353" s="371"/>
      <c r="W353" s="32"/>
      <c r="X353" s="32"/>
      <c r="Y353" s="32"/>
      <c r="Z353" s="32"/>
      <c r="AA353" s="32"/>
    </row>
    <row r="354" spans="1:27" ht="12.75" x14ac:dyDescent="0.2">
      <c r="A354" s="32"/>
      <c r="B354" s="34" t="b">
        <v>0</v>
      </c>
      <c r="C354" s="370" t="str">
        <f ca="1">敌人!C$246</f>
        <v>双剪蟹</v>
      </c>
      <c r="D354" s="371"/>
      <c r="E354" s="34">
        <f>敌人!D$246</f>
        <v>5</v>
      </c>
      <c r="F354" s="34">
        <f>敌人!E$246</f>
        <v>0</v>
      </c>
      <c r="G354" s="34">
        <f>敌人!F$246</f>
        <v>0</v>
      </c>
      <c r="H354" s="34">
        <f>敌人!G$246</f>
        <v>0</v>
      </c>
      <c r="I354" s="34">
        <f>敌人!H$246</f>
        <v>0</v>
      </c>
      <c r="J354" s="34">
        <f>敌人!I$246</f>
        <v>0</v>
      </c>
      <c r="K354" s="370" t="str">
        <f ca="1">敌人!J$246</f>
        <v>睡眠花之叶</v>
      </c>
      <c r="L354" s="371"/>
      <c r="M354" s="371"/>
      <c r="N354" s="32"/>
      <c r="O354" s="34" t="b">
        <v>0</v>
      </c>
      <c r="P354" s="370" t="str">
        <f ca="1">道具!$C$5</f>
        <v>ＨＰ全体恢复的葡萄</v>
      </c>
      <c r="Q354" s="371"/>
      <c r="R354" s="371"/>
      <c r="S354" s="32"/>
      <c r="T354" s="32"/>
      <c r="U354" s="376"/>
      <c r="V354" s="371"/>
      <c r="W354" s="32"/>
      <c r="X354" s="32"/>
      <c r="Y354" s="32"/>
      <c r="Z354" s="32"/>
      <c r="AA354" s="32"/>
    </row>
    <row r="355" spans="1:27" ht="12.75" x14ac:dyDescent="0.2">
      <c r="A355" s="32"/>
      <c r="B355" s="34" t="b">
        <v>0</v>
      </c>
      <c r="C355" s="370" t="str">
        <f ca="1">敌人!C$291</f>
        <v>剪刀蟹异种</v>
      </c>
      <c r="D355" s="371"/>
      <c r="E355" s="34">
        <f>敌人!D$291</f>
        <v>3</v>
      </c>
      <c r="F355" s="34">
        <f>敌人!E$291</f>
        <v>0</v>
      </c>
      <c r="G355" s="34">
        <f>敌人!F$291</f>
        <v>0</v>
      </c>
      <c r="H355" s="34">
        <f>敌人!G$291</f>
        <v>0</v>
      </c>
      <c r="I355" s="34">
        <f>敌人!H$291</f>
        <v>0</v>
      </c>
      <c r="J355" s="34">
        <f>敌人!I$291</f>
        <v>0</v>
      </c>
      <c r="K355" s="370" t="str">
        <f ca="1">敌人!J$291</f>
        <v>睡眠花之叶</v>
      </c>
      <c r="L355" s="371"/>
      <c r="M355" s="371"/>
      <c r="N355" s="32"/>
      <c r="O355" s="34" t="b">
        <v>0</v>
      </c>
      <c r="P355" s="370" t="str">
        <f ca="1">道具!$C$11</f>
        <v>ＢＰ恢复的石榴（特大）</v>
      </c>
      <c r="Q355" s="371"/>
      <c r="R355" s="371"/>
      <c r="S355" s="32"/>
      <c r="T355" s="32"/>
      <c r="U355" s="376"/>
      <c r="V355" s="371"/>
      <c r="W355" s="32"/>
      <c r="X355" s="32"/>
      <c r="Y355" s="32"/>
      <c r="Z355" s="32"/>
      <c r="AA355" s="32"/>
    </row>
    <row r="356" spans="1:27" ht="12.75" x14ac:dyDescent="0.2">
      <c r="A356" s="32"/>
      <c r="B356" s="34" t="b">
        <v>0</v>
      </c>
      <c r="C356" s="370" t="str">
        <f ca="1">敌人!C$360</f>
        <v>风元素</v>
      </c>
      <c r="D356" s="371"/>
      <c r="E356" s="34">
        <f>敌人!D$360</f>
        <v>4</v>
      </c>
      <c r="F356" s="34">
        <f>敌人!E$360</f>
        <v>0</v>
      </c>
      <c r="G356" s="34">
        <f>敌人!F$360</f>
        <v>0</v>
      </c>
      <c r="H356" s="34">
        <f>敌人!G$360</f>
        <v>0</v>
      </c>
      <c r="I356" s="34">
        <f>敌人!H$360</f>
        <v>0</v>
      </c>
      <c r="J356" s="34">
        <f>敌人!I$360</f>
        <v>0</v>
      </c>
      <c r="K356" s="370" t="str">
        <f ca="1">敌人!J$360</f>
        <v>风之精灵石（特大）</v>
      </c>
      <c r="L356" s="371"/>
      <c r="M356" s="371"/>
      <c r="N356" s="32"/>
      <c r="O356" s="34" t="b">
        <v>0</v>
      </c>
      <c r="P356" s="370" t="str">
        <f ca="1">道具!$C$12</f>
        <v>ＨＰ／ＳＰ恢复的果酱</v>
      </c>
      <c r="Q356" s="371"/>
      <c r="R356" s="371"/>
      <c r="S356" s="32"/>
      <c r="T356" s="32"/>
      <c r="U356" s="376"/>
      <c r="V356" s="371"/>
      <c r="W356" s="32"/>
      <c r="X356" s="32"/>
      <c r="Y356" s="32"/>
      <c r="Z356" s="32"/>
      <c r="AA356" s="32"/>
    </row>
    <row r="357" spans="1:27" ht="12.75" x14ac:dyDescent="0.2">
      <c r="A357" s="32"/>
      <c r="B357" s="34" t="b">
        <v>0</v>
      </c>
      <c r="C357" s="370" t="str">
        <f ca="1">敌人!C$83&amp;" (kill "&amp;敌人!C$500&amp;" first)"</f>
        <v>梅伊尔史多洛姆 (kill 海兽 first)</v>
      </c>
      <c r="D357" s="371"/>
      <c r="E357" s="34">
        <f>敌人!D$83</f>
        <v>10</v>
      </c>
      <c r="F357" s="34">
        <f>敌人!E$83</f>
        <v>0</v>
      </c>
      <c r="G357" s="34">
        <f>敌人!F$83</f>
        <v>0</v>
      </c>
      <c r="H357" s="34">
        <f>敌人!G$83</f>
        <v>0</v>
      </c>
      <c r="I357" s="34">
        <f>敌人!H$83</f>
        <v>0</v>
      </c>
      <c r="J357" s="34">
        <f>敌人!I$83</f>
        <v>0</v>
      </c>
      <c r="K357" s="370" t="str">
        <f ca="1">敌人!J$83</f>
        <v>ＨＰ／ＳＰ／ＢＰ恢复的果酱</v>
      </c>
      <c r="L357" s="371"/>
      <c r="M357" s="371"/>
      <c r="N357" s="32"/>
      <c r="O357" s="34" t="b">
        <v>0</v>
      </c>
      <c r="P357" s="370" t="str">
        <f ca="1">道具!$C$521</f>
        <v>沉默耐性石</v>
      </c>
      <c r="Q357" s="371"/>
      <c r="R357" s="371"/>
      <c r="S357" s="32"/>
      <c r="T357" s="32"/>
      <c r="U357" s="376"/>
      <c r="V357" s="371"/>
      <c r="W357" s="32"/>
      <c r="X357" s="32"/>
      <c r="Y357" s="32"/>
      <c r="Z357" s="32"/>
      <c r="AA357" s="32"/>
    </row>
    <row r="358" spans="1:27" ht="12.75" x14ac:dyDescent="0.2">
      <c r="A358" s="32"/>
      <c r="B358" s="475" t="str">
        <f ca="1">语言!$A$15&amp;" (quest: Scourge of the Seas)"</f>
        <v>Boss (quest: Scourge of the Seas)</v>
      </c>
      <c r="C358" s="371"/>
      <c r="D358" s="371"/>
      <c r="E358" s="371"/>
      <c r="F358" s="371"/>
      <c r="G358" s="371"/>
      <c r="H358" s="371"/>
      <c r="I358" s="371"/>
      <c r="J358" s="371"/>
      <c r="K358" s="371"/>
      <c r="L358" s="371"/>
      <c r="M358" s="371"/>
      <c r="N358" s="32"/>
      <c r="O358" s="34" t="b">
        <v>0</v>
      </c>
      <c r="P358" s="370" t="str">
        <f ca="1">道具!$C$186&amp;" ("&amp;语言!$A$20&amp;")"</f>
        <v>刺猬长枪 (上锁宝箱)</v>
      </c>
      <c r="Q358" s="371"/>
      <c r="R358" s="371"/>
      <c r="S358" s="32"/>
      <c r="T358" s="32"/>
      <c r="U358" s="376"/>
      <c r="V358" s="371"/>
      <c r="W358" s="32"/>
      <c r="X358" s="32"/>
      <c r="Y358" s="32"/>
      <c r="Z358" s="32"/>
      <c r="AA358" s="32"/>
    </row>
    <row r="359" spans="1:27" ht="12.75" x14ac:dyDescent="0.2">
      <c r="A359" s="32"/>
      <c r="B359" s="34" t="b">
        <v>0</v>
      </c>
      <c r="C359" s="370" t="str">
        <f ca="1">敌人!C$500</f>
        <v>海兽</v>
      </c>
      <c r="D359" s="371"/>
      <c r="E359" s="34">
        <f>敌人!D$500</f>
        <v>4</v>
      </c>
      <c r="F359" s="34">
        <f>敌人!E$500</f>
        <v>0</v>
      </c>
      <c r="G359" s="34">
        <f>敌人!F$500</f>
        <v>0</v>
      </c>
      <c r="H359" s="34">
        <f>敌人!G$500</f>
        <v>0</v>
      </c>
      <c r="I359" s="34">
        <f>敌人!H$500</f>
        <v>0</v>
      </c>
      <c r="J359" s="34">
        <f>敌人!I$500</f>
        <v>0</v>
      </c>
      <c r="K359" s="370" t="str">
        <f ca="1">敌人!J$500</f>
        <v>复活的橄榄（特大）</v>
      </c>
      <c r="L359" s="371"/>
      <c r="M359" s="371"/>
      <c r="N359" s="32"/>
      <c r="O359" s="32"/>
      <c r="P359" s="470"/>
      <c r="Q359" s="371"/>
      <c r="R359" s="371"/>
      <c r="S359" s="32"/>
      <c r="T359" s="32"/>
      <c r="U359" s="376"/>
      <c r="V359" s="371"/>
      <c r="W359" s="32"/>
      <c r="X359" s="32"/>
      <c r="Y359" s="32"/>
      <c r="Z359" s="32"/>
      <c r="AA359" s="32"/>
    </row>
    <row r="360" spans="1:27" ht="12.75" x14ac:dyDescent="0.2">
      <c r="A360" s="32"/>
      <c r="B360" s="34" t="b">
        <v>0</v>
      </c>
      <c r="C360" s="370" t="str">
        <f ca="1">敌人!C$501</f>
        <v>海泣海胆</v>
      </c>
      <c r="D360" s="371"/>
      <c r="E360" s="34">
        <f>敌人!D$501</f>
        <v>4</v>
      </c>
      <c r="F360" s="34">
        <f>敌人!E$501</f>
        <v>0</v>
      </c>
      <c r="G360" s="34">
        <f>敌人!F$501</f>
        <v>0</v>
      </c>
      <c r="H360" s="34">
        <f>敌人!G$501</f>
        <v>0</v>
      </c>
      <c r="I360" s="34">
        <f>敌人!H$501</f>
        <v>0</v>
      </c>
      <c r="J360" s="34">
        <f>敌人!I$501</f>
        <v>0</v>
      </c>
      <c r="K360" s="370" t="str">
        <f ca="1">敌人!J$501</f>
        <v>ＳＰ恢复的李子（大）</v>
      </c>
      <c r="L360" s="371"/>
      <c r="M360" s="371"/>
      <c r="N360" s="32"/>
      <c r="O360" s="32"/>
      <c r="P360" s="470"/>
      <c r="Q360" s="371"/>
      <c r="R360" s="371"/>
      <c r="S360" s="32"/>
      <c r="T360" s="32"/>
      <c r="U360" s="376"/>
      <c r="V360" s="371"/>
      <c r="W360" s="32"/>
      <c r="X360" s="32"/>
      <c r="Y360" s="32"/>
      <c r="Z360" s="32"/>
      <c r="AA360" s="32"/>
    </row>
    <row r="361" spans="1:27" ht="12.75" x14ac:dyDescent="0.2">
      <c r="A361" s="32"/>
      <c r="B361" s="34" t="b">
        <v>0</v>
      </c>
      <c r="C361" s="370" t="str">
        <f ca="1">敌人!C$502</f>
        <v>红锈海胆</v>
      </c>
      <c r="D361" s="371"/>
      <c r="E361" s="34">
        <f>敌人!D$502</f>
        <v>3</v>
      </c>
      <c r="F361" s="34">
        <f>敌人!E$502</f>
        <v>0</v>
      </c>
      <c r="G361" s="34">
        <f>敌人!F$502</f>
        <v>0</v>
      </c>
      <c r="H361" s="34">
        <f>敌人!G$502</f>
        <v>0</v>
      </c>
      <c r="I361" s="34">
        <f>敌人!H$502</f>
        <v>0</v>
      </c>
      <c r="J361" s="34">
        <f>敌人!I$502</f>
        <v>0</v>
      </c>
      <c r="K361" s="370" t="str">
        <f ca="1">敌人!J$502</f>
        <v>ＢＰ恢复的石榴（大）</v>
      </c>
      <c r="L361" s="371"/>
      <c r="M361" s="371"/>
      <c r="N361" s="32"/>
      <c r="O361" s="37"/>
      <c r="P361" s="391"/>
      <c r="Q361" s="371"/>
      <c r="R361" s="371"/>
      <c r="S361" s="32"/>
      <c r="T361" s="32"/>
      <c r="U361" s="376"/>
      <c r="V361" s="371"/>
      <c r="W361" s="32"/>
      <c r="X361" s="32"/>
      <c r="Y361" s="32"/>
      <c r="Z361" s="32"/>
      <c r="AA361" s="32"/>
    </row>
    <row r="362" spans="1:27" ht="12.75" x14ac:dyDescent="0.2">
      <c r="A362" s="32"/>
      <c r="B362" s="32"/>
      <c r="C362" s="376"/>
      <c r="D362" s="371"/>
      <c r="E362" s="32"/>
      <c r="F362" s="32"/>
      <c r="G362" s="32"/>
      <c r="H362" s="32"/>
      <c r="I362" s="32"/>
      <c r="J362" s="32"/>
      <c r="K362" s="376"/>
      <c r="L362" s="371"/>
      <c r="M362" s="371"/>
      <c r="N362" s="32"/>
      <c r="O362" s="37"/>
      <c r="P362" s="391"/>
      <c r="Q362" s="371"/>
      <c r="R362" s="371"/>
      <c r="S362" s="32"/>
      <c r="T362" s="32"/>
      <c r="U362" s="376"/>
      <c r="V362" s="371"/>
      <c r="W362" s="32"/>
      <c r="X362" s="32"/>
      <c r="Y362" s="32"/>
      <c r="Z362" s="32"/>
      <c r="AA362" s="32"/>
    </row>
    <row r="363" spans="1:27" ht="12.75" x14ac:dyDescent="0.2">
      <c r="A363" s="32"/>
      <c r="B363" s="374" t="str">
        <f ca="1">语言!$A$40&amp;" "&amp;语言!$A$14&amp;" 2"</f>
        <v>亚芬 章节 2</v>
      </c>
      <c r="C363" s="371"/>
      <c r="D363" s="371"/>
      <c r="E363" s="371"/>
      <c r="F363" s="371"/>
      <c r="G363" s="371"/>
      <c r="H363" s="371"/>
      <c r="I363" s="371"/>
      <c r="J363" s="371"/>
      <c r="K363" s="371"/>
      <c r="L363" s="371"/>
      <c r="M363" s="371"/>
      <c r="N363" s="32"/>
      <c r="O363" s="374" t="str">
        <f ca="1">语言!$A$40&amp;" "&amp;语言!$A$14&amp;" 2"</f>
        <v>亚芬 章节 2</v>
      </c>
      <c r="P363" s="371"/>
      <c r="Q363" s="371"/>
      <c r="R363" s="371"/>
      <c r="S363" s="32"/>
      <c r="T363" s="32"/>
      <c r="U363" s="376"/>
      <c r="V363" s="371"/>
      <c r="W363" s="32"/>
      <c r="X363" s="32"/>
      <c r="Y363" s="32"/>
      <c r="Z363" s="32"/>
      <c r="AA363" s="32"/>
    </row>
    <row r="364" spans="1:27" ht="12.75" x14ac:dyDescent="0.2">
      <c r="A364" s="32"/>
      <c r="B364" s="375" t="str">
        <f ca="1">语言!A$378&amp;" ("&amp;语言!$A$12&amp;" 23)"</f>
        <v>通往青碧洞窟的道路 (危险度 23)</v>
      </c>
      <c r="C364" s="371"/>
      <c r="D364" s="371"/>
      <c r="E364" s="371"/>
      <c r="F364" s="371"/>
      <c r="G364" s="371"/>
      <c r="H364" s="371"/>
      <c r="I364" s="371"/>
      <c r="J364" s="371"/>
      <c r="K364" s="371"/>
      <c r="L364" s="371"/>
      <c r="M364" s="371"/>
      <c r="N364" s="32"/>
      <c r="O364" s="375" t="str">
        <f ca="1">语言!A$378&amp;" (3 "&amp;语言!$A$19&amp;")"</f>
        <v>通往青碧洞窟的道路 (3 宝箱)</v>
      </c>
      <c r="P364" s="371"/>
      <c r="Q364" s="371"/>
      <c r="R364" s="371"/>
      <c r="S364" s="32"/>
      <c r="T364" s="32"/>
      <c r="U364" s="376"/>
      <c r="V364" s="371"/>
      <c r="W364" s="32"/>
      <c r="X364" s="32"/>
      <c r="Y364" s="32"/>
      <c r="Z364" s="32"/>
      <c r="AA364" s="32"/>
    </row>
    <row r="365" spans="1:27" ht="12.75" x14ac:dyDescent="0.2">
      <c r="A365" s="32"/>
      <c r="B365" s="34" t="b">
        <v>0</v>
      </c>
      <c r="C365" s="370" t="str">
        <f ca="1">敌人!C$298</f>
        <v>海之鸟人 VI</v>
      </c>
      <c r="D365" s="371"/>
      <c r="E365" s="34">
        <f>敌人!D$298</f>
        <v>1</v>
      </c>
      <c r="F365" s="34">
        <f>敌人!E$298</f>
        <v>0</v>
      </c>
      <c r="G365" s="34">
        <f>敌人!F$298</f>
        <v>0</v>
      </c>
      <c r="H365" s="34">
        <f>敌人!G$298</f>
        <v>0</v>
      </c>
      <c r="I365" s="34">
        <f>敌人!H$298</f>
        <v>0</v>
      </c>
      <c r="J365" s="34">
        <f>敌人!I$298</f>
        <v>0</v>
      </c>
      <c r="K365" s="370" t="str">
        <f ca="1">敌人!J$298</f>
        <v>ＳＰ恢复的李子</v>
      </c>
      <c r="L365" s="371"/>
      <c r="M365" s="371"/>
      <c r="N365" s="32"/>
      <c r="O365" s="34" t="b">
        <v>0</v>
      </c>
      <c r="P365" s="370" t="str">
        <f ca="1">道具!$C$117</f>
        <v>鼓胀的钱包</v>
      </c>
      <c r="Q365" s="371"/>
      <c r="R365" s="371"/>
      <c r="S365" s="32"/>
      <c r="T365" s="32"/>
      <c r="U365" s="376"/>
      <c r="V365" s="371"/>
      <c r="W365" s="32"/>
      <c r="X365" s="32"/>
      <c r="Y365" s="32"/>
      <c r="Z365" s="32"/>
      <c r="AA365" s="32"/>
    </row>
    <row r="366" spans="1:27" ht="12.75" x14ac:dyDescent="0.2">
      <c r="A366" s="32"/>
      <c r="B366" s="34" t="b">
        <v>0</v>
      </c>
      <c r="C366" s="370" t="str">
        <f ca="1">敌人!C$299</f>
        <v>海之大鸟人 I</v>
      </c>
      <c r="D366" s="371"/>
      <c r="E366" s="34">
        <f>敌人!D$299</f>
        <v>3</v>
      </c>
      <c r="F366" s="34">
        <f>敌人!E$299</f>
        <v>0</v>
      </c>
      <c r="G366" s="34">
        <f>敌人!F$299</f>
        <v>0</v>
      </c>
      <c r="H366" s="34">
        <f>敌人!G$299</f>
        <v>0</v>
      </c>
      <c r="I366" s="34">
        <f>敌人!H$299</f>
        <v>0</v>
      </c>
      <c r="J366" s="34">
        <f>敌人!I$299</f>
        <v>0</v>
      </c>
      <c r="K366" s="370" t="str">
        <f ca="1">敌人!J$299</f>
        <v>ＳＰ恢复的李子</v>
      </c>
      <c r="L366" s="371"/>
      <c r="M366" s="371"/>
      <c r="N366" s="32"/>
      <c r="O366" s="34" t="b">
        <v>0</v>
      </c>
      <c r="P366" s="370" t="str">
        <f ca="1">道具!$C$9</f>
        <v>ＢＰ恢复的石榴</v>
      </c>
      <c r="Q366" s="371"/>
      <c r="R366" s="371"/>
      <c r="S366" s="32"/>
      <c r="T366" s="32"/>
      <c r="U366" s="376"/>
      <c r="V366" s="371"/>
      <c r="W366" s="32"/>
      <c r="X366" s="32"/>
      <c r="Y366" s="32"/>
      <c r="Z366" s="32"/>
      <c r="AA366" s="32"/>
    </row>
    <row r="367" spans="1:27" ht="12.75" x14ac:dyDescent="0.2">
      <c r="A367" s="32"/>
      <c r="B367" s="34" t="b">
        <v>0</v>
      </c>
      <c r="C367" s="370" t="str">
        <f ca="1">敌人!C$290</f>
        <v>剪刀蟹</v>
      </c>
      <c r="D367" s="371"/>
      <c r="E367" s="34">
        <f>敌人!D$290</f>
        <v>2</v>
      </c>
      <c r="F367" s="34">
        <f>敌人!E$290</f>
        <v>0</v>
      </c>
      <c r="G367" s="34">
        <f>敌人!F$290</f>
        <v>0</v>
      </c>
      <c r="H367" s="34">
        <f>敌人!G$290</f>
        <v>0</v>
      </c>
      <c r="I367" s="34">
        <f>敌人!H$290</f>
        <v>0</v>
      </c>
      <c r="J367" s="34">
        <f>敌人!I$290</f>
        <v>0</v>
      </c>
      <c r="K367" s="370" t="str">
        <f ca="1">敌人!J$290</f>
        <v>睡眠花之叶</v>
      </c>
      <c r="L367" s="371"/>
      <c r="M367" s="371"/>
      <c r="N367" s="32"/>
      <c r="O367" s="34" t="b">
        <v>0</v>
      </c>
      <c r="P367" s="370" t="str">
        <f ca="1">道具!$C$530</f>
        <v>秘药的素材</v>
      </c>
      <c r="Q367" s="371"/>
      <c r="R367" s="371"/>
      <c r="S367" s="32"/>
      <c r="T367" s="32"/>
      <c r="U367" s="376"/>
      <c r="V367" s="371"/>
      <c r="W367" s="32"/>
      <c r="X367" s="32"/>
      <c r="Y367" s="32"/>
      <c r="Z367" s="32"/>
      <c r="AA367" s="32"/>
    </row>
    <row r="368" spans="1:27" ht="12.75" x14ac:dyDescent="0.2">
      <c r="A368" s="32"/>
      <c r="B368" s="34" t="b">
        <v>0</v>
      </c>
      <c r="C368" s="370" t="str">
        <f ca="1">敌人!C$269</f>
        <v>岩龟</v>
      </c>
      <c r="D368" s="371"/>
      <c r="E368" s="34">
        <f>敌人!D$269</f>
        <v>3</v>
      </c>
      <c r="F368" s="34">
        <f>敌人!E$269</f>
        <v>0</v>
      </c>
      <c r="G368" s="34">
        <f>敌人!F$269</f>
        <v>0</v>
      </c>
      <c r="H368" s="34">
        <f>敌人!G$269</f>
        <v>0</v>
      </c>
      <c r="I368" s="34">
        <f>敌人!H$269</f>
        <v>0</v>
      </c>
      <c r="J368" s="34">
        <f>敌人!I$269</f>
        <v>0</v>
      </c>
      <c r="K368" s="370" t="str">
        <f ca="1">敌人!J$269</f>
        <v>橄榄花</v>
      </c>
      <c r="L368" s="371"/>
      <c r="M368" s="371"/>
      <c r="N368" s="32"/>
      <c r="O368" s="375" t="str">
        <f ca="1">语言!A$379&amp;" (4 "&amp;语言!$A$19&amp;")"</f>
        <v>青碧洞窟 (4 宝箱)</v>
      </c>
      <c r="P368" s="371"/>
      <c r="Q368" s="371"/>
      <c r="R368" s="371"/>
      <c r="S368" s="32"/>
      <c r="T368" s="32"/>
      <c r="U368" s="376"/>
      <c r="V368" s="371"/>
      <c r="W368" s="32"/>
      <c r="X368" s="32"/>
      <c r="Y368" s="32"/>
      <c r="Z368" s="32"/>
      <c r="AA368" s="32"/>
    </row>
    <row r="369" spans="1:27" ht="12.75" x14ac:dyDescent="0.2">
      <c r="A369" s="32"/>
      <c r="B369" s="375" t="str">
        <f ca="1">语言!A$379&amp;" ("&amp;语言!$A$12&amp;" 24)"</f>
        <v>青碧洞窟 (危险度 24)</v>
      </c>
      <c r="C369" s="371"/>
      <c r="D369" s="371"/>
      <c r="E369" s="371"/>
      <c r="F369" s="371"/>
      <c r="G369" s="371"/>
      <c r="H369" s="371"/>
      <c r="I369" s="371"/>
      <c r="J369" s="371"/>
      <c r="K369" s="371"/>
      <c r="L369" s="371"/>
      <c r="M369" s="371"/>
      <c r="N369" s="32"/>
      <c r="O369" s="34" t="b">
        <v>0</v>
      </c>
      <c r="P369" s="370" t="str">
        <f ca="1">道具!$C$430&amp;" ("&amp;语言!$A$20&amp;")"</f>
        <v>猎鹰之服 (上锁宝箱)</v>
      </c>
      <c r="Q369" s="371"/>
      <c r="R369" s="371"/>
      <c r="S369" s="32"/>
      <c r="T369" s="32"/>
      <c r="U369" s="376"/>
      <c r="V369" s="371"/>
      <c r="W369" s="32"/>
      <c r="X369" s="32"/>
      <c r="Y369" s="32"/>
      <c r="Z369" s="32"/>
      <c r="AA369" s="32"/>
    </row>
    <row r="370" spans="1:27" ht="12.75" x14ac:dyDescent="0.2">
      <c r="A370" s="32"/>
      <c r="B370" s="34" t="b">
        <v>0</v>
      </c>
      <c r="C370" s="370" t="str">
        <f ca="1">敌人!C$44</f>
        <v>海盗（曲剑） III</v>
      </c>
      <c r="D370" s="371"/>
      <c r="E370" s="34">
        <f>敌人!D$44</f>
        <v>2</v>
      </c>
      <c r="F370" s="34">
        <f>敌人!E$44</f>
        <v>0</v>
      </c>
      <c r="G370" s="34">
        <f>敌人!F$44</f>
        <v>0</v>
      </c>
      <c r="H370" s="34">
        <f>敌人!G$44</f>
        <v>0</v>
      </c>
      <c r="I370" s="34">
        <f>敌人!H$44</f>
        <v>0</v>
      </c>
      <c r="J370" s="34">
        <f>敌人!I$44</f>
        <v>0</v>
      </c>
      <c r="K370" s="370" t="str">
        <f ca="1">敌人!J$44</f>
        <v>钱包</v>
      </c>
      <c r="L370" s="371"/>
      <c r="M370" s="371"/>
      <c r="N370" s="32"/>
      <c r="O370" s="34" t="b">
        <v>0</v>
      </c>
      <c r="P370" s="370" t="str">
        <f ca="1">道具!$C$433&amp;" ("&amp;语言!$A$20&amp;")"</f>
        <v>犄角盔甲 (上锁宝箱)</v>
      </c>
      <c r="Q370" s="371"/>
      <c r="R370" s="371"/>
      <c r="S370" s="32"/>
      <c r="T370" s="32"/>
      <c r="U370" s="376"/>
      <c r="V370" s="371"/>
      <c r="W370" s="32"/>
      <c r="X370" s="32"/>
      <c r="Y370" s="32"/>
      <c r="Z370" s="32"/>
      <c r="AA370" s="32"/>
    </row>
    <row r="371" spans="1:27" ht="12.75" x14ac:dyDescent="0.2">
      <c r="A371" s="32"/>
      <c r="B371" s="34" t="b">
        <v>0</v>
      </c>
      <c r="C371" s="370" t="str">
        <f ca="1">敌人!C$45</f>
        <v>海盗（曲剑） IV</v>
      </c>
      <c r="D371" s="371"/>
      <c r="E371" s="34">
        <f>敌人!D$45</f>
        <v>3</v>
      </c>
      <c r="F371" s="34">
        <f>敌人!E$45</f>
        <v>0</v>
      </c>
      <c r="G371" s="34">
        <f>敌人!F$45</f>
        <v>0</v>
      </c>
      <c r="H371" s="34">
        <f>敌人!G$45</f>
        <v>0</v>
      </c>
      <c r="I371" s="34">
        <f>敌人!H$45</f>
        <v>0</v>
      </c>
      <c r="J371" s="34">
        <f>敌人!I$45</f>
        <v>0</v>
      </c>
      <c r="K371" s="370" t="str">
        <f ca="1">敌人!J$45</f>
        <v>钱包</v>
      </c>
      <c r="L371" s="371"/>
      <c r="M371" s="371"/>
      <c r="N371" s="32"/>
      <c r="O371" s="34" t="b">
        <v>0</v>
      </c>
      <c r="P371" s="370" t="str">
        <f ca="1">道具!$C$531</f>
        <v>秘药的素材（扩散）</v>
      </c>
      <c r="Q371" s="371"/>
      <c r="R371" s="371"/>
      <c r="S371" s="32"/>
      <c r="T371" s="32"/>
      <c r="U371" s="376"/>
      <c r="V371" s="371"/>
      <c r="W371" s="32"/>
      <c r="X371" s="32"/>
      <c r="Y371" s="32"/>
      <c r="Z371" s="32"/>
      <c r="AA371" s="32"/>
    </row>
    <row r="372" spans="1:27" ht="12.75" x14ac:dyDescent="0.2">
      <c r="A372" s="32"/>
      <c r="B372" s="34" t="b">
        <v>0</v>
      </c>
      <c r="C372" s="370" t="str">
        <f ca="1">敌人!C$303</f>
        <v>冷水蜗牛</v>
      </c>
      <c r="D372" s="371"/>
      <c r="E372" s="34">
        <f>敌人!D$303</f>
        <v>3</v>
      </c>
      <c r="F372" s="34">
        <f>敌人!E$303</f>
        <v>0</v>
      </c>
      <c r="G372" s="34">
        <f>敌人!F$303</f>
        <v>0</v>
      </c>
      <c r="H372" s="34">
        <f>敌人!G$303</f>
        <v>0</v>
      </c>
      <c r="I372" s="34">
        <f>敌人!H$303</f>
        <v>0</v>
      </c>
      <c r="J372" s="34">
        <f>敌人!I$303</f>
        <v>0</v>
      </c>
      <c r="K372" s="370" t="str">
        <f ca="1">敌人!J$303</f>
        <v>石榴树液</v>
      </c>
      <c r="L372" s="371"/>
      <c r="M372" s="371"/>
      <c r="N372" s="32"/>
      <c r="O372" s="34" t="b">
        <v>0</v>
      </c>
      <c r="P372" s="370" t="str">
        <f ca="1">道具!$C$536</f>
        <v>超含毒的素材（扩散）</v>
      </c>
      <c r="Q372" s="371"/>
      <c r="R372" s="371"/>
      <c r="S372" s="32"/>
      <c r="T372" s="32"/>
      <c r="U372" s="376"/>
      <c r="V372" s="371"/>
      <c r="W372" s="32"/>
      <c r="X372" s="32"/>
      <c r="Y372" s="32"/>
      <c r="Z372" s="32"/>
      <c r="AA372" s="32"/>
    </row>
    <row r="373" spans="1:27" ht="12.75" x14ac:dyDescent="0.2">
      <c r="A373" s="32"/>
      <c r="B373" s="34" t="b">
        <v>0</v>
      </c>
      <c r="C373" s="370" t="str">
        <f ca="1">敌人!C$18</f>
        <v>蓝苔蝙蝠</v>
      </c>
      <c r="D373" s="371"/>
      <c r="E373" s="34">
        <f>敌人!D$18</f>
        <v>1</v>
      </c>
      <c r="F373" s="34">
        <f>敌人!E$18</f>
        <v>0</v>
      </c>
      <c r="G373" s="34">
        <f>敌人!F$18</f>
        <v>0</v>
      </c>
      <c r="H373" s="34">
        <f>敌人!G$18</f>
        <v>0</v>
      </c>
      <c r="I373" s="34">
        <f>敌人!H$18</f>
        <v>0</v>
      </c>
      <c r="J373" s="34">
        <f>敌人!I$18</f>
        <v>0</v>
      </c>
      <c r="K373" s="370" t="str">
        <f ca="1">敌人!J$18</f>
        <v>神秘之花</v>
      </c>
      <c r="L373" s="371"/>
      <c r="M373" s="371"/>
      <c r="N373" s="32"/>
      <c r="O373" s="37"/>
      <c r="P373" s="391"/>
      <c r="Q373" s="371"/>
      <c r="R373" s="371"/>
      <c r="S373" s="32"/>
      <c r="T373" s="32"/>
      <c r="U373" s="376"/>
      <c r="V373" s="371"/>
      <c r="W373" s="32"/>
      <c r="X373" s="32"/>
      <c r="Y373" s="32"/>
      <c r="Z373" s="32"/>
      <c r="AA373" s="32"/>
    </row>
    <row r="374" spans="1:27" ht="12.75" x14ac:dyDescent="0.2">
      <c r="A374" s="32"/>
      <c r="B374" s="34" t="b">
        <v>0</v>
      </c>
      <c r="C374" s="370" t="str">
        <f ca="1">敌人!C$19</f>
        <v>蓝苔蟹</v>
      </c>
      <c r="D374" s="371"/>
      <c r="E374" s="34">
        <f>敌人!D$19</f>
        <v>3</v>
      </c>
      <c r="F374" s="34">
        <f>敌人!E$19</f>
        <v>0</v>
      </c>
      <c r="G374" s="34">
        <f>敌人!F$19</f>
        <v>0</v>
      </c>
      <c r="H374" s="34">
        <f>敌人!G$19</f>
        <v>0</v>
      </c>
      <c r="I374" s="34">
        <f>敌人!H$19</f>
        <v>0</v>
      </c>
      <c r="J374" s="34">
        <f>敌人!I$19</f>
        <v>0</v>
      </c>
      <c r="K374" s="370" t="str">
        <f ca="1">敌人!J$19</f>
        <v>混乱多之叶</v>
      </c>
      <c r="L374" s="371"/>
      <c r="M374" s="371"/>
      <c r="N374" s="32"/>
      <c r="O374" s="37"/>
      <c r="P374" s="391"/>
      <c r="Q374" s="371"/>
      <c r="R374" s="371"/>
      <c r="S374" s="32"/>
      <c r="T374" s="32"/>
      <c r="U374" s="376"/>
      <c r="V374" s="371"/>
      <c r="W374" s="32"/>
      <c r="X374" s="32"/>
      <c r="Y374" s="32"/>
      <c r="Z374" s="32"/>
      <c r="AA374" s="32"/>
    </row>
    <row r="375" spans="1:27" ht="12.75" x14ac:dyDescent="0.2">
      <c r="A375" s="32"/>
      <c r="B375" s="34" t="b">
        <v>0</v>
      </c>
      <c r="C375" s="370" t="str">
        <f ca="1">敌人!C$20</f>
        <v>蓝苔龟</v>
      </c>
      <c r="D375" s="371"/>
      <c r="E375" s="34">
        <f>敌人!D$20</f>
        <v>4</v>
      </c>
      <c r="F375" s="34">
        <f>敌人!E$20</f>
        <v>0</v>
      </c>
      <c r="G375" s="34">
        <f>敌人!F$20</f>
        <v>0</v>
      </c>
      <c r="H375" s="34">
        <f>敌人!G$20</f>
        <v>0</v>
      </c>
      <c r="I375" s="34">
        <f>敌人!H$20</f>
        <v>0</v>
      </c>
      <c r="J375" s="34">
        <f>敌人!I$20</f>
        <v>0</v>
      </c>
      <c r="K375" s="370" t="str">
        <f ca="1">敌人!J$20</f>
        <v>橄榄花</v>
      </c>
      <c r="L375" s="371"/>
      <c r="M375" s="371"/>
      <c r="N375" s="32"/>
      <c r="O375" s="37"/>
      <c r="P375" s="391"/>
      <c r="Q375" s="371"/>
      <c r="R375" s="371"/>
      <c r="S375" s="32"/>
      <c r="T375" s="32"/>
      <c r="U375" s="376"/>
      <c r="V375" s="371"/>
      <c r="W375" s="32"/>
      <c r="X375" s="32"/>
      <c r="Y375" s="32"/>
      <c r="Z375" s="32"/>
      <c r="AA375" s="32"/>
    </row>
    <row r="376" spans="1:27" ht="12.75" x14ac:dyDescent="0.2">
      <c r="A376" s="32"/>
      <c r="B376" s="475" t="str">
        <f ca="1">语言!$A$15</f>
        <v>Boss</v>
      </c>
      <c r="C376" s="371"/>
      <c r="D376" s="371"/>
      <c r="E376" s="371"/>
      <c r="F376" s="371"/>
      <c r="G376" s="371"/>
      <c r="H376" s="371"/>
      <c r="I376" s="371"/>
      <c r="J376" s="371"/>
      <c r="K376" s="371"/>
      <c r="L376" s="371"/>
      <c r="M376" s="371"/>
      <c r="N376" s="32"/>
      <c r="O376" s="37"/>
      <c r="P376" s="391"/>
      <c r="Q376" s="371"/>
      <c r="R376" s="371"/>
      <c r="S376" s="32"/>
      <c r="T376" s="32"/>
      <c r="U376" s="376"/>
      <c r="V376" s="371"/>
      <c r="W376" s="32"/>
      <c r="X376" s="32"/>
      <c r="Y376" s="32"/>
      <c r="Z376" s="32"/>
      <c r="AA376" s="32"/>
    </row>
    <row r="377" spans="1:27" ht="12.75" x14ac:dyDescent="0.2">
      <c r="A377" s="32"/>
      <c r="B377" s="34" t="b">
        <v>0</v>
      </c>
      <c r="C377" s="370" t="str">
        <f ca="1">敌人!C$422</f>
        <v>凡妮莎</v>
      </c>
      <c r="D377" s="371"/>
      <c r="E377" s="34">
        <f>敌人!D$422</f>
        <v>5</v>
      </c>
      <c r="F377" s="34">
        <f>敌人!E$422</f>
        <v>0</v>
      </c>
      <c r="G377" s="34">
        <f>敌人!F$422</f>
        <v>0</v>
      </c>
      <c r="H377" s="34">
        <f>敌人!G$422</f>
        <v>0</v>
      </c>
      <c r="I377" s="34">
        <f>敌人!H$422</f>
        <v>0</v>
      </c>
      <c r="J377" s="34">
        <f>敌人!I$422</f>
        <v>0</v>
      </c>
      <c r="K377" s="370" t="str">
        <f ca="1">敌人!J$422</f>
        <v>复活的橄榄（特大）</v>
      </c>
      <c r="L377" s="371"/>
      <c r="M377" s="371"/>
      <c r="N377" s="32"/>
      <c r="O377" s="37"/>
      <c r="P377" s="391"/>
      <c r="Q377" s="371"/>
      <c r="R377" s="371"/>
      <c r="S377" s="32"/>
      <c r="T377" s="32"/>
      <c r="U377" s="376"/>
      <c r="V377" s="371"/>
      <c r="W377" s="32"/>
      <c r="X377" s="32"/>
      <c r="Y377" s="32"/>
      <c r="Z377" s="32"/>
      <c r="AA377" s="32"/>
    </row>
    <row r="378" spans="1:27" ht="12.75" x14ac:dyDescent="0.2">
      <c r="A378" s="32"/>
      <c r="B378" s="34" t="b">
        <v>0</v>
      </c>
      <c r="C378" s="370" t="str">
        <f ca="1">敌人!C$423</f>
        <v>保镖</v>
      </c>
      <c r="D378" s="371"/>
      <c r="E378" s="34">
        <f>敌人!D$423</f>
        <v>6</v>
      </c>
      <c r="F378" s="34">
        <f>敌人!E$423</f>
        <v>0</v>
      </c>
      <c r="G378" s="34">
        <f>敌人!F$423</f>
        <v>0</v>
      </c>
      <c r="H378" s="34">
        <f>敌人!G$423</f>
        <v>0</v>
      </c>
      <c r="I378" s="34">
        <f>敌人!H$423</f>
        <v>0</v>
      </c>
      <c r="J378" s="34">
        <f>敌人!I$423</f>
        <v>0</v>
      </c>
      <c r="K378" s="370" t="str">
        <f ca="1">敌人!J$423</f>
        <v>毒治疗药草</v>
      </c>
      <c r="L378" s="371"/>
      <c r="M378" s="371"/>
      <c r="N378" s="32"/>
      <c r="O378" s="37"/>
      <c r="P378" s="391"/>
      <c r="Q378" s="371"/>
      <c r="R378" s="371"/>
      <c r="S378" s="32"/>
      <c r="T378" s="32"/>
      <c r="U378" s="376"/>
      <c r="V378" s="371"/>
      <c r="W378" s="32"/>
      <c r="X378" s="32"/>
      <c r="Y378" s="32"/>
      <c r="Z378" s="32"/>
      <c r="AA378" s="32"/>
    </row>
    <row r="379" spans="1:27" ht="12.75" x14ac:dyDescent="0.2">
      <c r="A379" s="32"/>
      <c r="B379" s="32"/>
      <c r="C379" s="376"/>
      <c r="D379" s="371"/>
      <c r="E379" s="32"/>
      <c r="F379" s="32"/>
      <c r="G379" s="32"/>
      <c r="H379" s="32"/>
      <c r="I379" s="32"/>
      <c r="J379" s="32"/>
      <c r="K379" s="376"/>
      <c r="L379" s="371"/>
      <c r="M379" s="371"/>
      <c r="N379" s="32"/>
      <c r="O379" s="37"/>
      <c r="P379" s="391"/>
      <c r="Q379" s="371"/>
      <c r="R379" s="371"/>
      <c r="S379" s="32"/>
      <c r="T379" s="32"/>
      <c r="U379" s="376"/>
      <c r="V379" s="371"/>
      <c r="W379" s="32"/>
      <c r="X379" s="32"/>
      <c r="Y379" s="32"/>
      <c r="Z379" s="32"/>
      <c r="AA379" s="32"/>
    </row>
    <row r="380" spans="1:27" ht="12.75" x14ac:dyDescent="0.2">
      <c r="A380" s="32"/>
      <c r="B380" s="374" t="str">
        <f ca="1">语言!$A$35&amp;" "&amp;语言!$A$14&amp;" 3"</f>
        <v>欧菲莉亚 章节 3</v>
      </c>
      <c r="C380" s="371"/>
      <c r="D380" s="371"/>
      <c r="E380" s="371"/>
      <c r="F380" s="371"/>
      <c r="G380" s="371"/>
      <c r="H380" s="371"/>
      <c r="I380" s="371"/>
      <c r="J380" s="371"/>
      <c r="K380" s="371"/>
      <c r="L380" s="371"/>
      <c r="M380" s="371"/>
      <c r="N380" s="32"/>
      <c r="O380" s="374" t="str">
        <f ca="1">语言!$A$35&amp;" "&amp;语言!$A$14&amp;" 3"</f>
        <v>欧菲莉亚 章节 3</v>
      </c>
      <c r="P380" s="371"/>
      <c r="Q380" s="371"/>
      <c r="R380" s="371"/>
      <c r="S380" s="32"/>
      <c r="T380" s="32"/>
      <c r="U380" s="376"/>
      <c r="V380" s="371"/>
      <c r="W380" s="32"/>
      <c r="X380" s="374" t="str">
        <f ca="1">语言!$A$35&amp;" "&amp;语言!$A$14&amp;" 3"</f>
        <v>欧菲莉亚 章节 3</v>
      </c>
      <c r="Y380" s="371"/>
      <c r="Z380" s="371"/>
      <c r="AA380" s="32"/>
    </row>
    <row r="381" spans="1:27" ht="12.75" x14ac:dyDescent="0.2">
      <c r="A381" s="32"/>
      <c r="B381" s="375" t="str">
        <f ca="1">语言!A$380&amp;" ("&amp;语言!$A$12&amp;" 33)"</f>
        <v>通往海边洞窟的道路 (危险度 33)</v>
      </c>
      <c r="C381" s="371"/>
      <c r="D381" s="371"/>
      <c r="E381" s="371"/>
      <c r="F381" s="371"/>
      <c r="G381" s="371"/>
      <c r="H381" s="371"/>
      <c r="I381" s="371"/>
      <c r="J381" s="371"/>
      <c r="K381" s="371"/>
      <c r="L381" s="371"/>
      <c r="M381" s="371"/>
      <c r="N381" s="32"/>
      <c r="O381" s="375" t="str">
        <f ca="1">语言!A$380&amp;" (5 "&amp;语言!$A$19&amp;")"</f>
        <v>通往海边洞窟的道路 (5 宝箱)</v>
      </c>
      <c r="P381" s="371"/>
      <c r="Q381" s="371"/>
      <c r="R381" s="371"/>
      <c r="S381" s="32"/>
      <c r="T381" s="32"/>
      <c r="U381" s="376"/>
      <c r="V381" s="371"/>
      <c r="W381" s="32"/>
      <c r="X381" s="373" t="str">
        <f ca="1">语言!A$372</f>
        <v>葛鲁德修亚</v>
      </c>
      <c r="Y381" s="371"/>
      <c r="Z381" s="371"/>
      <c r="AA381" s="32"/>
    </row>
    <row r="382" spans="1:27" ht="12.75" x14ac:dyDescent="0.2">
      <c r="A382" s="32"/>
      <c r="B382" s="34" t="b">
        <v>0</v>
      </c>
      <c r="C382" s="370" t="str">
        <f ca="1">敌人!C$16</f>
        <v>蓝苔海胆</v>
      </c>
      <c r="D382" s="371"/>
      <c r="E382" s="34">
        <f>敌人!D$16</f>
        <v>1</v>
      </c>
      <c r="F382" s="34">
        <f>敌人!E$16</f>
        <v>0</v>
      </c>
      <c r="G382" s="34">
        <f>敌人!F$16</f>
        <v>0</v>
      </c>
      <c r="H382" s="34">
        <f>敌人!G$16</f>
        <v>0</v>
      </c>
      <c r="I382" s="34">
        <f>敌人!H$16</f>
        <v>0</v>
      </c>
      <c r="J382" s="34">
        <f>敌人!I$16</f>
        <v>0</v>
      </c>
      <c r="K382" s="370" t="str">
        <f ca="1">敌人!J$16</f>
        <v>复活的橄榄</v>
      </c>
      <c r="L382" s="371"/>
      <c r="M382" s="371"/>
      <c r="N382" s="32"/>
      <c r="O382" s="34" t="b">
        <v>0</v>
      </c>
      <c r="P382" s="370" t="str">
        <f ca="1">道具!$C$37</f>
        <v>雷之精灵石（大）</v>
      </c>
      <c r="Q382" s="371"/>
      <c r="R382" s="371"/>
      <c r="S382" s="32"/>
      <c r="T382" s="32"/>
      <c r="U382" s="376"/>
      <c r="V382" s="371"/>
      <c r="W382" s="32"/>
      <c r="X382" s="471" t="b">
        <v>0</v>
      </c>
      <c r="Y382" s="401" t="str">
        <f ca="1">语言!$A$1596&amp;"
Journal Entry: True Belief"</f>
        <v>马提亚斯
Journal Entry: True Belief</v>
      </c>
      <c r="Z382" s="472" t="str">
        <f ca="1">"Just talk to "&amp;语言!$A$1596&amp;" before heading your way to the "&amp;语言!A$381&amp;", this will add ""True Belief"" in your journal."</f>
        <v>Just talk to 马提亚斯 before heading your way to the 海边洞窟, this will add "True Belief" in your journal.</v>
      </c>
      <c r="AA382" s="32"/>
    </row>
    <row r="383" spans="1:27" ht="12.75" x14ac:dyDescent="0.2">
      <c r="A383" s="32"/>
      <c r="B383" s="34" t="b">
        <v>0</v>
      </c>
      <c r="C383" s="370" t="str">
        <f ca="1">敌人!C$291</f>
        <v>剪刀蟹异种</v>
      </c>
      <c r="D383" s="371"/>
      <c r="E383" s="34">
        <f>敌人!D$291</f>
        <v>3</v>
      </c>
      <c r="F383" s="34">
        <f>敌人!E$291</f>
        <v>0</v>
      </c>
      <c r="G383" s="34">
        <f>敌人!F$291</f>
        <v>0</v>
      </c>
      <c r="H383" s="34">
        <f>敌人!G$291</f>
        <v>0</v>
      </c>
      <c r="I383" s="34">
        <f>敌人!H$291</f>
        <v>0</v>
      </c>
      <c r="J383" s="34">
        <f>敌人!I$291</f>
        <v>0</v>
      </c>
      <c r="K383" s="370" t="str">
        <f ca="1">敌人!J$291</f>
        <v>睡眠花之叶</v>
      </c>
      <c r="L383" s="371"/>
      <c r="M383" s="371"/>
      <c r="N383" s="32"/>
      <c r="O383" s="34" t="b">
        <v>0</v>
      </c>
      <c r="P383" s="370" t="str">
        <f ca="1">道具!$C$514</f>
        <v>冰之避邪符</v>
      </c>
      <c r="Q383" s="371"/>
      <c r="R383" s="371"/>
      <c r="S383" s="32"/>
      <c r="T383" s="32"/>
      <c r="U383" s="376"/>
      <c r="V383" s="371"/>
      <c r="W383" s="32"/>
      <c r="X383" s="371"/>
      <c r="Y383" s="371"/>
      <c r="Z383" s="371"/>
      <c r="AA383" s="32"/>
    </row>
    <row r="384" spans="1:27" ht="12.75" x14ac:dyDescent="0.2">
      <c r="A384" s="32"/>
      <c r="B384" s="34" t="b">
        <v>0</v>
      </c>
      <c r="C384" s="370" t="str">
        <f ca="1">敌人!C$226</f>
        <v>苔龟</v>
      </c>
      <c r="D384" s="371"/>
      <c r="E384" s="34">
        <f>敌人!D$226</f>
        <v>4</v>
      </c>
      <c r="F384" s="34">
        <f>敌人!E$226</f>
        <v>0</v>
      </c>
      <c r="G384" s="34">
        <f>敌人!F$226</f>
        <v>0</v>
      </c>
      <c r="H384" s="34">
        <f>敌人!G$226</f>
        <v>0</v>
      </c>
      <c r="I384" s="34">
        <f>敌人!H$226</f>
        <v>0</v>
      </c>
      <c r="J384" s="34">
        <f>敌人!I$226</f>
        <v>0</v>
      </c>
      <c r="K384" s="370" t="str">
        <f ca="1">敌人!J$226</f>
        <v>橄榄花</v>
      </c>
      <c r="L384" s="371"/>
      <c r="M384" s="371"/>
      <c r="N384" s="32"/>
      <c r="O384" s="34" t="b">
        <v>0</v>
      </c>
      <c r="P384" s="370" t="str">
        <f ca="1">道具!$C$25</f>
        <v>毒瓶</v>
      </c>
      <c r="Q384" s="371"/>
      <c r="R384" s="371"/>
      <c r="S384" s="32"/>
      <c r="T384" s="32"/>
      <c r="U384" s="376"/>
      <c r="V384" s="371"/>
      <c r="W384" s="32"/>
      <c r="X384" s="371"/>
      <c r="Y384" s="371"/>
      <c r="Z384" s="371"/>
      <c r="AA384" s="32"/>
    </row>
    <row r="385" spans="1:27" ht="12.75" x14ac:dyDescent="0.2">
      <c r="A385" s="32"/>
      <c r="B385" s="34" t="b">
        <v>0</v>
      </c>
      <c r="C385" s="370" t="str">
        <f ca="1">敌人!C$104</f>
        <v>魔导飞器（火）</v>
      </c>
      <c r="D385" s="371"/>
      <c r="E385" s="34">
        <f>敌人!D$104</f>
        <v>2</v>
      </c>
      <c r="F385" s="34">
        <f>敌人!E$104</f>
        <v>0</v>
      </c>
      <c r="G385" s="34">
        <f>敌人!F$104</f>
        <v>0</v>
      </c>
      <c r="H385" s="34">
        <f>敌人!G$104</f>
        <v>0</v>
      </c>
      <c r="I385" s="34">
        <f>敌人!H$104</f>
        <v>0</v>
      </c>
      <c r="J385" s="34">
        <f>敌人!I$104</f>
        <v>0</v>
      </c>
      <c r="K385" s="370" t="str">
        <f ca="1">敌人!J$104</f>
        <v>火之精灵石</v>
      </c>
      <c r="L385" s="371"/>
      <c r="M385" s="371"/>
      <c r="N385" s="32"/>
      <c r="O385" s="34" t="b">
        <v>0</v>
      </c>
      <c r="P385" s="370" t="str">
        <f ca="1">道具!$C$5</f>
        <v>ＨＰ全体恢复的葡萄</v>
      </c>
      <c r="Q385" s="371"/>
      <c r="R385" s="371"/>
      <c r="S385" s="32"/>
      <c r="T385" s="32"/>
      <c r="U385" s="376"/>
      <c r="V385" s="371"/>
      <c r="W385" s="32"/>
      <c r="X385" s="373" t="str">
        <f ca="1">语言!A$381</f>
        <v>海边洞窟</v>
      </c>
      <c r="Y385" s="371"/>
      <c r="Z385" s="371"/>
      <c r="AA385" s="32"/>
    </row>
    <row r="386" spans="1:27" ht="12.75" x14ac:dyDescent="0.2">
      <c r="A386" s="32"/>
      <c r="B386" s="34" t="b">
        <v>0</v>
      </c>
      <c r="C386" s="370" t="str">
        <f ca="1">敌人!C$72</f>
        <v>魔导飞器（暗）</v>
      </c>
      <c r="D386" s="371"/>
      <c r="E386" s="34">
        <f>敌人!D$72</f>
        <v>3</v>
      </c>
      <c r="F386" s="34">
        <f>敌人!E$72</f>
        <v>0</v>
      </c>
      <c r="G386" s="34">
        <f>敌人!F$72</f>
        <v>0</v>
      </c>
      <c r="H386" s="34">
        <f>敌人!G$72</f>
        <v>0</v>
      </c>
      <c r="I386" s="34">
        <f>敌人!H$72</f>
        <v>0</v>
      </c>
      <c r="J386" s="34">
        <f>敌人!I$72</f>
        <v>0</v>
      </c>
      <c r="K386" s="370" t="str">
        <f ca="1">敌人!J$72</f>
        <v>暗之精灵石</v>
      </c>
      <c r="L386" s="371"/>
      <c r="M386" s="371"/>
      <c r="N386" s="32"/>
      <c r="O386" s="34" t="b">
        <v>0</v>
      </c>
      <c r="P386" s="370" t="str">
        <f ca="1">道具!$C$22</f>
        <v>睡眠治疗药草</v>
      </c>
      <c r="Q386" s="371"/>
      <c r="R386" s="371"/>
      <c r="S386" s="32"/>
      <c r="T386" s="32"/>
      <c r="U386" s="376"/>
      <c r="V386" s="371"/>
      <c r="W386" s="32"/>
      <c r="X386" s="471" t="b">
        <v>0</v>
      </c>
      <c r="Y386" s="471" t="str">
        <f ca="1">敌人!$C$21&amp;"&amp;II
"&amp;语言!$A$50&amp;"/"&amp;语言!$A$13&amp;":
"&amp;道具!$C$111</f>
        <v>黑炎教信徒 I&amp;II
偷取/掉落物:
魔物香水</v>
      </c>
      <c r="Z386" s="472" t="str">
        <f ca="1">"If you don't have any "&amp;道具!$C$111&amp;", "&amp;敌人!$C$21&amp;"&amp;2 is one of only a few source for your "&amp;语言!$A$9&amp;" achievement."</f>
        <v>If you don't have any 魔物香水, 黑炎教信徒 I&amp;2 is one of only a few source for your 收藏家 achievement.</v>
      </c>
      <c r="AA386" s="32"/>
    </row>
    <row r="387" spans="1:27" ht="12.75" x14ac:dyDescent="0.2">
      <c r="A387" s="32"/>
      <c r="B387" s="375" t="str">
        <f ca="1">语言!A$381&amp;" ("&amp;语言!$A$12&amp;" 38)"</f>
        <v>海边洞窟 (危险度 38)</v>
      </c>
      <c r="C387" s="371"/>
      <c r="D387" s="371"/>
      <c r="E387" s="371"/>
      <c r="F387" s="371"/>
      <c r="G387" s="371"/>
      <c r="H387" s="371"/>
      <c r="I387" s="371"/>
      <c r="J387" s="371"/>
      <c r="K387" s="371"/>
      <c r="L387" s="371"/>
      <c r="M387" s="371"/>
      <c r="N387" s="32"/>
      <c r="O387" s="375" t="str">
        <f ca="1">语言!A$381&amp;" (7 "&amp;语言!$A$19&amp;")"</f>
        <v>海边洞窟 (7 宝箱)</v>
      </c>
      <c r="P387" s="371"/>
      <c r="Q387" s="371"/>
      <c r="R387" s="371"/>
      <c r="S387" s="32"/>
      <c r="T387" s="32"/>
      <c r="U387" s="376"/>
      <c r="V387" s="371"/>
      <c r="W387" s="32"/>
      <c r="X387" s="371"/>
      <c r="Y387" s="371"/>
      <c r="Z387" s="371"/>
      <c r="AA387" s="32"/>
    </row>
    <row r="388" spans="1:27" ht="12.75" x14ac:dyDescent="0.2">
      <c r="A388" s="32"/>
      <c r="B388" s="34" t="b">
        <v>0</v>
      </c>
      <c r="C388" s="370" t="str">
        <f ca="1">敌人!C$21</f>
        <v>黑炎教信徒 I</v>
      </c>
      <c r="D388" s="371"/>
      <c r="E388" s="34">
        <f>敌人!D$21</f>
        <v>3</v>
      </c>
      <c r="F388" s="34">
        <f>敌人!E$21</f>
        <v>0</v>
      </c>
      <c r="G388" s="34">
        <f>敌人!F$21</f>
        <v>0</v>
      </c>
      <c r="H388" s="34">
        <f>敌人!G$21</f>
        <v>0</v>
      </c>
      <c r="I388" s="34">
        <f>敌人!H$21</f>
        <v>0</v>
      </c>
      <c r="J388" s="34">
        <f>敌人!I$21</f>
        <v>0</v>
      </c>
      <c r="K388" s="370" t="str">
        <f ca="1">敌人!J$21</f>
        <v>魔物香水</v>
      </c>
      <c r="L388" s="371"/>
      <c r="M388" s="371"/>
      <c r="N388" s="32"/>
      <c r="O388" s="34" t="b">
        <v>0</v>
      </c>
      <c r="P388" s="370" t="str">
        <f ca="1">道具!$C$8</f>
        <v>ＳＰ全体恢复的李子</v>
      </c>
      <c r="Q388" s="371"/>
      <c r="R388" s="371"/>
      <c r="S388" s="32"/>
      <c r="T388" s="32"/>
      <c r="U388" s="376"/>
      <c r="V388" s="371"/>
      <c r="W388" s="32"/>
      <c r="X388" s="371"/>
      <c r="Y388" s="371"/>
      <c r="Z388" s="371"/>
      <c r="AA388" s="32"/>
    </row>
    <row r="389" spans="1:27" ht="12.75" x14ac:dyDescent="0.2">
      <c r="A389" s="32"/>
      <c r="B389" s="34" t="b">
        <v>0</v>
      </c>
      <c r="C389" s="370" t="str">
        <f ca="1">敌人!C$22</f>
        <v>黑炎教信徒 II</v>
      </c>
      <c r="D389" s="371"/>
      <c r="E389" s="34">
        <f>敌人!D$22</f>
        <v>4</v>
      </c>
      <c r="F389" s="34">
        <f>敌人!E$22</f>
        <v>0</v>
      </c>
      <c r="G389" s="34">
        <f>敌人!F$22</f>
        <v>0</v>
      </c>
      <c r="H389" s="34">
        <f>敌人!G$22</f>
        <v>0</v>
      </c>
      <c r="I389" s="34">
        <f>敌人!H$22</f>
        <v>0</v>
      </c>
      <c r="J389" s="34">
        <f>敌人!I$22</f>
        <v>0</v>
      </c>
      <c r="K389" s="370" t="str">
        <f ca="1">敌人!J$22</f>
        <v>魔物香水</v>
      </c>
      <c r="L389" s="371"/>
      <c r="M389" s="371"/>
      <c r="N389" s="32"/>
      <c r="O389" s="34" t="b">
        <v>0</v>
      </c>
      <c r="P389" s="370" t="str">
        <f ca="1">道具!$C$12</f>
        <v>ＨＰ／ＳＰ恢复的果酱</v>
      </c>
      <c r="Q389" s="371"/>
      <c r="R389" s="371"/>
      <c r="S389" s="32"/>
      <c r="T389" s="32"/>
      <c r="U389" s="376"/>
      <c r="V389" s="371"/>
      <c r="W389" s="32"/>
      <c r="X389" s="41"/>
      <c r="Y389" s="41"/>
      <c r="Z389" s="42"/>
      <c r="AA389" s="32"/>
    </row>
    <row r="390" spans="1:27" ht="12.75" x14ac:dyDescent="0.2">
      <c r="A390" s="32"/>
      <c r="B390" s="34" t="b">
        <v>0</v>
      </c>
      <c r="C390" s="370" t="str">
        <f ca="1">敌人!C$81</f>
        <v>魔导机（暗）・异型</v>
      </c>
      <c r="D390" s="371"/>
      <c r="E390" s="34">
        <f>敌人!D$81</f>
        <v>1</v>
      </c>
      <c r="F390" s="34">
        <f>敌人!E$81</f>
        <v>0</v>
      </c>
      <c r="G390" s="34">
        <f>敌人!F$81</f>
        <v>0</v>
      </c>
      <c r="H390" s="34">
        <f>敌人!G$81</f>
        <v>0</v>
      </c>
      <c r="I390" s="34">
        <f>敌人!H$81</f>
        <v>0</v>
      </c>
      <c r="J390" s="34">
        <f>敌人!I$81</f>
        <v>0</v>
      </c>
      <c r="K390" s="370" t="str">
        <f ca="1">敌人!J$81</f>
        <v>暗之精灵石（大）</v>
      </c>
      <c r="L390" s="371"/>
      <c r="M390" s="371"/>
      <c r="N390" s="32"/>
      <c r="O390" s="34" t="b">
        <v>0</v>
      </c>
      <c r="P390" s="370" t="str">
        <f ca="1">道具!$C$375&amp;" ("&amp;语言!$A$20&amp;")"</f>
        <v>显赫头盔 (上锁宝箱)</v>
      </c>
      <c r="Q390" s="371"/>
      <c r="R390" s="371"/>
      <c r="S390" s="32"/>
      <c r="T390" s="32"/>
      <c r="U390" s="376"/>
      <c r="V390" s="371"/>
      <c r="W390" s="32"/>
      <c r="X390" s="32"/>
      <c r="Y390" s="32"/>
      <c r="Z390" s="32"/>
      <c r="AA390" s="32"/>
    </row>
    <row r="391" spans="1:27" ht="12.75" x14ac:dyDescent="0.2">
      <c r="A391" s="32"/>
      <c r="B391" s="34" t="b">
        <v>0</v>
      </c>
      <c r="C391" s="370" t="str">
        <f ca="1">敌人!C$74</f>
        <v>暗元素</v>
      </c>
      <c r="D391" s="371"/>
      <c r="E391" s="34">
        <f>敌人!D$74</f>
        <v>4</v>
      </c>
      <c r="F391" s="34">
        <f>敌人!E$74</f>
        <v>0</v>
      </c>
      <c r="G391" s="34">
        <f>敌人!F$74</f>
        <v>0</v>
      </c>
      <c r="H391" s="34">
        <f>敌人!G$74</f>
        <v>0</v>
      </c>
      <c r="I391" s="34">
        <f>敌人!H$74</f>
        <v>0</v>
      </c>
      <c r="J391" s="34">
        <f>敌人!I$74</f>
        <v>0</v>
      </c>
      <c r="K391" s="370" t="str">
        <f ca="1">敌人!J$74</f>
        <v>暗之精灵石（特大）</v>
      </c>
      <c r="L391" s="371"/>
      <c r="M391" s="371"/>
      <c r="N391" s="32"/>
      <c r="O391" s="34" t="b">
        <v>0</v>
      </c>
      <c r="P391" s="370" t="str">
        <f ca="1">道具!$C$10</f>
        <v>ＢＰ恢复的石榴（大）</v>
      </c>
      <c r="Q391" s="371"/>
      <c r="R391" s="371"/>
      <c r="S391" s="32"/>
      <c r="T391" s="32"/>
      <c r="U391" s="376"/>
      <c r="V391" s="371"/>
      <c r="W391" s="32"/>
      <c r="X391" s="32"/>
      <c r="Y391" s="32"/>
      <c r="Z391" s="32"/>
      <c r="AA391" s="32"/>
    </row>
    <row r="392" spans="1:27" ht="12.75" x14ac:dyDescent="0.2">
      <c r="A392" s="32"/>
      <c r="B392" s="34" t="b">
        <v>0</v>
      </c>
      <c r="C392" s="370" t="str">
        <f ca="1">敌人!C$109</f>
        <v>魔导机（火）・异型</v>
      </c>
      <c r="D392" s="371"/>
      <c r="E392" s="34">
        <f>敌人!D$109</f>
        <v>1</v>
      </c>
      <c r="F392" s="34">
        <f>敌人!E$109</f>
        <v>0</v>
      </c>
      <c r="G392" s="34">
        <f>敌人!F$109</f>
        <v>0</v>
      </c>
      <c r="H392" s="34">
        <f>敌人!G$109</f>
        <v>0</v>
      </c>
      <c r="I392" s="34">
        <f>敌人!H$109</f>
        <v>0</v>
      </c>
      <c r="J392" s="34">
        <f>敌人!I$109</f>
        <v>0</v>
      </c>
      <c r="K392" s="370" t="str">
        <f ca="1">敌人!J$109</f>
        <v>火之精灵石（大）</v>
      </c>
      <c r="L392" s="371"/>
      <c r="M392" s="371"/>
      <c r="N392" s="32"/>
      <c r="O392" s="34" t="b">
        <v>0</v>
      </c>
      <c r="P392" s="370" t="str">
        <f ca="1">道具!$C$14</f>
        <v>复活的橄榄</v>
      </c>
      <c r="Q392" s="371"/>
      <c r="R392" s="371"/>
      <c r="S392" s="32"/>
      <c r="T392" s="32"/>
      <c r="U392" s="376"/>
      <c r="V392" s="371"/>
      <c r="W392" s="32"/>
      <c r="X392" s="32"/>
      <c r="Y392" s="32"/>
      <c r="Z392" s="32"/>
      <c r="AA392" s="32"/>
    </row>
    <row r="393" spans="1:27" ht="12.75" x14ac:dyDescent="0.2">
      <c r="A393" s="32"/>
      <c r="B393" s="34" t="b">
        <v>0</v>
      </c>
      <c r="C393" s="370" t="str">
        <f ca="1">敌人!C$100</f>
        <v>火元素</v>
      </c>
      <c r="D393" s="371"/>
      <c r="E393" s="34">
        <f>敌人!D$100</f>
        <v>4</v>
      </c>
      <c r="F393" s="34">
        <f>敌人!E$100</f>
        <v>0</v>
      </c>
      <c r="G393" s="34">
        <f>敌人!F$100</f>
        <v>0</v>
      </c>
      <c r="H393" s="34">
        <f>敌人!G$100</f>
        <v>0</v>
      </c>
      <c r="I393" s="34">
        <f>敌人!H$100</f>
        <v>0</v>
      </c>
      <c r="J393" s="34">
        <f>敌人!I$100</f>
        <v>0</v>
      </c>
      <c r="K393" s="370" t="str">
        <f ca="1">敌人!J$100</f>
        <v>火之精灵石（特大）</v>
      </c>
      <c r="L393" s="371"/>
      <c r="M393" s="371"/>
      <c r="N393" s="32"/>
      <c r="O393" s="34" t="b">
        <v>0</v>
      </c>
      <c r="P393" s="370" t="str">
        <f ca="1">道具!$C$7</f>
        <v>ＳＰ恢复的李子（大）</v>
      </c>
      <c r="Q393" s="371"/>
      <c r="R393" s="371"/>
      <c r="S393" s="32"/>
      <c r="T393" s="32"/>
      <c r="U393" s="376"/>
      <c r="V393" s="371"/>
      <c r="W393" s="32"/>
      <c r="X393" s="32"/>
      <c r="Y393" s="32"/>
      <c r="Z393" s="32"/>
      <c r="AA393" s="32"/>
    </row>
    <row r="394" spans="1:27" ht="12.75" x14ac:dyDescent="0.2">
      <c r="A394" s="32"/>
      <c r="B394" s="34" t="b">
        <v>0</v>
      </c>
      <c r="C394" s="370" t="str">
        <f ca="1">敌人!C$314</f>
        <v>天上蜘蛛</v>
      </c>
      <c r="D394" s="371"/>
      <c r="E394" s="34">
        <f>敌人!D$314</f>
        <v>4</v>
      </c>
      <c r="F394" s="34">
        <f>敌人!E$314</f>
        <v>0</v>
      </c>
      <c r="G394" s="34">
        <f>敌人!F$314</f>
        <v>0</v>
      </c>
      <c r="H394" s="34">
        <f>敌人!G$314</f>
        <v>0</v>
      </c>
      <c r="I394" s="34">
        <f>敌人!H$314</f>
        <v>0</v>
      </c>
      <c r="J394" s="34">
        <f>敌人!I$314</f>
        <v>0</v>
      </c>
      <c r="K394" s="370" t="str">
        <f ca="1">敌人!J$314</f>
        <v>混乱多之叶</v>
      </c>
      <c r="L394" s="371"/>
      <c r="M394" s="371"/>
      <c r="N394" s="32"/>
      <c r="O394" s="34" t="b">
        <v>0</v>
      </c>
      <c r="P394" s="370" t="str">
        <f ca="1">道具!$C$120</f>
        <v>放了银块的皮袋</v>
      </c>
      <c r="Q394" s="371"/>
      <c r="R394" s="371"/>
      <c r="S394" s="32"/>
      <c r="T394" s="32"/>
      <c r="U394" s="376"/>
      <c r="V394" s="371"/>
      <c r="W394" s="32"/>
      <c r="X394" s="32"/>
      <c r="Y394" s="32"/>
      <c r="Z394" s="32"/>
      <c r="AA394" s="32"/>
    </row>
    <row r="395" spans="1:27" ht="12.75" x14ac:dyDescent="0.2">
      <c r="A395" s="32"/>
      <c r="B395" s="34" t="b">
        <v>0</v>
      </c>
      <c r="C395" s="370" t="str">
        <f ca="1">敌人!C$345</f>
        <v>食人蝙蝠</v>
      </c>
      <c r="D395" s="371"/>
      <c r="E395" s="34">
        <f>敌人!D$345</f>
        <v>1</v>
      </c>
      <c r="F395" s="34">
        <f>敌人!E$345</f>
        <v>0</v>
      </c>
      <c r="G395" s="34">
        <f>敌人!F$345</f>
        <v>0</v>
      </c>
      <c r="H395" s="34">
        <f>敌人!G$345</f>
        <v>0</v>
      </c>
      <c r="I395" s="34">
        <f>敌人!H$345</f>
        <v>0</v>
      </c>
      <c r="J395" s="34">
        <f>敌人!I$345</f>
        <v>0</v>
      </c>
      <c r="K395" s="370" t="str">
        <f ca="1">敌人!J$345</f>
        <v>神秘之花</v>
      </c>
      <c r="L395" s="371"/>
      <c r="M395" s="371"/>
      <c r="N395" s="32"/>
      <c r="O395" s="32"/>
      <c r="P395" s="470"/>
      <c r="Q395" s="371"/>
      <c r="R395" s="371"/>
      <c r="S395" s="32"/>
      <c r="T395" s="32"/>
      <c r="U395" s="376"/>
      <c r="V395" s="371"/>
      <c r="W395" s="32"/>
      <c r="X395" s="32"/>
      <c r="Y395" s="32"/>
      <c r="Z395" s="32"/>
      <c r="AA395" s="32"/>
    </row>
    <row r="396" spans="1:27" ht="12.75" x14ac:dyDescent="0.2">
      <c r="A396" s="32"/>
      <c r="B396" s="475" t="str">
        <f ca="1">语言!$A$15</f>
        <v>Boss</v>
      </c>
      <c r="C396" s="371"/>
      <c r="D396" s="371"/>
      <c r="E396" s="371"/>
      <c r="F396" s="371"/>
      <c r="G396" s="371"/>
      <c r="H396" s="371"/>
      <c r="I396" s="371"/>
      <c r="J396" s="371"/>
      <c r="K396" s="371"/>
      <c r="L396" s="371"/>
      <c r="M396" s="371"/>
      <c r="N396" s="32"/>
      <c r="O396" s="32"/>
      <c r="P396" s="470"/>
      <c r="Q396" s="371"/>
      <c r="R396" s="371"/>
      <c r="S396" s="32"/>
      <c r="T396" s="32"/>
      <c r="U396" s="376"/>
      <c r="V396" s="371"/>
      <c r="W396" s="32"/>
      <c r="X396" s="32"/>
      <c r="Y396" s="32"/>
      <c r="Z396" s="32"/>
      <c r="AA396" s="32"/>
    </row>
    <row r="397" spans="1:27" ht="12.75" x14ac:dyDescent="0.2">
      <c r="A397" s="32"/>
      <c r="B397" s="34" t="b">
        <v>0</v>
      </c>
      <c r="C397" s="370" t="str">
        <f ca="1">敌人!C$435</f>
        <v>神秘男子 I</v>
      </c>
      <c r="D397" s="371"/>
      <c r="E397" s="34">
        <f>敌人!D$435</f>
        <v>5</v>
      </c>
      <c r="F397" s="34">
        <f>敌人!E$435</f>
        <v>0</v>
      </c>
      <c r="G397" s="34">
        <f>敌人!F$435</f>
        <v>0</v>
      </c>
      <c r="H397" s="34">
        <f>敌人!G$435</f>
        <v>0</v>
      </c>
      <c r="I397" s="34">
        <f>敌人!H$435</f>
        <v>0</v>
      </c>
      <c r="J397" s="34">
        <f>敌人!I$435</f>
        <v>0</v>
      </c>
      <c r="K397" s="425" t="str">
        <f ca="1">敌人!J$435</f>
        <v>黑手杖</v>
      </c>
      <c r="L397" s="371"/>
      <c r="M397" s="371"/>
      <c r="N397" s="32"/>
      <c r="O397" s="32"/>
      <c r="P397" s="470"/>
      <c r="Q397" s="371"/>
      <c r="R397" s="371"/>
      <c r="S397" s="32"/>
      <c r="T397" s="32"/>
      <c r="U397" s="376"/>
      <c r="V397" s="371"/>
      <c r="W397" s="32"/>
      <c r="X397" s="32"/>
      <c r="Y397" s="32"/>
      <c r="Z397" s="32"/>
      <c r="AA397" s="32"/>
    </row>
    <row r="398" spans="1:27" ht="12.75" x14ac:dyDescent="0.2">
      <c r="A398" s="32"/>
      <c r="B398" s="34" t="b">
        <v>0</v>
      </c>
      <c r="C398" s="370" t="str">
        <f ca="1">敌人!C$436</f>
        <v>神秘男子 II</v>
      </c>
      <c r="D398" s="371"/>
      <c r="E398" s="34">
        <f>敌人!D$436</f>
        <v>4</v>
      </c>
      <c r="F398" s="34">
        <f>敌人!E$436</f>
        <v>0</v>
      </c>
      <c r="G398" s="34">
        <f>敌人!F$436</f>
        <v>0</v>
      </c>
      <c r="H398" s="34">
        <f>敌人!G$436</f>
        <v>0</v>
      </c>
      <c r="I398" s="34">
        <f>敌人!H$436</f>
        <v>0</v>
      </c>
      <c r="J398" s="34">
        <f>敌人!I$436</f>
        <v>0</v>
      </c>
      <c r="K398" s="425" t="str">
        <f ca="1">敌人!J$436</f>
        <v>精神手环</v>
      </c>
      <c r="L398" s="371"/>
      <c r="M398" s="371"/>
      <c r="N398" s="32"/>
      <c r="O398" s="32"/>
      <c r="P398" s="470"/>
      <c r="Q398" s="371"/>
      <c r="R398" s="371"/>
      <c r="S398" s="32"/>
      <c r="T398" s="32"/>
      <c r="U398" s="376"/>
      <c r="V398" s="371"/>
      <c r="W398" s="32"/>
      <c r="X398" s="32"/>
      <c r="Y398" s="32"/>
      <c r="Z398" s="32"/>
      <c r="AA398" s="32"/>
    </row>
    <row r="399" spans="1:27" ht="12.75" x14ac:dyDescent="0.2">
      <c r="A399" s="32"/>
      <c r="B399" s="32"/>
      <c r="C399" s="376"/>
      <c r="D399" s="371"/>
      <c r="E399" s="32"/>
      <c r="F399" s="32"/>
      <c r="G399" s="32"/>
      <c r="H399" s="32"/>
      <c r="I399" s="32"/>
      <c r="J399" s="32"/>
      <c r="K399" s="376"/>
      <c r="L399" s="371"/>
      <c r="M399" s="371"/>
      <c r="N399" s="32"/>
      <c r="O399" s="32"/>
      <c r="P399" s="470"/>
      <c r="Q399" s="371"/>
      <c r="R399" s="371"/>
      <c r="S399" s="32"/>
      <c r="T399" s="32"/>
      <c r="U399" s="376"/>
      <c r="V399" s="371"/>
      <c r="W399" s="32"/>
      <c r="X399" s="32"/>
      <c r="Y399" s="32"/>
      <c r="Z399" s="32"/>
      <c r="AA399" s="32"/>
    </row>
    <row r="400" spans="1:27" ht="18" x14ac:dyDescent="0.25">
      <c r="A400" s="388" t="str">
        <f ca="1">语言!$A$323&amp;" 3"</f>
        <v>Tier 3</v>
      </c>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row>
    <row r="401" spans="1:27" ht="18" x14ac:dyDescent="0.25">
      <c r="A401" s="32"/>
      <c r="B401" s="33" t="b">
        <v>0</v>
      </c>
      <c r="C401" s="372" t="str">
        <f ca="1">敌人!C$53</f>
        <v>布尔乔亚凯特林</v>
      </c>
      <c r="D401" s="371"/>
      <c r="E401" s="33">
        <f>敌人!D$53</f>
        <v>4</v>
      </c>
      <c r="F401" s="33">
        <f>敌人!E$53</f>
        <v>0</v>
      </c>
      <c r="G401" s="33">
        <f>敌人!F$53</f>
        <v>0</v>
      </c>
      <c r="H401" s="33">
        <f>敌人!G$53</f>
        <v>0</v>
      </c>
      <c r="I401" s="33">
        <f>敌人!H$53</f>
        <v>0</v>
      </c>
      <c r="J401" s="33">
        <f>敌人!I$53</f>
        <v>0</v>
      </c>
      <c r="K401" s="372" t="str">
        <f ca="1">敌人!J$53</f>
        <v>ＨＰ／ＳＰ／ＢＰ恢复的果酱</v>
      </c>
      <c r="L401" s="371"/>
      <c r="M401" s="371"/>
      <c r="N401" s="32"/>
      <c r="O401" s="375" t="str">
        <f ca="1">语言!A$382&amp;" (6 "&amp;语言!$A$19&amp;")"</f>
        <v>格兰波特 (6 宝箱)</v>
      </c>
      <c r="P401" s="371"/>
      <c r="Q401" s="371"/>
      <c r="R401" s="371"/>
      <c r="S401" s="32"/>
      <c r="T401" s="373" t="str">
        <f ca="1">语言!A$382</f>
        <v>格兰波特</v>
      </c>
      <c r="U401" s="371"/>
      <c r="V401" s="371"/>
      <c r="W401" s="32"/>
      <c r="X401" s="373" t="str">
        <f ca="1">语言!A$382</f>
        <v>格兰波特</v>
      </c>
      <c r="Y401" s="371"/>
      <c r="Z401" s="371"/>
      <c r="AA401" s="43"/>
    </row>
    <row r="402" spans="1:27" ht="12.75" x14ac:dyDescent="0.2">
      <c r="A402" s="32"/>
      <c r="B402" s="375" t="str">
        <f ca="1">语言!A$385&amp;" ("&amp;语言!$A$12&amp;" 45)"</f>
        <v>西格兰波特海道 (危险度 45)</v>
      </c>
      <c r="C402" s="371"/>
      <c r="D402" s="371"/>
      <c r="E402" s="371"/>
      <c r="F402" s="371"/>
      <c r="G402" s="371"/>
      <c r="H402" s="371"/>
      <c r="I402" s="371"/>
      <c r="J402" s="371"/>
      <c r="K402" s="371"/>
      <c r="L402" s="371"/>
      <c r="M402" s="371"/>
      <c r="N402" s="32"/>
      <c r="O402" s="34" t="b">
        <v>0</v>
      </c>
      <c r="P402" s="370" t="str">
        <f ca="1">道具!$C$8</f>
        <v>ＳＰ全体恢复的李子</v>
      </c>
      <c r="Q402" s="371"/>
      <c r="R402" s="371"/>
      <c r="S402" s="32"/>
      <c r="T402" s="33" t="b">
        <v>0</v>
      </c>
      <c r="U402" s="372" t="str">
        <f ca="1">道具!$C$13</f>
        <v>ＨＰ／ＳＰ／ＢＰ恢复的果酱</v>
      </c>
      <c r="V402" s="371"/>
      <c r="W402" s="32"/>
      <c r="X402" s="372" t="b">
        <v>0</v>
      </c>
      <c r="Y402" s="401" t="str">
        <f ca="1">语言!$A$1952&amp;" (NPC)
Items:
"&amp;道具!$C$115&amp;"
"&amp;道具!$C$126</f>
        <v>卢・曼 (NPC)
Items:
简单！冒险者入门
旧硬币</v>
      </c>
      <c r="Z402" s="472" t="str">
        <f ca="1">语言!$A$46&amp;" / "&amp;语言!$A$50&amp;" before completing the quest: "&amp;支线!$C$53&amp;". "&amp;道具!$C$115&amp;" &amp; "&amp;道具!$C$126&amp;" are Limited items. Both items were available when NPC was in "&amp;语言!$A$366&amp;" and "&amp;语言!$A$372&amp;" but here is your last chance to get them."</f>
        <v>购买 / 偷取 before completing the quest: 冒险家卢・曼（３）. 简单！冒险者入门 &amp; 旧硬币 are Limited items. Both items were available when NPC was in 利布尔泰德 and 葛鲁德修亚 but here is your last chance to get them.</v>
      </c>
      <c r="AA402" s="32"/>
    </row>
    <row r="403" spans="1:27" ht="12.75" x14ac:dyDescent="0.2">
      <c r="A403" s="32"/>
      <c r="B403" s="34" t="b">
        <v>0</v>
      </c>
      <c r="C403" s="370" t="str">
        <f ca="1">敌人!C$299</f>
        <v>海之大鸟人 I</v>
      </c>
      <c r="D403" s="371"/>
      <c r="E403" s="34">
        <f>敌人!D$299</f>
        <v>3</v>
      </c>
      <c r="F403" s="34">
        <f>敌人!E$299</f>
        <v>0</v>
      </c>
      <c r="G403" s="34">
        <f>敌人!F$299</f>
        <v>0</v>
      </c>
      <c r="H403" s="34">
        <f>敌人!G$299</f>
        <v>0</v>
      </c>
      <c r="I403" s="34">
        <f>敌人!H$299</f>
        <v>0</v>
      </c>
      <c r="J403" s="34">
        <f>敌人!I$299</f>
        <v>0</v>
      </c>
      <c r="K403" s="370" t="str">
        <f ca="1">敌人!J$299</f>
        <v>ＳＰ恢复的李子</v>
      </c>
      <c r="L403" s="371"/>
      <c r="M403" s="371"/>
      <c r="N403" s="32"/>
      <c r="O403" s="34" t="b">
        <v>0</v>
      </c>
      <c r="P403" s="370" t="str">
        <f ca="1">道具!$C$94</f>
        <v>空空的钱包</v>
      </c>
      <c r="Q403" s="371"/>
      <c r="R403" s="371"/>
      <c r="S403" s="32"/>
      <c r="T403" s="33" t="b">
        <v>0</v>
      </c>
      <c r="U403" s="372" t="str">
        <f ca="1">道具!$C$533</f>
        <v>含毒的素材（扩散）</v>
      </c>
      <c r="V403" s="371"/>
      <c r="W403" s="32"/>
      <c r="X403" s="371"/>
      <c r="Y403" s="371"/>
      <c r="Z403" s="371"/>
      <c r="AA403" s="32"/>
    </row>
    <row r="404" spans="1:27" ht="12.75" x14ac:dyDescent="0.2">
      <c r="A404" s="32"/>
      <c r="B404" s="34" t="b">
        <v>0</v>
      </c>
      <c r="C404" s="370" t="str">
        <f ca="1">敌人!C$300</f>
        <v>海之大鸟人 II</v>
      </c>
      <c r="D404" s="371"/>
      <c r="E404" s="34">
        <f>敌人!D$300</f>
        <v>2</v>
      </c>
      <c r="F404" s="34">
        <f>敌人!E$300</f>
        <v>0</v>
      </c>
      <c r="G404" s="34">
        <f>敌人!F$300</f>
        <v>0</v>
      </c>
      <c r="H404" s="34">
        <f>敌人!G$300</f>
        <v>0</v>
      </c>
      <c r="I404" s="34">
        <f>敌人!H$300</f>
        <v>0</v>
      </c>
      <c r="J404" s="34">
        <f>敌人!I$300</f>
        <v>0</v>
      </c>
      <c r="K404" s="370" t="str">
        <f ca="1">敌人!J$300</f>
        <v>睡眠花之叶</v>
      </c>
      <c r="L404" s="371"/>
      <c r="M404" s="371"/>
      <c r="N404" s="32"/>
      <c r="O404" s="34" t="b">
        <v>0</v>
      </c>
      <c r="P404" s="370" t="str">
        <f ca="1">道具!$C$120</f>
        <v>放了银块的皮袋</v>
      </c>
      <c r="Q404" s="371"/>
      <c r="R404" s="371"/>
      <c r="S404" s="32"/>
      <c r="T404" s="33" t="b">
        <v>0</v>
      </c>
      <c r="U404" s="372" t="str">
        <f ca="1">道具!$C$95</f>
        <v>钱包</v>
      </c>
      <c r="V404" s="371"/>
      <c r="W404" s="32"/>
      <c r="X404" s="371"/>
      <c r="Y404" s="371"/>
      <c r="Z404" s="371"/>
      <c r="AA404" s="32"/>
    </row>
    <row r="405" spans="1:27" ht="12.75" x14ac:dyDescent="0.2">
      <c r="A405" s="32"/>
      <c r="B405" s="34" t="b">
        <v>0</v>
      </c>
      <c r="C405" s="370" t="str">
        <f ca="1">敌人!C$301</f>
        <v>海之大鸟人 III</v>
      </c>
      <c r="D405" s="371"/>
      <c r="E405" s="34">
        <f>敌人!D$301</f>
        <v>5</v>
      </c>
      <c r="F405" s="34">
        <f>敌人!E$301</f>
        <v>0</v>
      </c>
      <c r="G405" s="34">
        <f>敌人!F$301</f>
        <v>0</v>
      </c>
      <c r="H405" s="34">
        <f>敌人!G$301</f>
        <v>0</v>
      </c>
      <c r="I405" s="34">
        <f>敌人!H$301</f>
        <v>0</v>
      </c>
      <c r="J405" s="34">
        <f>敌人!I$301</f>
        <v>0</v>
      </c>
      <c r="K405" s="370" t="str">
        <f ca="1">敌人!J$301</f>
        <v>ＨＰ全体恢复的葡萄</v>
      </c>
      <c r="L405" s="371"/>
      <c r="M405" s="371"/>
      <c r="N405" s="32"/>
      <c r="O405" s="34" t="b">
        <v>0</v>
      </c>
      <c r="P405" s="370" t="str">
        <f ca="1">道具!$C$29</f>
        <v>睡眠瓶</v>
      </c>
      <c r="Q405" s="371"/>
      <c r="R405" s="371"/>
      <c r="S405" s="32"/>
      <c r="T405" s="33" t="b">
        <v>0</v>
      </c>
      <c r="U405" s="372" t="str">
        <f ca="1">道具!$C$394</f>
        <v>银发饰</v>
      </c>
      <c r="V405" s="371"/>
      <c r="W405" s="32"/>
      <c r="X405" s="371"/>
      <c r="Y405" s="371"/>
      <c r="Z405" s="371"/>
      <c r="AA405" s="32"/>
    </row>
    <row r="406" spans="1:27" ht="12.75" x14ac:dyDescent="0.2">
      <c r="A406" s="32"/>
      <c r="B406" s="34" t="b">
        <v>0</v>
      </c>
      <c r="C406" s="370" t="str">
        <f ca="1">敌人!C$246</f>
        <v>双剪蟹</v>
      </c>
      <c r="D406" s="371"/>
      <c r="E406" s="34">
        <f>敌人!D$246</f>
        <v>5</v>
      </c>
      <c r="F406" s="34">
        <f>敌人!E$246</f>
        <v>0</v>
      </c>
      <c r="G406" s="34">
        <f>敌人!F$246</f>
        <v>0</v>
      </c>
      <c r="H406" s="34">
        <f>敌人!G$246</f>
        <v>0</v>
      </c>
      <c r="I406" s="34">
        <f>敌人!H$246</f>
        <v>0</v>
      </c>
      <c r="J406" s="34">
        <f>敌人!I$246</f>
        <v>0</v>
      </c>
      <c r="K406" s="370" t="str">
        <f ca="1">敌人!J$246</f>
        <v>睡眠花之叶</v>
      </c>
      <c r="L406" s="371"/>
      <c r="M406" s="371"/>
      <c r="N406" s="32"/>
      <c r="O406" s="34" t="b">
        <v>0</v>
      </c>
      <c r="P406" s="370" t="s">
        <v>24</v>
      </c>
      <c r="Q406" s="371"/>
      <c r="R406" s="371"/>
      <c r="S406" s="32"/>
      <c r="T406" s="33" t="b">
        <v>0</v>
      </c>
      <c r="U406" s="372" t="str">
        <f ca="1">道具!$C$117</f>
        <v>鼓胀的钱包</v>
      </c>
      <c r="V406" s="371"/>
      <c r="W406" s="32"/>
      <c r="X406" s="371"/>
      <c r="Y406" s="371"/>
      <c r="Z406" s="371"/>
      <c r="AA406" s="32"/>
    </row>
    <row r="407" spans="1:27" ht="12.75" x14ac:dyDescent="0.2">
      <c r="A407" s="32"/>
      <c r="B407" s="34" t="b">
        <v>0</v>
      </c>
      <c r="C407" s="370" t="str">
        <f ca="1">敌人!C$25</f>
        <v>黑剪蟹</v>
      </c>
      <c r="D407" s="371"/>
      <c r="E407" s="34">
        <f>敌人!D$25</f>
        <v>2</v>
      </c>
      <c r="F407" s="34">
        <f>敌人!E$25</f>
        <v>0</v>
      </c>
      <c r="G407" s="34">
        <f>敌人!F$25</f>
        <v>0</v>
      </c>
      <c r="H407" s="34">
        <f>敌人!G$25</f>
        <v>0</v>
      </c>
      <c r="I407" s="34">
        <f>敌人!H$25</f>
        <v>0</v>
      </c>
      <c r="J407" s="34">
        <f>敌人!I$25</f>
        <v>0</v>
      </c>
      <c r="K407" s="370" t="str">
        <f ca="1">敌人!J$25</f>
        <v>神秘之花</v>
      </c>
      <c r="L407" s="371"/>
      <c r="M407" s="371"/>
      <c r="N407" s="32"/>
      <c r="O407" s="34" t="b">
        <v>0</v>
      </c>
      <c r="P407" s="370" t="str">
        <f ca="1">道具!$C$130</f>
        <v>目眩神迷的美术品</v>
      </c>
      <c r="Q407" s="371"/>
      <c r="R407" s="371"/>
      <c r="S407" s="32"/>
      <c r="T407" s="33" t="b">
        <v>0</v>
      </c>
      <c r="U407" s="372" t="str">
        <f ca="1">道具!$C$12</f>
        <v>ＨＰ／ＳＰ恢复的果酱</v>
      </c>
      <c r="V407" s="371"/>
      <c r="W407" s="32"/>
      <c r="X407" s="373" t="str">
        <f ca="1">语言!A$385</f>
        <v>西格兰波特海道</v>
      </c>
      <c r="Y407" s="371"/>
      <c r="Z407" s="371"/>
      <c r="AA407" s="32"/>
    </row>
    <row r="408" spans="1:27" ht="12.75" x14ac:dyDescent="0.2">
      <c r="A408" s="32"/>
      <c r="B408" s="34" t="b">
        <v>0</v>
      </c>
      <c r="C408" s="370" t="str">
        <f ca="1">敌人!C$52</f>
        <v>巨鲸</v>
      </c>
      <c r="D408" s="371"/>
      <c r="E408" s="34">
        <f>敌人!D$52</f>
        <v>6</v>
      </c>
      <c r="F408" s="34">
        <f>敌人!E$52</f>
        <v>0</v>
      </c>
      <c r="G408" s="34">
        <f>敌人!F$52</f>
        <v>0</v>
      </c>
      <c r="H408" s="34">
        <f>敌人!G$52</f>
        <v>0</v>
      </c>
      <c r="I408" s="34">
        <f>敌人!H$52</f>
        <v>0</v>
      </c>
      <c r="J408" s="34">
        <f>敌人!I$52</f>
        <v>0</v>
      </c>
      <c r="K408" s="370" t="str">
        <f ca="1">敌人!J$52</f>
        <v>混乱多之叶</v>
      </c>
      <c r="L408" s="371"/>
      <c r="M408" s="371"/>
      <c r="N408" s="32"/>
      <c r="O408" s="375" t="str">
        <f ca="1">语言!A$385&amp;" (4 "&amp;语言!$A$19&amp;")"</f>
        <v>西格兰波特海道 (4 宝箱)</v>
      </c>
      <c r="P408" s="371"/>
      <c r="Q408" s="371"/>
      <c r="R408" s="371"/>
      <c r="S408" s="32"/>
      <c r="T408" s="33" t="b">
        <v>0</v>
      </c>
      <c r="U408" s="372" t="str">
        <f ca="1">道具!$C$7</f>
        <v>ＳＰ恢复的李子（大）</v>
      </c>
      <c r="V408" s="371"/>
      <c r="W408" s="32"/>
      <c r="X408" s="471" t="b">
        <v>0</v>
      </c>
      <c r="Y408" s="471" t="str">
        <f ca="1">语言!$A$1814&amp;" (NPC)"</f>
        <v>山贼 (NPC)</v>
      </c>
      <c r="Z408" s="472" t="str">
        <f ca="1">"NPC is available only during quest: "&amp;支线!$C$56&amp;". He doesn't have much interesting on him but he deserves to get stolen."</f>
        <v>NPC is available only during quest: 寇蒂莉亚与诺雅，在那之后. He doesn't have much interesting on him but he deserves to get stolen.</v>
      </c>
      <c r="AA408" s="32"/>
    </row>
    <row r="409" spans="1:27" ht="12.75" x14ac:dyDescent="0.2">
      <c r="A409" s="32"/>
      <c r="B409" s="34" t="b">
        <v>0</v>
      </c>
      <c r="C409" s="370" t="str">
        <f ca="1">敌人!C$145</f>
        <v>海雀异种</v>
      </c>
      <c r="D409" s="371"/>
      <c r="E409" s="34">
        <f>敌人!D$145</f>
        <v>4</v>
      </c>
      <c r="F409" s="34">
        <f>敌人!E$145</f>
        <v>0</v>
      </c>
      <c r="G409" s="34">
        <f>敌人!F$145</f>
        <v>0</v>
      </c>
      <c r="H409" s="34">
        <f>敌人!G$145</f>
        <v>0</v>
      </c>
      <c r="I409" s="34">
        <f>敌人!H$145</f>
        <v>0</v>
      </c>
      <c r="J409" s="34">
        <f>敌人!I$145</f>
        <v>0</v>
      </c>
      <c r="K409" s="370" t="str">
        <f ca="1">敌人!J$145</f>
        <v>复活的橄榄（大）</v>
      </c>
      <c r="L409" s="371"/>
      <c r="M409" s="371"/>
      <c r="N409" s="32"/>
      <c r="O409" s="34" t="b">
        <v>0</v>
      </c>
      <c r="P409" s="370" t="str">
        <f ca="1">道具!$C$42</f>
        <v>风之精灵石（特大）</v>
      </c>
      <c r="Q409" s="371"/>
      <c r="R409" s="371"/>
      <c r="S409" s="32"/>
      <c r="T409" s="33" t="b">
        <v>0</v>
      </c>
      <c r="U409" s="372" t="str">
        <f ca="1">道具!$C$131</f>
        <v>锈蚀腐朽的杯子</v>
      </c>
      <c r="V409" s="371"/>
      <c r="W409" s="32"/>
      <c r="X409" s="371"/>
      <c r="Y409" s="371"/>
      <c r="Z409" s="371"/>
      <c r="AA409" s="32"/>
    </row>
    <row r="410" spans="1:27" ht="12.75" x14ac:dyDescent="0.2">
      <c r="A410" s="32"/>
      <c r="B410" s="375" t="str">
        <f ca="1">语言!A$386&amp;" ("&amp;语言!$A$12&amp;" 50)"</f>
        <v>腐王入江口 (危险度 50)</v>
      </c>
      <c r="C410" s="371"/>
      <c r="D410" s="371"/>
      <c r="E410" s="371"/>
      <c r="F410" s="371"/>
      <c r="G410" s="371"/>
      <c r="H410" s="371"/>
      <c r="I410" s="371"/>
      <c r="J410" s="371"/>
      <c r="K410" s="371"/>
      <c r="L410" s="371"/>
      <c r="M410" s="371"/>
      <c r="N410" s="32"/>
      <c r="O410" s="34" t="b">
        <v>0</v>
      </c>
      <c r="P410" s="370" t="s">
        <v>22</v>
      </c>
      <c r="Q410" s="371"/>
      <c r="R410" s="371"/>
      <c r="S410" s="32"/>
      <c r="T410" s="33" t="b">
        <v>0</v>
      </c>
      <c r="U410" s="372" t="str">
        <f ca="1">道具!$C$521</f>
        <v>沉默耐性石</v>
      </c>
      <c r="V410" s="371"/>
      <c r="W410" s="32"/>
      <c r="X410" s="371"/>
      <c r="Y410" s="371"/>
      <c r="Z410" s="371"/>
      <c r="AA410" s="32"/>
    </row>
    <row r="411" spans="1:27" ht="12.75" x14ac:dyDescent="0.2">
      <c r="A411" s="32"/>
      <c r="B411" s="34" t="b">
        <v>0</v>
      </c>
      <c r="C411" s="370" t="str">
        <f ca="1">敌人!C$300</f>
        <v>海之大鸟人 II</v>
      </c>
      <c r="D411" s="371"/>
      <c r="E411" s="34">
        <f>敌人!D$300</f>
        <v>2</v>
      </c>
      <c r="F411" s="34">
        <f>敌人!E$300</f>
        <v>0</v>
      </c>
      <c r="G411" s="34">
        <f>敌人!F$300</f>
        <v>0</v>
      </c>
      <c r="H411" s="34">
        <f>敌人!G$300</f>
        <v>0</v>
      </c>
      <c r="I411" s="34">
        <f>敌人!H$300</f>
        <v>0</v>
      </c>
      <c r="J411" s="34">
        <f>敌人!I$300</f>
        <v>0</v>
      </c>
      <c r="K411" s="370" t="str">
        <f ca="1">敌人!J$300</f>
        <v>睡眠花之叶</v>
      </c>
      <c r="L411" s="371"/>
      <c r="M411" s="371"/>
      <c r="N411" s="32"/>
      <c r="O411" s="34" t="b">
        <v>0</v>
      </c>
      <c r="P411" s="370" t="str">
        <f ca="1">道具!$C$38</f>
        <v>雷之精灵石（特大）</v>
      </c>
      <c r="Q411" s="371"/>
      <c r="R411" s="371"/>
      <c r="S411" s="32"/>
      <c r="T411" s="32"/>
      <c r="U411" s="376"/>
      <c r="V411" s="371"/>
      <c r="W411" s="32"/>
      <c r="X411" s="32"/>
      <c r="Y411" s="32"/>
      <c r="Z411" s="32"/>
      <c r="AA411" s="32"/>
    </row>
    <row r="412" spans="1:27" ht="12.75" x14ac:dyDescent="0.2">
      <c r="A412" s="32"/>
      <c r="B412" s="34" t="b">
        <v>0</v>
      </c>
      <c r="C412" s="370" t="str">
        <f ca="1">敌人!C$301</f>
        <v>海之大鸟人 III</v>
      </c>
      <c r="D412" s="371"/>
      <c r="E412" s="34">
        <f>敌人!D$301</f>
        <v>5</v>
      </c>
      <c r="F412" s="34">
        <f>敌人!E$301</f>
        <v>0</v>
      </c>
      <c r="G412" s="34">
        <f>敌人!F$301</f>
        <v>0</v>
      </c>
      <c r="H412" s="34">
        <f>敌人!G$301</f>
        <v>0</v>
      </c>
      <c r="I412" s="34">
        <f>敌人!H$301</f>
        <v>0</v>
      </c>
      <c r="J412" s="34">
        <f>敌人!I$301</f>
        <v>0</v>
      </c>
      <c r="K412" s="370" t="str">
        <f ca="1">敌人!J$301</f>
        <v>ＨＰ全体恢复的葡萄</v>
      </c>
      <c r="L412" s="371"/>
      <c r="M412" s="371"/>
      <c r="N412" s="32"/>
      <c r="O412" s="34" t="b">
        <v>0</v>
      </c>
      <c r="P412" s="370" t="str">
        <f ca="1">道具!$C$5</f>
        <v>ＨＰ全体恢复的葡萄</v>
      </c>
      <c r="Q412" s="371"/>
      <c r="R412" s="371"/>
      <c r="S412" s="32"/>
      <c r="T412" s="32"/>
      <c r="U412" s="376"/>
      <c r="V412" s="371"/>
      <c r="W412" s="32"/>
      <c r="X412" s="32"/>
      <c r="Y412" s="32"/>
      <c r="Z412" s="32"/>
      <c r="AA412" s="32"/>
    </row>
    <row r="413" spans="1:27" ht="12.75" x14ac:dyDescent="0.2">
      <c r="A413" s="32"/>
      <c r="B413" s="34" t="b">
        <v>0</v>
      </c>
      <c r="C413" s="370" t="str">
        <f ca="1">敌人!C$133</f>
        <v>狂暴菌类</v>
      </c>
      <c r="D413" s="371"/>
      <c r="E413" s="34">
        <f>敌人!D$133</f>
        <v>2</v>
      </c>
      <c r="F413" s="34">
        <f>敌人!E$133</f>
        <v>0</v>
      </c>
      <c r="G413" s="34">
        <f>敌人!F$133</f>
        <v>0</v>
      </c>
      <c r="H413" s="34">
        <f>敌人!G$133</f>
        <v>0</v>
      </c>
      <c r="I413" s="34">
        <f>敌人!H$133</f>
        <v>0</v>
      </c>
      <c r="J413" s="34">
        <f>敌人!I$133</f>
        <v>0</v>
      </c>
      <c r="K413" s="370" t="str">
        <f ca="1">敌人!J$133</f>
        <v>昏迷治疗药草</v>
      </c>
      <c r="L413" s="371"/>
      <c r="M413" s="371"/>
      <c r="N413" s="32"/>
      <c r="O413" s="375" t="str">
        <f ca="1">语言!A$386&amp;" (8 "&amp;语言!$A$19&amp;")"</f>
        <v>腐王入江口 (8 宝箱)</v>
      </c>
      <c r="P413" s="371"/>
      <c r="Q413" s="371"/>
      <c r="R413" s="371"/>
      <c r="S413" s="32"/>
      <c r="T413" s="32"/>
      <c r="U413" s="376"/>
      <c r="V413" s="371"/>
      <c r="W413" s="32"/>
      <c r="X413" s="32"/>
      <c r="Y413" s="32"/>
      <c r="Z413" s="32"/>
      <c r="AA413" s="32"/>
    </row>
    <row r="414" spans="1:27" ht="12.75" x14ac:dyDescent="0.2">
      <c r="A414" s="32"/>
      <c r="B414" s="34" t="b">
        <v>0</v>
      </c>
      <c r="C414" s="370" t="str">
        <f ca="1">敌人!C$143</f>
        <v>蛞蝓怪异种</v>
      </c>
      <c r="D414" s="371"/>
      <c r="E414" s="34">
        <f>敌人!D$143</f>
        <v>4</v>
      </c>
      <c r="F414" s="34">
        <f>敌人!E$143</f>
        <v>0</v>
      </c>
      <c r="G414" s="34">
        <f>敌人!F$143</f>
        <v>0</v>
      </c>
      <c r="H414" s="34">
        <f>敌人!G$143</f>
        <v>0</v>
      </c>
      <c r="I414" s="34">
        <f>敌人!H$143</f>
        <v>0</v>
      </c>
      <c r="J414" s="34">
        <f>敌人!I$143</f>
        <v>0</v>
      </c>
      <c r="K414" s="370" t="str">
        <f ca="1">敌人!J$143</f>
        <v>ＳＰ恢复的李子（大）</v>
      </c>
      <c r="L414" s="371"/>
      <c r="M414" s="371"/>
      <c r="N414" s="32"/>
      <c r="O414" s="34" t="b">
        <v>0</v>
      </c>
      <c r="P414" s="370" t="str">
        <f ca="1">道具!$C$42</f>
        <v>风之精灵石（特大）</v>
      </c>
      <c r="Q414" s="371"/>
      <c r="R414" s="371"/>
      <c r="S414" s="32"/>
      <c r="T414" s="32"/>
      <c r="U414" s="376"/>
      <c r="V414" s="371"/>
      <c r="W414" s="32"/>
      <c r="X414" s="32"/>
      <c r="Y414" s="32"/>
      <c r="Z414" s="32"/>
      <c r="AA414" s="32"/>
    </row>
    <row r="415" spans="1:27" ht="12.75" x14ac:dyDescent="0.2">
      <c r="A415" s="32"/>
      <c r="B415" s="34" t="b">
        <v>0</v>
      </c>
      <c r="C415" s="370" t="str">
        <f ca="1">敌人!C$17</f>
        <v>山贼骷髅</v>
      </c>
      <c r="D415" s="371"/>
      <c r="E415" s="34">
        <f>敌人!D$17</f>
        <v>2</v>
      </c>
      <c r="F415" s="34">
        <f>敌人!E$17</f>
        <v>0</v>
      </c>
      <c r="G415" s="34">
        <f>敌人!F$17</f>
        <v>0</v>
      </c>
      <c r="H415" s="34">
        <f>敌人!G$17</f>
        <v>0</v>
      </c>
      <c r="I415" s="34">
        <f>敌人!H$17</f>
        <v>0</v>
      </c>
      <c r="J415" s="34">
        <f>敌人!I$17</f>
        <v>0</v>
      </c>
      <c r="K415" s="370" t="str">
        <f ca="1">敌人!J$17</f>
        <v>装了破烂儿的小袋子</v>
      </c>
      <c r="L415" s="371"/>
      <c r="M415" s="371"/>
      <c r="N415" s="32"/>
      <c r="O415" s="34" t="b">
        <v>0</v>
      </c>
      <c r="P415" s="370" t="s">
        <v>17</v>
      </c>
      <c r="Q415" s="371"/>
      <c r="R415" s="371"/>
      <c r="S415" s="32"/>
      <c r="T415" s="32"/>
      <c r="U415" s="376"/>
      <c r="V415" s="371"/>
      <c r="W415" s="32"/>
      <c r="X415" s="32"/>
      <c r="Y415" s="32"/>
      <c r="Z415" s="32"/>
      <c r="AA415" s="32"/>
    </row>
    <row r="416" spans="1:27" ht="12.75" x14ac:dyDescent="0.2">
      <c r="A416" s="32"/>
      <c r="B416" s="34" t="b">
        <v>0</v>
      </c>
      <c r="C416" s="370" t="str">
        <f ca="1">敌人!C$171</f>
        <v>冰元素</v>
      </c>
      <c r="D416" s="371"/>
      <c r="E416" s="34">
        <f>敌人!D$171</f>
        <v>4</v>
      </c>
      <c r="F416" s="34">
        <f>敌人!E$171</f>
        <v>0</v>
      </c>
      <c r="G416" s="34">
        <f>敌人!F$171</f>
        <v>0</v>
      </c>
      <c r="H416" s="34">
        <f>敌人!G$171</f>
        <v>0</v>
      </c>
      <c r="I416" s="34">
        <f>敌人!H$171</f>
        <v>0</v>
      </c>
      <c r="J416" s="34">
        <f>敌人!I$171</f>
        <v>0</v>
      </c>
      <c r="K416" s="370" t="str">
        <f ca="1">敌人!J$171</f>
        <v>冰之精灵石（特大）</v>
      </c>
      <c r="L416" s="371"/>
      <c r="M416" s="371"/>
      <c r="N416" s="32"/>
      <c r="O416" s="34" t="b">
        <v>0</v>
      </c>
      <c r="P416" s="370" t="str">
        <f ca="1">道具!$C$521&amp;" ("&amp;语言!$A$20&amp;")"</f>
        <v>沉默耐性石 (上锁宝箱)</v>
      </c>
      <c r="Q416" s="371"/>
      <c r="R416" s="371"/>
      <c r="S416" s="32"/>
      <c r="T416" s="32"/>
      <c r="U416" s="376"/>
      <c r="V416" s="371"/>
      <c r="W416" s="32"/>
      <c r="X416" s="32"/>
      <c r="Y416" s="32"/>
      <c r="Z416" s="32"/>
      <c r="AA416" s="32"/>
    </row>
    <row r="417" spans="1:27" ht="12.75" x14ac:dyDescent="0.2">
      <c r="A417" s="32"/>
      <c r="B417" s="34" t="b">
        <v>0</v>
      </c>
      <c r="C417" s="370" t="str">
        <f ca="1">敌人!C$207</f>
        <v>雷元素</v>
      </c>
      <c r="D417" s="371"/>
      <c r="E417" s="34">
        <f>敌人!D$207</f>
        <v>4</v>
      </c>
      <c r="F417" s="34">
        <f>敌人!E$207</f>
        <v>0</v>
      </c>
      <c r="G417" s="34">
        <f>敌人!F$207</f>
        <v>0</v>
      </c>
      <c r="H417" s="34">
        <f>敌人!G$207</f>
        <v>0</v>
      </c>
      <c r="I417" s="34">
        <f>敌人!H$207</f>
        <v>0</v>
      </c>
      <c r="J417" s="34">
        <f>敌人!I$207</f>
        <v>0</v>
      </c>
      <c r="K417" s="370" t="str">
        <f ca="1">敌人!J$207</f>
        <v>雷之精灵石（特大）</v>
      </c>
      <c r="L417" s="371"/>
      <c r="M417" s="371"/>
      <c r="N417" s="32"/>
      <c r="O417" s="34" t="b">
        <v>0</v>
      </c>
      <c r="P417" s="370" t="str">
        <f ca="1">道具!$C$8</f>
        <v>ＳＰ全体恢复的李子</v>
      </c>
      <c r="Q417" s="371"/>
      <c r="R417" s="371"/>
      <c r="S417" s="32"/>
      <c r="T417" s="32"/>
      <c r="U417" s="376"/>
      <c r="V417" s="371"/>
      <c r="W417" s="32"/>
      <c r="X417" s="32"/>
      <c r="Y417" s="32"/>
      <c r="Z417" s="32"/>
      <c r="AA417" s="32"/>
    </row>
    <row r="418" spans="1:27" ht="12.75" x14ac:dyDescent="0.2">
      <c r="A418" s="32"/>
      <c r="B418" s="475" t="str">
        <f ca="1">语言!$A$16</f>
        <v>小Boss</v>
      </c>
      <c r="C418" s="371"/>
      <c r="D418" s="371"/>
      <c r="E418" s="371"/>
      <c r="F418" s="371"/>
      <c r="G418" s="371"/>
      <c r="H418" s="371"/>
      <c r="I418" s="371"/>
      <c r="J418" s="371"/>
      <c r="K418" s="371"/>
      <c r="L418" s="371"/>
      <c r="M418" s="371"/>
      <c r="N418" s="32"/>
      <c r="O418" s="34" t="b">
        <v>0</v>
      </c>
      <c r="P418" s="370" t="str">
        <f ca="1">道具!$C$11</f>
        <v>ＢＰ恢复的石榴（特大）</v>
      </c>
      <c r="Q418" s="371"/>
      <c r="R418" s="371"/>
      <c r="S418" s="32"/>
      <c r="T418" s="32"/>
      <c r="U418" s="376"/>
      <c r="V418" s="371"/>
      <c r="W418" s="32"/>
      <c r="X418" s="32"/>
      <c r="Y418" s="32"/>
      <c r="Z418" s="32"/>
      <c r="AA418" s="32"/>
    </row>
    <row r="419" spans="1:27" ht="12.75" x14ac:dyDescent="0.2">
      <c r="A419" s="32"/>
      <c r="B419" s="34" t="b">
        <v>0</v>
      </c>
      <c r="C419" s="370" t="str">
        <f ca="1">敌人!C$387</f>
        <v>翼蜥蜴重型种</v>
      </c>
      <c r="D419" s="371"/>
      <c r="E419" s="34">
        <f>敌人!D$387</f>
        <v>10</v>
      </c>
      <c r="F419" s="34">
        <f>敌人!E$387</f>
        <v>0</v>
      </c>
      <c r="G419" s="34">
        <f>敌人!F$387</f>
        <v>0</v>
      </c>
      <c r="H419" s="34">
        <f>敌人!G$387</f>
        <v>0</v>
      </c>
      <c r="I419" s="34">
        <f>敌人!H$387</f>
        <v>0</v>
      </c>
      <c r="J419" s="34">
        <f>敌人!I$387</f>
        <v>0</v>
      </c>
      <c r="K419" s="370" t="str">
        <f ca="1">敌人!J$387</f>
        <v>ＨＰ／ＳＰ／ＢＰ恢复的果酱</v>
      </c>
      <c r="L419" s="371"/>
      <c r="M419" s="371"/>
      <c r="N419" s="32"/>
      <c r="O419" s="34" t="b">
        <v>0</v>
      </c>
      <c r="P419" s="370" t="str">
        <f ca="1">道具!$C$17</f>
        <v>复活的橄榄（特大）</v>
      </c>
      <c r="Q419" s="371"/>
      <c r="R419" s="371"/>
      <c r="S419" s="32"/>
      <c r="T419" s="32"/>
      <c r="U419" s="376"/>
      <c r="V419" s="371"/>
      <c r="W419" s="32"/>
      <c r="X419" s="32"/>
      <c r="Y419" s="32"/>
      <c r="Z419" s="32"/>
      <c r="AA419" s="32"/>
    </row>
    <row r="420" spans="1:27" ht="12.75" x14ac:dyDescent="0.2">
      <c r="A420" s="32"/>
      <c r="B420" s="32"/>
      <c r="C420" s="376"/>
      <c r="D420" s="371"/>
      <c r="E420" s="32"/>
      <c r="F420" s="32"/>
      <c r="G420" s="32"/>
      <c r="H420" s="32"/>
      <c r="I420" s="32"/>
      <c r="J420" s="32"/>
      <c r="K420" s="376"/>
      <c r="L420" s="371"/>
      <c r="M420" s="371"/>
      <c r="N420" s="32"/>
      <c r="O420" s="34" t="b">
        <v>0</v>
      </c>
      <c r="P420" s="370" t="str">
        <f ca="1">道具!$C$316&amp;" ("&amp;语言!$A$20&amp;")"</f>
        <v>大蓝宝石杖 (上锁宝箱)</v>
      </c>
      <c r="Q420" s="371"/>
      <c r="R420" s="371"/>
      <c r="S420" s="32"/>
      <c r="T420" s="32"/>
      <c r="U420" s="376"/>
      <c r="V420" s="371"/>
      <c r="W420" s="32"/>
      <c r="X420" s="32"/>
      <c r="Y420" s="32"/>
      <c r="Z420" s="32"/>
      <c r="AA420" s="32"/>
    </row>
    <row r="421" spans="1:27" ht="12.75" x14ac:dyDescent="0.2">
      <c r="A421" s="32"/>
      <c r="B421" s="32"/>
      <c r="C421" s="376"/>
      <c r="D421" s="371"/>
      <c r="E421" s="32"/>
      <c r="F421" s="32"/>
      <c r="G421" s="32"/>
      <c r="H421" s="32"/>
      <c r="I421" s="32"/>
      <c r="J421" s="32"/>
      <c r="K421" s="376"/>
      <c r="L421" s="371"/>
      <c r="M421" s="371"/>
      <c r="N421" s="32"/>
      <c r="O421" s="34" t="b">
        <v>0</v>
      </c>
      <c r="P421" s="370" t="str">
        <f ca="1">道具!$C$272&amp;" ("&amp;语言!$A$20&amp;")"</f>
        <v>进化弓・鹰 (上锁宝箱)</v>
      </c>
      <c r="Q421" s="371"/>
      <c r="R421" s="371"/>
      <c r="S421" s="32"/>
      <c r="T421" s="32"/>
      <c r="U421" s="376"/>
      <c r="V421" s="371"/>
      <c r="W421" s="32"/>
      <c r="X421" s="32"/>
      <c r="Y421" s="32"/>
      <c r="Z421" s="32"/>
      <c r="AA421" s="32"/>
    </row>
    <row r="422" spans="1:27" ht="12.75" x14ac:dyDescent="0.2">
      <c r="A422" s="32"/>
      <c r="B422" s="37"/>
      <c r="C422" s="391"/>
      <c r="D422" s="371"/>
      <c r="E422" s="32"/>
      <c r="F422" s="32"/>
      <c r="G422" s="32"/>
      <c r="H422" s="32"/>
      <c r="I422" s="32"/>
      <c r="J422" s="32"/>
      <c r="K422" s="376"/>
      <c r="L422" s="371"/>
      <c r="M422" s="371"/>
      <c r="N422" s="32"/>
      <c r="O422" s="32"/>
      <c r="P422" s="470"/>
      <c r="Q422" s="371"/>
      <c r="R422" s="371"/>
      <c r="S422" s="32"/>
      <c r="T422" s="32"/>
      <c r="U422" s="376"/>
      <c r="V422" s="371"/>
      <c r="W422" s="32"/>
      <c r="X422" s="32"/>
      <c r="Y422" s="32"/>
      <c r="Z422" s="32"/>
      <c r="AA422" s="32"/>
    </row>
    <row r="423" spans="1:27" ht="12.75" x14ac:dyDescent="0.2">
      <c r="A423" s="32"/>
      <c r="B423" s="374" t="str">
        <f ca="1">语言!$A$37&amp;" "&amp;语言!$A$14&amp;" 4"</f>
        <v>特蕾莎 章节 4</v>
      </c>
      <c r="C423" s="371"/>
      <c r="D423" s="371"/>
      <c r="E423" s="371"/>
      <c r="F423" s="371"/>
      <c r="G423" s="371"/>
      <c r="H423" s="371"/>
      <c r="I423" s="371"/>
      <c r="J423" s="371"/>
      <c r="K423" s="371"/>
      <c r="L423" s="371"/>
      <c r="M423" s="371"/>
      <c r="N423" s="32"/>
      <c r="O423" s="374" t="str">
        <f ca="1">语言!$A$37&amp;" "&amp;语言!$A$14&amp;" 4"</f>
        <v>特蕾莎 章节 4</v>
      </c>
      <c r="P423" s="371"/>
      <c r="Q423" s="371"/>
      <c r="R423" s="371"/>
      <c r="S423" s="32"/>
      <c r="T423" s="32"/>
      <c r="U423" s="376"/>
      <c r="V423" s="371"/>
      <c r="W423" s="32"/>
      <c r="X423" s="374" t="str">
        <f ca="1">语言!$A$37&amp;" "&amp;语言!$A$14&amp;" 4"</f>
        <v>特蕾莎 章节 4</v>
      </c>
      <c r="Y423" s="371"/>
      <c r="Z423" s="371"/>
      <c r="AA423" s="32"/>
    </row>
    <row r="424" spans="1:27" ht="12.75" x14ac:dyDescent="0.2">
      <c r="A424" s="32"/>
      <c r="B424" s="375" t="str">
        <f ca="1">语言!A$387&amp;" ("&amp;语言!$A$12&amp;" 45)"</f>
        <v>格兰波特地下水道 (危险度 45)</v>
      </c>
      <c r="C424" s="371"/>
      <c r="D424" s="371"/>
      <c r="E424" s="371"/>
      <c r="F424" s="371"/>
      <c r="G424" s="371"/>
      <c r="H424" s="371"/>
      <c r="I424" s="371"/>
      <c r="J424" s="371"/>
      <c r="K424" s="371"/>
      <c r="L424" s="371"/>
      <c r="M424" s="371"/>
      <c r="N424" s="32"/>
      <c r="O424" s="375" t="str">
        <f ca="1">语言!A$387&amp;" (45) (5 "&amp;语言!$A$19&amp;")"</f>
        <v>格兰波特地下水道 (45) (5 宝箱)</v>
      </c>
      <c r="P424" s="371"/>
      <c r="Q424" s="371"/>
      <c r="R424" s="371"/>
      <c r="S424" s="32"/>
      <c r="T424" s="32"/>
      <c r="U424" s="376"/>
      <c r="V424" s="371"/>
      <c r="W424" s="32"/>
      <c r="X424" s="373" t="str">
        <f ca="1">语言!A$382</f>
        <v>格兰波特</v>
      </c>
      <c r="Y424" s="371"/>
      <c r="Z424" s="371"/>
      <c r="AA424" s="32"/>
    </row>
    <row r="425" spans="1:27" ht="12.75" x14ac:dyDescent="0.2">
      <c r="A425" s="32"/>
      <c r="B425" s="34" t="b">
        <v>0</v>
      </c>
      <c r="C425" s="370" t="str">
        <f ca="1">敌人!C$231</f>
        <v>黑曜会干部 I</v>
      </c>
      <c r="D425" s="371"/>
      <c r="E425" s="34">
        <f>敌人!D$231</f>
        <v>2</v>
      </c>
      <c r="F425" s="34">
        <f>敌人!E$231</f>
        <v>0</v>
      </c>
      <c r="G425" s="34">
        <f>敌人!F$231</f>
        <v>0</v>
      </c>
      <c r="H425" s="34">
        <f>敌人!G$231</f>
        <v>0</v>
      </c>
      <c r="I425" s="34">
        <f>敌人!H$231</f>
        <v>0</v>
      </c>
      <c r="J425" s="34">
        <f>敌人!I$231</f>
        <v>0</v>
      </c>
      <c r="K425" s="370" t="str">
        <f ca="1">敌人!J$231</f>
        <v>毒治疗药草</v>
      </c>
      <c r="L425" s="371"/>
      <c r="M425" s="371"/>
      <c r="N425" s="32"/>
      <c r="O425" s="34" t="b">
        <v>0</v>
      </c>
      <c r="P425" s="370" t="str">
        <f ca="1">道具!$C$11</f>
        <v>ＢＰ恢复的石榴（特大）</v>
      </c>
      <c r="Q425" s="371"/>
      <c r="R425" s="371"/>
      <c r="S425" s="32"/>
      <c r="T425" s="32"/>
      <c r="U425" s="376"/>
      <c r="V425" s="371"/>
      <c r="W425" s="32"/>
      <c r="X425" s="471" t="b">
        <v>0</v>
      </c>
      <c r="Y425" s="471" t="str">
        <f ca="1">语言!$A$1926</f>
        <v>日记伯伯英格</v>
      </c>
      <c r="Z425" s="472" t="str">
        <f ca="1">IFERROR(__xludf.DUMMYFUNCTION("""During Tressa chapter 4 you'll be able to talk to ""&amp;TRIM(REGEXEXTRACT(Language!$A$1926, ""[^\n/]*[^/]""))&amp;"" in Grandport Markets, however if you go left upon entering the area you'll trigger a scene where you get your diary stolen and at this point th"&amp;"e NPC disapear until the end of the chapter. So you need to go right instead, this will trigger another scene with that NPC and you'll be able to interract with him and steal his thing. He doesn't have much on him, but if you want to strip every NPC of al"&amp;"l their items, this is your only chance here cause at the end of the chapter his inventory changes."""),"During Tressa chapter 4 you'll be able to talk to Diarist in Grandport Markets, however if you go left upon entering the area you'll trigger a scene where you get your diary stolen and at this point the NPC disapear until the end of the chapter. So you ne"&amp;"ed to go right instead, this will trigger another scene with that NPC and you'll be able to interract with him and steal his thing. He doesn't have much on him, but if you want to strip every NPC of all their items, this is your only chance here cause at "&amp;"the end of the chapter his inventory changes.")</f>
        <v>During Tressa chapter 4 you'll be able to talk to Diarist in Grandport Markets, however if you go left upon entering the area you'll trigger a scene where you get your diary stolen and at this point the NPC disapear until the end of the chapter. So you need to go right instead, this will trigger another scene with that NPC and you'll be able to interract with him and steal his thing. He doesn't have much on him, but if you want to strip every NPC of all their items, this is your only chance here cause at the end of the chapter his inventory changes.</v>
      </c>
      <c r="AA425" s="32"/>
    </row>
    <row r="426" spans="1:27" ht="12.75" x14ac:dyDescent="0.2">
      <c r="A426" s="32"/>
      <c r="B426" s="34" t="b">
        <v>0</v>
      </c>
      <c r="C426" s="370" t="str">
        <f ca="1">敌人!C$232</f>
        <v>黑曜会干部 II</v>
      </c>
      <c r="D426" s="371"/>
      <c r="E426" s="34">
        <f>敌人!D$232</f>
        <v>1</v>
      </c>
      <c r="F426" s="34">
        <f>敌人!E$232</f>
        <v>0</v>
      </c>
      <c r="G426" s="34">
        <f>敌人!F$232</f>
        <v>0</v>
      </c>
      <c r="H426" s="34">
        <f>敌人!G$232</f>
        <v>0</v>
      </c>
      <c r="I426" s="34">
        <f>敌人!H$232</f>
        <v>0</v>
      </c>
      <c r="J426" s="34">
        <f>敌人!I$232</f>
        <v>0</v>
      </c>
      <c r="K426" s="370" t="str">
        <f ca="1">敌人!J$232</f>
        <v>毒瓶</v>
      </c>
      <c r="L426" s="371"/>
      <c r="M426" s="371"/>
      <c r="N426" s="32"/>
      <c r="O426" s="34" t="b">
        <v>0</v>
      </c>
      <c r="P426" s="370" t="str">
        <f ca="1">道具!$C$38</f>
        <v>雷之精灵石（特大）</v>
      </c>
      <c r="Q426" s="371"/>
      <c r="R426" s="371"/>
      <c r="S426" s="32"/>
      <c r="T426" s="32"/>
      <c r="U426" s="376"/>
      <c r="V426" s="371"/>
      <c r="W426" s="32"/>
      <c r="X426" s="371"/>
      <c r="Y426" s="371"/>
      <c r="Z426" s="371"/>
      <c r="AA426" s="32"/>
    </row>
    <row r="427" spans="1:27" ht="12.75" x14ac:dyDescent="0.2">
      <c r="A427" s="32"/>
      <c r="B427" s="34" t="b">
        <v>0</v>
      </c>
      <c r="C427" s="370" t="str">
        <f ca="1">敌人!C$143</f>
        <v>蛞蝓怪异种</v>
      </c>
      <c r="D427" s="371"/>
      <c r="E427" s="34">
        <f>敌人!D$143</f>
        <v>4</v>
      </c>
      <c r="F427" s="34">
        <f>敌人!E$143</f>
        <v>0</v>
      </c>
      <c r="G427" s="34">
        <f>敌人!F$143</f>
        <v>0</v>
      </c>
      <c r="H427" s="34">
        <f>敌人!G$143</f>
        <v>0</v>
      </c>
      <c r="I427" s="34">
        <f>敌人!H$143</f>
        <v>0</v>
      </c>
      <c r="J427" s="34">
        <f>敌人!I$143</f>
        <v>0</v>
      </c>
      <c r="K427" s="370" t="str">
        <f ca="1">敌人!J$143</f>
        <v>ＳＰ恢复的李子（大）</v>
      </c>
      <c r="L427" s="371"/>
      <c r="M427" s="371"/>
      <c r="N427" s="32"/>
      <c r="O427" s="34" t="b">
        <v>0</v>
      </c>
      <c r="P427" s="370" t="str">
        <f ca="1">道具!$C$368</f>
        <v>帝国头盔</v>
      </c>
      <c r="Q427" s="371"/>
      <c r="R427" s="371"/>
      <c r="S427" s="32"/>
      <c r="T427" s="32"/>
      <c r="U427" s="376"/>
      <c r="V427" s="371"/>
      <c r="W427" s="32"/>
      <c r="X427" s="371"/>
      <c r="Y427" s="371"/>
      <c r="Z427" s="371"/>
      <c r="AA427" s="32"/>
    </row>
    <row r="428" spans="1:27" ht="12.75" x14ac:dyDescent="0.2">
      <c r="A428" s="32"/>
      <c r="B428" s="34" t="b">
        <v>0</v>
      </c>
      <c r="C428" s="370" t="str">
        <f ca="1">敌人!C$25</f>
        <v>黑剪蟹</v>
      </c>
      <c r="D428" s="371"/>
      <c r="E428" s="34">
        <f>敌人!D$25</f>
        <v>2</v>
      </c>
      <c r="F428" s="34">
        <f>敌人!E$25</f>
        <v>0</v>
      </c>
      <c r="G428" s="34">
        <f>敌人!F$25</f>
        <v>0</v>
      </c>
      <c r="H428" s="34">
        <f>敌人!G$25</f>
        <v>0</v>
      </c>
      <c r="I428" s="34">
        <f>敌人!H$25</f>
        <v>0</v>
      </c>
      <c r="J428" s="34">
        <f>敌人!I$25</f>
        <v>0</v>
      </c>
      <c r="K428" s="370" t="str">
        <f ca="1">敌人!J$25</f>
        <v>神秘之花</v>
      </c>
      <c r="L428" s="371"/>
      <c r="M428" s="371"/>
      <c r="N428" s="32"/>
      <c r="O428" s="34" t="b">
        <v>0</v>
      </c>
      <c r="P428" s="370" t="str">
        <f ca="1">道具!$C$207&amp;" ("&amp;语言!$A$20&amp;")"</f>
        <v>万速匕首 (上锁宝箱)</v>
      </c>
      <c r="Q428" s="371"/>
      <c r="R428" s="371"/>
      <c r="S428" s="32"/>
      <c r="T428" s="32"/>
      <c r="U428" s="376"/>
      <c r="V428" s="371"/>
      <c r="W428" s="32"/>
      <c r="X428" s="371"/>
      <c r="Y428" s="371"/>
      <c r="Z428" s="371"/>
      <c r="AA428" s="32"/>
    </row>
    <row r="429" spans="1:27" ht="12.75" x14ac:dyDescent="0.2">
      <c r="A429" s="32"/>
      <c r="B429" s="34" t="b">
        <v>0</v>
      </c>
      <c r="C429" s="370" t="str">
        <f ca="1">敌人!C$345</f>
        <v>食人蝙蝠</v>
      </c>
      <c r="D429" s="371"/>
      <c r="E429" s="34">
        <f>敌人!D$345</f>
        <v>1</v>
      </c>
      <c r="F429" s="34">
        <f>敌人!E$345</f>
        <v>0</v>
      </c>
      <c r="G429" s="34">
        <f>敌人!F$345</f>
        <v>0</v>
      </c>
      <c r="H429" s="34">
        <f>敌人!G$345</f>
        <v>0</v>
      </c>
      <c r="I429" s="34">
        <f>敌人!H$345</f>
        <v>0</v>
      </c>
      <c r="J429" s="34">
        <f>敌人!I$345</f>
        <v>0</v>
      </c>
      <c r="K429" s="370" t="str">
        <f ca="1">敌人!J$345</f>
        <v>神秘之花</v>
      </c>
      <c r="L429" s="371"/>
      <c r="M429" s="371"/>
      <c r="N429" s="32"/>
      <c r="O429" s="34" t="b">
        <v>0</v>
      </c>
      <c r="P429" s="370" t="str">
        <f ca="1">道具!$C$42</f>
        <v>风之精灵石（特大）</v>
      </c>
      <c r="Q429" s="371"/>
      <c r="R429" s="371"/>
      <c r="S429" s="32"/>
      <c r="T429" s="32"/>
      <c r="U429" s="376"/>
      <c r="V429" s="371"/>
      <c r="W429" s="32"/>
      <c r="X429" s="371"/>
      <c r="Y429" s="371"/>
      <c r="Z429" s="371"/>
      <c r="AA429" s="32"/>
    </row>
    <row r="430" spans="1:27" ht="12.75" x14ac:dyDescent="0.2">
      <c r="A430" s="32"/>
      <c r="B430" s="375" t="str">
        <f ca="1">语言!A$387&amp;" ("&amp;语言!$A$12&amp;" 46)"</f>
        <v>格兰波特地下水道 (危险度 46)</v>
      </c>
      <c r="C430" s="371"/>
      <c r="D430" s="371"/>
      <c r="E430" s="371"/>
      <c r="F430" s="371"/>
      <c r="G430" s="371"/>
      <c r="H430" s="371"/>
      <c r="I430" s="371"/>
      <c r="J430" s="371"/>
      <c r="K430" s="371"/>
      <c r="L430" s="371"/>
      <c r="M430" s="371"/>
      <c r="N430" s="32"/>
      <c r="O430" s="375" t="str">
        <f ca="1">语言!A$387&amp;" (46) (7 "&amp;语言!$A$19&amp;")"</f>
        <v>格兰波特地下水道 (46) (7 宝箱)</v>
      </c>
      <c r="P430" s="371"/>
      <c r="Q430" s="371"/>
      <c r="R430" s="371"/>
      <c r="S430" s="32"/>
      <c r="T430" s="32"/>
      <c r="U430" s="376"/>
      <c r="V430" s="371"/>
      <c r="W430" s="32"/>
      <c r="X430" s="371"/>
      <c r="Y430" s="371"/>
      <c r="Z430" s="371"/>
      <c r="AA430" s="32"/>
    </row>
    <row r="431" spans="1:27" ht="12.75" x14ac:dyDescent="0.2">
      <c r="A431" s="32"/>
      <c r="B431" s="34" t="b">
        <v>0</v>
      </c>
      <c r="C431" s="370" t="str">
        <f ca="1">敌人!C$337</f>
        <v>魔导机兵（雷）・异型</v>
      </c>
      <c r="D431" s="371"/>
      <c r="E431" s="34">
        <f>敌人!D$337</f>
        <v>5</v>
      </c>
      <c r="F431" s="34">
        <f>敌人!E$337</f>
        <v>0</v>
      </c>
      <c r="G431" s="34">
        <f>敌人!F$337</f>
        <v>0</v>
      </c>
      <c r="H431" s="34">
        <f>敌人!G$337</f>
        <v>0</v>
      </c>
      <c r="I431" s="34">
        <f>敌人!H$337</f>
        <v>0</v>
      </c>
      <c r="J431" s="34">
        <f>敌人!I$337</f>
        <v>0</v>
      </c>
      <c r="K431" s="370" t="str">
        <f ca="1">敌人!J$337</f>
        <v>雷之精灵石（大）</v>
      </c>
      <c r="L431" s="371"/>
      <c r="M431" s="371"/>
      <c r="N431" s="32"/>
      <c r="O431" s="34" t="b">
        <v>0</v>
      </c>
      <c r="P431" s="370" t="str">
        <f ca="1">道具!$C$339</f>
        <v>力之盾</v>
      </c>
      <c r="Q431" s="371"/>
      <c r="R431" s="371"/>
      <c r="S431" s="32"/>
      <c r="T431" s="32"/>
      <c r="U431" s="376"/>
      <c r="V431" s="371"/>
      <c r="W431" s="32"/>
      <c r="X431" s="371"/>
      <c r="Y431" s="371"/>
      <c r="Z431" s="371"/>
      <c r="AA431" s="32"/>
    </row>
    <row r="432" spans="1:27" ht="12.75" x14ac:dyDescent="0.2">
      <c r="A432" s="32"/>
      <c r="B432" s="34" t="b">
        <v>0</v>
      </c>
      <c r="C432" s="370" t="str">
        <f ca="1">敌人!C$342</f>
        <v>魔导机（雷）・异型</v>
      </c>
      <c r="D432" s="371"/>
      <c r="E432" s="34">
        <f>敌人!D$342</f>
        <v>1</v>
      </c>
      <c r="F432" s="34">
        <f>敌人!E$342</f>
        <v>0</v>
      </c>
      <c r="G432" s="34">
        <f>敌人!F$342</f>
        <v>0</v>
      </c>
      <c r="H432" s="34">
        <f>敌人!G$342</f>
        <v>0</v>
      </c>
      <c r="I432" s="34">
        <f>敌人!H$342</f>
        <v>0</v>
      </c>
      <c r="J432" s="34">
        <f>敌人!I$342</f>
        <v>0</v>
      </c>
      <c r="K432" s="370" t="str">
        <f ca="1">敌人!J$342</f>
        <v>雷之精灵石（大）</v>
      </c>
      <c r="L432" s="371"/>
      <c r="M432" s="371"/>
      <c r="N432" s="32"/>
      <c r="O432" s="34" t="b">
        <v>0</v>
      </c>
      <c r="P432" s="370" t="str">
        <f ca="1">道具!$C$38</f>
        <v>雷之精灵石（特大）</v>
      </c>
      <c r="Q432" s="371"/>
      <c r="R432" s="371"/>
      <c r="S432" s="32"/>
      <c r="T432" s="32"/>
      <c r="U432" s="376"/>
      <c r="V432" s="371"/>
      <c r="W432" s="32"/>
      <c r="X432" s="371"/>
      <c r="Y432" s="371"/>
      <c r="Z432" s="371"/>
      <c r="AA432" s="32"/>
    </row>
    <row r="433" spans="1:27" ht="12.75" x14ac:dyDescent="0.2">
      <c r="A433" s="32"/>
      <c r="B433" s="34" t="b">
        <v>0</v>
      </c>
      <c r="C433" s="370" t="str">
        <f ca="1">敌人!C$335</f>
        <v>魔导飞器（雷）・异型</v>
      </c>
      <c r="D433" s="371"/>
      <c r="E433" s="34">
        <f>敌人!D$335</f>
        <v>2</v>
      </c>
      <c r="F433" s="34">
        <f>敌人!E$335</f>
        <v>0</v>
      </c>
      <c r="G433" s="34">
        <f>敌人!F$335</f>
        <v>0</v>
      </c>
      <c r="H433" s="34">
        <f>敌人!G$335</f>
        <v>0</v>
      </c>
      <c r="I433" s="34">
        <f>敌人!H$335</f>
        <v>0</v>
      </c>
      <c r="J433" s="34">
        <f>敌人!I$335</f>
        <v>0</v>
      </c>
      <c r="K433" s="370" t="str">
        <f ca="1">敌人!J$335</f>
        <v>雷之精灵石（大）</v>
      </c>
      <c r="L433" s="371"/>
      <c r="M433" s="371"/>
      <c r="N433" s="32"/>
      <c r="O433" s="34" t="b">
        <v>0</v>
      </c>
      <c r="P433" s="370" t="str">
        <f ca="1">道具!$C$12</f>
        <v>ＨＰ／ＳＰ恢复的果酱</v>
      </c>
      <c r="Q433" s="371"/>
      <c r="R433" s="371"/>
      <c r="S433" s="32"/>
      <c r="T433" s="32"/>
      <c r="U433" s="376"/>
      <c r="V433" s="371"/>
      <c r="W433" s="32"/>
      <c r="X433" s="371"/>
      <c r="Y433" s="371"/>
      <c r="Z433" s="371"/>
      <c r="AA433" s="32"/>
    </row>
    <row r="434" spans="1:27" ht="12.75" x14ac:dyDescent="0.2">
      <c r="A434" s="32"/>
      <c r="B434" s="34" t="b">
        <v>0</v>
      </c>
      <c r="C434" s="370" t="str">
        <f ca="1">敌人!C$292</f>
        <v>浮浪海葵</v>
      </c>
      <c r="D434" s="371"/>
      <c r="E434" s="34">
        <f>敌人!D$292</f>
        <v>2</v>
      </c>
      <c r="F434" s="34">
        <f>敌人!E$292</f>
        <v>0</v>
      </c>
      <c r="G434" s="34">
        <f>敌人!F$292</f>
        <v>0</v>
      </c>
      <c r="H434" s="34">
        <f>敌人!G$292</f>
        <v>0</v>
      </c>
      <c r="I434" s="34">
        <f>敌人!H$292</f>
        <v>0</v>
      </c>
      <c r="J434" s="34">
        <f>敌人!I$292</f>
        <v>0</v>
      </c>
      <c r="K434" s="370" t="str">
        <f ca="1">敌人!J$292</f>
        <v>混乱多之叶</v>
      </c>
      <c r="L434" s="371"/>
      <c r="M434" s="371"/>
      <c r="N434" s="32"/>
      <c r="O434" s="34" t="b">
        <v>0</v>
      </c>
      <c r="P434" s="370" t="str">
        <f ca="1">道具!$C$177</f>
        <v>灾厄骑枪</v>
      </c>
      <c r="Q434" s="371"/>
      <c r="R434" s="371"/>
      <c r="S434" s="32"/>
      <c r="T434" s="32"/>
      <c r="U434" s="376"/>
      <c r="V434" s="371"/>
      <c r="W434" s="32"/>
      <c r="X434" s="32"/>
      <c r="Y434" s="32"/>
      <c r="Z434" s="32"/>
      <c r="AA434" s="32"/>
    </row>
    <row r="435" spans="1:27" ht="12.75" x14ac:dyDescent="0.2">
      <c r="A435" s="32"/>
      <c r="B435" s="34" t="b">
        <v>0</v>
      </c>
      <c r="C435" s="370" t="str">
        <f ca="1">敌人!C$143</f>
        <v>蛞蝓怪异种</v>
      </c>
      <c r="D435" s="371"/>
      <c r="E435" s="34">
        <f>敌人!D$143</f>
        <v>4</v>
      </c>
      <c r="F435" s="34">
        <f>敌人!E$143</f>
        <v>0</v>
      </c>
      <c r="G435" s="34">
        <f>敌人!F$143</f>
        <v>0</v>
      </c>
      <c r="H435" s="34">
        <f>敌人!G$143</f>
        <v>0</v>
      </c>
      <c r="I435" s="34">
        <f>敌人!H$143</f>
        <v>0</v>
      </c>
      <c r="J435" s="34">
        <f>敌人!I$143</f>
        <v>0</v>
      </c>
      <c r="K435" s="370" t="str">
        <f ca="1">敌人!J$143</f>
        <v>ＳＰ恢复的李子（大）</v>
      </c>
      <c r="L435" s="371"/>
      <c r="M435" s="371"/>
      <c r="N435" s="32"/>
      <c r="O435" s="34" t="b">
        <v>0</v>
      </c>
      <c r="P435" s="370" t="str">
        <f ca="1">道具!$C$413</f>
        <v>龙姬之衣</v>
      </c>
      <c r="Q435" s="371"/>
      <c r="R435" s="371"/>
      <c r="S435" s="32"/>
      <c r="T435" s="32"/>
      <c r="U435" s="376"/>
      <c r="V435" s="371"/>
      <c r="W435" s="32"/>
      <c r="X435" s="32"/>
      <c r="Y435" s="32"/>
      <c r="Z435" s="32"/>
      <c r="AA435" s="32"/>
    </row>
    <row r="436" spans="1:27" ht="12.75" x14ac:dyDescent="0.2">
      <c r="A436" s="32"/>
      <c r="B436" s="34" t="b">
        <v>0</v>
      </c>
      <c r="C436" s="370" t="str">
        <f ca="1">敌人!C$25</f>
        <v>黑剪蟹</v>
      </c>
      <c r="D436" s="371"/>
      <c r="E436" s="34">
        <f>敌人!D$25</f>
        <v>2</v>
      </c>
      <c r="F436" s="34">
        <f>敌人!E$25</f>
        <v>0</v>
      </c>
      <c r="G436" s="34">
        <f>敌人!F$25</f>
        <v>0</v>
      </c>
      <c r="H436" s="34">
        <f>敌人!G$25</f>
        <v>0</v>
      </c>
      <c r="I436" s="34">
        <f>敌人!H$25</f>
        <v>0</v>
      </c>
      <c r="J436" s="34">
        <f>敌人!I$25</f>
        <v>0</v>
      </c>
      <c r="K436" s="370" t="str">
        <f ca="1">敌人!J$25</f>
        <v>神秘之花</v>
      </c>
      <c r="L436" s="371"/>
      <c r="M436" s="371"/>
      <c r="N436" s="32"/>
      <c r="O436" s="34" t="b">
        <v>0</v>
      </c>
      <c r="P436" s="370" t="str">
        <f ca="1">道具!$C$4</f>
        <v>ＨＰ恢复的葡萄（大）</v>
      </c>
      <c r="Q436" s="371"/>
      <c r="R436" s="371"/>
      <c r="S436" s="32"/>
      <c r="T436" s="32"/>
      <c r="U436" s="376"/>
      <c r="V436" s="371"/>
      <c r="W436" s="32"/>
      <c r="X436" s="32"/>
      <c r="Y436" s="32"/>
      <c r="Z436" s="32"/>
      <c r="AA436" s="32"/>
    </row>
    <row r="437" spans="1:27" ht="12.75" x14ac:dyDescent="0.2">
      <c r="A437" s="32"/>
      <c r="B437" s="34" t="b">
        <v>0</v>
      </c>
      <c r="C437" s="370" t="str">
        <f ca="1">敌人!C$345</f>
        <v>食人蝙蝠</v>
      </c>
      <c r="D437" s="371"/>
      <c r="E437" s="34">
        <f>敌人!D$345</f>
        <v>1</v>
      </c>
      <c r="F437" s="34">
        <f>敌人!E$345</f>
        <v>0</v>
      </c>
      <c r="G437" s="34">
        <f>敌人!F$345</f>
        <v>0</v>
      </c>
      <c r="H437" s="34">
        <f>敌人!G$345</f>
        <v>0</v>
      </c>
      <c r="I437" s="34">
        <f>敌人!H$345</f>
        <v>0</v>
      </c>
      <c r="J437" s="34">
        <f>敌人!I$345</f>
        <v>0</v>
      </c>
      <c r="K437" s="370" t="str">
        <f ca="1">敌人!J$345</f>
        <v>神秘之花</v>
      </c>
      <c r="L437" s="371"/>
      <c r="M437" s="371"/>
      <c r="N437" s="32"/>
      <c r="O437" s="34" t="b">
        <v>0</v>
      </c>
      <c r="P437" s="370" t="str">
        <f ca="1">道具!$C$17</f>
        <v>复活的橄榄（特大）</v>
      </c>
      <c r="Q437" s="371"/>
      <c r="R437" s="371"/>
      <c r="S437" s="32"/>
      <c r="T437" s="32"/>
      <c r="U437" s="376"/>
      <c r="V437" s="371"/>
      <c r="W437" s="32"/>
      <c r="X437" s="32"/>
      <c r="Y437" s="32"/>
      <c r="Z437" s="32"/>
      <c r="AA437" s="32"/>
    </row>
    <row r="438" spans="1:27" ht="12.75" x14ac:dyDescent="0.2">
      <c r="A438" s="32"/>
      <c r="B438" s="475" t="str">
        <f ca="1">语言!$A$15</f>
        <v>Boss</v>
      </c>
      <c r="C438" s="371"/>
      <c r="D438" s="371"/>
      <c r="E438" s="371"/>
      <c r="F438" s="371"/>
      <c r="G438" s="371"/>
      <c r="H438" s="371"/>
      <c r="I438" s="371"/>
      <c r="J438" s="371"/>
      <c r="K438" s="371"/>
      <c r="L438" s="371"/>
      <c r="M438" s="371"/>
      <c r="N438" s="32"/>
      <c r="O438" s="37"/>
      <c r="P438" s="391"/>
      <c r="Q438" s="371"/>
      <c r="R438" s="371"/>
      <c r="S438" s="32"/>
      <c r="T438" s="32"/>
      <c r="U438" s="376"/>
      <c r="V438" s="371"/>
      <c r="W438" s="32"/>
      <c r="X438" s="32"/>
      <c r="Y438" s="32"/>
      <c r="Z438" s="32"/>
      <c r="AA438" s="32"/>
    </row>
    <row r="439" spans="1:27" ht="12.75" x14ac:dyDescent="0.2">
      <c r="A439" s="32"/>
      <c r="B439" s="370" t="b">
        <v>0</v>
      </c>
      <c r="C439" s="473" t="str">
        <f ca="1">敌人!C$467</f>
        <v>埃斯梅拉达</v>
      </c>
      <c r="D439" s="371"/>
      <c r="E439" s="473">
        <f>敌人!D$467</f>
        <v>4</v>
      </c>
      <c r="F439" s="34">
        <f>敌人!E$467</f>
        <v>0</v>
      </c>
      <c r="G439" s="34">
        <f>敌人!F$467</f>
        <v>0</v>
      </c>
      <c r="H439" s="34">
        <f>敌人!G$467</f>
        <v>0</v>
      </c>
      <c r="I439" s="34">
        <f>敌人!H$467</f>
        <v>0</v>
      </c>
      <c r="J439" s="34">
        <f>敌人!I$467</f>
        <v>0</v>
      </c>
      <c r="K439" s="476" t="str">
        <f ca="1">敌人!J$467</f>
        <v>符文短刀</v>
      </c>
      <c r="L439" s="371"/>
      <c r="M439" s="371"/>
      <c r="N439" s="32"/>
      <c r="O439" s="37"/>
      <c r="P439" s="391"/>
      <c r="Q439" s="371"/>
      <c r="R439" s="371"/>
      <c r="S439" s="32"/>
      <c r="T439" s="32"/>
      <c r="U439" s="376"/>
      <c r="V439" s="371"/>
      <c r="W439" s="32"/>
      <c r="X439" s="32"/>
      <c r="Y439" s="32"/>
      <c r="Z439" s="32"/>
      <c r="AA439" s="32"/>
    </row>
    <row r="440" spans="1:27" ht="12.75" x14ac:dyDescent="0.2">
      <c r="A440" s="32"/>
      <c r="B440" s="371"/>
      <c r="C440" s="371"/>
      <c r="D440" s="371"/>
      <c r="E440" s="371"/>
      <c r="F440" s="34">
        <f>敌人!E$468</f>
        <v>0</v>
      </c>
      <c r="G440" s="34">
        <f>敌人!F$468</f>
        <v>0</v>
      </c>
      <c r="H440" s="34">
        <f>敌人!G$468</f>
        <v>0</v>
      </c>
      <c r="I440" s="34">
        <f>敌人!H$468</f>
        <v>0</v>
      </c>
      <c r="J440" s="34">
        <f>敌人!I$468</f>
        <v>0</v>
      </c>
      <c r="K440" s="371"/>
      <c r="L440" s="371"/>
      <c r="M440" s="371"/>
      <c r="N440" s="32"/>
      <c r="O440" s="32"/>
      <c r="P440" s="470"/>
      <c r="Q440" s="371"/>
      <c r="R440" s="371"/>
      <c r="S440" s="32"/>
      <c r="T440" s="32"/>
      <c r="U440" s="376"/>
      <c r="V440" s="371"/>
      <c r="W440" s="32"/>
      <c r="X440" s="32"/>
      <c r="Y440" s="32"/>
      <c r="Z440" s="32"/>
      <c r="AA440" s="32"/>
    </row>
    <row r="441" spans="1:27" ht="12.75" x14ac:dyDescent="0.2">
      <c r="A441" s="32"/>
      <c r="B441" s="371"/>
      <c r="C441" s="371"/>
      <c r="D441" s="371"/>
      <c r="E441" s="371"/>
      <c r="F441" s="34">
        <f>敌人!E$469</f>
        <v>0</v>
      </c>
      <c r="G441" s="34">
        <f>敌人!F$469</f>
        <v>0</v>
      </c>
      <c r="H441" s="34">
        <f>敌人!G$469</f>
        <v>0</v>
      </c>
      <c r="I441" s="34">
        <f>敌人!H$469</f>
        <v>0</v>
      </c>
      <c r="J441" s="34">
        <f>敌人!I$469</f>
        <v>0</v>
      </c>
      <c r="K441" s="371"/>
      <c r="L441" s="371"/>
      <c r="M441" s="371"/>
      <c r="N441" s="32"/>
      <c r="O441" s="32"/>
      <c r="P441" s="470"/>
      <c r="Q441" s="371"/>
      <c r="R441" s="371"/>
      <c r="S441" s="32"/>
      <c r="T441" s="32"/>
      <c r="U441" s="376"/>
      <c r="V441" s="371"/>
      <c r="W441" s="32"/>
      <c r="X441" s="32"/>
      <c r="Y441" s="32"/>
      <c r="Z441" s="32"/>
      <c r="AA441" s="32"/>
    </row>
    <row r="442" spans="1:27" ht="12.75" x14ac:dyDescent="0.2">
      <c r="A442" s="32"/>
      <c r="B442" s="32"/>
      <c r="C442" s="376"/>
      <c r="D442" s="371"/>
      <c r="E442" s="32"/>
      <c r="F442" s="32"/>
      <c r="G442" s="32"/>
      <c r="H442" s="32"/>
      <c r="I442" s="32"/>
      <c r="J442" s="32"/>
      <c r="K442" s="376"/>
      <c r="L442" s="371"/>
      <c r="M442" s="371"/>
      <c r="N442" s="32"/>
      <c r="O442" s="32"/>
      <c r="P442" s="470"/>
      <c r="Q442" s="371"/>
      <c r="R442" s="371"/>
      <c r="S442" s="32"/>
      <c r="T442" s="32"/>
      <c r="U442" s="376"/>
      <c r="V442" s="371"/>
      <c r="W442" s="32"/>
      <c r="X442" s="32"/>
      <c r="Y442" s="32"/>
      <c r="Z442" s="32"/>
      <c r="AA442" s="32"/>
    </row>
    <row r="443" spans="1:27" ht="23.25" x14ac:dyDescent="0.35">
      <c r="A443" s="474" t="str">
        <f ca="1">语言!$A$388</f>
        <v>哈伊兰多地区</v>
      </c>
      <c r="B443" s="371"/>
      <c r="C443" s="371"/>
      <c r="D443" s="371"/>
      <c r="E443" s="460"/>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row>
    <row r="444" spans="1:27" ht="18" x14ac:dyDescent="0.25">
      <c r="A444" s="477" t="str">
        <f ca="1">语言!$A$323&amp;" 1"</f>
        <v>Tier 1</v>
      </c>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row>
    <row r="445" spans="1:27" ht="12.75" x14ac:dyDescent="0.2">
      <c r="A445" s="46"/>
      <c r="B445" s="48" t="b">
        <v>0</v>
      </c>
      <c r="C445" s="463" t="str">
        <f ca="1">敌人!C$48</f>
        <v>凯特林</v>
      </c>
      <c r="D445" s="371"/>
      <c r="E445" s="48">
        <f>敌人!D$48</f>
        <v>2</v>
      </c>
      <c r="F445" s="48">
        <f>敌人!E$48</f>
        <v>0</v>
      </c>
      <c r="G445" s="48">
        <f>敌人!F$48</f>
        <v>0</v>
      </c>
      <c r="H445" s="48">
        <f>敌人!G$48</f>
        <v>0</v>
      </c>
      <c r="I445" s="48">
        <f>敌人!H$48</f>
        <v>0</v>
      </c>
      <c r="J445" s="48">
        <f>敌人!I$48</f>
        <v>0</v>
      </c>
      <c r="K445" s="463" t="str">
        <f ca="1">敌人!J$48</f>
        <v>ＨＰ／ＳＰ／ＢＰ恢复的果酱</v>
      </c>
      <c r="L445" s="371"/>
      <c r="M445" s="371"/>
      <c r="N445" s="46"/>
      <c r="O445" s="462" t="str">
        <f ca="1">语言!A$389&amp;" (2 "&amp;语言!$A$19&amp;")"</f>
        <v>鹅卵石村 (2 宝箱)</v>
      </c>
      <c r="P445" s="371"/>
      <c r="Q445" s="371"/>
      <c r="R445" s="371"/>
      <c r="S445" s="46"/>
      <c r="T445" s="462" t="str">
        <f ca="1">语言!A$389</f>
        <v>鹅卵石村</v>
      </c>
      <c r="U445" s="371"/>
      <c r="V445" s="371"/>
      <c r="W445" s="46"/>
      <c r="X445" s="46"/>
      <c r="Y445" s="46"/>
      <c r="Z445" s="46"/>
      <c r="AA445" s="46"/>
    </row>
    <row r="446" spans="1:27" ht="12.75" x14ac:dyDescent="0.2">
      <c r="A446" s="46"/>
      <c r="B446" s="461" t="str">
        <f ca="1">语言!$A$11&amp;" ("&amp;语言!$A$12&amp;" 1 - 4 - 7- 11)"</f>
        <v>以下地区的怪物都一样 (危险度 1 - 4 - 7- 11)</v>
      </c>
      <c r="C446" s="371"/>
      <c r="D446" s="371"/>
      <c r="E446" s="371"/>
      <c r="F446" s="371"/>
      <c r="G446" s="371"/>
      <c r="H446" s="371"/>
      <c r="I446" s="371"/>
      <c r="J446" s="371"/>
      <c r="K446" s="371"/>
      <c r="L446" s="371"/>
      <c r="M446" s="371"/>
      <c r="N446" s="46"/>
      <c r="O446" s="48" t="b">
        <v>0</v>
      </c>
      <c r="P446" s="459" t="str">
        <f ca="1">道具!$C$3</f>
        <v>ＨＰ恢复的葡萄</v>
      </c>
      <c r="Q446" s="371"/>
      <c r="R446" s="371"/>
      <c r="S446" s="46"/>
      <c r="T446" s="48" t="b">
        <v>0</v>
      </c>
      <c r="U446" s="463" t="str">
        <f ca="1">道具!$C$14</f>
        <v>复活的橄榄</v>
      </c>
      <c r="V446" s="371"/>
      <c r="W446" s="46"/>
      <c r="X446" s="46"/>
      <c r="Y446" s="46"/>
      <c r="Z446" s="46"/>
      <c r="AA446" s="46"/>
    </row>
    <row r="447" spans="1:27" ht="12.75" x14ac:dyDescent="0.2">
      <c r="A447" s="46"/>
      <c r="B447" s="478" t="str">
        <f ca="1">语言!A$390</f>
        <v>南鹅卵石村山道</v>
      </c>
      <c r="C447" s="371"/>
      <c r="D447" s="371"/>
      <c r="E447" s="371"/>
      <c r="F447" s="371"/>
      <c r="G447" s="371"/>
      <c r="H447" s="371"/>
      <c r="I447" s="371"/>
      <c r="J447" s="371"/>
      <c r="K447" s="371"/>
      <c r="L447" s="371"/>
      <c r="M447" s="371"/>
      <c r="N447" s="46"/>
      <c r="O447" s="48" t="b">
        <v>0</v>
      </c>
      <c r="P447" s="459" t="str">
        <f ca="1">道具!$C$163</f>
        <v>团长之剑</v>
      </c>
      <c r="Q447" s="371"/>
      <c r="R447" s="371"/>
      <c r="S447" s="46"/>
      <c r="T447" s="48" t="b">
        <v>0</v>
      </c>
      <c r="U447" s="463" t="str">
        <f ca="1">道具!$C$84</f>
        <v>糖果</v>
      </c>
      <c r="V447" s="371"/>
      <c r="W447" s="46"/>
      <c r="X447" s="46"/>
      <c r="Y447" s="46"/>
      <c r="Z447" s="46"/>
      <c r="AA447" s="46"/>
    </row>
    <row r="448" spans="1:27" ht="12.75" x14ac:dyDescent="0.2">
      <c r="A448" s="46"/>
      <c r="B448" s="478" t="str">
        <f ca="1">语言!A$391</f>
        <v>北鹅卵石村山道</v>
      </c>
      <c r="C448" s="371"/>
      <c r="D448" s="371"/>
      <c r="E448" s="371"/>
      <c r="F448" s="371"/>
      <c r="G448" s="371"/>
      <c r="H448" s="371"/>
      <c r="I448" s="371"/>
      <c r="J448" s="371"/>
      <c r="K448" s="371"/>
      <c r="L448" s="371"/>
      <c r="M448" s="371"/>
      <c r="N448" s="46"/>
      <c r="O448" s="462" t="str">
        <f ca="1">语言!A$390&amp;" (5 "&amp;语言!$A$19&amp;")"</f>
        <v>南鹅卵石村山道 (5 宝箱)</v>
      </c>
      <c r="P448" s="371"/>
      <c r="Q448" s="371"/>
      <c r="R448" s="371"/>
      <c r="S448" s="46"/>
      <c r="T448" s="48" t="b">
        <v>0</v>
      </c>
      <c r="U448" s="463" t="str">
        <f ca="1">道具!$C$194</f>
        <v>战争骑枪</v>
      </c>
      <c r="V448" s="371"/>
      <c r="W448" s="46"/>
      <c r="X448" s="46"/>
      <c r="Y448" s="46"/>
      <c r="Z448" s="46"/>
      <c r="AA448" s="46"/>
    </row>
    <row r="449" spans="1:27" ht="12.75" x14ac:dyDescent="0.2">
      <c r="A449" s="46"/>
      <c r="B449" s="478" t="str">
        <f ca="1">语言!A$393&amp;" ("&amp;语言!$A$38&amp;" "&amp;语言!$A$14&amp;" 1)"</f>
        <v>通往山贼大本营的道路 (欧尔贝克 章节 1)</v>
      </c>
      <c r="C449" s="371"/>
      <c r="D449" s="371"/>
      <c r="E449" s="371"/>
      <c r="F449" s="371"/>
      <c r="G449" s="371"/>
      <c r="H449" s="371"/>
      <c r="I449" s="371"/>
      <c r="J449" s="371"/>
      <c r="K449" s="371"/>
      <c r="L449" s="371"/>
      <c r="M449" s="371"/>
      <c r="N449" s="46"/>
      <c r="O449" s="48" t="b">
        <v>0</v>
      </c>
      <c r="P449" s="459" t="str">
        <f ca="1">道具!$C$22</f>
        <v>睡眠治疗药草</v>
      </c>
      <c r="Q449" s="371"/>
      <c r="R449" s="371"/>
      <c r="S449" s="46"/>
      <c r="T449" s="48" t="b">
        <v>0</v>
      </c>
      <c r="U449" s="463" t="str">
        <f ca="1">道具!$C$296</f>
        <v>魔咒弓</v>
      </c>
      <c r="V449" s="371"/>
      <c r="W449" s="46"/>
      <c r="X449" s="46"/>
      <c r="Y449" s="46"/>
      <c r="Z449" s="46"/>
      <c r="AA449" s="46"/>
    </row>
    <row r="450" spans="1:27" ht="12.75" x14ac:dyDescent="0.2">
      <c r="A450" s="46"/>
      <c r="B450" s="48" t="b">
        <v>0</v>
      </c>
      <c r="C450" s="459" t="str">
        <f ca="1">敌人!C$154</f>
        <v>山丘鼠人 I</v>
      </c>
      <c r="D450" s="371"/>
      <c r="E450" s="51">
        <f>敌人!D$154</f>
        <v>1</v>
      </c>
      <c r="F450" s="51">
        <f>敌人!E$154</f>
        <v>0</v>
      </c>
      <c r="G450" s="51">
        <f>敌人!F$154</f>
        <v>0</v>
      </c>
      <c r="H450" s="51">
        <f>敌人!G$154</f>
        <v>0</v>
      </c>
      <c r="I450" s="51">
        <f>敌人!H$154</f>
        <v>0</v>
      </c>
      <c r="J450" s="51">
        <f>敌人!I$154</f>
        <v>0</v>
      </c>
      <c r="K450" s="459" t="str">
        <f ca="1">敌人!J$154</f>
        <v>ＨＰ恢复的葡萄</v>
      </c>
      <c r="L450" s="371"/>
      <c r="M450" s="371"/>
      <c r="N450" s="46"/>
      <c r="O450" s="48" t="b">
        <v>0</v>
      </c>
      <c r="P450" s="459" t="str">
        <f ca="1">道具!$C$3</f>
        <v>ＨＰ恢复的葡萄</v>
      </c>
      <c r="Q450" s="371"/>
      <c r="R450" s="371"/>
      <c r="S450" s="46"/>
      <c r="T450" s="48" t="b">
        <v>0</v>
      </c>
      <c r="U450" s="463" t="str">
        <f ca="1">道具!$C$530</f>
        <v>秘药的素材</v>
      </c>
      <c r="V450" s="371"/>
      <c r="W450" s="46"/>
      <c r="X450" s="46"/>
      <c r="Y450" s="46"/>
      <c r="Z450" s="46"/>
      <c r="AA450" s="46"/>
    </row>
    <row r="451" spans="1:27" ht="12.75" x14ac:dyDescent="0.2">
      <c r="A451" s="46"/>
      <c r="B451" s="48" t="b">
        <v>0</v>
      </c>
      <c r="C451" s="459" t="str">
        <f ca="1">敌人!C$155</f>
        <v>山丘鼠人 II</v>
      </c>
      <c r="D451" s="371"/>
      <c r="E451" s="51">
        <f>敌人!D$155</f>
        <v>2</v>
      </c>
      <c r="F451" s="51">
        <f>敌人!E$155</f>
        <v>0</v>
      </c>
      <c r="G451" s="51">
        <f>敌人!F$155</f>
        <v>0</v>
      </c>
      <c r="H451" s="51">
        <f>敌人!G$155</f>
        <v>0</v>
      </c>
      <c r="I451" s="51">
        <f>敌人!H$155</f>
        <v>0</v>
      </c>
      <c r="J451" s="51">
        <f>敌人!I$155</f>
        <v>0</v>
      </c>
      <c r="K451" s="459" t="str">
        <f ca="1">敌人!J$155</f>
        <v>葡萄树液</v>
      </c>
      <c r="L451" s="371"/>
      <c r="M451" s="371"/>
      <c r="N451" s="46"/>
      <c r="O451" s="48" t="b">
        <v>0</v>
      </c>
      <c r="P451" s="469" t="s">
        <v>25</v>
      </c>
      <c r="Q451" s="371"/>
      <c r="R451" s="371"/>
      <c r="S451" s="46"/>
      <c r="T451" s="46"/>
      <c r="U451" s="460"/>
      <c r="V451" s="371"/>
      <c r="W451" s="46"/>
      <c r="X451" s="46"/>
      <c r="Y451" s="46"/>
      <c r="Z451" s="46"/>
      <c r="AA451" s="46"/>
    </row>
    <row r="452" spans="1:27" ht="12.75" x14ac:dyDescent="0.2">
      <c r="A452" s="46"/>
      <c r="B452" s="48" t="b">
        <v>0</v>
      </c>
      <c r="C452" s="459" t="str">
        <f ca="1">敌人!C$156&amp;" (7+)"</f>
        <v>山丘鼠人 III (7+)</v>
      </c>
      <c r="D452" s="371"/>
      <c r="E452" s="51">
        <f>敌人!D$156</f>
        <v>3</v>
      </c>
      <c r="F452" s="51">
        <f>敌人!E$156</f>
        <v>0</v>
      </c>
      <c r="G452" s="51">
        <f>敌人!F$156</f>
        <v>0</v>
      </c>
      <c r="H452" s="51">
        <f>敌人!G$156</f>
        <v>0</v>
      </c>
      <c r="I452" s="51">
        <f>敌人!H$156</f>
        <v>0</v>
      </c>
      <c r="J452" s="51">
        <f>敌人!I$156</f>
        <v>0</v>
      </c>
      <c r="K452" s="459" t="str">
        <f ca="1">敌人!J$156</f>
        <v>ＳＰ恢复的李子</v>
      </c>
      <c r="L452" s="371"/>
      <c r="M452" s="371"/>
      <c r="N452" s="46"/>
      <c r="O452" s="48" t="b">
        <v>0</v>
      </c>
      <c r="P452" s="459" t="str">
        <f ca="1">道具!$C$19</f>
        <v>沉默治疗药草</v>
      </c>
      <c r="Q452" s="371"/>
      <c r="R452" s="371"/>
      <c r="S452" s="46"/>
      <c r="T452" s="46"/>
      <c r="U452" s="460"/>
      <c r="V452" s="371"/>
      <c r="W452" s="46"/>
      <c r="X452" s="46"/>
      <c r="Y452" s="46"/>
      <c r="Z452" s="46"/>
      <c r="AA452" s="46"/>
    </row>
    <row r="453" spans="1:27" ht="12.75" x14ac:dyDescent="0.2">
      <c r="A453" s="46"/>
      <c r="B453" s="48" t="b">
        <v>0</v>
      </c>
      <c r="C453" s="459" t="str">
        <f ca="1">敌人!C$270</f>
        <v>岩犰狳</v>
      </c>
      <c r="D453" s="371"/>
      <c r="E453" s="51">
        <f>敌人!D$270</f>
        <v>2</v>
      </c>
      <c r="F453" s="51">
        <f>敌人!E$270</f>
        <v>0</v>
      </c>
      <c r="G453" s="51">
        <f>敌人!F$270</f>
        <v>0</v>
      </c>
      <c r="H453" s="51">
        <f>敌人!G$270</f>
        <v>0</v>
      </c>
      <c r="I453" s="51">
        <f>敌人!H$270</f>
        <v>0</v>
      </c>
      <c r="J453" s="51">
        <f>敌人!I$270</f>
        <v>0</v>
      </c>
      <c r="K453" s="459" t="str">
        <f ca="1">敌人!J$270</f>
        <v>葡萄树液</v>
      </c>
      <c r="L453" s="371"/>
      <c r="M453" s="371"/>
      <c r="N453" s="46"/>
      <c r="O453" s="48" t="b">
        <v>0</v>
      </c>
      <c r="P453" s="459" t="str">
        <f ca="1">道具!$C$14</f>
        <v>复活的橄榄</v>
      </c>
      <c r="Q453" s="371"/>
      <c r="R453" s="371"/>
      <c r="S453" s="46"/>
      <c r="T453" s="46"/>
      <c r="U453" s="460"/>
      <c r="V453" s="371"/>
      <c r="W453" s="46"/>
      <c r="X453" s="46"/>
      <c r="Y453" s="46"/>
      <c r="Z453" s="46"/>
      <c r="AA453" s="46"/>
    </row>
    <row r="454" spans="1:27" ht="12.75" x14ac:dyDescent="0.2">
      <c r="A454" s="46"/>
      <c r="B454" s="48" t="b">
        <v>0</v>
      </c>
      <c r="C454" s="459" t="str">
        <f ca="1">敌人!C$138</f>
        <v>大游隼</v>
      </c>
      <c r="D454" s="371"/>
      <c r="E454" s="51">
        <f>敌人!D$138</f>
        <v>1</v>
      </c>
      <c r="F454" s="51">
        <f>敌人!E$138</f>
        <v>0</v>
      </c>
      <c r="G454" s="51">
        <f>敌人!F$138</f>
        <v>0</v>
      </c>
      <c r="H454" s="51">
        <f>敌人!G$138</f>
        <v>0</v>
      </c>
      <c r="I454" s="51">
        <f>敌人!H$138</f>
        <v>0</v>
      </c>
      <c r="J454" s="51">
        <f>敌人!I$138</f>
        <v>0</v>
      </c>
      <c r="K454" s="459" t="str">
        <f ca="1">敌人!J$138</f>
        <v>石榴树液</v>
      </c>
      <c r="L454" s="371"/>
      <c r="M454" s="371"/>
      <c r="N454" s="46"/>
      <c r="O454" s="462" t="str">
        <f ca="1">语言!A$391&amp;" (5 "&amp;语言!$A$19&amp;")"</f>
        <v>北鹅卵石村山道 (5 宝箱)</v>
      </c>
      <c r="P454" s="371"/>
      <c r="Q454" s="371"/>
      <c r="R454" s="371"/>
      <c r="S454" s="46"/>
      <c r="T454" s="46"/>
      <c r="U454" s="460"/>
      <c r="V454" s="371"/>
      <c r="W454" s="46"/>
      <c r="X454" s="46"/>
      <c r="Y454" s="46"/>
      <c r="Z454" s="46"/>
      <c r="AA454" s="46"/>
    </row>
    <row r="455" spans="1:27" ht="12.75" x14ac:dyDescent="0.2">
      <c r="A455" s="46"/>
      <c r="B455" s="48" t="b">
        <v>0</v>
      </c>
      <c r="C455" s="459" t="str">
        <f ca="1">敌人!C$92&amp;" (7+)"</f>
        <v>大游隼异种 (7+)</v>
      </c>
      <c r="D455" s="371"/>
      <c r="E455" s="51">
        <f>敌人!D$92</f>
        <v>3</v>
      </c>
      <c r="F455" s="51">
        <f>敌人!E$92</f>
        <v>0</v>
      </c>
      <c r="G455" s="51">
        <f>敌人!F$92</f>
        <v>0</v>
      </c>
      <c r="H455" s="51">
        <f>敌人!G$92</f>
        <v>0</v>
      </c>
      <c r="I455" s="51">
        <f>敌人!H$92</f>
        <v>0</v>
      </c>
      <c r="J455" s="51">
        <f>敌人!I$92</f>
        <v>0</v>
      </c>
      <c r="K455" s="459" t="str">
        <f ca="1">敌人!J$92</f>
        <v>石榴树液</v>
      </c>
      <c r="L455" s="371"/>
      <c r="M455" s="371"/>
      <c r="N455" s="46"/>
      <c r="O455" s="48" t="b">
        <v>0</v>
      </c>
      <c r="P455" s="459" t="str">
        <f ca="1">道具!$C$3</f>
        <v>ＨＰ恢复的葡萄</v>
      </c>
      <c r="Q455" s="371"/>
      <c r="R455" s="371"/>
      <c r="S455" s="46"/>
      <c r="T455" s="46"/>
      <c r="U455" s="460"/>
      <c r="V455" s="371"/>
      <c r="W455" s="46"/>
      <c r="X455" s="46"/>
      <c r="Y455" s="46"/>
      <c r="Z455" s="46"/>
      <c r="AA455" s="46"/>
    </row>
    <row r="456" spans="1:27" ht="12.75" x14ac:dyDescent="0.2">
      <c r="A456" s="46"/>
      <c r="B456" s="48" t="b">
        <v>0</v>
      </c>
      <c r="C456" s="459" t="str">
        <f ca="1">敌人!C$153&amp;" (11)"</f>
        <v>哈伊兰多山羊 (11)</v>
      </c>
      <c r="D456" s="371"/>
      <c r="E456" s="51">
        <f>敌人!D$153</f>
        <v>2</v>
      </c>
      <c r="F456" s="51">
        <f>敌人!E$153</f>
        <v>0</v>
      </c>
      <c r="G456" s="51">
        <f>敌人!F$153</f>
        <v>0</v>
      </c>
      <c r="H456" s="51">
        <f>敌人!G$153</f>
        <v>0</v>
      </c>
      <c r="I456" s="51">
        <f>敌人!H$153</f>
        <v>0</v>
      </c>
      <c r="J456" s="51">
        <f>敌人!I$153</f>
        <v>0</v>
      </c>
      <c r="K456" s="459" t="str">
        <f ca="1">敌人!J$153</f>
        <v>橄榄花</v>
      </c>
      <c r="L456" s="371"/>
      <c r="M456" s="371"/>
      <c r="N456" s="46"/>
      <c r="O456" s="48" t="b">
        <v>0</v>
      </c>
      <c r="P456" s="459" t="str">
        <f ca="1">道具!$C$62&amp;" ("&amp;语言!$A$20&amp;")"</f>
        <v>增强属攻的坚果 (上锁宝箱)</v>
      </c>
      <c r="Q456" s="371"/>
      <c r="R456" s="371"/>
      <c r="S456" s="46"/>
      <c r="T456" s="46"/>
      <c r="U456" s="460"/>
      <c r="V456" s="371"/>
      <c r="W456" s="46"/>
      <c r="X456" s="46"/>
      <c r="Y456" s="46"/>
      <c r="Z456" s="46"/>
      <c r="AA456" s="46"/>
    </row>
    <row r="457" spans="1:27" ht="12.75" x14ac:dyDescent="0.2">
      <c r="A457" s="46"/>
      <c r="B457" s="46"/>
      <c r="C457" s="460"/>
      <c r="D457" s="371"/>
      <c r="E457" s="46"/>
      <c r="F457" s="46"/>
      <c r="G457" s="46"/>
      <c r="H457" s="46"/>
      <c r="I457" s="46"/>
      <c r="J457" s="46"/>
      <c r="K457" s="460"/>
      <c r="L457" s="371"/>
      <c r="M457" s="371"/>
      <c r="N457" s="46"/>
      <c r="O457" s="48" t="b">
        <v>0</v>
      </c>
      <c r="P457" s="459" t="str">
        <f ca="1">道具!$C$6</f>
        <v>ＳＰ恢复的李子</v>
      </c>
      <c r="Q457" s="371"/>
      <c r="R457" s="371"/>
      <c r="S457" s="46"/>
      <c r="T457" s="46"/>
      <c r="U457" s="460"/>
      <c r="V457" s="371"/>
      <c r="W457" s="46"/>
      <c r="X457" s="46"/>
      <c r="Y457" s="46"/>
      <c r="Z457" s="46"/>
      <c r="AA457" s="46"/>
    </row>
    <row r="458" spans="1:27" ht="12.75" x14ac:dyDescent="0.2">
      <c r="A458" s="46"/>
      <c r="B458" s="462" t="str">
        <f ca="1">语言!A$392&amp;" ("&amp;语言!$A$12&amp;" 15)"</f>
        <v>无垢巢穴 (危险度 15)</v>
      </c>
      <c r="C458" s="371"/>
      <c r="D458" s="371"/>
      <c r="E458" s="371"/>
      <c r="F458" s="371"/>
      <c r="G458" s="371"/>
      <c r="H458" s="371"/>
      <c r="I458" s="371"/>
      <c r="J458" s="371"/>
      <c r="K458" s="371"/>
      <c r="L458" s="371"/>
      <c r="M458" s="371"/>
      <c r="N458" s="46"/>
      <c r="O458" s="48" t="b">
        <v>0</v>
      </c>
      <c r="P458" s="469" t="s">
        <v>26</v>
      </c>
      <c r="Q458" s="371"/>
      <c r="R458" s="371"/>
      <c r="S458" s="46"/>
      <c r="T458" s="46"/>
      <c r="U458" s="460"/>
      <c r="V458" s="371"/>
      <c r="W458" s="46"/>
      <c r="X458" s="46"/>
      <c r="Y458" s="46"/>
      <c r="Z458" s="46"/>
      <c r="AA458" s="46"/>
    </row>
    <row r="459" spans="1:27" ht="12.75" x14ac:dyDescent="0.2">
      <c r="A459" s="46"/>
      <c r="B459" s="48" t="b">
        <v>0</v>
      </c>
      <c r="C459" s="459" t="str">
        <f ca="1">敌人!C$153</f>
        <v>哈伊兰多山羊</v>
      </c>
      <c r="D459" s="371"/>
      <c r="E459" s="51">
        <f>敌人!D$153</f>
        <v>2</v>
      </c>
      <c r="F459" s="51">
        <f>敌人!E$153</f>
        <v>0</v>
      </c>
      <c r="G459" s="51">
        <f>敌人!F$153</f>
        <v>0</v>
      </c>
      <c r="H459" s="51">
        <f>敌人!G$153</f>
        <v>0</v>
      </c>
      <c r="I459" s="51">
        <f>敌人!H$153</f>
        <v>0</v>
      </c>
      <c r="J459" s="51">
        <f>敌人!I$153</f>
        <v>0</v>
      </c>
      <c r="K459" s="459" t="str">
        <f ca="1">敌人!J$153</f>
        <v>橄榄花</v>
      </c>
      <c r="L459" s="371"/>
      <c r="M459" s="371"/>
      <c r="N459" s="46"/>
      <c r="O459" s="48" t="b">
        <v>0</v>
      </c>
      <c r="P459" s="459" t="str">
        <f ca="1">道具!$C$43</f>
        <v>光之精灵石</v>
      </c>
      <c r="Q459" s="371"/>
      <c r="R459" s="371"/>
      <c r="S459" s="46"/>
      <c r="T459" s="46"/>
      <c r="U459" s="460"/>
      <c r="V459" s="371"/>
      <c r="W459" s="46"/>
      <c r="X459" s="46"/>
      <c r="Y459" s="46"/>
      <c r="Z459" s="46"/>
      <c r="AA459" s="46"/>
    </row>
    <row r="460" spans="1:27" ht="12.75" x14ac:dyDescent="0.2">
      <c r="A460" s="46"/>
      <c r="B460" s="48" t="b">
        <v>0</v>
      </c>
      <c r="C460" s="459" t="str">
        <f ca="1">敌人!C$93</f>
        <v>鳞蛇异种</v>
      </c>
      <c r="D460" s="371"/>
      <c r="E460" s="51">
        <f>敌人!D$93</f>
        <v>3</v>
      </c>
      <c r="F460" s="51">
        <f>敌人!E$93</f>
        <v>0</v>
      </c>
      <c r="G460" s="51">
        <f>敌人!F$93</f>
        <v>0</v>
      </c>
      <c r="H460" s="51">
        <f>敌人!G$93</f>
        <v>0</v>
      </c>
      <c r="I460" s="51">
        <f>敌人!H$93</f>
        <v>0</v>
      </c>
      <c r="J460" s="51">
        <f>敌人!I$93</f>
        <v>0</v>
      </c>
      <c r="K460" s="459" t="str">
        <f ca="1">敌人!J$93</f>
        <v>毒治疗药草</v>
      </c>
      <c r="L460" s="371"/>
      <c r="M460" s="371"/>
      <c r="N460" s="46"/>
      <c r="O460" s="462" t="str">
        <f ca="1">语言!A$392&amp;" (6 "&amp;语言!$A$19&amp;")"</f>
        <v>无垢巢穴 (6 宝箱)</v>
      </c>
      <c r="P460" s="371"/>
      <c r="Q460" s="371"/>
      <c r="R460" s="371"/>
      <c r="S460" s="46"/>
      <c r="T460" s="46"/>
      <c r="U460" s="460"/>
      <c r="V460" s="371"/>
      <c r="W460" s="46"/>
      <c r="X460" s="46"/>
      <c r="Y460" s="46"/>
      <c r="Z460" s="46"/>
      <c r="AA460" s="46"/>
    </row>
    <row r="461" spans="1:27" ht="12.75" x14ac:dyDescent="0.2">
      <c r="A461" s="46"/>
      <c r="B461" s="48" t="b">
        <v>0</v>
      </c>
      <c r="C461" s="459" t="str">
        <f ca="1">敌人!C$8</f>
        <v>行走骷髅</v>
      </c>
      <c r="D461" s="371"/>
      <c r="E461" s="51">
        <f>敌人!D$8</f>
        <v>2</v>
      </c>
      <c r="F461" s="51">
        <f>敌人!E$8</f>
        <v>0</v>
      </c>
      <c r="G461" s="51">
        <f>敌人!F$8</f>
        <v>0</v>
      </c>
      <c r="H461" s="51">
        <f>敌人!G$8</f>
        <v>0</v>
      </c>
      <c r="I461" s="51">
        <f>敌人!H$8</f>
        <v>0</v>
      </c>
      <c r="J461" s="51">
        <f>敌人!I$8</f>
        <v>0</v>
      </c>
      <c r="K461" s="459" t="str">
        <f ca="1">敌人!J$8</f>
        <v>ＨＰ恢复的葡萄</v>
      </c>
      <c r="L461" s="371"/>
      <c r="M461" s="371"/>
      <c r="N461" s="46"/>
      <c r="O461" s="48" t="b">
        <v>0</v>
      </c>
      <c r="P461" s="459" t="str">
        <f ca="1">道具!$C$6</f>
        <v>ＳＰ恢复的李子</v>
      </c>
      <c r="Q461" s="371"/>
      <c r="R461" s="371"/>
      <c r="S461" s="46"/>
      <c r="T461" s="46"/>
      <c r="U461" s="460"/>
      <c r="V461" s="371"/>
      <c r="W461" s="46"/>
      <c r="X461" s="46"/>
      <c r="Y461" s="46"/>
      <c r="Z461" s="46"/>
      <c r="AA461" s="46"/>
    </row>
    <row r="462" spans="1:27" ht="12.75" x14ac:dyDescent="0.2">
      <c r="A462" s="46"/>
      <c r="B462" s="48" t="b">
        <v>0</v>
      </c>
      <c r="C462" s="459" t="str">
        <f ca="1">敌人!C$216</f>
        <v>傀儡骷髅</v>
      </c>
      <c r="D462" s="371"/>
      <c r="E462" s="51">
        <f>敌人!D$216</f>
        <v>1</v>
      </c>
      <c r="F462" s="51">
        <f>敌人!E$216</f>
        <v>0</v>
      </c>
      <c r="G462" s="51">
        <f>敌人!F$216</f>
        <v>0</v>
      </c>
      <c r="H462" s="51">
        <f>敌人!G$216</f>
        <v>0</v>
      </c>
      <c r="I462" s="51">
        <f>敌人!H$216</f>
        <v>0</v>
      </c>
      <c r="J462" s="51">
        <f>敌人!I$216</f>
        <v>0</v>
      </c>
      <c r="K462" s="459" t="str">
        <f ca="1">敌人!J$216</f>
        <v>混乱治疗药草</v>
      </c>
      <c r="L462" s="371"/>
      <c r="M462" s="371"/>
      <c r="N462" s="46"/>
      <c r="O462" s="48" t="b">
        <v>0</v>
      </c>
      <c r="P462" s="459" t="str">
        <f ca="1">道具!$C$324</f>
        <v>长柄权杖</v>
      </c>
      <c r="Q462" s="371"/>
      <c r="R462" s="371"/>
      <c r="S462" s="46"/>
      <c r="T462" s="46"/>
      <c r="U462" s="460"/>
      <c r="V462" s="371"/>
      <c r="W462" s="46"/>
      <c r="X462" s="46"/>
      <c r="Y462" s="46"/>
      <c r="Z462" s="46"/>
      <c r="AA462" s="46"/>
    </row>
    <row r="463" spans="1:27" ht="12.75" x14ac:dyDescent="0.2">
      <c r="A463" s="46"/>
      <c r="B463" s="48" t="b">
        <v>0</v>
      </c>
      <c r="C463" s="459" t="str">
        <f ca="1">敌人!C$239</f>
        <v>傀儡骷髅异种</v>
      </c>
      <c r="D463" s="371"/>
      <c r="E463" s="51">
        <f>敌人!D$239</f>
        <v>2</v>
      </c>
      <c r="F463" s="51">
        <f>敌人!E$239</f>
        <v>0</v>
      </c>
      <c r="G463" s="51">
        <f>敌人!F$239</f>
        <v>0</v>
      </c>
      <c r="H463" s="51">
        <f>敌人!G$239</f>
        <v>0</v>
      </c>
      <c r="I463" s="51">
        <f>敌人!H$239</f>
        <v>0</v>
      </c>
      <c r="J463" s="51">
        <f>敌人!I$239</f>
        <v>0</v>
      </c>
      <c r="K463" s="459" t="str">
        <f ca="1">敌人!J$239</f>
        <v>混乱治疗药草</v>
      </c>
      <c r="L463" s="371"/>
      <c r="M463" s="371"/>
      <c r="N463" s="46"/>
      <c r="O463" s="48" t="b">
        <v>0</v>
      </c>
      <c r="P463" s="459" t="str">
        <f ca="1">道具!$C$4</f>
        <v>ＨＰ恢复的葡萄（大）</v>
      </c>
      <c r="Q463" s="371"/>
      <c r="R463" s="371"/>
      <c r="S463" s="46"/>
      <c r="T463" s="46"/>
      <c r="U463" s="460"/>
      <c r="V463" s="371"/>
      <c r="W463" s="46"/>
      <c r="X463" s="46"/>
      <c r="Y463" s="46"/>
      <c r="Z463" s="46"/>
      <c r="AA463" s="46"/>
    </row>
    <row r="464" spans="1:27" ht="12.75" x14ac:dyDescent="0.2">
      <c r="A464" s="46"/>
      <c r="B464" s="48" t="b">
        <v>0</v>
      </c>
      <c r="C464" s="459" t="str">
        <f ca="1">敌人!C$307</f>
        <v>黑蝙蝠异种</v>
      </c>
      <c r="D464" s="371"/>
      <c r="E464" s="51">
        <f>敌人!D$307</f>
        <v>2</v>
      </c>
      <c r="F464" s="51">
        <f>敌人!E$307</f>
        <v>0</v>
      </c>
      <c r="G464" s="51">
        <f>敌人!F$307</f>
        <v>0</v>
      </c>
      <c r="H464" s="51">
        <f>敌人!G$307</f>
        <v>0</v>
      </c>
      <c r="I464" s="51">
        <f>敌人!H$307</f>
        <v>0</v>
      </c>
      <c r="J464" s="51">
        <f>敌人!I$307</f>
        <v>0</v>
      </c>
      <c r="K464" s="459" t="str">
        <f ca="1">敌人!J$307</f>
        <v>神秘之花</v>
      </c>
      <c r="L464" s="371"/>
      <c r="M464" s="371"/>
      <c r="N464" s="46"/>
      <c r="O464" s="48" t="b">
        <v>0</v>
      </c>
      <c r="P464" s="459" t="str">
        <f ca="1">道具!$C$69&amp;" ("&amp;语言!$A$20&amp;")"</f>
        <v>增强命中的坚果 (上锁宝箱)</v>
      </c>
      <c r="Q464" s="371"/>
      <c r="R464" s="371"/>
      <c r="S464" s="46"/>
      <c r="T464" s="46"/>
      <c r="U464" s="460"/>
      <c r="V464" s="371"/>
      <c r="W464" s="46"/>
      <c r="X464" s="46"/>
      <c r="Y464" s="46"/>
      <c r="Z464" s="46"/>
      <c r="AA464" s="46"/>
    </row>
    <row r="465" spans="1:27" ht="12.75" x14ac:dyDescent="0.2">
      <c r="A465" s="46"/>
      <c r="B465" s="48" t="b">
        <v>0</v>
      </c>
      <c r="C465" s="459" t="str">
        <f ca="1">敌人!C$103</f>
        <v>火之鬼火</v>
      </c>
      <c r="D465" s="371"/>
      <c r="E465" s="51">
        <f>敌人!D$103</f>
        <v>1</v>
      </c>
      <c r="F465" s="51">
        <f>敌人!E$103</f>
        <v>0</v>
      </c>
      <c r="G465" s="51">
        <f>敌人!F$103</f>
        <v>0</v>
      </c>
      <c r="H465" s="51">
        <f>敌人!G$103</f>
        <v>0</v>
      </c>
      <c r="I465" s="51">
        <f>敌人!H$103</f>
        <v>0</v>
      </c>
      <c r="J465" s="51">
        <f>敌人!I$103</f>
        <v>0</v>
      </c>
      <c r="K465" s="459" t="str">
        <f ca="1">敌人!J$103</f>
        <v>火之精灵石</v>
      </c>
      <c r="L465" s="371"/>
      <c r="M465" s="371"/>
      <c r="N465" s="46"/>
      <c r="O465" s="48" t="b">
        <v>0</v>
      </c>
      <c r="P465" s="459" t="str">
        <f ca="1">道具!$C$7</f>
        <v>ＳＰ恢复的李子（大）</v>
      </c>
      <c r="Q465" s="371"/>
      <c r="R465" s="371"/>
      <c r="S465" s="46"/>
      <c r="T465" s="46"/>
      <c r="U465" s="460"/>
      <c r="V465" s="371"/>
      <c r="W465" s="46"/>
      <c r="X465" s="46"/>
      <c r="Y465" s="46"/>
      <c r="Z465" s="46"/>
      <c r="AA465" s="46"/>
    </row>
    <row r="466" spans="1:27" ht="12.75" x14ac:dyDescent="0.2">
      <c r="A466" s="46"/>
      <c r="B466" s="48" t="b">
        <v>0</v>
      </c>
      <c r="C466" s="459" t="str">
        <f ca="1">敌人!C$188</f>
        <v>冰之鬼火</v>
      </c>
      <c r="D466" s="371"/>
      <c r="E466" s="51">
        <f>敌人!D$188</f>
        <v>1</v>
      </c>
      <c r="F466" s="51">
        <f>敌人!E$188</f>
        <v>0</v>
      </c>
      <c r="G466" s="51">
        <f>敌人!F$188</f>
        <v>0</v>
      </c>
      <c r="H466" s="51">
        <f>敌人!G$188</f>
        <v>0</v>
      </c>
      <c r="I466" s="51">
        <f>敌人!H$188</f>
        <v>0</v>
      </c>
      <c r="J466" s="51">
        <f>敌人!I$188</f>
        <v>0</v>
      </c>
      <c r="K466" s="459" t="str">
        <f ca="1">敌人!J$188</f>
        <v>冰之精灵石</v>
      </c>
      <c r="L466" s="371"/>
      <c r="M466" s="371"/>
      <c r="N466" s="46"/>
      <c r="O466" s="48" t="b">
        <v>0</v>
      </c>
      <c r="P466" s="459" t="str">
        <f ca="1">道具!$C$16</f>
        <v>复活的橄榄（大）</v>
      </c>
      <c r="Q466" s="371"/>
      <c r="R466" s="371"/>
      <c r="S466" s="46"/>
      <c r="T466" s="46"/>
      <c r="U466" s="460"/>
      <c r="V466" s="371"/>
      <c r="W466" s="46"/>
      <c r="X466" s="46"/>
      <c r="Y466" s="46"/>
      <c r="Z466" s="46"/>
      <c r="AA466" s="46"/>
    </row>
    <row r="467" spans="1:27" ht="12.75" x14ac:dyDescent="0.2">
      <c r="A467" s="46"/>
      <c r="B467" s="48" t="b">
        <v>0</v>
      </c>
      <c r="C467" s="459" t="str">
        <f ca="1">敌人!C$343</f>
        <v>雷之鬼火</v>
      </c>
      <c r="D467" s="371"/>
      <c r="E467" s="51">
        <f>敌人!D$343</f>
        <v>3</v>
      </c>
      <c r="F467" s="51">
        <f>敌人!E$343</f>
        <v>0</v>
      </c>
      <c r="G467" s="51">
        <f>敌人!F$343</f>
        <v>0</v>
      </c>
      <c r="H467" s="51">
        <f>敌人!G$343</f>
        <v>0</v>
      </c>
      <c r="I467" s="51">
        <f>敌人!H$343</f>
        <v>0</v>
      </c>
      <c r="J467" s="51">
        <f>敌人!I$343</f>
        <v>0</v>
      </c>
      <c r="K467" s="459" t="str">
        <f ca="1">敌人!J$343</f>
        <v>雷之精灵石</v>
      </c>
      <c r="L467" s="371"/>
      <c r="M467" s="371"/>
      <c r="N467" s="46"/>
      <c r="O467" s="46"/>
      <c r="P467" s="460"/>
      <c r="Q467" s="371"/>
      <c r="R467" s="371"/>
      <c r="S467" s="46"/>
      <c r="T467" s="46"/>
      <c r="U467" s="460"/>
      <c r="V467" s="371"/>
      <c r="W467" s="46"/>
      <c r="X467" s="46"/>
      <c r="Y467" s="46"/>
      <c r="Z467" s="46"/>
      <c r="AA467" s="46"/>
    </row>
    <row r="468" spans="1:27" ht="12.75" x14ac:dyDescent="0.2">
      <c r="A468" s="46"/>
      <c r="B468" s="48" t="b">
        <v>0</v>
      </c>
      <c r="C468" s="459" t="str">
        <f ca="1">敌人!C$368</f>
        <v>风之鬼火</v>
      </c>
      <c r="D468" s="371"/>
      <c r="E468" s="51">
        <f>敌人!D$368</f>
        <v>3</v>
      </c>
      <c r="F468" s="51">
        <f>敌人!E$368</f>
        <v>0</v>
      </c>
      <c r="G468" s="51">
        <f>敌人!F$368</f>
        <v>0</v>
      </c>
      <c r="H468" s="51">
        <f>敌人!G$368</f>
        <v>0</v>
      </c>
      <c r="I468" s="51">
        <f>敌人!H$368</f>
        <v>0</v>
      </c>
      <c r="J468" s="51">
        <f>敌人!I$368</f>
        <v>0</v>
      </c>
      <c r="K468" s="459" t="str">
        <f ca="1">敌人!J$368</f>
        <v>风之精灵石</v>
      </c>
      <c r="L468" s="371"/>
      <c r="M468" s="371"/>
      <c r="N468" s="46"/>
      <c r="O468" s="46"/>
      <c r="P468" s="460"/>
      <c r="Q468" s="371"/>
      <c r="R468" s="371"/>
      <c r="S468" s="46"/>
      <c r="T468" s="46"/>
      <c r="U468" s="460"/>
      <c r="V468" s="371"/>
      <c r="W468" s="46"/>
      <c r="X468" s="46"/>
      <c r="Y468" s="46"/>
      <c r="Z468" s="46"/>
      <c r="AA468" s="46"/>
    </row>
    <row r="469" spans="1:27" ht="12.75" x14ac:dyDescent="0.2">
      <c r="A469" s="46"/>
      <c r="B469" s="48" t="b">
        <v>0</v>
      </c>
      <c r="C469" s="459" t="str">
        <f ca="1">敌人!C$206</f>
        <v>光之鬼火</v>
      </c>
      <c r="D469" s="371"/>
      <c r="E469" s="51">
        <f>敌人!D$206</f>
        <v>1</v>
      </c>
      <c r="F469" s="51">
        <f>敌人!E$206</f>
        <v>0</v>
      </c>
      <c r="G469" s="51">
        <f>敌人!F$206</f>
        <v>0</v>
      </c>
      <c r="H469" s="51">
        <f>敌人!G$206</f>
        <v>0</v>
      </c>
      <c r="I469" s="51">
        <f>敌人!H$206</f>
        <v>0</v>
      </c>
      <c r="J469" s="51">
        <f>敌人!I$206</f>
        <v>0</v>
      </c>
      <c r="K469" s="459" t="str">
        <f ca="1">敌人!J$206</f>
        <v>光之精灵石</v>
      </c>
      <c r="L469" s="371"/>
      <c r="M469" s="371"/>
      <c r="N469" s="46"/>
      <c r="O469" s="46"/>
      <c r="P469" s="460"/>
      <c r="Q469" s="371"/>
      <c r="R469" s="371"/>
      <c r="S469" s="46"/>
      <c r="T469" s="46"/>
      <c r="U469" s="460"/>
      <c r="V469" s="371"/>
      <c r="W469" s="46"/>
      <c r="X469" s="46"/>
      <c r="Y469" s="46"/>
      <c r="Z469" s="46"/>
      <c r="AA469" s="46"/>
    </row>
    <row r="470" spans="1:27" ht="12.75" x14ac:dyDescent="0.2">
      <c r="A470" s="46"/>
      <c r="B470" s="48" t="b">
        <v>0</v>
      </c>
      <c r="C470" s="459" t="str">
        <f ca="1">敌人!C$311</f>
        <v>暗鬼火</v>
      </c>
      <c r="D470" s="371"/>
      <c r="E470" s="51">
        <f>敌人!D$311</f>
        <v>1</v>
      </c>
      <c r="F470" s="51">
        <f>敌人!E$311</f>
        <v>0</v>
      </c>
      <c r="G470" s="51">
        <f>敌人!F$311</f>
        <v>0</v>
      </c>
      <c r="H470" s="51">
        <f>敌人!G$311</f>
        <v>0</v>
      </c>
      <c r="I470" s="51">
        <f>敌人!H$311</f>
        <v>0</v>
      </c>
      <c r="J470" s="51">
        <f>敌人!I$311</f>
        <v>0</v>
      </c>
      <c r="K470" s="459" t="str">
        <f ca="1">敌人!J$311</f>
        <v>暗之精灵石</v>
      </c>
      <c r="L470" s="371"/>
      <c r="M470" s="371"/>
      <c r="N470" s="46"/>
      <c r="O470" s="46"/>
      <c r="P470" s="468"/>
      <c r="Q470" s="371"/>
      <c r="R470" s="371"/>
      <c r="S470" s="46"/>
      <c r="T470" s="46"/>
      <c r="U470" s="460"/>
      <c r="V470" s="371"/>
      <c r="W470" s="46"/>
      <c r="X470" s="46"/>
      <c r="Y470" s="46"/>
      <c r="Z470" s="46"/>
      <c r="AA470" s="46"/>
    </row>
    <row r="471" spans="1:27" ht="12.75" x14ac:dyDescent="0.2">
      <c r="A471" s="46"/>
      <c r="B471" s="46"/>
      <c r="C471" s="460"/>
      <c r="D471" s="371"/>
      <c r="E471" s="46"/>
      <c r="F471" s="46"/>
      <c r="G471" s="46"/>
      <c r="H471" s="46"/>
      <c r="I471" s="46"/>
      <c r="J471" s="46"/>
      <c r="K471" s="460"/>
      <c r="L471" s="371"/>
      <c r="M471" s="371"/>
      <c r="N471" s="46"/>
      <c r="O471" s="46"/>
      <c r="P471" s="468"/>
      <c r="Q471" s="371"/>
      <c r="R471" s="371"/>
      <c r="S471" s="46"/>
      <c r="T471" s="46"/>
      <c r="U471" s="460"/>
      <c r="V471" s="371"/>
      <c r="W471" s="46"/>
      <c r="X471" s="46"/>
      <c r="Y471" s="46"/>
      <c r="Z471" s="46"/>
      <c r="AA471" s="46"/>
    </row>
    <row r="472" spans="1:27" ht="12.75" x14ac:dyDescent="0.2">
      <c r="A472" s="46"/>
      <c r="B472" s="461" t="str">
        <f ca="1">语言!$A$38&amp;" "&amp;语言!$A$14&amp;" 1"</f>
        <v>欧尔贝克 章节 1</v>
      </c>
      <c r="C472" s="371"/>
      <c r="D472" s="371"/>
      <c r="E472" s="371"/>
      <c r="F472" s="371"/>
      <c r="G472" s="371"/>
      <c r="H472" s="371"/>
      <c r="I472" s="371"/>
      <c r="J472" s="371"/>
      <c r="K472" s="371"/>
      <c r="L472" s="371"/>
      <c r="M472" s="371"/>
      <c r="N472" s="46"/>
      <c r="O472" s="461" t="str">
        <f ca="1">语言!$A$38&amp;" "&amp;语言!$A$14&amp;" 1"</f>
        <v>欧尔贝克 章节 1</v>
      </c>
      <c r="P472" s="371"/>
      <c r="Q472" s="371"/>
      <c r="R472" s="371"/>
      <c r="S472" s="46"/>
      <c r="T472" s="46"/>
      <c r="U472" s="460"/>
      <c r="V472" s="371"/>
      <c r="W472" s="46"/>
      <c r="X472" s="46"/>
      <c r="Y472" s="46"/>
      <c r="Z472" s="46"/>
      <c r="AA472" s="46"/>
    </row>
    <row r="473" spans="1:27" ht="12.75" x14ac:dyDescent="0.2">
      <c r="A473" s="46"/>
      <c r="B473" s="462" t="str">
        <f ca="1">语言!A$389</f>
        <v>鹅卵石村</v>
      </c>
      <c r="C473" s="371"/>
      <c r="D473" s="371"/>
      <c r="E473" s="371"/>
      <c r="F473" s="371"/>
      <c r="G473" s="371"/>
      <c r="H473" s="371"/>
      <c r="I473" s="371"/>
      <c r="J473" s="371"/>
      <c r="K473" s="371"/>
      <c r="L473" s="371"/>
      <c r="M473" s="371"/>
      <c r="N473" s="46"/>
      <c r="O473" s="462" t="str">
        <f ca="1">语言!A$393&amp;" (4 "&amp;语言!$A$19&amp;")"</f>
        <v>通往山贼大本营的道路 (4 宝箱)</v>
      </c>
      <c r="P473" s="371"/>
      <c r="Q473" s="371"/>
      <c r="R473" s="371"/>
      <c r="S473" s="46"/>
      <c r="T473" s="46"/>
      <c r="U473" s="460"/>
      <c r="V473" s="371"/>
      <c r="W473" s="46"/>
      <c r="X473" s="46"/>
      <c r="Y473" s="46"/>
      <c r="Z473" s="46"/>
      <c r="AA473" s="46"/>
    </row>
    <row r="474" spans="1:27" ht="12.75" x14ac:dyDescent="0.2">
      <c r="A474" s="46"/>
      <c r="B474" s="465" t="str">
        <f ca="1">语言!$A$17</f>
        <v>特殊怪</v>
      </c>
      <c r="C474" s="371"/>
      <c r="D474" s="371"/>
      <c r="E474" s="371"/>
      <c r="F474" s="371"/>
      <c r="G474" s="371"/>
      <c r="H474" s="371"/>
      <c r="I474" s="371"/>
      <c r="J474" s="371"/>
      <c r="K474" s="371"/>
      <c r="L474" s="371"/>
      <c r="M474" s="371"/>
      <c r="N474" s="46"/>
      <c r="O474" s="48" t="b">
        <v>0</v>
      </c>
      <c r="P474" s="459" t="str">
        <f ca="1">道具!$C$3</f>
        <v>ＨＰ恢复的葡萄</v>
      </c>
      <c r="Q474" s="371"/>
      <c r="R474" s="371"/>
      <c r="S474" s="46"/>
      <c r="T474" s="46"/>
      <c r="U474" s="460"/>
      <c r="V474" s="371"/>
      <c r="W474" s="46"/>
      <c r="X474" s="46"/>
      <c r="Y474" s="46"/>
      <c r="Z474" s="46"/>
      <c r="AA474" s="46"/>
    </row>
    <row r="475" spans="1:27" ht="12.75" x14ac:dyDescent="0.2">
      <c r="A475" s="46"/>
      <c r="B475" s="48" t="b">
        <v>0</v>
      </c>
      <c r="C475" s="459" t="str">
        <f ca="1">敌人!C$396</f>
        <v>山贼 I</v>
      </c>
      <c r="D475" s="371"/>
      <c r="E475" s="51">
        <f>敌人!D$396</f>
        <v>1</v>
      </c>
      <c r="F475" s="51">
        <f>敌人!E$396</f>
        <v>0</v>
      </c>
      <c r="G475" s="51">
        <f>敌人!F$396</f>
        <v>0</v>
      </c>
      <c r="H475" s="51">
        <f>敌人!G$396</f>
        <v>0</v>
      </c>
      <c r="I475" s="51">
        <f>敌人!H$396</f>
        <v>0</v>
      </c>
      <c r="J475" s="51">
        <f>敌人!I$396</f>
        <v>0</v>
      </c>
      <c r="K475" s="459" t="str">
        <f ca="1">敌人!J$396</f>
        <v>ＨＰ恢复的葡萄</v>
      </c>
      <c r="L475" s="371"/>
      <c r="M475" s="371"/>
      <c r="N475" s="46"/>
      <c r="O475" s="48" t="b">
        <v>0</v>
      </c>
      <c r="P475" s="459" t="str">
        <f ca="1">道具!$C$6</f>
        <v>ＳＰ恢复的李子</v>
      </c>
      <c r="Q475" s="371"/>
      <c r="R475" s="371"/>
      <c r="S475" s="46"/>
      <c r="T475" s="46"/>
      <c r="U475" s="460"/>
      <c r="V475" s="371"/>
      <c r="W475" s="46"/>
      <c r="X475" s="46"/>
      <c r="Y475" s="46"/>
      <c r="Z475" s="46"/>
      <c r="AA475" s="46"/>
    </row>
    <row r="476" spans="1:27" ht="12.75" x14ac:dyDescent="0.2">
      <c r="A476" s="46"/>
      <c r="B476" s="48" t="b">
        <v>0</v>
      </c>
      <c r="C476" s="459" t="str">
        <f ca="1">敌人!C$397</f>
        <v>山贼 II</v>
      </c>
      <c r="D476" s="371"/>
      <c r="E476" s="51">
        <f>敌人!D$397</f>
        <v>2</v>
      </c>
      <c r="F476" s="51">
        <f>敌人!E$397</f>
        <v>0</v>
      </c>
      <c r="G476" s="51">
        <f>敌人!F$397</f>
        <v>0</v>
      </c>
      <c r="H476" s="51">
        <f>敌人!G$397</f>
        <v>0</v>
      </c>
      <c r="I476" s="51">
        <f>敌人!H$397</f>
        <v>0</v>
      </c>
      <c r="J476" s="51">
        <f>敌人!I$397</f>
        <v>0</v>
      </c>
      <c r="K476" s="459" t="str">
        <f ca="1">敌人!J$397</f>
        <v>ＨＰ恢复的葡萄</v>
      </c>
      <c r="L476" s="371"/>
      <c r="M476" s="371"/>
      <c r="N476" s="46"/>
      <c r="O476" s="48" t="b">
        <v>0</v>
      </c>
      <c r="P476" s="459" t="str">
        <f ca="1">道具!$C$43</f>
        <v>光之精灵石</v>
      </c>
      <c r="Q476" s="371"/>
      <c r="R476" s="371"/>
      <c r="S476" s="46"/>
      <c r="T476" s="46"/>
      <c r="U476" s="460"/>
      <c r="V476" s="371"/>
      <c r="W476" s="46"/>
      <c r="X476" s="46"/>
      <c r="Y476" s="46"/>
      <c r="Z476" s="46"/>
      <c r="AA476" s="46"/>
    </row>
    <row r="477" spans="1:27" ht="12.75" x14ac:dyDescent="0.2">
      <c r="A477" s="46"/>
      <c r="B477" s="462" t="str">
        <f ca="1">语言!A$393</f>
        <v>通往山贼大本营的道路</v>
      </c>
      <c r="C477" s="371"/>
      <c r="D477" s="371"/>
      <c r="E477" s="371"/>
      <c r="F477" s="371"/>
      <c r="G477" s="371"/>
      <c r="H477" s="371"/>
      <c r="I477" s="371"/>
      <c r="J477" s="371"/>
      <c r="K477" s="371"/>
      <c r="L477" s="371"/>
      <c r="M477" s="371"/>
      <c r="N477" s="46"/>
      <c r="O477" s="48" t="b">
        <v>0</v>
      </c>
      <c r="P477" s="459" t="str">
        <f ca="1">道具!$C$126</f>
        <v>旧硬币</v>
      </c>
      <c r="Q477" s="371"/>
      <c r="R477" s="371"/>
      <c r="S477" s="46"/>
      <c r="T477" s="46"/>
      <c r="U477" s="460"/>
      <c r="V477" s="371"/>
      <c r="W477" s="46"/>
      <c r="X477" s="46"/>
      <c r="Y477" s="46"/>
      <c r="Z477" s="46"/>
      <c r="AA477" s="46"/>
    </row>
    <row r="478" spans="1:27" ht="12.75" x14ac:dyDescent="0.2">
      <c r="A478" s="46"/>
      <c r="B478" s="465" t="str">
        <f ca="1">语言!$A$17</f>
        <v>特殊怪</v>
      </c>
      <c r="C478" s="371"/>
      <c r="D478" s="371"/>
      <c r="E478" s="371"/>
      <c r="F478" s="371"/>
      <c r="G478" s="371"/>
      <c r="H478" s="371"/>
      <c r="I478" s="371"/>
      <c r="J478" s="371"/>
      <c r="K478" s="371"/>
      <c r="L478" s="371"/>
      <c r="M478" s="371"/>
      <c r="N478" s="46"/>
      <c r="O478" s="462" t="str">
        <f ca="1">语言!A$394&amp;" (5 "&amp;语言!$A$19&amp;")"</f>
        <v>山贼大本营 (5 宝箱)</v>
      </c>
      <c r="P478" s="371"/>
      <c r="Q478" s="371"/>
      <c r="R478" s="371"/>
      <c r="S478" s="46"/>
      <c r="T478" s="46"/>
      <c r="U478" s="460"/>
      <c r="V478" s="371"/>
      <c r="W478" s="46"/>
      <c r="X478" s="46"/>
      <c r="Y478" s="46"/>
      <c r="Z478" s="46"/>
      <c r="AA478" s="46"/>
    </row>
    <row r="479" spans="1:27" ht="12.75" x14ac:dyDescent="0.2">
      <c r="A479" s="46"/>
      <c r="B479" s="48" t="b">
        <v>0</v>
      </c>
      <c r="C479" s="459" t="str">
        <f ca="1">敌人!C$396</f>
        <v>山贼 I</v>
      </c>
      <c r="D479" s="371"/>
      <c r="E479" s="51">
        <f>敌人!D$396</f>
        <v>1</v>
      </c>
      <c r="F479" s="51">
        <f>敌人!E$396</f>
        <v>0</v>
      </c>
      <c r="G479" s="51">
        <f>敌人!F$396</f>
        <v>0</v>
      </c>
      <c r="H479" s="51">
        <f>敌人!G$396</f>
        <v>0</v>
      </c>
      <c r="I479" s="51">
        <f>敌人!H$396</f>
        <v>0</v>
      </c>
      <c r="J479" s="51">
        <f>敌人!I$396</f>
        <v>0</v>
      </c>
      <c r="K479" s="459" t="str">
        <f ca="1">敌人!J$396</f>
        <v>ＨＰ恢复的葡萄</v>
      </c>
      <c r="L479" s="371"/>
      <c r="M479" s="371"/>
      <c r="N479" s="46"/>
      <c r="O479" s="48" t="b">
        <v>0</v>
      </c>
      <c r="P479" s="459" t="str">
        <f ca="1">道具!$C$3</f>
        <v>ＨＰ恢复的葡萄</v>
      </c>
      <c r="Q479" s="371"/>
      <c r="R479" s="371"/>
      <c r="S479" s="46"/>
      <c r="T479" s="46"/>
      <c r="U479" s="460"/>
      <c r="V479" s="371"/>
      <c r="W479" s="46"/>
      <c r="X479" s="46"/>
      <c r="Y479" s="46"/>
      <c r="Z479" s="46"/>
      <c r="AA479" s="46"/>
    </row>
    <row r="480" spans="1:27" ht="12.75" x14ac:dyDescent="0.2">
      <c r="A480" s="46"/>
      <c r="B480" s="48" t="b">
        <v>0</v>
      </c>
      <c r="C480" s="459" t="str">
        <f ca="1">敌人!C$397</f>
        <v>山贼 II</v>
      </c>
      <c r="D480" s="371"/>
      <c r="E480" s="51">
        <f>敌人!D$397</f>
        <v>2</v>
      </c>
      <c r="F480" s="51">
        <f>敌人!E$397</f>
        <v>0</v>
      </c>
      <c r="G480" s="51">
        <f>敌人!F$397</f>
        <v>0</v>
      </c>
      <c r="H480" s="51">
        <f>敌人!G$397</f>
        <v>0</v>
      </c>
      <c r="I480" s="51">
        <f>敌人!H$397</f>
        <v>0</v>
      </c>
      <c r="J480" s="51">
        <f>敌人!I$397</f>
        <v>0</v>
      </c>
      <c r="K480" s="459" t="str">
        <f ca="1">敌人!J$397</f>
        <v>ＨＰ恢复的葡萄</v>
      </c>
      <c r="L480" s="371"/>
      <c r="M480" s="371"/>
      <c r="N480" s="46"/>
      <c r="O480" s="48" t="b">
        <v>0</v>
      </c>
      <c r="P480" s="459" t="str">
        <f ca="1">道具!$C$389</f>
        <v>黑帽</v>
      </c>
      <c r="Q480" s="371"/>
      <c r="R480" s="371"/>
      <c r="S480" s="46"/>
      <c r="T480" s="46"/>
      <c r="U480" s="460"/>
      <c r="V480" s="371"/>
      <c r="W480" s="46"/>
      <c r="X480" s="46"/>
      <c r="Y480" s="46"/>
      <c r="Z480" s="46"/>
      <c r="AA480" s="46"/>
    </row>
    <row r="481" spans="1:27" ht="12.75" x14ac:dyDescent="0.2">
      <c r="A481" s="46"/>
      <c r="B481" s="49" t="str">
        <f ca="1">语言!A$394&amp;" ("&amp;语言!$A$12&amp;" 1 - 4 - 7 - 11)"</f>
        <v>山贼大本营 (危险度 1 - 4 - 7 - 11)</v>
      </c>
      <c r="C481" s="49"/>
      <c r="D481" s="49"/>
      <c r="E481" s="49"/>
      <c r="F481" s="49"/>
      <c r="G481" s="49"/>
      <c r="H481" s="49"/>
      <c r="I481" s="49"/>
      <c r="J481" s="49"/>
      <c r="K481" s="49"/>
      <c r="L481" s="49"/>
      <c r="M481" s="49"/>
      <c r="N481" s="46"/>
      <c r="O481" s="48" t="b">
        <v>0</v>
      </c>
      <c r="P481" s="459" t="str">
        <f ca="1">道具!$C$30</f>
        <v>火之精灵石</v>
      </c>
      <c r="Q481" s="371"/>
      <c r="R481" s="371"/>
      <c r="S481" s="46"/>
      <c r="T481" s="46"/>
      <c r="U481" s="460"/>
      <c r="V481" s="371"/>
      <c r="W481" s="46"/>
      <c r="X481" s="46"/>
      <c r="Y481" s="46"/>
      <c r="Z481" s="46"/>
      <c r="AA481" s="46"/>
    </row>
    <row r="482" spans="1:27" ht="12.75" x14ac:dyDescent="0.2">
      <c r="A482" s="46"/>
      <c r="B482" s="48" t="b">
        <v>0</v>
      </c>
      <c r="C482" s="459" t="str">
        <f ca="1">敌人!C$154&amp;" (1)"</f>
        <v>山丘鼠人 I (1)</v>
      </c>
      <c r="D482" s="371"/>
      <c r="E482" s="51">
        <f>敌人!D$154</f>
        <v>1</v>
      </c>
      <c r="F482" s="51">
        <f>敌人!E$154</f>
        <v>0</v>
      </c>
      <c r="G482" s="51">
        <f>敌人!F$154</f>
        <v>0</v>
      </c>
      <c r="H482" s="51">
        <f>敌人!G$154</f>
        <v>0</v>
      </c>
      <c r="I482" s="51">
        <f>敌人!H$154</f>
        <v>0</v>
      </c>
      <c r="J482" s="51">
        <f>敌人!I$154</f>
        <v>0</v>
      </c>
      <c r="K482" s="459" t="str">
        <f ca="1">敌人!J$154</f>
        <v>ＨＰ恢复的葡萄</v>
      </c>
      <c r="L482" s="371"/>
      <c r="M482" s="371"/>
      <c r="N482" s="46"/>
      <c r="O482" s="48" t="b">
        <v>0</v>
      </c>
      <c r="P482" s="459" t="str">
        <f ca="1">道具!$C$101</f>
        <v>铜制提灯</v>
      </c>
      <c r="Q482" s="371"/>
      <c r="R482" s="371"/>
      <c r="S482" s="46"/>
      <c r="T482" s="46"/>
      <c r="U482" s="460"/>
      <c r="V482" s="371"/>
      <c r="W482" s="46"/>
      <c r="X482" s="46"/>
      <c r="Y482" s="46"/>
      <c r="Z482" s="46"/>
      <c r="AA482" s="46"/>
    </row>
    <row r="483" spans="1:27" ht="12.75" x14ac:dyDescent="0.2">
      <c r="A483" s="46"/>
      <c r="B483" s="48" t="b">
        <v>0</v>
      </c>
      <c r="C483" s="459" t="str">
        <f ca="1">敌人!C$155&amp;" (4+)"</f>
        <v>山丘鼠人 II (4+)</v>
      </c>
      <c r="D483" s="371"/>
      <c r="E483" s="51">
        <f>敌人!D$155</f>
        <v>2</v>
      </c>
      <c r="F483" s="51">
        <f>敌人!E$155</f>
        <v>0</v>
      </c>
      <c r="G483" s="51">
        <f>敌人!F$155</f>
        <v>0</v>
      </c>
      <c r="H483" s="51">
        <f>敌人!G$155</f>
        <v>0</v>
      </c>
      <c r="I483" s="51">
        <f>敌人!H$155</f>
        <v>0</v>
      </c>
      <c r="J483" s="51">
        <f>敌人!I$155</f>
        <v>0</v>
      </c>
      <c r="K483" s="459" t="str">
        <f ca="1">敌人!J$155</f>
        <v>葡萄树液</v>
      </c>
      <c r="L483" s="371"/>
      <c r="M483" s="371"/>
      <c r="N483" s="46"/>
      <c r="O483" s="48" t="b">
        <v>0</v>
      </c>
      <c r="P483" s="459" t="str">
        <f ca="1">道具!$C$6</f>
        <v>ＳＰ恢复的李子</v>
      </c>
      <c r="Q483" s="371"/>
      <c r="R483" s="371"/>
      <c r="S483" s="46"/>
      <c r="T483" s="46"/>
      <c r="U483" s="460"/>
      <c r="V483" s="371"/>
      <c r="W483" s="46"/>
      <c r="X483" s="46"/>
      <c r="Y483" s="46"/>
      <c r="Z483" s="46"/>
      <c r="AA483" s="46"/>
    </row>
    <row r="484" spans="1:27" ht="12.75" x14ac:dyDescent="0.2">
      <c r="A484" s="46"/>
      <c r="B484" s="48" t="b">
        <v>0</v>
      </c>
      <c r="C484" s="459" t="str">
        <f ca="1">敌人!C$156&amp;" (7+)"</f>
        <v>山丘鼠人 III (7+)</v>
      </c>
      <c r="D484" s="371"/>
      <c r="E484" s="51">
        <f>敌人!D$156</f>
        <v>3</v>
      </c>
      <c r="F484" s="51">
        <f>敌人!E$156</f>
        <v>0</v>
      </c>
      <c r="G484" s="51">
        <f>敌人!F$156</f>
        <v>0</v>
      </c>
      <c r="H484" s="51">
        <f>敌人!G$156</f>
        <v>0</v>
      </c>
      <c r="I484" s="51">
        <f>敌人!H$156</f>
        <v>0</v>
      </c>
      <c r="J484" s="51">
        <f>敌人!I$156</f>
        <v>0</v>
      </c>
      <c r="K484" s="459" t="str">
        <f ca="1">敌人!J$156</f>
        <v>ＳＰ恢复的李子</v>
      </c>
      <c r="L484" s="371"/>
      <c r="M484" s="371"/>
      <c r="N484" s="46"/>
      <c r="O484" s="46"/>
      <c r="P484" s="460"/>
      <c r="Q484" s="371"/>
      <c r="R484" s="371"/>
      <c r="S484" s="46"/>
      <c r="T484" s="46"/>
      <c r="U484" s="460"/>
      <c r="V484" s="371"/>
      <c r="W484" s="46"/>
      <c r="X484" s="46"/>
      <c r="Y484" s="46"/>
      <c r="Z484" s="46"/>
      <c r="AA484" s="46"/>
    </row>
    <row r="485" spans="1:27" ht="12.75" x14ac:dyDescent="0.2">
      <c r="A485" s="46"/>
      <c r="B485" s="48" t="b">
        <v>0</v>
      </c>
      <c r="C485" s="459" t="str">
        <f ca="1">敌人!C$35</f>
        <v>山贼 I</v>
      </c>
      <c r="D485" s="371"/>
      <c r="E485" s="51">
        <f>敌人!D$35</f>
        <v>1</v>
      </c>
      <c r="F485" s="51">
        <f>敌人!E$35</f>
        <v>0</v>
      </c>
      <c r="G485" s="51">
        <f>敌人!F$35</f>
        <v>0</v>
      </c>
      <c r="H485" s="51">
        <f>敌人!G$35</f>
        <v>0</v>
      </c>
      <c r="I485" s="51">
        <f>敌人!H$35</f>
        <v>0</v>
      </c>
      <c r="J485" s="51">
        <f>敌人!I$35</f>
        <v>0</v>
      </c>
      <c r="K485" s="459" t="str">
        <f ca="1">敌人!J$35</f>
        <v>空空的钱包</v>
      </c>
      <c r="L485" s="371"/>
      <c r="M485" s="371"/>
      <c r="N485" s="46"/>
      <c r="O485" s="46"/>
      <c r="P485" s="460"/>
      <c r="Q485" s="371"/>
      <c r="R485" s="371"/>
      <c r="S485" s="46"/>
      <c r="T485" s="46"/>
      <c r="U485" s="460"/>
      <c r="V485" s="371"/>
      <c r="W485" s="46"/>
      <c r="X485" s="46"/>
      <c r="Y485" s="46"/>
      <c r="Z485" s="46"/>
      <c r="AA485" s="46"/>
    </row>
    <row r="486" spans="1:27" ht="12.75" x14ac:dyDescent="0.2">
      <c r="A486" s="46"/>
      <c r="B486" s="48" t="b">
        <v>0</v>
      </c>
      <c r="C486" s="459" t="str">
        <f ca="1">敌人!C$36</f>
        <v>山贼 II</v>
      </c>
      <c r="D486" s="371"/>
      <c r="E486" s="51">
        <f>敌人!D$36</f>
        <v>2</v>
      </c>
      <c r="F486" s="51">
        <f>敌人!E$36</f>
        <v>0</v>
      </c>
      <c r="G486" s="51">
        <f>敌人!F$36</f>
        <v>0</v>
      </c>
      <c r="H486" s="51">
        <f>敌人!G$36</f>
        <v>0</v>
      </c>
      <c r="I486" s="51">
        <f>敌人!H$36</f>
        <v>0</v>
      </c>
      <c r="J486" s="51">
        <f>敌人!I$36</f>
        <v>0</v>
      </c>
      <c r="K486" s="459" t="str">
        <f ca="1">敌人!J$36</f>
        <v>空空的钱包</v>
      </c>
      <c r="L486" s="371"/>
      <c r="M486" s="371"/>
      <c r="N486" s="46"/>
      <c r="O486" s="46"/>
      <c r="P486" s="460"/>
      <c r="Q486" s="371"/>
      <c r="R486" s="371"/>
      <c r="S486" s="46"/>
      <c r="T486" s="46"/>
      <c r="U486" s="460"/>
      <c r="V486" s="371"/>
      <c r="W486" s="46"/>
      <c r="X486" s="46"/>
      <c r="Y486" s="46"/>
      <c r="Z486" s="46"/>
      <c r="AA486" s="46"/>
    </row>
    <row r="487" spans="1:27" ht="12.75" x14ac:dyDescent="0.2">
      <c r="A487" s="46"/>
      <c r="B487" s="48" t="b">
        <v>0</v>
      </c>
      <c r="C487" s="459" t="str">
        <f ca="1">敌人!C$37&amp;" (7+)"</f>
        <v>山贼 III (7+)</v>
      </c>
      <c r="D487" s="371"/>
      <c r="E487" s="51">
        <f>敌人!D$37</f>
        <v>3</v>
      </c>
      <c r="F487" s="51">
        <f>敌人!E$37</f>
        <v>0</v>
      </c>
      <c r="G487" s="51">
        <f>敌人!F$37</f>
        <v>0</v>
      </c>
      <c r="H487" s="51">
        <f>敌人!G$37</f>
        <v>0</v>
      </c>
      <c r="I487" s="51">
        <f>敌人!H$37</f>
        <v>0</v>
      </c>
      <c r="J487" s="51">
        <f>敌人!I$37</f>
        <v>0</v>
      </c>
      <c r="K487" s="459" t="str">
        <f ca="1">敌人!J$37</f>
        <v>空空的钱包</v>
      </c>
      <c r="L487" s="371"/>
      <c r="M487" s="371"/>
      <c r="N487" s="46"/>
      <c r="O487" s="46"/>
      <c r="P487" s="460"/>
      <c r="Q487" s="371"/>
      <c r="R487" s="371"/>
      <c r="S487" s="46"/>
      <c r="T487" s="46"/>
      <c r="U487" s="460"/>
      <c r="V487" s="371"/>
      <c r="W487" s="46"/>
      <c r="X487" s="46"/>
      <c r="Y487" s="46"/>
      <c r="Z487" s="46"/>
      <c r="AA487" s="46"/>
    </row>
    <row r="488" spans="1:27" ht="12.75" x14ac:dyDescent="0.2">
      <c r="A488" s="46"/>
      <c r="B488" s="48" t="b">
        <v>0</v>
      </c>
      <c r="C488" s="459" t="str">
        <f ca="1">敌人!C$289</f>
        <v>鳞蛇</v>
      </c>
      <c r="D488" s="371"/>
      <c r="E488" s="51">
        <f>敌人!D$289</f>
        <v>1</v>
      </c>
      <c r="F488" s="51">
        <f>敌人!E$289</f>
        <v>0</v>
      </c>
      <c r="G488" s="51">
        <f>敌人!F$289</f>
        <v>0</v>
      </c>
      <c r="H488" s="51">
        <f>敌人!G$289</f>
        <v>0</v>
      </c>
      <c r="I488" s="51">
        <f>敌人!H$289</f>
        <v>0</v>
      </c>
      <c r="J488" s="51">
        <f>敌人!I$289</f>
        <v>0</v>
      </c>
      <c r="K488" s="459" t="str">
        <f ca="1">敌人!J$289</f>
        <v>毒治疗药草</v>
      </c>
      <c r="L488" s="371"/>
      <c r="M488" s="371"/>
      <c r="N488" s="46"/>
      <c r="O488" s="46"/>
      <c r="P488" s="460"/>
      <c r="Q488" s="371"/>
      <c r="R488" s="371"/>
      <c r="S488" s="46"/>
      <c r="T488" s="46"/>
      <c r="U488" s="460"/>
      <c r="V488" s="371"/>
      <c r="W488" s="46"/>
      <c r="X488" s="46"/>
      <c r="Y488" s="46"/>
      <c r="Z488" s="46"/>
      <c r="AA488" s="46"/>
    </row>
    <row r="489" spans="1:27" ht="12.75" x14ac:dyDescent="0.2">
      <c r="A489" s="46"/>
      <c r="B489" s="48" t="b">
        <v>0</v>
      </c>
      <c r="C489" s="459" t="str">
        <f ca="1">敌人!C$93&amp;" (7+)"</f>
        <v>鳞蛇异种 (7+)</v>
      </c>
      <c r="D489" s="371"/>
      <c r="E489" s="51">
        <f>敌人!D$93</f>
        <v>3</v>
      </c>
      <c r="F489" s="51">
        <f>敌人!E$93</f>
        <v>0</v>
      </c>
      <c r="G489" s="51">
        <f>敌人!F$93</f>
        <v>0</v>
      </c>
      <c r="H489" s="51">
        <f>敌人!G$93</f>
        <v>0</v>
      </c>
      <c r="I489" s="51">
        <f>敌人!H$93</f>
        <v>0</v>
      </c>
      <c r="J489" s="51">
        <f>敌人!I$93</f>
        <v>0</v>
      </c>
      <c r="K489" s="459" t="str">
        <f ca="1">敌人!J$93</f>
        <v>毒治疗药草</v>
      </c>
      <c r="L489" s="371"/>
      <c r="M489" s="371"/>
      <c r="N489" s="46"/>
      <c r="O489" s="46"/>
      <c r="P489" s="460"/>
      <c r="Q489" s="371"/>
      <c r="R489" s="371"/>
      <c r="S489" s="46"/>
      <c r="T489" s="46"/>
      <c r="U489" s="460"/>
      <c r="V489" s="371"/>
      <c r="W489" s="46"/>
      <c r="X489" s="46"/>
      <c r="Y489" s="46"/>
      <c r="Z489" s="46"/>
      <c r="AA489" s="46"/>
    </row>
    <row r="490" spans="1:27" ht="12.75" x14ac:dyDescent="0.2">
      <c r="A490" s="46"/>
      <c r="B490" s="48" t="b">
        <v>0</v>
      </c>
      <c r="C490" s="459" t="str">
        <f ca="1">敌人!C$307&amp;" (7+)"</f>
        <v>黑蝙蝠异种 (7+)</v>
      </c>
      <c r="D490" s="371"/>
      <c r="E490" s="51">
        <f>敌人!D$307</f>
        <v>2</v>
      </c>
      <c r="F490" s="51">
        <f>敌人!E$307</f>
        <v>0</v>
      </c>
      <c r="G490" s="51">
        <f>敌人!F$307</f>
        <v>0</v>
      </c>
      <c r="H490" s="51">
        <f>敌人!G$307</f>
        <v>0</v>
      </c>
      <c r="I490" s="51">
        <f>敌人!H$307</f>
        <v>0</v>
      </c>
      <c r="J490" s="51">
        <f>敌人!I$307</f>
        <v>0</v>
      </c>
      <c r="K490" s="459" t="str">
        <f ca="1">敌人!J$307</f>
        <v>神秘之花</v>
      </c>
      <c r="L490" s="371"/>
      <c r="M490" s="371"/>
      <c r="N490" s="46"/>
      <c r="O490" s="46"/>
      <c r="P490" s="460"/>
      <c r="Q490" s="371"/>
      <c r="R490" s="371"/>
      <c r="S490" s="46"/>
      <c r="T490" s="46"/>
      <c r="U490" s="460"/>
      <c r="V490" s="371"/>
      <c r="W490" s="46"/>
      <c r="X490" s="46"/>
      <c r="Y490" s="46"/>
      <c r="Z490" s="46"/>
      <c r="AA490" s="46"/>
    </row>
    <row r="491" spans="1:27" ht="12.75" x14ac:dyDescent="0.2">
      <c r="A491" s="46"/>
      <c r="B491" s="48" t="b">
        <v>0</v>
      </c>
      <c r="C491" s="459" t="str">
        <f ca="1">敌人!C$23</f>
        <v>黑蝙蝠</v>
      </c>
      <c r="D491" s="371"/>
      <c r="E491" s="51">
        <f>敌人!D$23</f>
        <v>1</v>
      </c>
      <c r="F491" s="51">
        <f>敌人!E$23</f>
        <v>0</v>
      </c>
      <c r="G491" s="51">
        <f>敌人!F$23</f>
        <v>0</v>
      </c>
      <c r="H491" s="51">
        <f>敌人!G$23</f>
        <v>0</v>
      </c>
      <c r="I491" s="51">
        <f>敌人!H$23</f>
        <v>0</v>
      </c>
      <c r="J491" s="51">
        <f>敌人!I$23</f>
        <v>0</v>
      </c>
      <c r="K491" s="459" t="str">
        <f ca="1">敌人!J$23</f>
        <v>神秘之花</v>
      </c>
      <c r="L491" s="371"/>
      <c r="M491" s="371"/>
      <c r="N491" s="46"/>
      <c r="O491" s="46"/>
      <c r="P491" s="460"/>
      <c r="Q491" s="371"/>
      <c r="R491" s="371"/>
      <c r="S491" s="46"/>
      <c r="T491" s="46"/>
      <c r="U491" s="460"/>
      <c r="V491" s="371"/>
      <c r="W491" s="46"/>
      <c r="X491" s="46"/>
      <c r="Y491" s="46"/>
      <c r="Z491" s="46"/>
      <c r="AA491" s="46"/>
    </row>
    <row r="492" spans="1:27" ht="12.75" x14ac:dyDescent="0.2">
      <c r="A492" s="46"/>
      <c r="B492" s="465" t="str">
        <f ca="1">语言!$A$15</f>
        <v>Boss</v>
      </c>
      <c r="C492" s="371"/>
      <c r="D492" s="371"/>
      <c r="E492" s="371"/>
      <c r="F492" s="371"/>
      <c r="G492" s="371"/>
      <c r="H492" s="371"/>
      <c r="I492" s="371"/>
      <c r="J492" s="371"/>
      <c r="K492" s="371"/>
      <c r="L492" s="371"/>
      <c r="M492" s="371"/>
      <c r="N492" s="46"/>
      <c r="O492" s="46"/>
      <c r="P492" s="460"/>
      <c r="Q492" s="371"/>
      <c r="R492" s="371"/>
      <c r="S492" s="46"/>
      <c r="T492" s="46"/>
      <c r="U492" s="460"/>
      <c r="V492" s="371"/>
      <c r="W492" s="46"/>
      <c r="X492" s="46"/>
      <c r="Y492" s="46"/>
      <c r="Z492" s="46"/>
      <c r="AA492" s="46"/>
    </row>
    <row r="493" spans="1:27" ht="12.75" x14ac:dyDescent="0.2">
      <c r="A493" s="46"/>
      <c r="B493" s="48" t="b">
        <v>0</v>
      </c>
      <c r="C493" s="459" t="str">
        <f ca="1">敌人!C$398</f>
        <v>卡斯顿</v>
      </c>
      <c r="D493" s="371"/>
      <c r="E493" s="51" t="str">
        <f>敌人!D$398</f>
        <v>4+</v>
      </c>
      <c r="F493" s="51">
        <f>敌人!E$398</f>
        <v>0</v>
      </c>
      <c r="G493" s="51">
        <f>敌人!F$398</f>
        <v>0</v>
      </c>
      <c r="H493" s="51">
        <f>敌人!G$398</f>
        <v>0</v>
      </c>
      <c r="I493" s="51">
        <f>敌人!H$398</f>
        <v>0</v>
      </c>
      <c r="J493" s="51">
        <f>敌人!I$398</f>
        <v>0</v>
      </c>
      <c r="K493" s="459" t="str">
        <f ca="1">敌人!J$398</f>
        <v>ＨＰ全体恢复的葡萄</v>
      </c>
      <c r="L493" s="371"/>
      <c r="M493" s="371"/>
      <c r="N493" s="46"/>
      <c r="O493" s="46"/>
      <c r="P493" s="460"/>
      <c r="Q493" s="371"/>
      <c r="R493" s="371"/>
      <c r="S493" s="46"/>
      <c r="T493" s="46"/>
      <c r="U493" s="460"/>
      <c r="V493" s="371"/>
      <c r="W493" s="46"/>
      <c r="X493" s="46"/>
      <c r="Y493" s="46"/>
      <c r="Z493" s="46"/>
      <c r="AA493" s="46"/>
    </row>
    <row r="494" spans="1:27" ht="12.75" x14ac:dyDescent="0.2">
      <c r="A494" s="46"/>
      <c r="B494" s="48" t="b">
        <v>0</v>
      </c>
      <c r="C494" s="459" t="str">
        <f ca="1">敌人!C$399</f>
        <v>山贼</v>
      </c>
      <c r="D494" s="371"/>
      <c r="E494" s="51" t="str">
        <f>敌人!D$399</f>
        <v>2+</v>
      </c>
      <c r="F494" s="51">
        <f>敌人!E$399</f>
        <v>0</v>
      </c>
      <c r="G494" s="51">
        <f>敌人!F$399</f>
        <v>0</v>
      </c>
      <c r="H494" s="51">
        <f>敌人!G$399</f>
        <v>0</v>
      </c>
      <c r="I494" s="51">
        <f>敌人!H$399</f>
        <v>0</v>
      </c>
      <c r="J494" s="51">
        <f>敌人!I$399</f>
        <v>0</v>
      </c>
      <c r="K494" s="425" t="str">
        <f ca="1">敌人!J$399</f>
        <v>手斧</v>
      </c>
      <c r="L494" s="371"/>
      <c r="M494" s="371"/>
      <c r="N494" s="46"/>
      <c r="O494" s="46"/>
      <c r="P494" s="460"/>
      <c r="Q494" s="371"/>
      <c r="R494" s="371"/>
      <c r="S494" s="46"/>
      <c r="T494" s="46"/>
      <c r="U494" s="460"/>
      <c r="V494" s="371"/>
      <c r="W494" s="46"/>
      <c r="X494" s="46"/>
      <c r="Y494" s="46"/>
      <c r="Z494" s="46"/>
      <c r="AA494" s="46"/>
    </row>
    <row r="495" spans="1:27" ht="12.75" x14ac:dyDescent="0.2">
      <c r="A495" s="46"/>
      <c r="B495" s="46"/>
      <c r="C495" s="460"/>
      <c r="D495" s="371"/>
      <c r="E495" s="46"/>
      <c r="F495" s="46"/>
      <c r="G495" s="46"/>
      <c r="H495" s="46"/>
      <c r="I495" s="46"/>
      <c r="J495" s="46"/>
      <c r="K495" s="460"/>
      <c r="L495" s="371"/>
      <c r="M495" s="371"/>
      <c r="N495" s="46"/>
      <c r="O495" s="46"/>
      <c r="P495" s="460"/>
      <c r="Q495" s="371"/>
      <c r="R495" s="371"/>
      <c r="S495" s="46"/>
      <c r="T495" s="46"/>
      <c r="U495" s="460"/>
      <c r="V495" s="371"/>
      <c r="W495" s="46"/>
      <c r="X495" s="46"/>
      <c r="Y495" s="46"/>
      <c r="Z495" s="46"/>
      <c r="AA495" s="46"/>
    </row>
    <row r="496" spans="1:27" ht="18" x14ac:dyDescent="0.25">
      <c r="A496" s="477" t="str">
        <f ca="1">语言!$A$323&amp;" 2"</f>
        <v>Tier 2</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row>
    <row r="497" spans="1:27" ht="12.75" x14ac:dyDescent="0.2">
      <c r="A497" s="46"/>
      <c r="B497" s="48" t="b">
        <v>0</v>
      </c>
      <c r="C497" s="463" t="str">
        <f ca="1">敌人!C$69</f>
        <v>绅士凯特林</v>
      </c>
      <c r="D497" s="371"/>
      <c r="E497" s="48">
        <f>敌人!D$69</f>
        <v>4</v>
      </c>
      <c r="F497" s="48">
        <f>敌人!E$69</f>
        <v>0</v>
      </c>
      <c r="G497" s="48">
        <f>敌人!F$69</f>
        <v>0</v>
      </c>
      <c r="H497" s="48">
        <f>敌人!G$69</f>
        <v>0</v>
      </c>
      <c r="I497" s="48">
        <f>敌人!H$69</f>
        <v>0</v>
      </c>
      <c r="J497" s="48">
        <f>敌人!I$69</f>
        <v>0</v>
      </c>
      <c r="K497" s="463" t="str">
        <f ca="1">敌人!J$69</f>
        <v>ＨＰ／ＳＰ／ＢＰ恢复的果酱</v>
      </c>
      <c r="L497" s="371"/>
      <c r="M497" s="371"/>
      <c r="N497" s="46"/>
      <c r="O497" s="462" t="str">
        <f ca="1">语言!A$395&amp;" (3 "&amp;语言!$A$19&amp;")"</f>
        <v>斯托冈德 (3 宝箱)</v>
      </c>
      <c r="P497" s="371"/>
      <c r="Q497" s="371"/>
      <c r="R497" s="371"/>
      <c r="S497" s="46"/>
      <c r="T497" s="462" t="str">
        <f ca="1">语言!A$395</f>
        <v>斯托冈德</v>
      </c>
      <c r="U497" s="371"/>
      <c r="V497" s="371"/>
      <c r="W497" s="46"/>
      <c r="X497" s="46"/>
      <c r="Y497" s="46"/>
      <c r="Z497" s="46"/>
      <c r="AA497" s="46"/>
    </row>
    <row r="498" spans="1:27" ht="12.75" x14ac:dyDescent="0.2">
      <c r="A498" s="46"/>
      <c r="B498" s="461" t="str">
        <f ca="1">"Common Areas ("&amp;语言!$A$12&amp;" 17 - 20 - 25 - 30)"</f>
        <v>Common Areas (危险度 17 - 20 - 25 - 30)</v>
      </c>
      <c r="C498" s="371"/>
      <c r="D498" s="371"/>
      <c r="E498" s="371"/>
      <c r="F498" s="371"/>
      <c r="G498" s="371"/>
      <c r="H498" s="371"/>
      <c r="I498" s="371"/>
      <c r="J498" s="371"/>
      <c r="K498" s="371"/>
      <c r="L498" s="371"/>
      <c r="M498" s="371"/>
      <c r="N498" s="46"/>
      <c r="O498" s="48" t="b">
        <v>0</v>
      </c>
      <c r="P498" s="459" t="str">
        <f ca="1">道具!$C$6</f>
        <v>ＳＰ恢复的李子</v>
      </c>
      <c r="Q498" s="371"/>
      <c r="R498" s="371"/>
      <c r="S498" s="46"/>
      <c r="T498" s="48" t="b">
        <v>0</v>
      </c>
      <c r="U498" s="463" t="str">
        <f ca="1">道具!$C$120</f>
        <v>放了银块的皮袋</v>
      </c>
      <c r="V498" s="371"/>
      <c r="W498" s="46"/>
      <c r="X498" s="46"/>
      <c r="Y498" s="46"/>
      <c r="Z498" s="46"/>
      <c r="AA498" s="46"/>
    </row>
    <row r="499" spans="1:27" ht="12.75" x14ac:dyDescent="0.2">
      <c r="A499" s="46"/>
      <c r="B499" s="478" t="str">
        <f ca="1">语言!A$398</f>
        <v>北斯托冈德山道</v>
      </c>
      <c r="C499" s="371"/>
      <c r="D499" s="371"/>
      <c r="E499" s="371"/>
      <c r="F499" s="371"/>
      <c r="G499" s="371"/>
      <c r="H499" s="371"/>
      <c r="I499" s="371"/>
      <c r="J499" s="371"/>
      <c r="K499" s="371"/>
      <c r="L499" s="371"/>
      <c r="M499" s="371"/>
      <c r="N499" s="46"/>
      <c r="O499" s="48" t="b">
        <v>0</v>
      </c>
      <c r="P499" s="459" t="str">
        <f ca="1">道具!$C$4</f>
        <v>ＨＰ恢复的葡萄（大）</v>
      </c>
      <c r="Q499" s="371"/>
      <c r="R499" s="371"/>
      <c r="S499" s="46"/>
      <c r="T499" s="48" t="b">
        <v>0</v>
      </c>
      <c r="U499" s="463" t="str">
        <f ca="1">道具!$C$250</f>
        <v>重力子斧</v>
      </c>
      <c r="V499" s="371"/>
      <c r="W499" s="46"/>
      <c r="X499" s="46"/>
      <c r="Y499" s="46"/>
      <c r="Z499" s="46"/>
      <c r="AA499" s="46"/>
    </row>
    <row r="500" spans="1:27" ht="12.75" x14ac:dyDescent="0.2">
      <c r="A500" s="46"/>
      <c r="B500" s="478" t="str">
        <f ca="1">语言!A$399</f>
        <v>西斯托冈德山道</v>
      </c>
      <c r="C500" s="371"/>
      <c r="D500" s="371"/>
      <c r="E500" s="371"/>
      <c r="F500" s="371"/>
      <c r="G500" s="371"/>
      <c r="H500" s="371"/>
      <c r="I500" s="371"/>
      <c r="J500" s="371"/>
      <c r="K500" s="371"/>
      <c r="L500" s="371"/>
      <c r="M500" s="371"/>
      <c r="N500" s="46"/>
      <c r="O500" s="48" t="b">
        <v>0</v>
      </c>
      <c r="P500" s="459" t="str">
        <f ca="1">道具!$C$433</f>
        <v>犄角盔甲</v>
      </c>
      <c r="Q500" s="371"/>
      <c r="R500" s="371"/>
      <c r="S500" s="46"/>
      <c r="T500" s="48" t="b">
        <v>0</v>
      </c>
      <c r="U500" s="463" t="str">
        <f ca="1">道具!$C$159</f>
        <v>混用剑</v>
      </c>
      <c r="V500" s="371"/>
      <c r="W500" s="46"/>
      <c r="X500" s="46"/>
      <c r="Y500" s="46"/>
      <c r="Z500" s="46"/>
      <c r="AA500" s="46"/>
    </row>
    <row r="501" spans="1:27" ht="12.75" x14ac:dyDescent="0.2">
      <c r="A501" s="46"/>
      <c r="B501" s="48" t="b">
        <v>0</v>
      </c>
      <c r="C501" s="459" t="str">
        <f ca="1">敌人!C$157</f>
        <v>山丘鼠人 IV</v>
      </c>
      <c r="D501" s="371"/>
      <c r="E501" s="51">
        <f>敌人!D$157</f>
        <v>2</v>
      </c>
      <c r="F501" s="51">
        <f>敌人!E$157</f>
        <v>0</v>
      </c>
      <c r="G501" s="51">
        <f>敌人!F$157</f>
        <v>0</v>
      </c>
      <c r="H501" s="51">
        <f>敌人!G$157</f>
        <v>0</v>
      </c>
      <c r="I501" s="51">
        <f>敌人!H$157</f>
        <v>0</v>
      </c>
      <c r="J501" s="51">
        <f>敌人!I$157</f>
        <v>0</v>
      </c>
      <c r="K501" s="459" t="str">
        <f ca="1">敌人!J$157</f>
        <v>ＨＰ恢复的葡萄（大）</v>
      </c>
      <c r="L501" s="371"/>
      <c r="M501" s="371"/>
      <c r="N501" s="46"/>
      <c r="O501" s="462" t="str">
        <f ca="1">语言!A$398&amp;" (3 "&amp;语言!$A$19&amp;")"</f>
        <v>北斯托冈德山道 (3 宝箱)</v>
      </c>
      <c r="P501" s="371"/>
      <c r="Q501" s="371"/>
      <c r="R501" s="371"/>
      <c r="S501" s="46"/>
      <c r="T501" s="48" t="b">
        <v>0</v>
      </c>
      <c r="U501" s="463" t="str">
        <f ca="1">道具!$C$7</f>
        <v>ＳＰ恢复的李子（大）</v>
      </c>
      <c r="V501" s="371"/>
      <c r="W501" s="46"/>
      <c r="X501" s="46"/>
      <c r="Y501" s="46"/>
      <c r="Z501" s="46"/>
      <c r="AA501" s="46"/>
    </row>
    <row r="502" spans="1:27" ht="12.75" x14ac:dyDescent="0.2">
      <c r="A502" s="46"/>
      <c r="B502" s="48" t="b">
        <v>0</v>
      </c>
      <c r="C502" s="459" t="str">
        <f ca="1">敌人!C$158</f>
        <v>山丘鼠人 V</v>
      </c>
      <c r="D502" s="371"/>
      <c r="E502" s="51">
        <f>敌人!D$158</f>
        <v>3</v>
      </c>
      <c r="F502" s="51">
        <f>敌人!E$158</f>
        <v>0</v>
      </c>
      <c r="G502" s="51">
        <f>敌人!F$158</f>
        <v>0</v>
      </c>
      <c r="H502" s="51">
        <f>敌人!G$158</f>
        <v>0</v>
      </c>
      <c r="I502" s="51">
        <f>敌人!H$158</f>
        <v>0</v>
      </c>
      <c r="J502" s="51">
        <f>敌人!I$158</f>
        <v>0</v>
      </c>
      <c r="K502" s="459" t="str">
        <f ca="1">敌人!J$158</f>
        <v>葡萄树液</v>
      </c>
      <c r="L502" s="371"/>
      <c r="M502" s="371"/>
      <c r="N502" s="46"/>
      <c r="O502" s="48" t="b">
        <v>0</v>
      </c>
      <c r="P502" s="459" t="str">
        <f ca="1">道具!$C$9</f>
        <v>ＢＰ恢复的石榴</v>
      </c>
      <c r="Q502" s="371"/>
      <c r="R502" s="371"/>
      <c r="S502" s="46"/>
      <c r="T502" s="48" t="b">
        <v>0</v>
      </c>
      <c r="U502" s="463" t="str">
        <f ca="1">道具!$C$292</f>
        <v>士兵的大弓</v>
      </c>
      <c r="V502" s="371"/>
      <c r="W502" s="46"/>
      <c r="X502" s="46"/>
      <c r="Y502" s="46"/>
      <c r="Z502" s="46"/>
      <c r="AA502" s="46"/>
    </row>
    <row r="503" spans="1:27" ht="12.75" x14ac:dyDescent="0.2">
      <c r="A503" s="46"/>
      <c r="B503" s="48" t="b">
        <v>0</v>
      </c>
      <c r="C503" s="459" t="str">
        <f ca="1">敌人!C$159&amp;" (20+)"</f>
        <v>山丘鼠人 VI (20+)</v>
      </c>
      <c r="D503" s="371"/>
      <c r="E503" s="51">
        <f>敌人!D$159</f>
        <v>1</v>
      </c>
      <c r="F503" s="51">
        <f>敌人!E$159</f>
        <v>0</v>
      </c>
      <c r="G503" s="51">
        <f>敌人!F$159</f>
        <v>0</v>
      </c>
      <c r="H503" s="51">
        <f>敌人!G$159</f>
        <v>0</v>
      </c>
      <c r="I503" s="51">
        <f>敌人!H$159</f>
        <v>0</v>
      </c>
      <c r="J503" s="51">
        <f>敌人!I$159</f>
        <v>0</v>
      </c>
      <c r="K503" s="459" t="str">
        <f ca="1">敌人!J$159</f>
        <v>ＳＰ恢复的李子</v>
      </c>
      <c r="L503" s="371"/>
      <c r="M503" s="371"/>
      <c r="N503" s="46"/>
      <c r="O503" s="48" t="b">
        <v>0</v>
      </c>
      <c r="P503" s="459" t="str">
        <f ca="1">道具!$C$44</f>
        <v>光之精灵石（大）</v>
      </c>
      <c r="Q503" s="371"/>
      <c r="R503" s="371"/>
      <c r="S503" s="46"/>
      <c r="T503" s="48" t="b">
        <v>0</v>
      </c>
      <c r="U503" s="463" t="str">
        <f ca="1">道具!$C$94</f>
        <v>空空的钱包</v>
      </c>
      <c r="V503" s="371"/>
      <c r="W503" s="46"/>
      <c r="X503" s="46"/>
      <c r="Y503" s="46"/>
      <c r="Z503" s="46"/>
      <c r="AA503" s="46"/>
    </row>
    <row r="504" spans="1:27" ht="12.75" x14ac:dyDescent="0.2">
      <c r="A504" s="46"/>
      <c r="B504" s="48" t="b">
        <v>0</v>
      </c>
      <c r="C504" s="459" t="str">
        <f ca="1">敌人!C$160&amp;" (25+)"</f>
        <v>山丘大鼠人 I (25+)</v>
      </c>
      <c r="D504" s="371"/>
      <c r="E504" s="51">
        <f>敌人!D$160</f>
        <v>3</v>
      </c>
      <c r="F504" s="51">
        <f>敌人!E$160</f>
        <v>0</v>
      </c>
      <c r="G504" s="51">
        <f>敌人!F$160</f>
        <v>0</v>
      </c>
      <c r="H504" s="51">
        <f>敌人!G$160</f>
        <v>0</v>
      </c>
      <c r="I504" s="51">
        <f>敌人!H$160</f>
        <v>0</v>
      </c>
      <c r="J504" s="51">
        <f>敌人!I$160</f>
        <v>0</v>
      </c>
      <c r="K504" s="459" t="str">
        <f ca="1">敌人!J$160</f>
        <v>ＳＰ恢复的李子</v>
      </c>
      <c r="L504" s="371"/>
      <c r="M504" s="371"/>
      <c r="N504" s="46"/>
      <c r="O504" s="48" t="b">
        <v>0</v>
      </c>
      <c r="P504" s="459" t="str">
        <f ca="1">道具!$C$4</f>
        <v>ＨＰ恢复的葡萄（大）</v>
      </c>
      <c r="Q504" s="371"/>
      <c r="R504" s="371"/>
      <c r="S504" s="46"/>
      <c r="T504" s="48" t="b">
        <v>0</v>
      </c>
      <c r="U504" s="463" t="str">
        <f ca="1">道具!$C$32</f>
        <v>火之精灵石（特大）</v>
      </c>
      <c r="V504" s="371"/>
      <c r="W504" s="46"/>
      <c r="X504" s="46"/>
      <c r="Y504" s="46"/>
      <c r="Z504" s="46"/>
      <c r="AA504" s="46"/>
    </row>
    <row r="505" spans="1:27" ht="12.75" x14ac:dyDescent="0.2">
      <c r="A505" s="46"/>
      <c r="B505" s="48" t="b">
        <v>0</v>
      </c>
      <c r="C505" s="459" t="str">
        <f ca="1">敌人!C$153</f>
        <v>哈伊兰多山羊</v>
      </c>
      <c r="D505" s="371"/>
      <c r="E505" s="51">
        <f>敌人!D$153</f>
        <v>2</v>
      </c>
      <c r="F505" s="51">
        <f>敌人!E$153</f>
        <v>0</v>
      </c>
      <c r="G505" s="51">
        <f>敌人!F$153</f>
        <v>0</v>
      </c>
      <c r="H505" s="51">
        <f>敌人!G$153</f>
        <v>0</v>
      </c>
      <c r="I505" s="51">
        <f>敌人!H$153</f>
        <v>0</v>
      </c>
      <c r="J505" s="51">
        <f>敌人!I$153</f>
        <v>0</v>
      </c>
      <c r="K505" s="459" t="str">
        <f ca="1">敌人!J$153</f>
        <v>橄榄花</v>
      </c>
      <c r="L505" s="371"/>
      <c r="M505" s="371"/>
      <c r="N505" s="46"/>
      <c r="O505" s="462" t="str">
        <f ca="1">语言!A$399&amp;" (3 "&amp;语言!$A$19&amp;")"</f>
        <v>西斯托冈德山道 (3 宝箱)</v>
      </c>
      <c r="P505" s="371"/>
      <c r="Q505" s="371"/>
      <c r="R505" s="371"/>
      <c r="S505" s="46"/>
      <c r="T505" s="48" t="b">
        <v>0</v>
      </c>
      <c r="U505" s="463" t="str">
        <f ca="1">道具!$C$97</f>
        <v>大鸟的羽毛</v>
      </c>
      <c r="V505" s="371"/>
      <c r="W505" s="46"/>
      <c r="X505" s="46"/>
      <c r="Y505" s="46"/>
      <c r="Z505" s="46"/>
      <c r="AA505" s="46"/>
    </row>
    <row r="506" spans="1:27" ht="12.75" x14ac:dyDescent="0.2">
      <c r="A506" s="46"/>
      <c r="B506" s="48" t="b">
        <v>0</v>
      </c>
      <c r="C506" s="459" t="str">
        <f ca="1">敌人!C$228&amp;" (25+)"</f>
        <v>山羊 (25+)</v>
      </c>
      <c r="D506" s="371"/>
      <c r="E506" s="51">
        <f>敌人!D$228</f>
        <v>3</v>
      </c>
      <c r="F506" s="51">
        <f>敌人!E$228</f>
        <v>0</v>
      </c>
      <c r="G506" s="51">
        <f>敌人!F$228</f>
        <v>0</v>
      </c>
      <c r="H506" s="51">
        <f>敌人!G$228</f>
        <v>0</v>
      </c>
      <c r="I506" s="51">
        <f>敌人!H$228</f>
        <v>0</v>
      </c>
      <c r="J506" s="51">
        <f>敌人!I$228</f>
        <v>0</v>
      </c>
      <c r="K506" s="459" t="str">
        <f ca="1">敌人!J$228</f>
        <v>橄榄花</v>
      </c>
      <c r="L506" s="371"/>
      <c r="M506" s="371"/>
      <c r="N506" s="46"/>
      <c r="O506" s="48" t="b">
        <v>0</v>
      </c>
      <c r="P506" s="459" t="str">
        <f ca="1">道具!$C$127</f>
        <v>放了铜块的麻袋</v>
      </c>
      <c r="Q506" s="371"/>
      <c r="R506" s="371"/>
      <c r="S506" s="46"/>
      <c r="T506" s="46"/>
      <c r="U506" s="460"/>
      <c r="V506" s="371"/>
      <c r="W506" s="46"/>
      <c r="X506" s="46"/>
      <c r="Y506" s="46"/>
      <c r="Z506" s="46"/>
      <c r="AA506" s="46"/>
    </row>
    <row r="507" spans="1:27" ht="12.75" x14ac:dyDescent="0.2">
      <c r="A507" s="46"/>
      <c r="B507" s="48" t="b">
        <v>0</v>
      </c>
      <c r="C507" s="459" t="str">
        <f ca="1">敌人!C$312</f>
        <v>粗毛牛</v>
      </c>
      <c r="D507" s="371"/>
      <c r="E507" s="51">
        <f>敌人!D$312</f>
        <v>2</v>
      </c>
      <c r="F507" s="51">
        <f>敌人!E$312</f>
        <v>0</v>
      </c>
      <c r="G507" s="51">
        <f>敌人!F$312</f>
        <v>0</v>
      </c>
      <c r="H507" s="51">
        <f>敌人!G$312</f>
        <v>0</v>
      </c>
      <c r="I507" s="51">
        <f>敌人!H$312</f>
        <v>0</v>
      </c>
      <c r="J507" s="51">
        <f>敌人!I$312</f>
        <v>0</v>
      </c>
      <c r="K507" s="459" t="str">
        <f ca="1">敌人!J$312</f>
        <v>葡萄树液</v>
      </c>
      <c r="L507" s="371"/>
      <c r="M507" s="371"/>
      <c r="N507" s="46"/>
      <c r="O507" s="48" t="b">
        <v>0</v>
      </c>
      <c r="P507" s="459" t="str">
        <f ca="1">道具!$C$7</f>
        <v>ＳＰ恢复的李子（大）</v>
      </c>
      <c r="Q507" s="371"/>
      <c r="R507" s="371"/>
      <c r="S507" s="46"/>
      <c r="T507" s="46"/>
      <c r="U507" s="460"/>
      <c r="V507" s="371"/>
      <c r="W507" s="46"/>
      <c r="X507" s="46"/>
      <c r="Y507" s="46"/>
      <c r="Z507" s="46"/>
      <c r="AA507" s="46"/>
    </row>
    <row r="508" spans="1:27" ht="12.75" x14ac:dyDescent="0.2">
      <c r="A508" s="46"/>
      <c r="B508" s="48" t="b">
        <v>0</v>
      </c>
      <c r="C508" s="459" t="str">
        <f ca="1">敌人!C$357&amp;" (25+)"</f>
        <v>野鼬鼠 (25+)</v>
      </c>
      <c r="D508" s="371"/>
      <c r="E508" s="51">
        <f>敌人!D$357</f>
        <v>4</v>
      </c>
      <c r="F508" s="51">
        <f>敌人!E$357</f>
        <v>0</v>
      </c>
      <c r="G508" s="51">
        <f>敌人!F$357</f>
        <v>0</v>
      </c>
      <c r="H508" s="51">
        <f>敌人!G$357</f>
        <v>0</v>
      </c>
      <c r="I508" s="51">
        <f>敌人!H$357</f>
        <v>0</v>
      </c>
      <c r="J508" s="51">
        <f>敌人!I$357</f>
        <v>0</v>
      </c>
      <c r="K508" s="459" t="str">
        <f ca="1">敌人!J$357</f>
        <v>复活的橄榄</v>
      </c>
      <c r="L508" s="371"/>
      <c r="M508" s="371"/>
      <c r="N508" s="46"/>
      <c r="O508" s="48" t="b">
        <v>0</v>
      </c>
      <c r="P508" s="459" t="str">
        <f ca="1">道具!$C$9</f>
        <v>ＢＰ恢复的石榴</v>
      </c>
      <c r="Q508" s="371"/>
      <c r="R508" s="371"/>
      <c r="S508" s="46"/>
      <c r="T508" s="46"/>
      <c r="U508" s="460"/>
      <c r="V508" s="371"/>
      <c r="W508" s="46"/>
      <c r="X508" s="46"/>
      <c r="Y508" s="46"/>
      <c r="Z508" s="46"/>
      <c r="AA508" s="46"/>
    </row>
    <row r="509" spans="1:27" ht="12.75" x14ac:dyDescent="0.2">
      <c r="A509" s="46"/>
      <c r="B509" s="48" t="b">
        <v>0</v>
      </c>
      <c r="C509" s="459" t="str">
        <f ca="1">敌人!C$92</f>
        <v>大游隼异种</v>
      </c>
      <c r="D509" s="371"/>
      <c r="E509" s="51">
        <f>敌人!D$92</f>
        <v>3</v>
      </c>
      <c r="F509" s="51">
        <f>敌人!E$92</f>
        <v>0</v>
      </c>
      <c r="G509" s="51">
        <f>敌人!F$92</f>
        <v>0</v>
      </c>
      <c r="H509" s="51">
        <f>敌人!G$92</f>
        <v>0</v>
      </c>
      <c r="I509" s="51">
        <f>敌人!H$92</f>
        <v>0</v>
      </c>
      <c r="J509" s="51">
        <f>敌人!I$92</f>
        <v>0</v>
      </c>
      <c r="K509" s="459" t="str">
        <f ca="1">敌人!J$92</f>
        <v>石榴树液</v>
      </c>
      <c r="L509" s="371"/>
      <c r="M509" s="371"/>
      <c r="N509" s="46"/>
      <c r="O509" s="462" t="str">
        <f ca="1">语言!A$400&amp;" (7 "&amp;语言!$A$19&amp;")"</f>
        <v>王家之墓 (7 宝箱)</v>
      </c>
      <c r="P509" s="371"/>
      <c r="Q509" s="371"/>
      <c r="R509" s="371"/>
      <c r="S509" s="46"/>
      <c r="T509" s="46"/>
      <c r="U509" s="460"/>
      <c r="V509" s="371"/>
      <c r="W509" s="46"/>
      <c r="X509" s="46"/>
      <c r="Y509" s="46"/>
      <c r="Z509" s="46"/>
      <c r="AA509" s="46"/>
    </row>
    <row r="510" spans="1:27" ht="12.75" x14ac:dyDescent="0.2">
      <c r="A510" s="46"/>
      <c r="B510" s="46"/>
      <c r="C510" s="460"/>
      <c r="D510" s="371"/>
      <c r="E510" s="46"/>
      <c r="F510" s="46"/>
      <c r="G510" s="46"/>
      <c r="H510" s="46"/>
      <c r="I510" s="46"/>
      <c r="J510" s="46"/>
      <c r="K510" s="460"/>
      <c r="L510" s="371"/>
      <c r="M510" s="371"/>
      <c r="N510" s="46"/>
      <c r="O510" s="48" t="b">
        <v>0</v>
      </c>
      <c r="P510" s="459" t="str">
        <f ca="1">道具!$C$5</f>
        <v>ＨＰ全体恢复的葡萄</v>
      </c>
      <c r="Q510" s="371"/>
      <c r="R510" s="371"/>
      <c r="S510" s="46"/>
      <c r="T510" s="46"/>
      <c r="U510" s="460"/>
      <c r="V510" s="371"/>
      <c r="W510" s="46"/>
      <c r="X510" s="46"/>
      <c r="Y510" s="46"/>
      <c r="Z510" s="46"/>
      <c r="AA510" s="46"/>
    </row>
    <row r="511" spans="1:27" ht="12.75" x14ac:dyDescent="0.2">
      <c r="A511" s="46"/>
      <c r="B511" s="462" t="str">
        <f ca="1">语言!A$400&amp;" ("&amp;语言!$A$12&amp;" 25)"</f>
        <v>王家之墓 (危险度 25)</v>
      </c>
      <c r="C511" s="371"/>
      <c r="D511" s="371"/>
      <c r="E511" s="371"/>
      <c r="F511" s="371"/>
      <c r="G511" s="371"/>
      <c r="H511" s="371"/>
      <c r="I511" s="371"/>
      <c r="J511" s="371"/>
      <c r="K511" s="371"/>
      <c r="L511" s="371"/>
      <c r="M511" s="371"/>
      <c r="N511" s="46"/>
      <c r="O511" s="48" t="b">
        <v>0</v>
      </c>
      <c r="P511" s="459" t="str">
        <f ca="1">道具!$C$26</f>
        <v>暗黑瓶</v>
      </c>
      <c r="Q511" s="371"/>
      <c r="R511" s="371"/>
      <c r="S511" s="46"/>
      <c r="T511" s="46"/>
      <c r="U511" s="460"/>
      <c r="V511" s="371"/>
      <c r="W511" s="46"/>
      <c r="X511" s="46"/>
      <c r="Y511" s="46"/>
      <c r="Z511" s="46"/>
      <c r="AA511" s="46"/>
    </row>
    <row r="512" spans="1:27" ht="12.75" x14ac:dyDescent="0.2">
      <c r="A512" s="46"/>
      <c r="B512" s="48" t="b">
        <v>0</v>
      </c>
      <c r="C512" s="459" t="str">
        <f ca="1">敌人!C$332</f>
        <v>盗贼I</v>
      </c>
      <c r="D512" s="371"/>
      <c r="E512" s="51">
        <f>敌人!D$332</f>
        <v>3</v>
      </c>
      <c r="F512" s="51">
        <f>敌人!E$332</f>
        <v>0</v>
      </c>
      <c r="G512" s="51">
        <f>敌人!F$332</f>
        <v>0</v>
      </c>
      <c r="H512" s="51">
        <f>敌人!G$332</f>
        <v>0</v>
      </c>
      <c r="I512" s="51">
        <f>敌人!H$332</f>
        <v>0</v>
      </c>
      <c r="J512" s="51">
        <f>敌人!I$332</f>
        <v>0</v>
      </c>
      <c r="K512" s="459" t="str">
        <f ca="1">敌人!J$332</f>
        <v>空空的钱包</v>
      </c>
      <c r="L512" s="371"/>
      <c r="M512" s="371"/>
      <c r="N512" s="46"/>
      <c r="O512" s="48" t="b">
        <v>0</v>
      </c>
      <c r="P512" s="459" t="str">
        <f ca="1">道具!$C$378&amp;" ("&amp;语言!$A$20&amp;")"</f>
        <v>高速头盔 (上锁宝箱)</v>
      </c>
      <c r="Q512" s="371"/>
      <c r="R512" s="371"/>
      <c r="S512" s="46"/>
      <c r="T512" s="46"/>
      <c r="U512" s="460"/>
      <c r="V512" s="371"/>
      <c r="W512" s="46"/>
      <c r="X512" s="46"/>
      <c r="Y512" s="46"/>
      <c r="Z512" s="46"/>
      <c r="AA512" s="46"/>
    </row>
    <row r="513" spans="1:27" ht="12.75" x14ac:dyDescent="0.2">
      <c r="A513" s="46"/>
      <c r="B513" s="48" t="b">
        <v>0</v>
      </c>
      <c r="C513" s="459" t="str">
        <f ca="1">敌人!C$333</f>
        <v>盗贼II</v>
      </c>
      <c r="D513" s="371"/>
      <c r="E513" s="51">
        <f>敌人!D$333</f>
        <v>4</v>
      </c>
      <c r="F513" s="51">
        <f>敌人!E$333</f>
        <v>0</v>
      </c>
      <c r="G513" s="51">
        <f>敌人!F$333</f>
        <v>0</v>
      </c>
      <c r="H513" s="51">
        <f>敌人!G$333</f>
        <v>0</v>
      </c>
      <c r="I513" s="51">
        <f>敌人!H$333</f>
        <v>0</v>
      </c>
      <c r="J513" s="51">
        <f>敌人!I$333</f>
        <v>0</v>
      </c>
      <c r="K513" s="459" t="str">
        <f ca="1">敌人!J$333</f>
        <v>空空的钱包</v>
      </c>
      <c r="L513" s="371"/>
      <c r="M513" s="371"/>
      <c r="N513" s="46"/>
      <c r="O513" s="48" t="b">
        <v>0</v>
      </c>
      <c r="P513" s="459" t="str">
        <f ca="1">道具!$C$32</f>
        <v>火之精灵石（特大）</v>
      </c>
      <c r="Q513" s="371"/>
      <c r="R513" s="371"/>
      <c r="S513" s="46"/>
      <c r="T513" s="46"/>
      <c r="U513" s="460"/>
      <c r="V513" s="371"/>
      <c r="W513" s="46"/>
      <c r="X513" s="46"/>
      <c r="Y513" s="46"/>
      <c r="Z513" s="46"/>
      <c r="AA513" s="46"/>
    </row>
    <row r="514" spans="1:27" ht="12.75" x14ac:dyDescent="0.2">
      <c r="A514" s="46"/>
      <c r="B514" s="48" t="b">
        <v>0</v>
      </c>
      <c r="C514" s="459" t="str">
        <f ca="1">敌人!C$366</f>
        <v>魔导机（风）</v>
      </c>
      <c r="D514" s="371"/>
      <c r="E514" s="51">
        <f>敌人!D$366</f>
        <v>1</v>
      </c>
      <c r="F514" s="51">
        <f>敌人!E$366</f>
        <v>0</v>
      </c>
      <c r="G514" s="51">
        <f>敌人!F$366</f>
        <v>0</v>
      </c>
      <c r="H514" s="51">
        <f>敌人!G$366</f>
        <v>0</v>
      </c>
      <c r="I514" s="51">
        <f>敌人!H$366</f>
        <v>0</v>
      </c>
      <c r="J514" s="51">
        <f>敌人!I$366</f>
        <v>0</v>
      </c>
      <c r="K514" s="459" t="str">
        <f ca="1">敌人!J$366</f>
        <v>风之精灵石</v>
      </c>
      <c r="L514" s="371"/>
      <c r="M514" s="371"/>
      <c r="N514" s="46"/>
      <c r="O514" s="48" t="b">
        <v>0</v>
      </c>
      <c r="P514" s="469" t="s">
        <v>27</v>
      </c>
      <c r="Q514" s="371"/>
      <c r="R514" s="371"/>
      <c r="S514" s="46"/>
      <c r="T514" s="46"/>
      <c r="U514" s="460"/>
      <c r="V514" s="371"/>
      <c r="W514" s="46"/>
      <c r="X514" s="46"/>
      <c r="Y514" s="46"/>
      <c r="Z514" s="46"/>
      <c r="AA514" s="46"/>
    </row>
    <row r="515" spans="1:27" ht="12.75" x14ac:dyDescent="0.2">
      <c r="A515" s="46"/>
      <c r="B515" s="48" t="b">
        <v>0</v>
      </c>
      <c r="C515" s="459" t="str">
        <f ca="1">敌人!C$361</f>
        <v>魔导机兵（风）</v>
      </c>
      <c r="D515" s="371"/>
      <c r="E515" s="51">
        <f>敌人!D$361</f>
        <v>3</v>
      </c>
      <c r="F515" s="51">
        <f>敌人!E$361</f>
        <v>0</v>
      </c>
      <c r="G515" s="51">
        <f>敌人!F$361</f>
        <v>0</v>
      </c>
      <c r="H515" s="51">
        <f>敌人!G$361</f>
        <v>0</v>
      </c>
      <c r="I515" s="51">
        <f>敌人!H$361</f>
        <v>0</v>
      </c>
      <c r="J515" s="51">
        <f>敌人!I$361</f>
        <v>0</v>
      </c>
      <c r="K515" s="459" t="str">
        <f ca="1">敌人!J$361</f>
        <v>风之精灵石</v>
      </c>
      <c r="L515" s="371"/>
      <c r="M515" s="371"/>
      <c r="N515" s="46"/>
      <c r="O515" s="48" t="b">
        <v>0</v>
      </c>
      <c r="P515" s="459" t="str">
        <f ca="1">道具!$C$523</f>
        <v>暗暗耐性石</v>
      </c>
      <c r="Q515" s="371"/>
      <c r="R515" s="371"/>
      <c r="S515" s="46"/>
      <c r="T515" s="46"/>
      <c r="U515" s="460"/>
      <c r="V515" s="371"/>
      <c r="W515" s="46"/>
      <c r="X515" s="46"/>
      <c r="Y515" s="46"/>
      <c r="Z515" s="46"/>
      <c r="AA515" s="46"/>
    </row>
    <row r="516" spans="1:27" ht="12.75" x14ac:dyDescent="0.2">
      <c r="A516" s="46"/>
      <c r="B516" s="48" t="b">
        <v>0</v>
      </c>
      <c r="C516" s="459" t="str">
        <f ca="1">敌人!C$363</f>
        <v>古代遗物（风兽）</v>
      </c>
      <c r="D516" s="371"/>
      <c r="E516" s="51">
        <f>敌人!D$363</f>
        <v>1</v>
      </c>
      <c r="F516" s="51">
        <f>敌人!E$363</f>
        <v>0</v>
      </c>
      <c r="G516" s="51">
        <f>敌人!F$363</f>
        <v>0</v>
      </c>
      <c r="H516" s="51">
        <f>敌人!G$363</f>
        <v>0</v>
      </c>
      <c r="I516" s="51">
        <f>敌人!H$363</f>
        <v>0</v>
      </c>
      <c r="J516" s="51">
        <f>敌人!I$363</f>
        <v>0</v>
      </c>
      <c r="K516" s="459" t="str">
        <f ca="1">敌人!J$363</f>
        <v>风之精灵石（大）</v>
      </c>
      <c r="L516" s="371"/>
      <c r="M516" s="371"/>
      <c r="N516" s="46"/>
      <c r="O516" s="48" t="b">
        <v>0</v>
      </c>
      <c r="P516" s="459" t="str">
        <f ca="1">道具!$C$129</f>
        <v>奇特的古董</v>
      </c>
      <c r="Q516" s="371"/>
      <c r="R516" s="371"/>
      <c r="S516" s="46"/>
      <c r="T516" s="46"/>
      <c r="U516" s="460"/>
      <c r="V516" s="371"/>
      <c r="W516" s="46"/>
      <c r="X516" s="46"/>
      <c r="Y516" s="46"/>
      <c r="Z516" s="46"/>
      <c r="AA516" s="46"/>
    </row>
    <row r="517" spans="1:27" ht="12.75" x14ac:dyDescent="0.2">
      <c r="A517" s="46"/>
      <c r="B517" s="48" t="b">
        <v>0</v>
      </c>
      <c r="C517" s="459" t="str">
        <f ca="1">敌人!C$204</f>
        <v>魔导机（光）</v>
      </c>
      <c r="D517" s="371"/>
      <c r="E517" s="51">
        <f>敌人!D$204</f>
        <v>1</v>
      </c>
      <c r="F517" s="51">
        <f>敌人!E$204</f>
        <v>0</v>
      </c>
      <c r="G517" s="51">
        <f>敌人!F$204</f>
        <v>0</v>
      </c>
      <c r="H517" s="51">
        <f>敌人!G$204</f>
        <v>0</v>
      </c>
      <c r="I517" s="51">
        <f>敌人!H$204</f>
        <v>0</v>
      </c>
      <c r="J517" s="51">
        <f>敌人!I$204</f>
        <v>0</v>
      </c>
      <c r="K517" s="459" t="str">
        <f ca="1">敌人!J$204</f>
        <v>光之精灵石</v>
      </c>
      <c r="L517" s="371"/>
      <c r="M517" s="371"/>
      <c r="N517" s="46"/>
      <c r="O517" s="46"/>
      <c r="P517" s="460"/>
      <c r="Q517" s="371"/>
      <c r="R517" s="371"/>
      <c r="S517" s="46"/>
      <c r="T517" s="46"/>
      <c r="U517" s="460"/>
      <c r="V517" s="371"/>
      <c r="W517" s="46"/>
      <c r="X517" s="46"/>
      <c r="Y517" s="46"/>
      <c r="Z517" s="46"/>
      <c r="AA517" s="46"/>
    </row>
    <row r="518" spans="1:27" ht="12.75" x14ac:dyDescent="0.2">
      <c r="A518" s="46"/>
      <c r="B518" s="48" t="b">
        <v>0</v>
      </c>
      <c r="C518" s="459" t="str">
        <f ca="1">敌人!C$199</f>
        <v>魔导机兵（光）</v>
      </c>
      <c r="D518" s="371"/>
      <c r="E518" s="51">
        <f>敌人!D$199</f>
        <v>2</v>
      </c>
      <c r="F518" s="51">
        <f>敌人!E$199</f>
        <v>0</v>
      </c>
      <c r="G518" s="51">
        <f>敌人!F$199</f>
        <v>0</v>
      </c>
      <c r="H518" s="51">
        <f>敌人!G$199</f>
        <v>0</v>
      </c>
      <c r="I518" s="51">
        <f>敌人!H$199</f>
        <v>0</v>
      </c>
      <c r="J518" s="51">
        <f>敌人!I$199</f>
        <v>0</v>
      </c>
      <c r="K518" s="459" t="str">
        <f ca="1">敌人!J$199</f>
        <v>光之精灵石</v>
      </c>
      <c r="L518" s="371"/>
      <c r="M518" s="371"/>
      <c r="N518" s="46"/>
      <c r="O518" s="46"/>
      <c r="P518" s="460"/>
      <c r="Q518" s="371"/>
      <c r="R518" s="371"/>
      <c r="S518" s="46"/>
      <c r="T518" s="46"/>
      <c r="U518" s="460"/>
      <c r="V518" s="371"/>
      <c r="W518" s="46"/>
      <c r="X518" s="46"/>
      <c r="Y518" s="46"/>
      <c r="Z518" s="46"/>
      <c r="AA518" s="46"/>
    </row>
    <row r="519" spans="1:27" ht="12.75" x14ac:dyDescent="0.2">
      <c r="A519" s="46"/>
      <c r="B519" s="48" t="b">
        <v>0</v>
      </c>
      <c r="C519" s="459" t="str">
        <f ca="1">敌人!C$201</f>
        <v>古代遗物（光兽）</v>
      </c>
      <c r="D519" s="371"/>
      <c r="E519" s="51">
        <f>敌人!D$201</f>
        <v>1</v>
      </c>
      <c r="F519" s="51">
        <f>敌人!E$201</f>
        <v>0</v>
      </c>
      <c r="G519" s="51">
        <f>敌人!F$201</f>
        <v>0</v>
      </c>
      <c r="H519" s="51">
        <f>敌人!G$201</f>
        <v>0</v>
      </c>
      <c r="I519" s="51">
        <f>敌人!H$201</f>
        <v>0</v>
      </c>
      <c r="J519" s="51">
        <f>敌人!I$201</f>
        <v>0</v>
      </c>
      <c r="K519" s="459" t="str">
        <f ca="1">敌人!J$201</f>
        <v>光之精灵石（大）</v>
      </c>
      <c r="L519" s="371"/>
      <c r="M519" s="371"/>
      <c r="N519" s="46"/>
      <c r="O519" s="462" t="str">
        <f ca="1">语言!A$401&amp;" (3 "&amp;语言!$A$19&amp;")"</f>
        <v>通往幻影之森的道路 (3 宝箱)</v>
      </c>
      <c r="P519" s="371"/>
      <c r="Q519" s="371"/>
      <c r="R519" s="371"/>
      <c r="S519" s="46"/>
      <c r="T519" s="46"/>
      <c r="U519" s="460"/>
      <c r="V519" s="371"/>
      <c r="W519" s="46"/>
      <c r="X519" s="46"/>
      <c r="Y519" s="46"/>
      <c r="Z519" s="46"/>
      <c r="AA519" s="46"/>
    </row>
    <row r="520" spans="1:27" ht="12.75" x14ac:dyDescent="0.2">
      <c r="A520" s="46"/>
      <c r="B520" s="46"/>
      <c r="C520" s="460"/>
      <c r="D520" s="371"/>
      <c r="E520" s="46"/>
      <c r="F520" s="46"/>
      <c r="G520" s="46"/>
      <c r="H520" s="46"/>
      <c r="I520" s="46"/>
      <c r="J520" s="46"/>
      <c r="K520" s="460"/>
      <c r="L520" s="371"/>
      <c r="M520" s="371"/>
      <c r="N520" s="46"/>
      <c r="O520" s="48" t="b">
        <v>0</v>
      </c>
      <c r="P520" s="459" t="s">
        <v>19</v>
      </c>
      <c r="Q520" s="371"/>
      <c r="R520" s="371"/>
      <c r="S520" s="46"/>
      <c r="T520" s="46"/>
      <c r="U520" s="460"/>
      <c r="V520" s="371"/>
      <c r="W520" s="46"/>
      <c r="X520" s="46"/>
      <c r="Y520" s="46"/>
      <c r="Z520" s="46"/>
      <c r="AA520" s="46"/>
    </row>
    <row r="521" spans="1:27" ht="12.75" x14ac:dyDescent="0.2">
      <c r="A521" s="46"/>
      <c r="B521" s="461" t="str">
        <f ca="1">语言!$A$42&amp;" "&amp;语言!$A$14&amp;" 2"</f>
        <v>海茵特 章节 2</v>
      </c>
      <c r="C521" s="371"/>
      <c r="D521" s="371"/>
      <c r="E521" s="371"/>
      <c r="F521" s="371"/>
      <c r="G521" s="371"/>
      <c r="H521" s="371"/>
      <c r="I521" s="371"/>
      <c r="J521" s="371"/>
      <c r="K521" s="371"/>
      <c r="L521" s="371"/>
      <c r="M521" s="371"/>
      <c r="N521" s="46"/>
      <c r="O521" s="461" t="str">
        <f ca="1">语言!$A$42&amp;" "&amp;语言!$A$14&amp;" 2"</f>
        <v>海茵特 章节 2</v>
      </c>
      <c r="P521" s="371"/>
      <c r="Q521" s="371"/>
      <c r="R521" s="371"/>
      <c r="S521" s="46"/>
      <c r="T521" s="46"/>
      <c r="U521" s="460"/>
      <c r="V521" s="371"/>
      <c r="W521" s="46"/>
      <c r="X521" s="46"/>
      <c r="Y521" s="46"/>
      <c r="Z521" s="46"/>
      <c r="AA521" s="46"/>
    </row>
    <row r="522" spans="1:27" ht="12.75" x14ac:dyDescent="0.2">
      <c r="A522" s="46"/>
      <c r="B522" s="462" t="str">
        <f ca="1">语言!A$401&amp;" ("&amp;语言!$A$12&amp;" 26)"</f>
        <v>通往幻影之森的道路 (危险度 26)</v>
      </c>
      <c r="C522" s="371"/>
      <c r="D522" s="371"/>
      <c r="E522" s="371"/>
      <c r="F522" s="371"/>
      <c r="G522" s="371"/>
      <c r="H522" s="371"/>
      <c r="I522" s="371"/>
      <c r="J522" s="371"/>
      <c r="K522" s="371"/>
      <c r="L522" s="371"/>
      <c r="M522" s="371"/>
      <c r="N522" s="46"/>
      <c r="O522" s="48" t="b">
        <v>0</v>
      </c>
      <c r="P522" s="459" t="str">
        <f ca="1">道具!$C$100</f>
        <v>看起来像金矿石的东西</v>
      </c>
      <c r="Q522" s="371"/>
      <c r="R522" s="371"/>
      <c r="S522" s="46"/>
      <c r="T522" s="46"/>
      <c r="U522" s="460"/>
      <c r="V522" s="371"/>
      <c r="W522" s="46"/>
      <c r="X522" s="46"/>
      <c r="Y522" s="46"/>
      <c r="Z522" s="46"/>
      <c r="AA522" s="46"/>
    </row>
    <row r="523" spans="1:27" ht="12.75" x14ac:dyDescent="0.2">
      <c r="A523" s="46"/>
      <c r="B523" s="48" t="b">
        <v>0</v>
      </c>
      <c r="C523" s="459" t="str">
        <f ca="1">敌人!C$157</f>
        <v>山丘鼠人 IV</v>
      </c>
      <c r="D523" s="371"/>
      <c r="E523" s="51">
        <f>敌人!D$157</f>
        <v>2</v>
      </c>
      <c r="F523" s="51">
        <f>敌人!E$157</f>
        <v>0</v>
      </c>
      <c r="G523" s="51">
        <f>敌人!F$157</f>
        <v>0</v>
      </c>
      <c r="H523" s="51">
        <f>敌人!G$157</f>
        <v>0</v>
      </c>
      <c r="I523" s="51">
        <f>敌人!H$157</f>
        <v>0</v>
      </c>
      <c r="J523" s="51">
        <f>敌人!I$157</f>
        <v>0</v>
      </c>
      <c r="K523" s="459" t="str">
        <f ca="1">敌人!J$157</f>
        <v>ＨＰ恢复的葡萄（大）</v>
      </c>
      <c r="L523" s="371"/>
      <c r="M523" s="371"/>
      <c r="N523" s="46"/>
      <c r="O523" s="48" t="b">
        <v>0</v>
      </c>
      <c r="P523" s="459" t="str">
        <f ca="1">道具!$C$19</f>
        <v>沉默治疗药草</v>
      </c>
      <c r="Q523" s="371"/>
      <c r="R523" s="371"/>
      <c r="S523" s="46"/>
      <c r="T523" s="46"/>
      <c r="U523" s="460"/>
      <c r="V523" s="371"/>
      <c r="W523" s="46"/>
      <c r="X523" s="46"/>
      <c r="Y523" s="46"/>
      <c r="Z523" s="46"/>
      <c r="AA523" s="46"/>
    </row>
    <row r="524" spans="1:27" ht="12.75" x14ac:dyDescent="0.2">
      <c r="A524" s="46"/>
      <c r="B524" s="48" t="b">
        <v>0</v>
      </c>
      <c r="C524" s="459" t="str">
        <f ca="1">敌人!C$158</f>
        <v>山丘鼠人 V</v>
      </c>
      <c r="D524" s="371"/>
      <c r="E524" s="51">
        <f>敌人!D$158</f>
        <v>3</v>
      </c>
      <c r="F524" s="51">
        <f>敌人!E$158</f>
        <v>0</v>
      </c>
      <c r="G524" s="51">
        <f>敌人!F$158</f>
        <v>0</v>
      </c>
      <c r="H524" s="51">
        <f>敌人!G$158</f>
        <v>0</v>
      </c>
      <c r="I524" s="51">
        <f>敌人!H$158</f>
        <v>0</v>
      </c>
      <c r="J524" s="51">
        <f>敌人!I$158</f>
        <v>0</v>
      </c>
      <c r="K524" s="459" t="str">
        <f ca="1">敌人!J$158</f>
        <v>葡萄树液</v>
      </c>
      <c r="L524" s="371"/>
      <c r="M524" s="371"/>
      <c r="N524" s="46"/>
      <c r="O524" s="462" t="str">
        <f ca="1">语言!A$402&amp;" (5 "&amp;语言!$A$19&amp;")"</f>
        <v>幻影之森 (5 宝箱)</v>
      </c>
      <c r="P524" s="371"/>
      <c r="Q524" s="371"/>
      <c r="R524" s="371"/>
      <c r="S524" s="46"/>
      <c r="T524" s="46"/>
      <c r="U524" s="460"/>
      <c r="V524" s="371"/>
      <c r="W524" s="46"/>
      <c r="X524" s="46"/>
      <c r="Y524" s="46"/>
      <c r="Z524" s="46"/>
      <c r="AA524" s="46"/>
    </row>
    <row r="525" spans="1:27" ht="12.75" x14ac:dyDescent="0.2">
      <c r="A525" s="46"/>
      <c r="B525" s="48" t="b">
        <v>0</v>
      </c>
      <c r="C525" s="459" t="str">
        <f ca="1">敌人!C$159</f>
        <v>山丘鼠人 VI</v>
      </c>
      <c r="D525" s="371"/>
      <c r="E525" s="51">
        <f>敌人!D$159</f>
        <v>1</v>
      </c>
      <c r="F525" s="51">
        <f>敌人!E$159</f>
        <v>0</v>
      </c>
      <c r="G525" s="51">
        <f>敌人!F$159</f>
        <v>0</v>
      </c>
      <c r="H525" s="51">
        <f>敌人!G$159</f>
        <v>0</v>
      </c>
      <c r="I525" s="51">
        <f>敌人!H$159</f>
        <v>0</v>
      </c>
      <c r="J525" s="51">
        <f>敌人!I$159</f>
        <v>0</v>
      </c>
      <c r="K525" s="459" t="str">
        <f ca="1">敌人!J$159</f>
        <v>ＳＰ恢复的李子</v>
      </c>
      <c r="L525" s="371"/>
      <c r="M525" s="371"/>
      <c r="N525" s="46"/>
      <c r="O525" s="48" t="b">
        <v>0</v>
      </c>
      <c r="P525" s="459" t="str">
        <f ca="1">道具!$C$12</f>
        <v>ＨＰ／ＳＰ恢复的果酱</v>
      </c>
      <c r="Q525" s="371"/>
      <c r="R525" s="371"/>
      <c r="S525" s="46"/>
      <c r="T525" s="46"/>
      <c r="U525" s="460"/>
      <c r="V525" s="371"/>
      <c r="W525" s="46"/>
      <c r="X525" s="46"/>
      <c r="Y525" s="46"/>
      <c r="Z525" s="46"/>
      <c r="AA525" s="46"/>
    </row>
    <row r="526" spans="1:27" ht="12.75" x14ac:dyDescent="0.2">
      <c r="A526" s="46"/>
      <c r="B526" s="48" t="b">
        <v>0</v>
      </c>
      <c r="C526" s="459" t="str">
        <f ca="1">敌人!C$160</f>
        <v>山丘大鼠人 I</v>
      </c>
      <c r="D526" s="371"/>
      <c r="E526" s="51">
        <f>敌人!D$160</f>
        <v>3</v>
      </c>
      <c r="F526" s="51">
        <f>敌人!E$160</f>
        <v>0</v>
      </c>
      <c r="G526" s="51">
        <f>敌人!F$160</f>
        <v>0</v>
      </c>
      <c r="H526" s="51">
        <f>敌人!G$160</f>
        <v>0</v>
      </c>
      <c r="I526" s="51">
        <f>敌人!H$160</f>
        <v>0</v>
      </c>
      <c r="J526" s="51">
        <f>敌人!I$160</f>
        <v>0</v>
      </c>
      <c r="K526" s="459" t="str">
        <f ca="1">敌人!J$160</f>
        <v>ＳＰ恢复的李子</v>
      </c>
      <c r="L526" s="371"/>
      <c r="M526" s="371"/>
      <c r="N526" s="46"/>
      <c r="O526" s="48" t="b">
        <v>0</v>
      </c>
      <c r="P526" s="459" t="s">
        <v>28</v>
      </c>
      <c r="Q526" s="371"/>
      <c r="R526" s="371"/>
      <c r="S526" s="46"/>
      <c r="T526" s="46"/>
      <c r="U526" s="460"/>
      <c r="V526" s="371"/>
      <c r="W526" s="46"/>
      <c r="X526" s="46"/>
      <c r="Y526" s="46"/>
      <c r="Z526" s="46"/>
      <c r="AA526" s="46"/>
    </row>
    <row r="527" spans="1:27" ht="12.75" x14ac:dyDescent="0.2">
      <c r="A527" s="46"/>
      <c r="B527" s="48" t="b">
        <v>0</v>
      </c>
      <c r="C527" s="459" t="str">
        <f ca="1">敌人!C$228</f>
        <v>山羊</v>
      </c>
      <c r="D527" s="371"/>
      <c r="E527" s="51">
        <f>敌人!D$228</f>
        <v>3</v>
      </c>
      <c r="F527" s="51">
        <f>敌人!E$228</f>
        <v>0</v>
      </c>
      <c r="G527" s="51">
        <f>敌人!F$228</f>
        <v>0</v>
      </c>
      <c r="H527" s="51">
        <f>敌人!G$228</f>
        <v>0</v>
      </c>
      <c r="I527" s="51">
        <f>敌人!H$228</f>
        <v>0</v>
      </c>
      <c r="J527" s="51">
        <f>敌人!I$228</f>
        <v>0</v>
      </c>
      <c r="K527" s="459" t="str">
        <f ca="1">敌人!J$228</f>
        <v>橄榄花</v>
      </c>
      <c r="L527" s="371"/>
      <c r="M527" s="371"/>
      <c r="N527" s="46"/>
      <c r="O527" s="48" t="b">
        <v>0</v>
      </c>
      <c r="P527" s="459" t="str">
        <f ca="1">道具!$C$127</f>
        <v>放了铜块的麻袋</v>
      </c>
      <c r="Q527" s="371"/>
      <c r="R527" s="371"/>
      <c r="S527" s="46"/>
      <c r="T527" s="46"/>
      <c r="U527" s="460"/>
      <c r="V527" s="371"/>
      <c r="W527" s="46"/>
      <c r="X527" s="46"/>
      <c r="Y527" s="46"/>
      <c r="Z527" s="46"/>
      <c r="AA527" s="46"/>
    </row>
    <row r="528" spans="1:27" ht="12.75" x14ac:dyDescent="0.2">
      <c r="A528" s="46"/>
      <c r="B528" s="48" t="b">
        <v>0</v>
      </c>
      <c r="C528" s="459" t="str">
        <f ca="1">敌人!C$153</f>
        <v>哈伊兰多山羊</v>
      </c>
      <c r="D528" s="371"/>
      <c r="E528" s="51">
        <f>敌人!D$153</f>
        <v>2</v>
      </c>
      <c r="F528" s="51">
        <f>敌人!E$153</f>
        <v>0</v>
      </c>
      <c r="G528" s="51">
        <f>敌人!F$153</f>
        <v>0</v>
      </c>
      <c r="H528" s="51">
        <f>敌人!G$153</f>
        <v>0</v>
      </c>
      <c r="I528" s="51">
        <f>敌人!H$153</f>
        <v>0</v>
      </c>
      <c r="J528" s="51">
        <f>敌人!I$153</f>
        <v>0</v>
      </c>
      <c r="K528" s="459" t="str">
        <f ca="1">敌人!J$153</f>
        <v>橄榄花</v>
      </c>
      <c r="L528" s="371"/>
      <c r="M528" s="371"/>
      <c r="N528" s="46"/>
      <c r="O528" s="48" t="b">
        <v>0</v>
      </c>
      <c r="P528" s="459" t="str">
        <f ca="1">道具!$C$31</f>
        <v>火之精灵石（大）</v>
      </c>
      <c r="Q528" s="371"/>
      <c r="R528" s="371"/>
      <c r="S528" s="46"/>
      <c r="T528" s="46"/>
      <c r="U528" s="460"/>
      <c r="V528" s="371"/>
      <c r="W528" s="46"/>
      <c r="X528" s="46"/>
      <c r="Y528" s="46"/>
      <c r="Z528" s="46"/>
      <c r="AA528" s="46"/>
    </row>
    <row r="529" spans="1:27" ht="12.75" x14ac:dyDescent="0.2">
      <c r="A529" s="46"/>
      <c r="B529" s="48" t="b">
        <v>0</v>
      </c>
      <c r="C529" s="459" t="str">
        <f ca="1">敌人!C$312</f>
        <v>粗毛牛</v>
      </c>
      <c r="D529" s="371"/>
      <c r="E529" s="51">
        <f>敌人!D$312</f>
        <v>2</v>
      </c>
      <c r="F529" s="51">
        <f>敌人!E$312</f>
        <v>0</v>
      </c>
      <c r="G529" s="51">
        <f>敌人!F$312</f>
        <v>0</v>
      </c>
      <c r="H529" s="51">
        <f>敌人!G$312</f>
        <v>0</v>
      </c>
      <c r="I529" s="51">
        <f>敌人!H$312</f>
        <v>0</v>
      </c>
      <c r="J529" s="51">
        <f>敌人!I$312</f>
        <v>0</v>
      </c>
      <c r="K529" s="459" t="str">
        <f ca="1">敌人!J$312</f>
        <v>葡萄树液</v>
      </c>
      <c r="L529" s="371"/>
      <c r="M529" s="371"/>
      <c r="N529" s="46"/>
      <c r="O529" s="48" t="b">
        <v>0</v>
      </c>
      <c r="P529" s="459" t="str">
        <f ca="1">道具!$C$513&amp;" ("&amp;语言!$A$20&amp;")"</f>
        <v>火之避邪符 (上锁宝箱)</v>
      </c>
      <c r="Q529" s="371"/>
      <c r="R529" s="371"/>
      <c r="S529" s="46"/>
      <c r="T529" s="46"/>
      <c r="U529" s="460"/>
      <c r="V529" s="371"/>
      <c r="W529" s="46"/>
      <c r="X529" s="46"/>
      <c r="Y529" s="46"/>
      <c r="Z529" s="46"/>
      <c r="AA529" s="46"/>
    </row>
    <row r="530" spans="1:27" ht="12.75" x14ac:dyDescent="0.2">
      <c r="A530" s="46"/>
      <c r="B530" s="48" t="b">
        <v>0</v>
      </c>
      <c r="C530" s="459" t="str">
        <f ca="1">敌人!C$357</f>
        <v>野鼬鼠</v>
      </c>
      <c r="D530" s="371"/>
      <c r="E530" s="51">
        <f>敌人!D$357</f>
        <v>4</v>
      </c>
      <c r="F530" s="51">
        <f>敌人!E$357</f>
        <v>0</v>
      </c>
      <c r="G530" s="51">
        <f>敌人!F$357</f>
        <v>0</v>
      </c>
      <c r="H530" s="51">
        <f>敌人!G$357</f>
        <v>0</v>
      </c>
      <c r="I530" s="51">
        <f>敌人!H$357</f>
        <v>0</v>
      </c>
      <c r="J530" s="51">
        <f>敌人!I$357</f>
        <v>0</v>
      </c>
      <c r="K530" s="459" t="str">
        <f ca="1">敌人!J$357</f>
        <v>复活的橄榄</v>
      </c>
      <c r="L530" s="371"/>
      <c r="M530" s="371"/>
      <c r="N530" s="46"/>
      <c r="O530" s="46"/>
      <c r="P530" s="460"/>
      <c r="Q530" s="371"/>
      <c r="R530" s="371"/>
      <c r="S530" s="46"/>
      <c r="T530" s="46"/>
      <c r="U530" s="460"/>
      <c r="V530" s="371"/>
      <c r="W530" s="46"/>
      <c r="X530" s="46"/>
      <c r="Y530" s="46"/>
      <c r="Z530" s="46"/>
      <c r="AA530" s="46"/>
    </row>
    <row r="531" spans="1:27" ht="12.75" x14ac:dyDescent="0.2">
      <c r="A531" s="46"/>
      <c r="B531" s="48" t="b">
        <v>0</v>
      </c>
      <c r="C531" s="459" t="str">
        <f ca="1">敌人!C$92</f>
        <v>大游隼异种</v>
      </c>
      <c r="D531" s="371"/>
      <c r="E531" s="51">
        <f>敌人!D$92</f>
        <v>3</v>
      </c>
      <c r="F531" s="51">
        <f>敌人!E$92</f>
        <v>0</v>
      </c>
      <c r="G531" s="51">
        <f>敌人!F$92</f>
        <v>0</v>
      </c>
      <c r="H531" s="51">
        <f>敌人!G$92</f>
        <v>0</v>
      </c>
      <c r="I531" s="51">
        <f>敌人!H$92</f>
        <v>0</v>
      </c>
      <c r="J531" s="51">
        <f>敌人!I$92</f>
        <v>0</v>
      </c>
      <c r="K531" s="459" t="str">
        <f ca="1">敌人!J$92</f>
        <v>石榴树液</v>
      </c>
      <c r="L531" s="371"/>
      <c r="M531" s="371"/>
      <c r="N531" s="46"/>
      <c r="O531" s="46"/>
      <c r="P531" s="460"/>
      <c r="Q531" s="371"/>
      <c r="R531" s="371"/>
      <c r="S531" s="46"/>
      <c r="T531" s="46"/>
      <c r="U531" s="460"/>
      <c r="V531" s="371"/>
      <c r="W531" s="46"/>
      <c r="X531" s="46"/>
      <c r="Y531" s="46"/>
      <c r="Z531" s="46"/>
      <c r="AA531" s="46"/>
    </row>
    <row r="532" spans="1:27" ht="12.75" x14ac:dyDescent="0.2">
      <c r="A532" s="46"/>
      <c r="B532" s="465" t="str">
        <f ca="1">语言!$A$17&amp;" (Provoke)"</f>
        <v>特殊怪 (Provoke)</v>
      </c>
      <c r="C532" s="371"/>
      <c r="D532" s="371"/>
      <c r="E532" s="371"/>
      <c r="F532" s="371"/>
      <c r="G532" s="371"/>
      <c r="H532" s="371"/>
      <c r="I532" s="371"/>
      <c r="J532" s="371"/>
      <c r="K532" s="371"/>
      <c r="L532" s="371"/>
      <c r="M532" s="371"/>
      <c r="N532" s="46"/>
      <c r="O532" s="46"/>
      <c r="P532" s="468"/>
      <c r="Q532" s="371"/>
      <c r="R532" s="371"/>
      <c r="S532" s="46"/>
      <c r="T532" s="46"/>
      <c r="U532" s="460"/>
      <c r="V532" s="371"/>
      <c r="W532" s="46"/>
      <c r="X532" s="46"/>
      <c r="Y532" s="46"/>
      <c r="Z532" s="46"/>
      <c r="AA532" s="46"/>
    </row>
    <row r="533" spans="1:27" ht="12.75" x14ac:dyDescent="0.2">
      <c r="A533" s="46"/>
      <c r="B533" s="463" t="b">
        <v>0</v>
      </c>
      <c r="C533" s="464" t="str">
        <f ca="1">敌人!C$427</f>
        <v>拟态魔物</v>
      </c>
      <c r="D533" s="371"/>
      <c r="E533" s="464">
        <f>敌人!D$427</f>
        <v>3</v>
      </c>
      <c r="F533" s="48">
        <f>敌人!E$427</f>
        <v>0</v>
      </c>
      <c r="G533" s="48">
        <f>敌人!F$427</f>
        <v>0</v>
      </c>
      <c r="H533" s="48">
        <f>敌人!G$427</f>
        <v>0</v>
      </c>
      <c r="I533" s="48">
        <f>敌人!H$427</f>
        <v>0</v>
      </c>
      <c r="J533" s="48">
        <f>敌人!I$427</f>
        <v>0</v>
      </c>
      <c r="K533" s="464" t="str">
        <f ca="1">敌人!J$427</f>
        <v>ＨＰ／ＳＰ恢复的果酱</v>
      </c>
      <c r="L533" s="371"/>
      <c r="M533" s="371"/>
      <c r="N533" s="46"/>
      <c r="O533" s="46"/>
      <c r="P533" s="468"/>
      <c r="Q533" s="371"/>
      <c r="R533" s="371"/>
      <c r="S533" s="46"/>
      <c r="T533" s="46"/>
      <c r="U533" s="460"/>
      <c r="V533" s="371"/>
      <c r="W533" s="46"/>
      <c r="X533" s="46"/>
      <c r="Y533" s="46"/>
      <c r="Z533" s="46"/>
      <c r="AA533" s="46"/>
    </row>
    <row r="534" spans="1:27" ht="12.75" x14ac:dyDescent="0.2">
      <c r="A534" s="46"/>
      <c r="B534" s="371"/>
      <c r="C534" s="371"/>
      <c r="D534" s="371"/>
      <c r="E534" s="371"/>
      <c r="F534" s="48">
        <f>敌人!E$428</f>
        <v>0</v>
      </c>
      <c r="G534" s="48">
        <f>敌人!F$428</f>
        <v>0</v>
      </c>
      <c r="H534" s="48">
        <f>敌人!G$428</f>
        <v>0</v>
      </c>
      <c r="I534" s="48">
        <f>敌人!H$428</f>
        <v>0</v>
      </c>
      <c r="J534" s="48">
        <f>敌人!I$428</f>
        <v>0</v>
      </c>
      <c r="K534" s="371"/>
      <c r="L534" s="371"/>
      <c r="M534" s="371"/>
      <c r="N534" s="46"/>
      <c r="O534" s="46"/>
      <c r="P534" s="468"/>
      <c r="Q534" s="371"/>
      <c r="R534" s="371"/>
      <c r="S534" s="46"/>
      <c r="T534" s="46"/>
      <c r="U534" s="460"/>
      <c r="V534" s="371"/>
      <c r="W534" s="46"/>
      <c r="X534" s="46"/>
      <c r="Y534" s="46"/>
      <c r="Z534" s="46"/>
      <c r="AA534" s="46"/>
    </row>
    <row r="535" spans="1:27" ht="12.75" x14ac:dyDescent="0.2">
      <c r="A535" s="46"/>
      <c r="B535" s="462" t="str">
        <f ca="1">语言!A$402&amp;" ("&amp;语言!$A$12&amp;" 27)"</f>
        <v>幻影之森 (危险度 27)</v>
      </c>
      <c r="C535" s="371"/>
      <c r="D535" s="371"/>
      <c r="E535" s="371"/>
      <c r="F535" s="371"/>
      <c r="G535" s="371"/>
      <c r="H535" s="371"/>
      <c r="I535" s="371"/>
      <c r="J535" s="371"/>
      <c r="K535" s="371"/>
      <c r="L535" s="371"/>
      <c r="M535" s="371"/>
      <c r="N535" s="46"/>
      <c r="O535" s="46"/>
      <c r="P535" s="468"/>
      <c r="Q535" s="371"/>
      <c r="R535" s="371"/>
      <c r="S535" s="46"/>
      <c r="T535" s="46"/>
      <c r="U535" s="460"/>
      <c r="V535" s="371"/>
      <c r="W535" s="46"/>
      <c r="X535" s="46"/>
      <c r="Y535" s="46"/>
      <c r="Z535" s="46"/>
      <c r="AA535" s="46"/>
    </row>
    <row r="536" spans="1:27" ht="12.75" x14ac:dyDescent="0.2">
      <c r="A536" s="46"/>
      <c r="B536" s="48" t="b">
        <v>0</v>
      </c>
      <c r="C536" s="459" t="str">
        <f ca="1">敌人!C$67</f>
        <v>蠢动的树木</v>
      </c>
      <c r="D536" s="371"/>
      <c r="E536" s="51">
        <f>敌人!D$67</f>
        <v>3</v>
      </c>
      <c r="F536" s="51">
        <f>敌人!E$67</f>
        <v>0</v>
      </c>
      <c r="G536" s="51">
        <f>敌人!F$67</f>
        <v>0</v>
      </c>
      <c r="H536" s="51">
        <f>敌人!G$67</f>
        <v>0</v>
      </c>
      <c r="I536" s="51">
        <f>敌人!H$67</f>
        <v>0</v>
      </c>
      <c r="J536" s="51">
        <f>敌人!I$67</f>
        <v>0</v>
      </c>
      <c r="K536" s="459" t="str">
        <f ca="1">敌人!J$67</f>
        <v>石榴树液</v>
      </c>
      <c r="L536" s="371"/>
      <c r="M536" s="371"/>
      <c r="N536" s="46"/>
      <c r="O536" s="46"/>
      <c r="P536" s="468"/>
      <c r="Q536" s="371"/>
      <c r="R536" s="371"/>
      <c r="S536" s="46"/>
      <c r="T536" s="46"/>
      <c r="U536" s="460"/>
      <c r="V536" s="371"/>
      <c r="W536" s="46"/>
      <c r="X536" s="46"/>
      <c r="Y536" s="46"/>
      <c r="Z536" s="46"/>
      <c r="AA536" s="46"/>
    </row>
    <row r="537" spans="1:27" ht="12.75" x14ac:dyDescent="0.2">
      <c r="A537" s="46"/>
      <c r="B537" s="48" t="b">
        <v>0</v>
      </c>
      <c r="C537" s="459" t="str">
        <f ca="1">敌人!C$242</f>
        <v>狂暴植物</v>
      </c>
      <c r="D537" s="371"/>
      <c r="E537" s="51">
        <f>敌人!D$242</f>
        <v>2</v>
      </c>
      <c r="F537" s="51">
        <f>敌人!E$242</f>
        <v>0</v>
      </c>
      <c r="G537" s="51">
        <f>敌人!F$242</f>
        <v>0</v>
      </c>
      <c r="H537" s="51">
        <f>敌人!G$242</f>
        <v>0</v>
      </c>
      <c r="I537" s="51">
        <f>敌人!H$242</f>
        <v>0</v>
      </c>
      <c r="J537" s="51">
        <f>敌人!I$242</f>
        <v>0</v>
      </c>
      <c r="K537" s="459" t="str">
        <f ca="1">敌人!J$242</f>
        <v>石榴树液</v>
      </c>
      <c r="L537" s="371"/>
      <c r="M537" s="371"/>
      <c r="N537" s="46"/>
      <c r="O537" s="46"/>
      <c r="P537" s="468"/>
      <c r="Q537" s="371"/>
      <c r="R537" s="371"/>
      <c r="S537" s="46"/>
      <c r="T537" s="46"/>
      <c r="U537" s="460"/>
      <c r="V537" s="371"/>
      <c r="W537" s="46"/>
      <c r="X537" s="46"/>
      <c r="Y537" s="46"/>
      <c r="Z537" s="46"/>
      <c r="AA537" s="46"/>
    </row>
    <row r="538" spans="1:27" ht="12.75" x14ac:dyDescent="0.2">
      <c r="A538" s="46"/>
      <c r="B538" s="48" t="b">
        <v>0</v>
      </c>
      <c r="C538" s="459" t="str">
        <f ca="1">敌人!C$315</f>
        <v>蠢动的植物</v>
      </c>
      <c r="D538" s="371"/>
      <c r="E538" s="51">
        <f>敌人!D$315</f>
        <v>1</v>
      </c>
      <c r="F538" s="51">
        <f>敌人!E$315</f>
        <v>0</v>
      </c>
      <c r="G538" s="51">
        <f>敌人!F$315</f>
        <v>0</v>
      </c>
      <c r="H538" s="51">
        <f>敌人!G$315</f>
        <v>0</v>
      </c>
      <c r="I538" s="51">
        <f>敌人!H$315</f>
        <v>0</v>
      </c>
      <c r="J538" s="51">
        <f>敌人!I$315</f>
        <v>0</v>
      </c>
      <c r="K538" s="459" t="str">
        <f ca="1">敌人!J$315</f>
        <v>石榴树液</v>
      </c>
      <c r="L538" s="371"/>
      <c r="M538" s="371"/>
      <c r="N538" s="46"/>
      <c r="O538" s="46"/>
      <c r="P538" s="468"/>
      <c r="Q538" s="371"/>
      <c r="R538" s="371"/>
      <c r="S538" s="46"/>
      <c r="T538" s="46"/>
      <c r="U538" s="460"/>
      <c r="V538" s="371"/>
      <c r="W538" s="46"/>
      <c r="X538" s="46"/>
      <c r="Y538" s="46"/>
      <c r="Z538" s="46"/>
      <c r="AA538" s="46"/>
    </row>
    <row r="539" spans="1:27" ht="12.75" x14ac:dyDescent="0.2">
      <c r="A539" s="46"/>
      <c r="B539" s="48" t="b">
        <v>0</v>
      </c>
      <c r="C539" s="459" t="str">
        <f ca="1">敌人!C$229</f>
        <v>怪异菇</v>
      </c>
      <c r="D539" s="371"/>
      <c r="E539" s="51">
        <f>敌人!D$229</f>
        <v>2</v>
      </c>
      <c r="F539" s="51">
        <f>敌人!E$229</f>
        <v>0</v>
      </c>
      <c r="G539" s="51">
        <f>敌人!F$229</f>
        <v>0</v>
      </c>
      <c r="H539" s="51">
        <f>敌人!G$229</f>
        <v>0</v>
      </c>
      <c r="I539" s="51">
        <f>敌人!H$229</f>
        <v>0</v>
      </c>
      <c r="J539" s="51">
        <f>敌人!I$229</f>
        <v>0</v>
      </c>
      <c r="K539" s="459" t="str">
        <f ca="1">敌人!J$229</f>
        <v>毒治疗药草</v>
      </c>
      <c r="L539" s="371"/>
      <c r="M539" s="371"/>
      <c r="N539" s="46"/>
      <c r="O539" s="46"/>
      <c r="P539" s="468"/>
      <c r="Q539" s="371"/>
      <c r="R539" s="371"/>
      <c r="S539" s="46"/>
      <c r="T539" s="46"/>
      <c r="U539" s="460"/>
      <c r="V539" s="371"/>
      <c r="W539" s="46"/>
      <c r="X539" s="46"/>
      <c r="Y539" s="46"/>
      <c r="Z539" s="46"/>
      <c r="AA539" s="46"/>
    </row>
    <row r="540" spans="1:27" ht="12.75" x14ac:dyDescent="0.2">
      <c r="A540" s="46"/>
      <c r="B540" s="48" t="b">
        <v>0</v>
      </c>
      <c r="C540" s="459" t="str">
        <f ca="1">敌人!C$316</f>
        <v>蠢动的菌类</v>
      </c>
      <c r="D540" s="371"/>
      <c r="E540" s="51">
        <f>敌人!D$316</f>
        <v>4</v>
      </c>
      <c r="F540" s="51">
        <f>敌人!E$316</f>
        <v>0</v>
      </c>
      <c r="G540" s="51">
        <f>敌人!F$316</f>
        <v>0</v>
      </c>
      <c r="H540" s="51">
        <f>敌人!G$316</f>
        <v>0</v>
      </c>
      <c r="I540" s="51">
        <f>敌人!H$316</f>
        <v>0</v>
      </c>
      <c r="J540" s="51">
        <f>敌人!I$316</f>
        <v>0</v>
      </c>
      <c r="K540" s="459" t="str">
        <f ca="1">敌人!J$316</f>
        <v>沉默治疗药草</v>
      </c>
      <c r="L540" s="371"/>
      <c r="M540" s="371"/>
      <c r="N540" s="46"/>
      <c r="O540" s="46"/>
      <c r="P540" s="468"/>
      <c r="Q540" s="371"/>
      <c r="R540" s="371"/>
      <c r="S540" s="46"/>
      <c r="T540" s="46"/>
      <c r="U540" s="460"/>
      <c r="V540" s="371"/>
      <c r="W540" s="46"/>
      <c r="X540" s="46"/>
      <c r="Y540" s="46"/>
      <c r="Z540" s="46"/>
      <c r="AA540" s="46"/>
    </row>
    <row r="541" spans="1:27" ht="12.75" x14ac:dyDescent="0.2">
      <c r="A541" s="46"/>
      <c r="B541" s="48" t="b">
        <v>0</v>
      </c>
      <c r="C541" s="459" t="str">
        <f ca="1">敌人!C$84</f>
        <v>邪鹿怪</v>
      </c>
      <c r="D541" s="371"/>
      <c r="E541" s="51">
        <f>敌人!D$84</f>
        <v>4</v>
      </c>
      <c r="F541" s="51">
        <f>敌人!E$84</f>
        <v>0</v>
      </c>
      <c r="G541" s="51">
        <f>敌人!F$84</f>
        <v>0</v>
      </c>
      <c r="H541" s="51">
        <f>敌人!G$84</f>
        <v>0</v>
      </c>
      <c r="I541" s="51">
        <f>敌人!H$84</f>
        <v>0</v>
      </c>
      <c r="J541" s="51">
        <f>敌人!I$84</f>
        <v>0</v>
      </c>
      <c r="K541" s="459" t="str">
        <f ca="1">敌人!J$84</f>
        <v>复活的橄榄（大）</v>
      </c>
      <c r="L541" s="371"/>
      <c r="M541" s="371"/>
      <c r="N541" s="46"/>
      <c r="O541" s="46"/>
      <c r="P541" s="460"/>
      <c r="Q541" s="371"/>
      <c r="R541" s="371"/>
      <c r="S541" s="46"/>
      <c r="T541" s="46"/>
      <c r="U541" s="460"/>
      <c r="V541" s="371"/>
      <c r="W541" s="46"/>
      <c r="X541" s="46"/>
      <c r="Y541" s="46"/>
      <c r="Z541" s="46"/>
      <c r="AA541" s="46"/>
    </row>
    <row r="542" spans="1:27" ht="12.75" x14ac:dyDescent="0.2">
      <c r="A542" s="46"/>
      <c r="B542" s="467" t="str">
        <f ca="1">语言!$A$15</f>
        <v>Boss</v>
      </c>
      <c r="C542" s="371"/>
      <c r="D542" s="371"/>
      <c r="E542" s="371"/>
      <c r="F542" s="371"/>
      <c r="G542" s="371"/>
      <c r="H542" s="371"/>
      <c r="I542" s="371"/>
      <c r="J542" s="371"/>
      <c r="K542" s="371"/>
      <c r="L542" s="371"/>
      <c r="M542" s="371"/>
      <c r="N542" s="46"/>
      <c r="O542" s="46"/>
      <c r="P542" s="460"/>
      <c r="Q542" s="371"/>
      <c r="R542" s="371"/>
      <c r="S542" s="46"/>
      <c r="T542" s="46"/>
      <c r="U542" s="460"/>
      <c r="V542" s="371"/>
      <c r="W542" s="46"/>
      <c r="X542" s="46"/>
      <c r="Y542" s="46"/>
      <c r="Z542" s="46"/>
      <c r="AA542" s="46"/>
    </row>
    <row r="543" spans="1:27" ht="12.75" x14ac:dyDescent="0.2">
      <c r="A543" s="46"/>
      <c r="B543" s="463" t="b">
        <v>0</v>
      </c>
      <c r="C543" s="466" t="str">
        <f ca="1">敌人!C$429</f>
        <v>森林之主</v>
      </c>
      <c r="D543" s="371"/>
      <c r="E543" s="466">
        <f>敌人!D$429</f>
        <v>7</v>
      </c>
      <c r="F543" s="51">
        <f>敌人!E$429</f>
        <v>0</v>
      </c>
      <c r="G543" s="51">
        <f>敌人!F$429</f>
        <v>0</v>
      </c>
      <c r="H543" s="51">
        <f>敌人!G$429</f>
        <v>0</v>
      </c>
      <c r="I543" s="51">
        <f>敌人!H$429</f>
        <v>0</v>
      </c>
      <c r="J543" s="51">
        <f>敌人!I$429</f>
        <v>0</v>
      </c>
      <c r="K543" s="466" t="str">
        <f ca="1">敌人!J$429</f>
        <v>复活的橄榄（特大）</v>
      </c>
      <c r="L543" s="371"/>
      <c r="M543" s="371"/>
      <c r="N543" s="46"/>
      <c r="O543" s="46"/>
      <c r="P543" s="460"/>
      <c r="Q543" s="371"/>
      <c r="R543" s="371"/>
      <c r="S543" s="46"/>
      <c r="T543" s="46"/>
      <c r="U543" s="460"/>
      <c r="V543" s="371"/>
      <c r="W543" s="46"/>
      <c r="X543" s="46"/>
      <c r="Y543" s="46"/>
      <c r="Z543" s="46"/>
      <c r="AA543" s="46"/>
    </row>
    <row r="544" spans="1:27" ht="12.75" x14ac:dyDescent="0.2">
      <c r="A544" s="46"/>
      <c r="B544" s="371"/>
      <c r="C544" s="371"/>
      <c r="D544" s="371"/>
      <c r="E544" s="371"/>
      <c r="F544" s="51">
        <f>敌人!E$430</f>
        <v>0</v>
      </c>
      <c r="G544" s="51">
        <f>敌人!F$430</f>
        <v>0</v>
      </c>
      <c r="H544" s="51">
        <f>敌人!G$430</f>
        <v>0</v>
      </c>
      <c r="I544" s="51">
        <f>敌人!H$430</f>
        <v>0</v>
      </c>
      <c r="J544" s="51">
        <f>敌人!I$430</f>
        <v>0</v>
      </c>
      <c r="K544" s="371"/>
      <c r="L544" s="371"/>
      <c r="M544" s="371"/>
      <c r="N544" s="46"/>
      <c r="O544" s="46"/>
      <c r="P544" s="460"/>
      <c r="Q544" s="371"/>
      <c r="R544" s="371"/>
      <c r="S544" s="46"/>
      <c r="T544" s="46"/>
      <c r="U544" s="460"/>
      <c r="V544" s="371"/>
      <c r="W544" s="46"/>
      <c r="X544" s="46"/>
      <c r="Y544" s="46"/>
      <c r="Z544" s="46"/>
      <c r="AA544" s="46"/>
    </row>
    <row r="545" spans="1:27" ht="12.75" x14ac:dyDescent="0.2">
      <c r="A545" s="46"/>
      <c r="B545" s="371"/>
      <c r="C545" s="371"/>
      <c r="D545" s="371"/>
      <c r="E545" s="371"/>
      <c r="F545" s="51">
        <f>敌人!E$431</f>
        <v>0</v>
      </c>
      <c r="G545" s="51">
        <f>敌人!F$431</f>
        <v>0</v>
      </c>
      <c r="H545" s="51">
        <f>敌人!G$431</f>
        <v>0</v>
      </c>
      <c r="I545" s="51">
        <f>敌人!H$431</f>
        <v>0</v>
      </c>
      <c r="J545" s="51">
        <f>敌人!I$431</f>
        <v>0</v>
      </c>
      <c r="K545" s="371"/>
      <c r="L545" s="371"/>
      <c r="M545" s="371"/>
      <c r="N545" s="46"/>
      <c r="O545" s="46"/>
      <c r="P545" s="460"/>
      <c r="Q545" s="371"/>
      <c r="R545" s="371"/>
      <c r="S545" s="46"/>
      <c r="T545" s="46"/>
      <c r="U545" s="460"/>
      <c r="V545" s="371"/>
      <c r="W545" s="46"/>
      <c r="X545" s="46"/>
      <c r="Y545" s="46"/>
      <c r="Z545" s="46"/>
      <c r="AA545" s="46"/>
    </row>
    <row r="546" spans="1:27" ht="12.75" x14ac:dyDescent="0.2">
      <c r="A546" s="46"/>
      <c r="B546" s="48" t="b">
        <v>0</v>
      </c>
      <c r="C546" s="459" t="str">
        <f ca="1">敌人!C$432</f>
        <v>摇动的树木</v>
      </c>
      <c r="D546" s="371"/>
      <c r="E546" s="51">
        <f>敌人!D$432</f>
        <v>3</v>
      </c>
      <c r="F546" s="51">
        <f>敌人!E$432</f>
        <v>0</v>
      </c>
      <c r="G546" s="51">
        <f>敌人!F$432</f>
        <v>0</v>
      </c>
      <c r="H546" s="51">
        <f>敌人!G$432</f>
        <v>0</v>
      </c>
      <c r="I546" s="51">
        <f>敌人!H$432</f>
        <v>0</v>
      </c>
      <c r="J546" s="51">
        <f>敌人!I$432</f>
        <v>0</v>
      </c>
      <c r="K546" s="459" t="str">
        <f>敌人!J$432</f>
        <v>(can't steal)</v>
      </c>
      <c r="L546" s="371"/>
      <c r="M546" s="371"/>
      <c r="N546" s="46"/>
      <c r="O546" s="46"/>
      <c r="P546" s="460"/>
      <c r="Q546" s="371"/>
      <c r="R546" s="371"/>
      <c r="S546" s="46"/>
      <c r="T546" s="46"/>
      <c r="U546" s="460"/>
      <c r="V546" s="371"/>
      <c r="W546" s="46"/>
      <c r="X546" s="46"/>
      <c r="Y546" s="46"/>
      <c r="Z546" s="46"/>
      <c r="AA546" s="46"/>
    </row>
    <row r="547" spans="1:27" ht="12.75" x14ac:dyDescent="0.2">
      <c r="A547" s="46"/>
      <c r="B547" s="48" t="b">
        <v>0</v>
      </c>
      <c r="C547" s="459" t="str">
        <f ca="1">敌人!C$433</f>
        <v>猛毒菇</v>
      </c>
      <c r="D547" s="371"/>
      <c r="E547" s="51">
        <f>敌人!D$433</f>
        <v>4</v>
      </c>
      <c r="F547" s="51">
        <f>敌人!E$433</f>
        <v>0</v>
      </c>
      <c r="G547" s="51">
        <f>敌人!F$433</f>
        <v>0</v>
      </c>
      <c r="H547" s="51">
        <f>敌人!G$433</f>
        <v>0</v>
      </c>
      <c r="I547" s="51">
        <f>敌人!H$433</f>
        <v>0</v>
      </c>
      <c r="J547" s="51">
        <f>敌人!I$433</f>
        <v>0</v>
      </c>
      <c r="K547" s="459" t="str">
        <f>敌人!J$433</f>
        <v>(can't steal)</v>
      </c>
      <c r="L547" s="371"/>
      <c r="M547" s="371"/>
      <c r="N547" s="46"/>
      <c r="O547" s="46"/>
      <c r="P547" s="460"/>
      <c r="Q547" s="371"/>
      <c r="R547" s="371"/>
      <c r="S547" s="46"/>
      <c r="T547" s="46"/>
      <c r="U547" s="460"/>
      <c r="V547" s="371"/>
      <c r="W547" s="46"/>
      <c r="X547" s="46"/>
      <c r="Y547" s="46"/>
      <c r="Z547" s="46"/>
      <c r="AA547" s="46"/>
    </row>
    <row r="548" spans="1:27" ht="12.75" x14ac:dyDescent="0.2">
      <c r="A548" s="46"/>
      <c r="B548" s="48" t="b">
        <v>0</v>
      </c>
      <c r="C548" s="459" t="str">
        <f ca="1">敌人!C$434</f>
        <v>乱跑的菌类</v>
      </c>
      <c r="D548" s="371"/>
      <c r="E548" s="51">
        <f>敌人!D$434</f>
        <v>5</v>
      </c>
      <c r="F548" s="51">
        <f>敌人!E$434</f>
        <v>0</v>
      </c>
      <c r="G548" s="51">
        <f>敌人!F$434</f>
        <v>0</v>
      </c>
      <c r="H548" s="51">
        <f>敌人!G$434</f>
        <v>0</v>
      </c>
      <c r="I548" s="51">
        <f>敌人!H$434</f>
        <v>0</v>
      </c>
      <c r="J548" s="51">
        <f>敌人!I$434</f>
        <v>0</v>
      </c>
      <c r="K548" s="459" t="str">
        <f>敌人!J$434</f>
        <v>(can't steal)</v>
      </c>
      <c r="L548" s="371"/>
      <c r="M548" s="371"/>
      <c r="N548" s="46"/>
      <c r="O548" s="46"/>
      <c r="P548" s="460"/>
      <c r="Q548" s="371"/>
      <c r="R548" s="371"/>
      <c r="S548" s="46"/>
      <c r="T548" s="46"/>
      <c r="U548" s="460"/>
      <c r="V548" s="371"/>
      <c r="W548" s="46"/>
      <c r="X548" s="46"/>
      <c r="Y548" s="46"/>
      <c r="Z548" s="46"/>
      <c r="AA548" s="46"/>
    </row>
    <row r="549" spans="1:27" ht="12.75" x14ac:dyDescent="0.2">
      <c r="A549" s="46"/>
      <c r="B549" s="46"/>
      <c r="C549" s="460"/>
      <c r="D549" s="371"/>
      <c r="E549" s="46"/>
      <c r="F549" s="46"/>
      <c r="G549" s="46"/>
      <c r="H549" s="46"/>
      <c r="I549" s="46"/>
      <c r="J549" s="46"/>
      <c r="K549" s="460"/>
      <c r="L549" s="371"/>
      <c r="M549" s="371"/>
      <c r="N549" s="46"/>
      <c r="O549" s="46"/>
      <c r="P549" s="460"/>
      <c r="Q549" s="371"/>
      <c r="R549" s="371"/>
      <c r="S549" s="46"/>
      <c r="T549" s="46"/>
      <c r="U549" s="460"/>
      <c r="V549" s="371"/>
      <c r="W549" s="46"/>
      <c r="X549" s="46"/>
      <c r="Y549" s="46"/>
      <c r="Z549" s="46"/>
      <c r="AA549" s="46"/>
    </row>
    <row r="550" spans="1:27" ht="12.75" x14ac:dyDescent="0.2">
      <c r="A550" s="46"/>
      <c r="B550" s="461" t="str">
        <f ca="1">语言!$A$36&amp;" "&amp;语言!$A$14&amp;" 3"</f>
        <v>赛拉斯 章节 3</v>
      </c>
      <c r="C550" s="371"/>
      <c r="D550" s="371"/>
      <c r="E550" s="371"/>
      <c r="F550" s="371"/>
      <c r="G550" s="371"/>
      <c r="H550" s="371"/>
      <c r="I550" s="371"/>
      <c r="J550" s="371"/>
      <c r="K550" s="371"/>
      <c r="L550" s="371"/>
      <c r="M550" s="371"/>
      <c r="N550" s="46"/>
      <c r="O550" s="461" t="str">
        <f ca="1">语言!$A$36&amp;" "&amp;语言!$A$14&amp;" 3"</f>
        <v>赛拉斯 章节 3</v>
      </c>
      <c r="P550" s="371"/>
      <c r="Q550" s="371"/>
      <c r="R550" s="371"/>
      <c r="S550" s="46"/>
      <c r="T550" s="46"/>
      <c r="U550" s="460"/>
      <c r="V550" s="371"/>
      <c r="W550" s="46"/>
      <c r="X550" s="461" t="str">
        <f ca="1">语言!$A$36&amp;" "&amp;语言!$A$14&amp;" 3"</f>
        <v>赛拉斯 章节 3</v>
      </c>
      <c r="Y550" s="371"/>
      <c r="Z550" s="371"/>
      <c r="AA550" s="46"/>
    </row>
    <row r="551" spans="1:27" ht="12.75" x14ac:dyDescent="0.2">
      <c r="A551" s="46"/>
      <c r="B551" s="462" t="str">
        <f ca="1">语言!A$403&amp;" ("&amp;语言!$A$12&amp;" 40)"</f>
        <v>伊冯的老家 (危险度 40)</v>
      </c>
      <c r="C551" s="371"/>
      <c r="D551" s="371"/>
      <c r="E551" s="371"/>
      <c r="F551" s="371"/>
      <c r="G551" s="371"/>
      <c r="H551" s="371"/>
      <c r="I551" s="371"/>
      <c r="J551" s="371"/>
      <c r="K551" s="371"/>
      <c r="L551" s="371"/>
      <c r="M551" s="371"/>
      <c r="N551" s="46"/>
      <c r="O551" s="462" t="str">
        <f ca="1">语言!A$403&amp;" (9 "&amp;语言!$A$19&amp;")"</f>
        <v>伊冯的老家 (9 宝箱)</v>
      </c>
      <c r="P551" s="371"/>
      <c r="Q551" s="371"/>
      <c r="R551" s="371"/>
      <c r="S551" s="46"/>
      <c r="T551" s="46"/>
      <c r="U551" s="460"/>
      <c r="V551" s="371"/>
      <c r="W551" s="46"/>
      <c r="X551" s="462" t="str">
        <f ca="1">语言!A$403</f>
        <v>伊冯的老家</v>
      </c>
      <c r="Y551" s="371"/>
      <c r="Z551" s="371"/>
      <c r="AA551" s="46"/>
    </row>
    <row r="552" spans="1:27" ht="12.75" x14ac:dyDescent="0.2">
      <c r="A552" s="46"/>
      <c r="B552" s="48" t="b">
        <v>0</v>
      </c>
      <c r="C552" s="459" t="str">
        <f ca="1">敌人!C$253</f>
        <v>研究员 I</v>
      </c>
      <c r="D552" s="371"/>
      <c r="E552" s="51">
        <f>敌人!D$253</f>
        <v>3</v>
      </c>
      <c r="F552" s="51">
        <f>敌人!E$253</f>
        <v>0</v>
      </c>
      <c r="G552" s="51">
        <f>敌人!F$253</f>
        <v>0</v>
      </c>
      <c r="H552" s="51">
        <f>敌人!G$253</f>
        <v>0</v>
      </c>
      <c r="I552" s="51">
        <f>敌人!H$253</f>
        <v>0</v>
      </c>
      <c r="J552" s="51">
        <f>敌人!I$253</f>
        <v>0</v>
      </c>
      <c r="K552" s="459" t="str">
        <f ca="1">敌人!J$253</f>
        <v>吐息瓶</v>
      </c>
      <c r="L552" s="371"/>
      <c r="M552" s="371"/>
      <c r="N552" s="46"/>
      <c r="O552" s="48" t="b">
        <v>0</v>
      </c>
      <c r="P552" s="425" t="str">
        <f ca="1">道具!$C$102</f>
        <v>骨头</v>
      </c>
      <c r="Q552" s="371"/>
      <c r="R552" s="371"/>
      <c r="S552" s="46"/>
      <c r="T552" s="46"/>
      <c r="U552" s="460"/>
      <c r="V552" s="371"/>
      <c r="W552" s="46"/>
      <c r="X552" s="463" t="b">
        <v>0</v>
      </c>
      <c r="Y552" s="464" t="str">
        <f ca="1">敌人!$C$253&amp;"&amp;II&amp;III (enemy)"</f>
        <v>研究员 I&amp;II&amp;III (enemy)</v>
      </c>
      <c r="Z552" s="479" t="str">
        <f ca="1">"Your only source of "&amp;道具!$C$110&amp;", "&amp;道具!$C$108&amp;" and "&amp;道具!$C$107&amp;" for your "&amp;语言!$A$9&amp;" achievement.
("&amp;语言!$A$50&amp;" / "&amp;语言!$A$13&amp;")"</f>
        <v>Your only source of 吐息瓶, 失神饮料 and 会中毒果实 for your 收藏家 achievement.
(偷取 / 掉落物)</v>
      </c>
      <c r="AA552" s="46"/>
    </row>
    <row r="553" spans="1:27" ht="12.75" x14ac:dyDescent="0.2">
      <c r="A553" s="46"/>
      <c r="B553" s="48" t="b">
        <v>0</v>
      </c>
      <c r="C553" s="459" t="str">
        <f ca="1">敌人!C$254</f>
        <v>研究员 II</v>
      </c>
      <c r="D553" s="371"/>
      <c r="E553" s="51">
        <f>敌人!D$254</f>
        <v>1</v>
      </c>
      <c r="F553" s="51">
        <f>敌人!E$254</f>
        <v>0</v>
      </c>
      <c r="G553" s="51">
        <f>敌人!F$254</f>
        <v>0</v>
      </c>
      <c r="H553" s="51">
        <f>敌人!G$254</f>
        <v>0</v>
      </c>
      <c r="I553" s="51">
        <f>敌人!H$254</f>
        <v>0</v>
      </c>
      <c r="J553" s="51">
        <f>敌人!I$254</f>
        <v>0</v>
      </c>
      <c r="K553" s="459" t="str">
        <f ca="1">敌人!J$254</f>
        <v>失神饮料</v>
      </c>
      <c r="L553" s="371"/>
      <c r="M553" s="371"/>
      <c r="N553" s="46"/>
      <c r="O553" s="48" t="b">
        <v>0</v>
      </c>
      <c r="P553" s="459" t="str">
        <f ca="1">道具!$C$6</f>
        <v>ＳＰ恢复的李子</v>
      </c>
      <c r="Q553" s="371"/>
      <c r="R553" s="371"/>
      <c r="S553" s="46"/>
      <c r="T553" s="46"/>
      <c r="U553" s="460"/>
      <c r="V553" s="371"/>
      <c r="W553" s="46"/>
      <c r="X553" s="371"/>
      <c r="Y553" s="371"/>
      <c r="Z553" s="371"/>
      <c r="AA553" s="46"/>
    </row>
    <row r="554" spans="1:27" ht="12.75" x14ac:dyDescent="0.2">
      <c r="A554" s="46"/>
      <c r="B554" s="48" t="b">
        <v>0</v>
      </c>
      <c r="C554" s="459" t="str">
        <f ca="1">敌人!C$255</f>
        <v>研究员 III</v>
      </c>
      <c r="D554" s="371"/>
      <c r="E554" s="51">
        <f>敌人!D$255</f>
        <v>4</v>
      </c>
      <c r="F554" s="51">
        <f>敌人!E$255</f>
        <v>0</v>
      </c>
      <c r="G554" s="51">
        <f>敌人!F$255</f>
        <v>0</v>
      </c>
      <c r="H554" s="51">
        <f>敌人!G$255</f>
        <v>0</v>
      </c>
      <c r="I554" s="51">
        <f>敌人!H$255</f>
        <v>0</v>
      </c>
      <c r="J554" s="51">
        <f>敌人!I$255</f>
        <v>0</v>
      </c>
      <c r="K554" s="459" t="str">
        <f ca="1">敌人!J$255</f>
        <v>会中毒果实</v>
      </c>
      <c r="L554" s="371"/>
      <c r="M554" s="371"/>
      <c r="N554" s="46"/>
      <c r="O554" s="48" t="b">
        <v>0</v>
      </c>
      <c r="P554" s="459" t="str">
        <f ca="1">道具!$C$45</f>
        <v>光之精灵石（特大）</v>
      </c>
      <c r="Q554" s="371"/>
      <c r="R554" s="371"/>
      <c r="S554" s="46"/>
      <c r="T554" s="46"/>
      <c r="U554" s="460"/>
      <c r="V554" s="371"/>
      <c r="W554" s="46"/>
      <c r="X554" s="371"/>
      <c r="Y554" s="371"/>
      <c r="Z554" s="371"/>
      <c r="AA554" s="46"/>
    </row>
    <row r="555" spans="1:27" ht="12.75" x14ac:dyDescent="0.2">
      <c r="A555" s="46"/>
      <c r="B555" s="48" t="b">
        <v>0</v>
      </c>
      <c r="C555" s="459" t="str">
        <f ca="1">敌人!C$106</f>
        <v>魔导机兵（火）</v>
      </c>
      <c r="D555" s="371"/>
      <c r="E555" s="51">
        <f>敌人!D$106</f>
        <v>4</v>
      </c>
      <c r="F555" s="51">
        <f>敌人!E$106</f>
        <v>0</v>
      </c>
      <c r="G555" s="51">
        <f>敌人!F$106</f>
        <v>0</v>
      </c>
      <c r="H555" s="51">
        <f>敌人!G$106</f>
        <v>0</v>
      </c>
      <c r="I555" s="51">
        <f>敌人!H$106</f>
        <v>0</v>
      </c>
      <c r="J555" s="51">
        <f>敌人!I$106</f>
        <v>0</v>
      </c>
      <c r="K555" s="459" t="str">
        <f ca="1">敌人!J$106</f>
        <v>火之精灵石</v>
      </c>
      <c r="L555" s="371"/>
      <c r="M555" s="371"/>
      <c r="N555" s="46"/>
      <c r="O555" s="48" t="b">
        <v>0</v>
      </c>
      <c r="P555" s="459" t="s">
        <v>29</v>
      </c>
      <c r="Q555" s="371"/>
      <c r="R555" s="371"/>
      <c r="S555" s="46"/>
      <c r="T555" s="46"/>
      <c r="U555" s="460"/>
      <c r="V555" s="371"/>
      <c r="W555" s="46"/>
      <c r="X555" s="371"/>
      <c r="Y555" s="371"/>
      <c r="Z555" s="371"/>
      <c r="AA555" s="46"/>
    </row>
    <row r="556" spans="1:27" ht="12.75" x14ac:dyDescent="0.2">
      <c r="A556" s="46"/>
      <c r="B556" s="48" t="b">
        <v>0</v>
      </c>
      <c r="C556" s="459" t="str">
        <f ca="1">敌人!C$336</f>
        <v>魔导机兵（雷）</v>
      </c>
      <c r="D556" s="371"/>
      <c r="E556" s="51">
        <f>敌人!D$336</f>
        <v>4</v>
      </c>
      <c r="F556" s="51">
        <f>敌人!E$336</f>
        <v>0</v>
      </c>
      <c r="G556" s="51">
        <f>敌人!F$336</f>
        <v>0</v>
      </c>
      <c r="H556" s="51">
        <f>敌人!G$336</f>
        <v>0</v>
      </c>
      <c r="I556" s="51">
        <f>敌人!H$336</f>
        <v>0</v>
      </c>
      <c r="J556" s="51">
        <f>敌人!I$336</f>
        <v>0</v>
      </c>
      <c r="K556" s="459" t="str">
        <f ca="1">敌人!J$336</f>
        <v>雷之精灵石</v>
      </c>
      <c r="L556" s="371"/>
      <c r="M556" s="371"/>
      <c r="N556" s="46"/>
      <c r="O556" s="48" t="b">
        <v>0</v>
      </c>
      <c r="P556" s="459" t="str">
        <f ca="1">道具!$C$523</f>
        <v>暗暗耐性石</v>
      </c>
      <c r="Q556" s="371"/>
      <c r="R556" s="371"/>
      <c r="S556" s="46"/>
      <c r="T556" s="46"/>
      <c r="U556" s="460"/>
      <c r="V556" s="371"/>
      <c r="W556" s="46"/>
      <c r="X556" s="46"/>
      <c r="Y556" s="46"/>
      <c r="Z556" s="46"/>
      <c r="AA556" s="46"/>
    </row>
    <row r="557" spans="1:27" ht="12.75" x14ac:dyDescent="0.2">
      <c r="A557" s="46"/>
      <c r="B557" s="48" t="b">
        <v>0</v>
      </c>
      <c r="C557" s="459" t="str">
        <f ca="1">敌人!C$26</f>
        <v>古代遗物（兽）・赤型</v>
      </c>
      <c r="D557" s="371"/>
      <c r="E557" s="51">
        <f>敌人!D$26</f>
        <v>3</v>
      </c>
      <c r="F557" s="51">
        <f>敌人!E$26</f>
        <v>0</v>
      </c>
      <c r="G557" s="51">
        <f>敌人!F$26</f>
        <v>0</v>
      </c>
      <c r="H557" s="51">
        <f>敌人!G$26</f>
        <v>0</v>
      </c>
      <c r="I557" s="51">
        <f>敌人!H$26</f>
        <v>0</v>
      </c>
      <c r="J557" s="51">
        <f>敌人!I$26</f>
        <v>0</v>
      </c>
      <c r="K557" s="459" t="str">
        <f ca="1">敌人!J$26</f>
        <v>ＢＰ恢复的石榴（大）</v>
      </c>
      <c r="L557" s="371"/>
      <c r="M557" s="371"/>
      <c r="N557" s="46"/>
      <c r="O557" s="48" t="b">
        <v>0</v>
      </c>
      <c r="P557" s="459" t="str">
        <f ca="1">道具!$C$10</f>
        <v>ＢＰ恢复的石榴（大）</v>
      </c>
      <c r="Q557" s="371"/>
      <c r="R557" s="371"/>
      <c r="S557" s="46"/>
      <c r="T557" s="46"/>
      <c r="U557" s="460"/>
      <c r="V557" s="371"/>
      <c r="W557" s="46"/>
      <c r="X557" s="46"/>
      <c r="Y557" s="46"/>
      <c r="Z557" s="46"/>
      <c r="AA557" s="46"/>
    </row>
    <row r="558" spans="1:27" ht="12.75" x14ac:dyDescent="0.2">
      <c r="A558" s="46"/>
      <c r="B558" s="48" t="b">
        <v>0</v>
      </c>
      <c r="C558" s="459" t="str">
        <f ca="1">敌人!C$77</f>
        <v>古代遗物（兽）・黑型</v>
      </c>
      <c r="D558" s="371"/>
      <c r="E558" s="51">
        <f>敌人!D$77</f>
        <v>3</v>
      </c>
      <c r="F558" s="51">
        <f>敌人!E$77</f>
        <v>0</v>
      </c>
      <c r="G558" s="51">
        <f>敌人!F$77</f>
        <v>0</v>
      </c>
      <c r="H558" s="51">
        <f>敌人!G$77</f>
        <v>0</v>
      </c>
      <c r="I558" s="51">
        <f>敌人!H$77</f>
        <v>0</v>
      </c>
      <c r="J558" s="51">
        <f>敌人!I$77</f>
        <v>0</v>
      </c>
      <c r="K558" s="459" t="str">
        <f ca="1">敌人!J$77</f>
        <v>ＢＰ恢复的石榴（大）</v>
      </c>
      <c r="L558" s="371"/>
      <c r="M558" s="371"/>
      <c r="N558" s="46"/>
      <c r="O558" s="48" t="b">
        <v>0</v>
      </c>
      <c r="P558" s="459" t="str">
        <f ca="1">道具!$C$31</f>
        <v>火之精灵石（大）</v>
      </c>
      <c r="Q558" s="371"/>
      <c r="R558" s="371"/>
      <c r="S558" s="46"/>
      <c r="T558" s="46"/>
      <c r="U558" s="460"/>
      <c r="V558" s="371"/>
      <c r="W558" s="46"/>
      <c r="X558" s="46"/>
      <c r="Y558" s="46"/>
      <c r="Z558" s="46"/>
      <c r="AA558" s="46"/>
    </row>
    <row r="559" spans="1:27" ht="12.75" x14ac:dyDescent="0.2">
      <c r="A559" s="46"/>
      <c r="B559" s="48" t="b">
        <v>0</v>
      </c>
      <c r="C559" s="459" t="str">
        <f ca="1">敌人!C$345</f>
        <v>食人蝙蝠</v>
      </c>
      <c r="D559" s="371"/>
      <c r="E559" s="51">
        <f>敌人!D$345</f>
        <v>1</v>
      </c>
      <c r="F559" s="51">
        <f>敌人!E$345</f>
        <v>0</v>
      </c>
      <c r="G559" s="51">
        <f>敌人!F$345</f>
        <v>0</v>
      </c>
      <c r="H559" s="51">
        <f>敌人!G$345</f>
        <v>0</v>
      </c>
      <c r="I559" s="51">
        <f>敌人!H$345</f>
        <v>0</v>
      </c>
      <c r="J559" s="51">
        <f>敌人!I$345</f>
        <v>0</v>
      </c>
      <c r="K559" s="459" t="str">
        <f ca="1">敌人!J$345</f>
        <v>神秘之花</v>
      </c>
      <c r="L559" s="371"/>
      <c r="M559" s="371"/>
      <c r="N559" s="46"/>
      <c r="O559" s="48" t="b">
        <v>0</v>
      </c>
      <c r="P559" s="459" t="str">
        <f ca="1">道具!$C$322&amp;" ("&amp;语言!$A$20&amp;")"</f>
        <v>大石英杖 (上锁宝箱)</v>
      </c>
      <c r="Q559" s="371"/>
      <c r="R559" s="371"/>
      <c r="S559" s="46"/>
      <c r="T559" s="46"/>
      <c r="U559" s="460"/>
      <c r="V559" s="371"/>
      <c r="W559" s="46"/>
      <c r="X559" s="46"/>
      <c r="Y559" s="46"/>
      <c r="Z559" s="46"/>
      <c r="AA559" s="46"/>
    </row>
    <row r="560" spans="1:27" ht="12.75" x14ac:dyDescent="0.2">
      <c r="A560" s="46"/>
      <c r="B560" s="467" t="str">
        <f ca="1">语言!$A$15</f>
        <v>Boss</v>
      </c>
      <c r="C560" s="371"/>
      <c r="D560" s="371"/>
      <c r="E560" s="371"/>
      <c r="F560" s="371"/>
      <c r="G560" s="371"/>
      <c r="H560" s="371"/>
      <c r="I560" s="371"/>
      <c r="J560" s="371"/>
      <c r="K560" s="371"/>
      <c r="L560" s="371"/>
      <c r="M560" s="371"/>
      <c r="N560" s="46"/>
      <c r="O560" s="48" t="b">
        <v>0</v>
      </c>
      <c r="P560" s="459" t="str">
        <f ca="1">道具!$C$8</f>
        <v>ＳＰ全体恢复的李子</v>
      </c>
      <c r="Q560" s="371"/>
      <c r="R560" s="371"/>
      <c r="S560" s="46"/>
      <c r="T560" s="46"/>
      <c r="U560" s="460"/>
      <c r="V560" s="371"/>
      <c r="W560" s="46"/>
      <c r="X560" s="46"/>
      <c r="Y560" s="46"/>
      <c r="Z560" s="46"/>
      <c r="AA560" s="46"/>
    </row>
    <row r="561" spans="1:27" ht="12.75" x14ac:dyDescent="0.2">
      <c r="A561" s="46"/>
      <c r="B561" s="463" t="b">
        <v>0</v>
      </c>
      <c r="C561" s="466" t="str">
        <f ca="1">敌人!C$437</f>
        <v>伊冯</v>
      </c>
      <c r="D561" s="371"/>
      <c r="E561" s="466">
        <f>敌人!D$437</f>
        <v>3</v>
      </c>
      <c r="F561" s="51">
        <f>敌人!E$437</f>
        <v>0</v>
      </c>
      <c r="G561" s="51">
        <f>敌人!F$437</f>
        <v>0</v>
      </c>
      <c r="H561" s="51">
        <f>敌人!G$437</f>
        <v>0</v>
      </c>
      <c r="I561" s="51">
        <f>敌人!H$437</f>
        <v>0</v>
      </c>
      <c r="J561" s="51">
        <f>敌人!I$437</f>
        <v>0</v>
      </c>
      <c r="K561" s="466" t="str">
        <f ca="1">敌人!J$437</f>
        <v>ＢＰ恢复的石榴（特大）</v>
      </c>
      <c r="L561" s="371"/>
      <c r="M561" s="371"/>
      <c r="N561" s="46"/>
      <c r="O561" s="46"/>
      <c r="P561" s="460"/>
      <c r="Q561" s="371"/>
      <c r="R561" s="371"/>
      <c r="S561" s="46"/>
      <c r="T561" s="46"/>
      <c r="U561" s="460"/>
      <c r="V561" s="371"/>
      <c r="W561" s="46"/>
      <c r="X561" s="46"/>
      <c r="Y561" s="46"/>
      <c r="Z561" s="46"/>
      <c r="AA561" s="46"/>
    </row>
    <row r="562" spans="1:27" ht="12.75" x14ac:dyDescent="0.2">
      <c r="A562" s="46"/>
      <c r="B562" s="371"/>
      <c r="C562" s="371"/>
      <c r="D562" s="371"/>
      <c r="E562" s="371"/>
      <c r="F562" s="51">
        <f>敌人!E$438</f>
        <v>0</v>
      </c>
      <c r="G562" s="51">
        <f>敌人!F$438</f>
        <v>0</v>
      </c>
      <c r="H562" s="51">
        <f>敌人!G$438</f>
        <v>0</v>
      </c>
      <c r="I562" s="51">
        <f>敌人!H$438</f>
        <v>0</v>
      </c>
      <c r="J562" s="51">
        <f>敌人!I$438</f>
        <v>0</v>
      </c>
      <c r="K562" s="371"/>
      <c r="L562" s="371"/>
      <c r="M562" s="371"/>
      <c r="N562" s="46"/>
      <c r="O562" s="46"/>
      <c r="P562" s="460"/>
      <c r="Q562" s="371"/>
      <c r="R562" s="371"/>
      <c r="S562" s="46"/>
      <c r="T562" s="46"/>
      <c r="U562" s="460"/>
      <c r="V562" s="371"/>
      <c r="W562" s="46"/>
      <c r="X562" s="46"/>
      <c r="Y562" s="46"/>
      <c r="Z562" s="46"/>
      <c r="AA562" s="46"/>
    </row>
    <row r="563" spans="1:27" ht="12.75" x14ac:dyDescent="0.2">
      <c r="A563" s="46"/>
      <c r="B563" s="371"/>
      <c r="C563" s="371"/>
      <c r="D563" s="371"/>
      <c r="E563" s="371"/>
      <c r="F563" s="51">
        <f>敌人!E$439</f>
        <v>0</v>
      </c>
      <c r="G563" s="51">
        <f>敌人!F$439</f>
        <v>0</v>
      </c>
      <c r="H563" s="51">
        <f>敌人!G$439</f>
        <v>0</v>
      </c>
      <c r="I563" s="51">
        <f>敌人!H$439</f>
        <v>0</v>
      </c>
      <c r="J563" s="51">
        <f>敌人!I$439</f>
        <v>0</v>
      </c>
      <c r="K563" s="371"/>
      <c r="L563" s="371"/>
      <c r="M563" s="371"/>
      <c r="N563" s="46"/>
      <c r="O563" s="46"/>
      <c r="P563" s="460"/>
      <c r="Q563" s="371"/>
      <c r="R563" s="371"/>
      <c r="S563" s="46"/>
      <c r="T563" s="46"/>
      <c r="U563" s="460"/>
      <c r="V563" s="371"/>
      <c r="W563" s="46"/>
      <c r="X563" s="46"/>
      <c r="Y563" s="46"/>
      <c r="Z563" s="46"/>
      <c r="AA563" s="46"/>
    </row>
    <row r="564" spans="1:27" ht="12.75" x14ac:dyDescent="0.2">
      <c r="A564" s="46"/>
      <c r="B564" s="48" t="b">
        <v>0</v>
      </c>
      <c r="C564" s="459" t="str">
        <f ca="1">敌人!C$440</f>
        <v>特别研究员</v>
      </c>
      <c r="D564" s="371"/>
      <c r="E564" s="51">
        <f>敌人!D$440</f>
        <v>4</v>
      </c>
      <c r="F564" s="51">
        <f>敌人!E$440</f>
        <v>0</v>
      </c>
      <c r="G564" s="51">
        <f>敌人!F$440</f>
        <v>0</v>
      </c>
      <c r="H564" s="51">
        <f>敌人!G$440</f>
        <v>0</v>
      </c>
      <c r="I564" s="51">
        <f>敌人!H$440</f>
        <v>0</v>
      </c>
      <c r="J564" s="51">
        <f>敌人!I$440</f>
        <v>0</v>
      </c>
      <c r="K564" s="459" t="str">
        <f ca="1">敌人!J$440</f>
        <v>ＨＰ全体恢复的葡萄</v>
      </c>
      <c r="L564" s="371"/>
      <c r="M564" s="371"/>
      <c r="N564" s="46"/>
      <c r="O564" s="46"/>
      <c r="P564" s="460"/>
      <c r="Q564" s="371"/>
      <c r="R564" s="371"/>
      <c r="S564" s="46"/>
      <c r="T564" s="46"/>
      <c r="U564" s="460"/>
      <c r="V564" s="371"/>
      <c r="W564" s="46"/>
      <c r="X564" s="46"/>
      <c r="Y564" s="46"/>
      <c r="Z564" s="46"/>
      <c r="AA564" s="46"/>
    </row>
    <row r="565" spans="1:27" ht="12.75" x14ac:dyDescent="0.2">
      <c r="A565" s="46"/>
      <c r="B565" s="46"/>
      <c r="C565" s="460"/>
      <c r="D565" s="371"/>
      <c r="E565" s="46"/>
      <c r="F565" s="46"/>
      <c r="G565" s="46"/>
      <c r="H565" s="46"/>
      <c r="I565" s="46"/>
      <c r="J565" s="46"/>
      <c r="K565" s="460"/>
      <c r="L565" s="371"/>
      <c r="M565" s="371"/>
      <c r="N565" s="46"/>
      <c r="O565" s="46"/>
      <c r="P565" s="460"/>
      <c r="Q565" s="371"/>
      <c r="R565" s="371"/>
      <c r="S565" s="46"/>
      <c r="T565" s="46"/>
      <c r="U565" s="460"/>
      <c r="V565" s="371"/>
      <c r="W565" s="46"/>
      <c r="X565" s="46"/>
      <c r="Y565" s="46"/>
      <c r="Z565" s="46"/>
      <c r="AA565" s="46"/>
    </row>
    <row r="566" spans="1:27" ht="18" x14ac:dyDescent="0.25">
      <c r="A566" s="477" t="str">
        <f ca="1">语言!$A$323&amp;" 3"</f>
        <v>Tier 3</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row>
    <row r="567" spans="1:27" ht="12.75" x14ac:dyDescent="0.2">
      <c r="A567" s="46"/>
      <c r="B567" s="48" t="b">
        <v>0</v>
      </c>
      <c r="C567" s="463" t="str">
        <f ca="1">敌人!C$53</f>
        <v>布尔乔亚凯特林</v>
      </c>
      <c r="D567" s="371"/>
      <c r="E567" s="48">
        <f>敌人!D$53</f>
        <v>4</v>
      </c>
      <c r="F567" s="48">
        <f>敌人!E$53</f>
        <v>0</v>
      </c>
      <c r="G567" s="48">
        <f>敌人!F$53</f>
        <v>0</v>
      </c>
      <c r="H567" s="48">
        <f>敌人!G$53</f>
        <v>0</v>
      </c>
      <c r="I567" s="48">
        <f>敌人!H$53</f>
        <v>0</v>
      </c>
      <c r="J567" s="48">
        <f>敌人!I$53</f>
        <v>0</v>
      </c>
      <c r="K567" s="463" t="str">
        <f ca="1">敌人!J$53</f>
        <v>ＨＰ／ＳＰ／ＢＰ恢复的果酱</v>
      </c>
      <c r="L567" s="371"/>
      <c r="M567" s="371"/>
      <c r="N567" s="46"/>
      <c r="O567" s="462" t="str">
        <f ca="1">语言!A$404&amp;" (2 "&amp;语言!$A$19&amp;")"</f>
        <v>艾巴霍多 (2 宝箱)</v>
      </c>
      <c r="P567" s="371"/>
      <c r="Q567" s="371"/>
      <c r="R567" s="371"/>
      <c r="S567" s="46"/>
      <c r="T567" s="462" t="str">
        <f ca="1">语言!A$404</f>
        <v>艾巴霍多</v>
      </c>
      <c r="U567" s="371"/>
      <c r="V567" s="371"/>
      <c r="W567" s="46"/>
      <c r="X567" s="46"/>
      <c r="Y567" s="46"/>
      <c r="Z567" s="46"/>
      <c r="AA567" s="46"/>
    </row>
    <row r="568" spans="1:27" ht="12.75" x14ac:dyDescent="0.2">
      <c r="A568" s="46"/>
      <c r="B568" s="462" t="str">
        <f ca="1">语言!A$406&amp;" ("&amp;语言!$A$12&amp;" 45)"</f>
        <v>西艾巴霍多山道 (危险度 45)</v>
      </c>
      <c r="C568" s="371"/>
      <c r="D568" s="371"/>
      <c r="E568" s="371"/>
      <c r="F568" s="371"/>
      <c r="G568" s="371"/>
      <c r="H568" s="371"/>
      <c r="I568" s="371"/>
      <c r="J568" s="371"/>
      <c r="K568" s="371"/>
      <c r="L568" s="371"/>
      <c r="M568" s="371"/>
      <c r="N568" s="46"/>
      <c r="O568" s="48" t="b">
        <v>0</v>
      </c>
      <c r="P568" s="459" t="str">
        <f ca="1">道具!$C$4</f>
        <v>ＨＰ恢复的葡萄（大）</v>
      </c>
      <c r="Q568" s="371"/>
      <c r="R568" s="371"/>
      <c r="S568" s="46"/>
      <c r="T568" s="48" t="b">
        <v>0</v>
      </c>
      <c r="U568" s="463" t="str">
        <f ca="1">道具!$C$129</f>
        <v>奇特的古董</v>
      </c>
      <c r="V568" s="371"/>
      <c r="W568" s="46"/>
      <c r="X568" s="46"/>
      <c r="Y568" s="46"/>
      <c r="Z568" s="46"/>
      <c r="AA568" s="46"/>
    </row>
    <row r="569" spans="1:27" ht="12.75" x14ac:dyDescent="0.2">
      <c r="A569" s="46"/>
      <c r="B569" s="48" t="b">
        <v>0</v>
      </c>
      <c r="C569" s="459" t="str">
        <f ca="1">敌人!C$160</f>
        <v>山丘大鼠人 I</v>
      </c>
      <c r="D569" s="371"/>
      <c r="E569" s="51">
        <f>敌人!D$160</f>
        <v>3</v>
      </c>
      <c r="F569" s="51">
        <f>敌人!E$160</f>
        <v>0</v>
      </c>
      <c r="G569" s="51">
        <f>敌人!F$160</f>
        <v>0</v>
      </c>
      <c r="H569" s="51">
        <f>敌人!G$160</f>
        <v>0</v>
      </c>
      <c r="I569" s="51">
        <f>敌人!H$160</f>
        <v>0</v>
      </c>
      <c r="J569" s="51">
        <f>敌人!I$160</f>
        <v>0</v>
      </c>
      <c r="K569" s="459" t="str">
        <f ca="1">敌人!J$160</f>
        <v>ＳＰ恢复的李子</v>
      </c>
      <c r="L569" s="371"/>
      <c r="M569" s="371"/>
      <c r="N569" s="46"/>
      <c r="O569" s="48" t="b">
        <v>0</v>
      </c>
      <c r="P569" s="459" t="str">
        <f ca="1">道具!$C$116</f>
        <v>稀奇的石头</v>
      </c>
      <c r="Q569" s="371"/>
      <c r="R569" s="371"/>
      <c r="S569" s="46"/>
      <c r="T569" s="48" t="b">
        <v>0</v>
      </c>
      <c r="U569" s="463" t="str">
        <f ca="1">道具!$C$116</f>
        <v>稀奇的石头</v>
      </c>
      <c r="V569" s="371"/>
      <c r="W569" s="46"/>
      <c r="X569" s="46"/>
      <c r="Y569" s="46"/>
      <c r="Z569" s="46"/>
      <c r="AA569" s="46"/>
    </row>
    <row r="570" spans="1:27" ht="12.75" x14ac:dyDescent="0.2">
      <c r="A570" s="46"/>
      <c r="B570" s="48" t="b">
        <v>0</v>
      </c>
      <c r="C570" s="459" t="str">
        <f ca="1">敌人!C$161</f>
        <v>山丘大鼠人 II</v>
      </c>
      <c r="D570" s="371"/>
      <c r="E570" s="51">
        <f>敌人!D$161</f>
        <v>2</v>
      </c>
      <c r="F570" s="51">
        <f>敌人!E$161</f>
        <v>0</v>
      </c>
      <c r="G570" s="51">
        <f>敌人!F$161</f>
        <v>0</v>
      </c>
      <c r="H570" s="51">
        <f>敌人!G$161</f>
        <v>0</v>
      </c>
      <c r="I570" s="51">
        <f>敌人!H$161</f>
        <v>0</v>
      </c>
      <c r="J570" s="51">
        <f>敌人!I$161</f>
        <v>0</v>
      </c>
      <c r="K570" s="459" t="str">
        <f ca="1">敌人!J$161</f>
        <v>葡萄树液</v>
      </c>
      <c r="L570" s="371"/>
      <c r="M570" s="371"/>
      <c r="N570" s="46"/>
      <c r="O570" s="462" t="str">
        <f ca="1">语言!A$406&amp;" (5 "&amp;语言!$A$19&amp;")"</f>
        <v>西艾巴霍多山道 (5 宝箱)</v>
      </c>
      <c r="P570" s="371"/>
      <c r="Q570" s="371"/>
      <c r="R570" s="371"/>
      <c r="S570" s="46"/>
      <c r="T570" s="48" t="b">
        <v>0</v>
      </c>
      <c r="U570" s="463" t="str">
        <f ca="1">道具!$C$16</f>
        <v>复活的橄榄（大）</v>
      </c>
      <c r="V570" s="371"/>
      <c r="W570" s="46"/>
      <c r="X570" s="46"/>
      <c r="Y570" s="46"/>
      <c r="Z570" s="46"/>
      <c r="AA570" s="46"/>
    </row>
    <row r="571" spans="1:27" ht="12.75" x14ac:dyDescent="0.2">
      <c r="A571" s="46"/>
      <c r="B571" s="48" t="b">
        <v>0</v>
      </c>
      <c r="C571" s="459" t="str">
        <f ca="1">敌人!C$162</f>
        <v>山丘大鼠人 III</v>
      </c>
      <c r="D571" s="371"/>
      <c r="E571" s="51">
        <f>敌人!D$162</f>
        <v>4</v>
      </c>
      <c r="F571" s="51">
        <f>敌人!E$162</f>
        <v>0</v>
      </c>
      <c r="G571" s="51">
        <f>敌人!F$162</f>
        <v>0</v>
      </c>
      <c r="H571" s="51">
        <f>敌人!G$162</f>
        <v>0</v>
      </c>
      <c r="I571" s="51">
        <f>敌人!H$162</f>
        <v>0</v>
      </c>
      <c r="J571" s="51">
        <f>敌人!I$162</f>
        <v>0</v>
      </c>
      <c r="K571" s="459" t="str">
        <f ca="1">敌人!J$162</f>
        <v>ＨＰ全体恢复的葡萄</v>
      </c>
      <c r="L571" s="371"/>
      <c r="M571" s="371"/>
      <c r="N571" s="46"/>
      <c r="O571" s="48" t="b">
        <v>0</v>
      </c>
      <c r="P571" s="459" t="str">
        <f ca="1">道具!$C$45</f>
        <v>光之精灵石（特大）</v>
      </c>
      <c r="Q571" s="371"/>
      <c r="R571" s="371"/>
      <c r="S571" s="46"/>
      <c r="T571" s="48" t="b">
        <v>0</v>
      </c>
      <c r="U571" s="463" t="str">
        <f ca="1">道具!$C$26</f>
        <v>暗黑瓶</v>
      </c>
      <c r="V571" s="371"/>
      <c r="W571" s="46"/>
      <c r="X571" s="46"/>
      <c r="Y571" s="46"/>
      <c r="Z571" s="46"/>
      <c r="AA571" s="46"/>
    </row>
    <row r="572" spans="1:27" ht="12.75" x14ac:dyDescent="0.2">
      <c r="A572" s="46"/>
      <c r="B572" s="48" t="b">
        <v>0</v>
      </c>
      <c r="C572" s="459" t="str">
        <f ca="1">敌人!C$85</f>
        <v>狂战羊</v>
      </c>
      <c r="D572" s="371"/>
      <c r="E572" s="51">
        <f>敌人!D$85</f>
        <v>2</v>
      </c>
      <c r="F572" s="51">
        <f>敌人!E$85</f>
        <v>0</v>
      </c>
      <c r="G572" s="51">
        <f>敌人!F$85</f>
        <v>0</v>
      </c>
      <c r="H572" s="51">
        <f>敌人!G$85</f>
        <v>0</v>
      </c>
      <c r="I572" s="51">
        <f>敌人!H$85</f>
        <v>0</v>
      </c>
      <c r="J572" s="51">
        <f>敌人!I$85</f>
        <v>0</v>
      </c>
      <c r="K572" s="459" t="str">
        <f ca="1">敌人!J$85</f>
        <v>橄榄花</v>
      </c>
      <c r="L572" s="371"/>
      <c r="M572" s="371"/>
      <c r="N572" s="46"/>
      <c r="O572" s="48" t="b">
        <v>0</v>
      </c>
      <c r="P572" s="459" t="str">
        <f ca="1">道具!$C$120</f>
        <v>放了银块的皮袋</v>
      </c>
      <c r="Q572" s="371"/>
      <c r="R572" s="371"/>
      <c r="S572" s="46"/>
      <c r="T572" s="48" t="b">
        <v>0</v>
      </c>
      <c r="U572" s="463" t="str">
        <f ca="1">道具!$C$5</f>
        <v>ＨＰ全体恢复的葡萄</v>
      </c>
      <c r="V572" s="371"/>
      <c r="W572" s="46"/>
      <c r="X572" s="46"/>
      <c r="Y572" s="46"/>
      <c r="Z572" s="46"/>
      <c r="AA572" s="46"/>
    </row>
    <row r="573" spans="1:27" ht="12.75" x14ac:dyDescent="0.2">
      <c r="A573" s="46"/>
      <c r="B573" s="48" t="b">
        <v>0</v>
      </c>
      <c r="C573" s="459" t="str">
        <f ca="1">敌人!C$369</f>
        <v>蛇鸟</v>
      </c>
      <c r="D573" s="371"/>
      <c r="E573" s="51">
        <f>敌人!D$369</f>
        <v>3</v>
      </c>
      <c r="F573" s="51">
        <f>敌人!E$369</f>
        <v>0</v>
      </c>
      <c r="G573" s="51">
        <f>敌人!F$369</f>
        <v>0</v>
      </c>
      <c r="H573" s="51">
        <f>敌人!G$369</f>
        <v>0</v>
      </c>
      <c r="I573" s="51">
        <f>敌人!H$369</f>
        <v>0</v>
      </c>
      <c r="J573" s="51">
        <f>敌人!I$369</f>
        <v>0</v>
      </c>
      <c r="K573" s="459" t="str">
        <f ca="1">敌人!J$369</f>
        <v>石榴树液</v>
      </c>
      <c r="L573" s="371"/>
      <c r="M573" s="371"/>
      <c r="N573" s="46"/>
      <c r="O573" s="48" t="b">
        <v>0</v>
      </c>
      <c r="P573" s="459" t="str">
        <f ca="1">道具!$C$10</f>
        <v>ＢＰ恢复的石榴（大）</v>
      </c>
      <c r="Q573" s="371"/>
      <c r="R573" s="371"/>
      <c r="S573" s="46"/>
      <c r="T573" s="46"/>
      <c r="U573" s="460"/>
      <c r="V573" s="371"/>
      <c r="W573" s="46"/>
      <c r="X573" s="46"/>
      <c r="Y573" s="46"/>
      <c r="Z573" s="46"/>
      <c r="AA573" s="46"/>
    </row>
    <row r="574" spans="1:27" ht="12.75" x14ac:dyDescent="0.2">
      <c r="A574" s="46"/>
      <c r="B574" s="48" t="b">
        <v>0</v>
      </c>
      <c r="C574" s="459" t="str">
        <f ca="1">敌人!C$308</f>
        <v>暗乌鸦</v>
      </c>
      <c r="D574" s="371"/>
      <c r="E574" s="51">
        <f>敌人!D$308</f>
        <v>2</v>
      </c>
      <c r="F574" s="51">
        <f>敌人!E$308</f>
        <v>0</v>
      </c>
      <c r="G574" s="51">
        <f>敌人!F$308</f>
        <v>0</v>
      </c>
      <c r="H574" s="51">
        <f>敌人!G$308</f>
        <v>0</v>
      </c>
      <c r="I574" s="51">
        <f>敌人!H$308</f>
        <v>0</v>
      </c>
      <c r="J574" s="51">
        <f>敌人!I$308</f>
        <v>0</v>
      </c>
      <c r="K574" s="459" t="str">
        <f ca="1">敌人!J$308</f>
        <v>混乱多之叶</v>
      </c>
      <c r="L574" s="371"/>
      <c r="M574" s="371"/>
      <c r="N574" s="46"/>
      <c r="O574" s="48" t="b">
        <v>0</v>
      </c>
      <c r="P574" s="459" t="str">
        <f ca="1">道具!$C$31</f>
        <v>火之精灵石（大）</v>
      </c>
      <c r="Q574" s="371"/>
      <c r="R574" s="371"/>
      <c r="S574" s="46"/>
      <c r="T574" s="46"/>
      <c r="U574" s="460"/>
      <c r="V574" s="371"/>
      <c r="W574" s="46"/>
      <c r="X574" s="46"/>
      <c r="Y574" s="46"/>
      <c r="Z574" s="46"/>
      <c r="AA574" s="46"/>
    </row>
    <row r="575" spans="1:27" ht="12.75" x14ac:dyDescent="0.2">
      <c r="A575" s="46"/>
      <c r="B575" s="48" t="b">
        <v>0</v>
      </c>
      <c r="C575" s="459" t="str">
        <f ca="1">敌人!C$9</f>
        <v>腐朽的盔甲</v>
      </c>
      <c r="D575" s="371"/>
      <c r="E575" s="51">
        <f>敌人!D$9</f>
        <v>6</v>
      </c>
      <c r="F575" s="51">
        <f>敌人!E$9</f>
        <v>0</v>
      </c>
      <c r="G575" s="51">
        <f>敌人!F$9</f>
        <v>0</v>
      </c>
      <c r="H575" s="51">
        <f>敌人!G$9</f>
        <v>0</v>
      </c>
      <c r="I575" s="51">
        <f>敌人!H$9</f>
        <v>0</v>
      </c>
      <c r="J575" s="51">
        <f>敌人!I$9</f>
        <v>0</v>
      </c>
      <c r="K575" s="459" t="str">
        <f ca="1">敌人!J$9</f>
        <v>ＨＰ／ＳＰ恢复的果酱</v>
      </c>
      <c r="L575" s="371"/>
      <c r="M575" s="371"/>
      <c r="N575" s="46"/>
      <c r="O575" s="48" t="b">
        <v>0</v>
      </c>
      <c r="P575" s="459" t="str">
        <f ca="1">道具!$C$7</f>
        <v>ＳＰ恢复的李子（大）</v>
      </c>
      <c r="Q575" s="371"/>
      <c r="R575" s="371"/>
      <c r="S575" s="46"/>
      <c r="T575" s="46"/>
      <c r="U575" s="460"/>
      <c r="V575" s="371"/>
      <c r="W575" s="46"/>
      <c r="X575" s="46"/>
      <c r="Y575" s="46"/>
      <c r="Z575" s="46"/>
      <c r="AA575" s="46"/>
    </row>
    <row r="576" spans="1:27" ht="12.75" x14ac:dyDescent="0.2">
      <c r="A576" s="46"/>
      <c r="B576" s="462" t="str">
        <f ca="1">语言!A$407&amp;" ("&amp;语言!$A$12&amp;" 55)"</f>
        <v>艾巴霍多地下坑道遗迹 (危险度 55)</v>
      </c>
      <c r="C576" s="371"/>
      <c r="D576" s="371"/>
      <c r="E576" s="371"/>
      <c r="F576" s="371"/>
      <c r="G576" s="371"/>
      <c r="H576" s="371"/>
      <c r="I576" s="371"/>
      <c r="J576" s="371"/>
      <c r="K576" s="371"/>
      <c r="L576" s="371"/>
      <c r="M576" s="371"/>
      <c r="N576" s="46"/>
      <c r="O576" s="462" t="str">
        <f ca="1">语言!A$407&amp;" (8 "&amp;语言!$A$19&amp;")"</f>
        <v>艾巴霍多地下坑道遗迹 (8 宝箱)</v>
      </c>
      <c r="P576" s="371"/>
      <c r="Q576" s="371"/>
      <c r="R576" s="371"/>
      <c r="S576" s="46"/>
      <c r="T576" s="46"/>
      <c r="U576" s="460"/>
      <c r="V576" s="371"/>
      <c r="W576" s="46"/>
      <c r="X576" s="46"/>
      <c r="Y576" s="46"/>
      <c r="Z576" s="46"/>
      <c r="AA576" s="46"/>
    </row>
    <row r="577" spans="1:27" ht="12.75" x14ac:dyDescent="0.2">
      <c r="A577" s="46"/>
      <c r="B577" s="48" t="b">
        <v>0</v>
      </c>
      <c r="C577" s="459" t="str">
        <f ca="1">敌人!C$161</f>
        <v>山丘大鼠人 II</v>
      </c>
      <c r="D577" s="371"/>
      <c r="E577" s="51">
        <f>敌人!D$161</f>
        <v>2</v>
      </c>
      <c r="F577" s="51">
        <f>敌人!E$161</f>
        <v>0</v>
      </c>
      <c r="G577" s="51">
        <f>敌人!F$161</f>
        <v>0</v>
      </c>
      <c r="H577" s="51">
        <f>敌人!G$161</f>
        <v>0</v>
      </c>
      <c r="I577" s="51">
        <f>敌人!H$161</f>
        <v>0</v>
      </c>
      <c r="J577" s="51">
        <f>敌人!I$161</f>
        <v>0</v>
      </c>
      <c r="K577" s="459" t="str">
        <f ca="1">敌人!J$161</f>
        <v>葡萄树液</v>
      </c>
      <c r="L577" s="371"/>
      <c r="M577" s="371"/>
      <c r="N577" s="46"/>
      <c r="O577" s="48" t="b">
        <v>0</v>
      </c>
      <c r="P577" s="459" t="str">
        <f ca="1">道具!$C$11</f>
        <v>ＢＰ恢复的石榴（特大）</v>
      </c>
      <c r="Q577" s="371"/>
      <c r="R577" s="371"/>
      <c r="S577" s="46"/>
      <c r="T577" s="46"/>
      <c r="U577" s="460"/>
      <c r="V577" s="371"/>
      <c r="W577" s="46"/>
      <c r="X577" s="46"/>
      <c r="Y577" s="46"/>
      <c r="Z577" s="46"/>
      <c r="AA577" s="46"/>
    </row>
    <row r="578" spans="1:27" ht="12.75" x14ac:dyDescent="0.2">
      <c r="A578" s="46"/>
      <c r="B578" s="48" t="b">
        <v>0</v>
      </c>
      <c r="C578" s="459" t="str">
        <f ca="1">敌人!C$162</f>
        <v>山丘大鼠人 III</v>
      </c>
      <c r="D578" s="371"/>
      <c r="E578" s="51">
        <f>敌人!D$162</f>
        <v>4</v>
      </c>
      <c r="F578" s="51">
        <f>敌人!E$162</f>
        <v>0</v>
      </c>
      <c r="G578" s="51">
        <f>敌人!F$162</f>
        <v>0</v>
      </c>
      <c r="H578" s="51">
        <f>敌人!G$162</f>
        <v>0</v>
      </c>
      <c r="I578" s="51">
        <f>敌人!H$162</f>
        <v>0</v>
      </c>
      <c r="J578" s="51">
        <f>敌人!I$162</f>
        <v>0</v>
      </c>
      <c r="K578" s="459" t="str">
        <f ca="1">敌人!J$162</f>
        <v>ＨＰ全体恢复的葡萄</v>
      </c>
      <c r="L578" s="371"/>
      <c r="M578" s="371"/>
      <c r="N578" s="46"/>
      <c r="O578" s="48" t="b">
        <v>0</v>
      </c>
      <c r="P578" s="459" t="str">
        <f ca="1">道具!$C$7</f>
        <v>ＳＰ恢复的李子（大）</v>
      </c>
      <c r="Q578" s="371"/>
      <c r="R578" s="371"/>
      <c r="S578" s="46"/>
      <c r="T578" s="46"/>
      <c r="U578" s="460"/>
      <c r="V578" s="371"/>
      <c r="W578" s="46"/>
      <c r="X578" s="46"/>
      <c r="Y578" s="46"/>
      <c r="Z578" s="46"/>
      <c r="AA578" s="46"/>
    </row>
    <row r="579" spans="1:27" ht="12.75" x14ac:dyDescent="0.2">
      <c r="A579" s="46"/>
      <c r="B579" s="48" t="b">
        <v>0</v>
      </c>
      <c r="C579" s="459" t="str">
        <f ca="1">敌人!C$85</f>
        <v>狂战羊</v>
      </c>
      <c r="D579" s="371"/>
      <c r="E579" s="51">
        <f>敌人!D$85</f>
        <v>2</v>
      </c>
      <c r="F579" s="51">
        <f>敌人!E$85</f>
        <v>0</v>
      </c>
      <c r="G579" s="51">
        <f>敌人!F$85</f>
        <v>0</v>
      </c>
      <c r="H579" s="51">
        <f>敌人!G$85</f>
        <v>0</v>
      </c>
      <c r="I579" s="51">
        <f>敌人!H$85</f>
        <v>0</v>
      </c>
      <c r="J579" s="51">
        <f>敌人!I$85</f>
        <v>0</v>
      </c>
      <c r="K579" s="459" t="str">
        <f ca="1">敌人!J$85</f>
        <v>橄榄花</v>
      </c>
      <c r="L579" s="371"/>
      <c r="M579" s="371"/>
      <c r="N579" s="46"/>
      <c r="O579" s="48" t="b">
        <v>0</v>
      </c>
      <c r="P579" s="459" t="str">
        <f ca="1">道具!$C$235</f>
        <v>死亡猛击斧</v>
      </c>
      <c r="Q579" s="371"/>
      <c r="R579" s="371"/>
      <c r="S579" s="46"/>
      <c r="T579" s="46"/>
      <c r="U579" s="460"/>
      <c r="V579" s="371"/>
      <c r="W579" s="46"/>
      <c r="X579" s="46"/>
      <c r="Y579" s="46"/>
      <c r="Z579" s="46"/>
      <c r="AA579" s="46"/>
    </row>
    <row r="580" spans="1:27" ht="12.75" x14ac:dyDescent="0.2">
      <c r="A580" s="46"/>
      <c r="B580" s="48" t="b">
        <v>0</v>
      </c>
      <c r="C580" s="459" t="str">
        <f ca="1">敌人!C$9</f>
        <v>腐朽的盔甲</v>
      </c>
      <c r="D580" s="371"/>
      <c r="E580" s="51">
        <f>敌人!D$9</f>
        <v>6</v>
      </c>
      <c r="F580" s="51">
        <f>敌人!E$9</f>
        <v>0</v>
      </c>
      <c r="G580" s="51">
        <f>敌人!F$9</f>
        <v>0</v>
      </c>
      <c r="H580" s="51">
        <f>敌人!G$9</f>
        <v>0</v>
      </c>
      <c r="I580" s="51">
        <f>敌人!H$9</f>
        <v>0</v>
      </c>
      <c r="J580" s="51">
        <f>敌人!I$9</f>
        <v>0</v>
      </c>
      <c r="K580" s="459" t="str">
        <f ca="1">敌人!J$9</f>
        <v>ＨＰ／ＳＰ恢复的果酱</v>
      </c>
      <c r="L580" s="371"/>
      <c r="M580" s="371"/>
      <c r="N580" s="46"/>
      <c r="O580" s="48" t="b">
        <v>0</v>
      </c>
      <c r="P580" s="459" t="str">
        <f ca="1">道具!$C$16</f>
        <v>复活的橄榄（大）</v>
      </c>
      <c r="Q580" s="371"/>
      <c r="R580" s="371"/>
      <c r="S580" s="46"/>
      <c r="T580" s="46"/>
      <c r="U580" s="460"/>
      <c r="V580" s="371"/>
      <c r="W580" s="46"/>
      <c r="X580" s="46"/>
      <c r="Y580" s="46"/>
      <c r="Z580" s="46"/>
      <c r="AA580" s="46"/>
    </row>
    <row r="581" spans="1:27" ht="12.75" x14ac:dyDescent="0.2">
      <c r="A581" s="46"/>
      <c r="B581" s="48" t="b">
        <v>0</v>
      </c>
      <c r="C581" s="459" t="str">
        <f ca="1">敌人!C$17</f>
        <v>山贼骷髅</v>
      </c>
      <c r="D581" s="371"/>
      <c r="E581" s="51">
        <f>敌人!D$17</f>
        <v>2</v>
      </c>
      <c r="F581" s="51">
        <f>敌人!E$17</f>
        <v>0</v>
      </c>
      <c r="G581" s="51">
        <f>敌人!F$17</f>
        <v>0</v>
      </c>
      <c r="H581" s="51">
        <f>敌人!G$17</f>
        <v>0</v>
      </c>
      <c r="I581" s="51">
        <f>敌人!H$17</f>
        <v>0</v>
      </c>
      <c r="J581" s="51">
        <f>敌人!I$17</f>
        <v>0</v>
      </c>
      <c r="K581" s="459" t="str">
        <f ca="1">敌人!J$17</f>
        <v>装了破烂儿的小袋子</v>
      </c>
      <c r="L581" s="371"/>
      <c r="M581" s="371"/>
      <c r="N581" s="46"/>
      <c r="O581" s="48" t="b">
        <v>0</v>
      </c>
      <c r="P581" s="459" t="str">
        <f ca="1">道具!$C$304&amp;" ("&amp;语言!$A$20&amp;")"</f>
        <v>斗智之杖 (上锁宝箱)</v>
      </c>
      <c r="Q581" s="371"/>
      <c r="R581" s="371"/>
      <c r="S581" s="46"/>
      <c r="T581" s="46"/>
      <c r="U581" s="460"/>
      <c r="V581" s="371"/>
      <c r="W581" s="46"/>
      <c r="X581" s="46"/>
      <c r="Y581" s="46"/>
      <c r="Z581" s="46"/>
      <c r="AA581" s="46"/>
    </row>
    <row r="582" spans="1:27" ht="12.75" x14ac:dyDescent="0.2">
      <c r="A582" s="46"/>
      <c r="B582" s="48" t="b">
        <v>0</v>
      </c>
      <c r="C582" s="459" t="str">
        <f ca="1">敌人!C$38</f>
        <v>山贼骷髅异种</v>
      </c>
      <c r="D582" s="371"/>
      <c r="E582" s="51">
        <f>敌人!D$38</f>
        <v>1</v>
      </c>
      <c r="F582" s="51">
        <f>敌人!E$38</f>
        <v>0</v>
      </c>
      <c r="G582" s="51">
        <f>敌人!F$38</f>
        <v>0</v>
      </c>
      <c r="H582" s="51">
        <f>敌人!G$38</f>
        <v>0</v>
      </c>
      <c r="I582" s="51">
        <f>敌人!H$38</f>
        <v>0</v>
      </c>
      <c r="J582" s="51">
        <f>敌人!I$38</f>
        <v>0</v>
      </c>
      <c r="K582" s="459" t="str">
        <f ca="1">敌人!J$38</f>
        <v>恐怖治疗药草</v>
      </c>
      <c r="L582" s="371"/>
      <c r="M582" s="371"/>
      <c r="N582" s="46"/>
      <c r="O582" s="48" t="b">
        <v>0</v>
      </c>
      <c r="P582" s="459" t="s">
        <v>30</v>
      </c>
      <c r="Q582" s="371"/>
      <c r="R582" s="371"/>
      <c r="S582" s="46"/>
      <c r="T582" s="46"/>
      <c r="U582" s="460"/>
      <c r="V582" s="371"/>
      <c r="W582" s="46"/>
      <c r="X582" s="46"/>
      <c r="Y582" s="46"/>
      <c r="Z582" s="46"/>
      <c r="AA582" s="46"/>
    </row>
    <row r="583" spans="1:27" ht="12.75" x14ac:dyDescent="0.2">
      <c r="A583" s="46"/>
      <c r="B583" s="48" t="b">
        <v>0</v>
      </c>
      <c r="C583" s="459" t="str">
        <f ca="1">敌人!C$74</f>
        <v>暗元素</v>
      </c>
      <c r="D583" s="371"/>
      <c r="E583" s="51">
        <f>敌人!D$74</f>
        <v>4</v>
      </c>
      <c r="F583" s="51">
        <f>敌人!E$74</f>
        <v>0</v>
      </c>
      <c r="G583" s="51">
        <f>敌人!F$74</f>
        <v>0</v>
      </c>
      <c r="H583" s="51">
        <f>敌人!G$74</f>
        <v>0</v>
      </c>
      <c r="I583" s="51">
        <f>敌人!H$74</f>
        <v>0</v>
      </c>
      <c r="J583" s="51">
        <f>敌人!I$74</f>
        <v>0</v>
      </c>
      <c r="K583" s="459" t="str">
        <f ca="1">敌人!J$74</f>
        <v>暗之精灵石（特大）</v>
      </c>
      <c r="L583" s="371"/>
      <c r="M583" s="371"/>
      <c r="N583" s="46"/>
      <c r="O583" s="48" t="b">
        <v>0</v>
      </c>
      <c r="P583" s="459" t="str">
        <f ca="1">道具!$C$5</f>
        <v>ＨＰ全体恢复的葡萄</v>
      </c>
      <c r="Q583" s="371"/>
      <c r="R583" s="371"/>
      <c r="S583" s="46"/>
      <c r="T583" s="46"/>
      <c r="U583" s="460"/>
      <c r="V583" s="371"/>
      <c r="W583" s="46"/>
      <c r="X583" s="46"/>
      <c r="Y583" s="46"/>
      <c r="Z583" s="46"/>
      <c r="AA583" s="46"/>
    </row>
    <row r="584" spans="1:27" ht="12.75" x14ac:dyDescent="0.2">
      <c r="A584" s="46"/>
      <c r="B584" s="467" t="str">
        <f ca="1">语言!$A$16</f>
        <v>小Boss</v>
      </c>
      <c r="C584" s="371"/>
      <c r="D584" s="371"/>
      <c r="E584" s="371"/>
      <c r="F584" s="371"/>
      <c r="G584" s="371"/>
      <c r="H584" s="371"/>
      <c r="I584" s="371"/>
      <c r="J584" s="371"/>
      <c r="K584" s="371"/>
      <c r="L584" s="371"/>
      <c r="M584" s="371"/>
      <c r="N584" s="46"/>
      <c r="O584" s="48" t="b">
        <v>0</v>
      </c>
      <c r="P584" s="459" t="str">
        <f ca="1">道具!$C$523</f>
        <v>暗暗耐性石</v>
      </c>
      <c r="Q584" s="371"/>
      <c r="R584" s="371"/>
      <c r="S584" s="46"/>
      <c r="T584" s="46"/>
      <c r="U584" s="460"/>
      <c r="V584" s="371"/>
      <c r="W584" s="46"/>
      <c r="X584" s="46"/>
      <c r="Y584" s="46"/>
      <c r="Z584" s="46"/>
      <c r="AA584" s="46"/>
    </row>
    <row r="585" spans="1:27" ht="12.75" x14ac:dyDescent="0.2">
      <c r="A585" s="46"/>
      <c r="B585" s="48" t="b">
        <v>0</v>
      </c>
      <c r="C585" s="463" t="str">
        <f ca="1">敌人!C$379</f>
        <v>噬梦</v>
      </c>
      <c r="D585" s="371"/>
      <c r="E585" s="48">
        <f>敌人!D$379</f>
        <v>10</v>
      </c>
      <c r="F585" s="48">
        <f>敌人!E$379</f>
        <v>0</v>
      </c>
      <c r="G585" s="48">
        <f>敌人!F$379</f>
        <v>0</v>
      </c>
      <c r="H585" s="48">
        <f>敌人!G$379</f>
        <v>0</v>
      </c>
      <c r="I585" s="48">
        <f>敌人!H$379</f>
        <v>0</v>
      </c>
      <c r="J585" s="48">
        <f>敌人!I$379</f>
        <v>0</v>
      </c>
      <c r="K585" s="463" t="str">
        <f ca="1">敌人!J$379</f>
        <v>ＨＰ／ＳＰ／ＢＰ恢复的果酱</v>
      </c>
      <c r="L585" s="371"/>
      <c r="M585" s="371"/>
      <c r="N585" s="46"/>
      <c r="O585" s="462" t="str">
        <f ca="1">语言!A$408&amp;" (4 "&amp;语言!$A$19&amp;")"</f>
        <v>魔剑士的祠堂 (4 宝箱)</v>
      </c>
      <c r="P585" s="371"/>
      <c r="Q585" s="371"/>
      <c r="R585" s="371"/>
      <c r="S585" s="46"/>
      <c r="T585" s="46"/>
      <c r="U585" s="460"/>
      <c r="V585" s="371"/>
      <c r="W585" s="46"/>
      <c r="X585" s="46"/>
      <c r="Y585" s="46"/>
      <c r="Z585" s="46"/>
      <c r="AA585" s="46"/>
    </row>
    <row r="586" spans="1:27" ht="12.75" x14ac:dyDescent="0.2">
      <c r="A586" s="46"/>
      <c r="B586" s="462" t="str">
        <f ca="1">语言!A$408&amp;" ("&amp;语言!$A$12&amp;" 50)"</f>
        <v>魔剑士的祠堂 (危险度 50)</v>
      </c>
      <c r="C586" s="371"/>
      <c r="D586" s="371"/>
      <c r="E586" s="371"/>
      <c r="F586" s="371"/>
      <c r="G586" s="371"/>
      <c r="H586" s="371"/>
      <c r="I586" s="371"/>
      <c r="J586" s="371"/>
      <c r="K586" s="371"/>
      <c r="L586" s="371"/>
      <c r="M586" s="371"/>
      <c r="N586" s="46"/>
      <c r="O586" s="48" t="b">
        <v>0</v>
      </c>
      <c r="P586" s="459" t="str">
        <f ca="1">道具!$C$8</f>
        <v>ＳＰ全体恢复的李子</v>
      </c>
      <c r="Q586" s="371"/>
      <c r="R586" s="371"/>
      <c r="S586" s="46"/>
      <c r="T586" s="46"/>
      <c r="U586" s="460"/>
      <c r="V586" s="371"/>
      <c r="W586" s="46"/>
      <c r="X586" s="46"/>
      <c r="Y586" s="46"/>
      <c r="Z586" s="46"/>
      <c r="AA586" s="46"/>
    </row>
    <row r="587" spans="1:27" ht="12.75" x14ac:dyDescent="0.2">
      <c r="A587" s="46"/>
      <c r="B587" s="48" t="b">
        <v>0</v>
      </c>
      <c r="C587" s="459" t="str">
        <f ca="1">敌人!C$184</f>
        <v>古代遗物（冰兽）・异型</v>
      </c>
      <c r="D587" s="371"/>
      <c r="E587" s="51">
        <f>敌人!D$184</f>
        <v>4</v>
      </c>
      <c r="F587" s="51">
        <f>敌人!E$184</f>
        <v>0</v>
      </c>
      <c r="G587" s="51">
        <f>敌人!F$184</f>
        <v>0</v>
      </c>
      <c r="H587" s="51">
        <f>敌人!G$184</f>
        <v>0</v>
      </c>
      <c r="I587" s="51">
        <f>敌人!H$184</f>
        <v>0</v>
      </c>
      <c r="J587" s="51">
        <f>敌人!I$184</f>
        <v>0</v>
      </c>
      <c r="K587" s="459" t="str">
        <f ca="1">敌人!J$184</f>
        <v>冰之精灵石（特大）</v>
      </c>
      <c r="L587" s="371"/>
      <c r="M587" s="371"/>
      <c r="N587" s="46"/>
      <c r="O587" s="48" t="b">
        <v>0</v>
      </c>
      <c r="P587" s="459" t="str">
        <f ca="1">道具!$C$5</f>
        <v>ＨＰ全体恢复的葡萄</v>
      </c>
      <c r="Q587" s="371"/>
      <c r="R587" s="371"/>
      <c r="S587" s="46"/>
      <c r="T587" s="46"/>
      <c r="U587" s="460"/>
      <c r="V587" s="371"/>
      <c r="W587" s="46"/>
      <c r="X587" s="46"/>
      <c r="Y587" s="46"/>
      <c r="Z587" s="46"/>
      <c r="AA587" s="46"/>
    </row>
    <row r="588" spans="1:27" ht="12.75" x14ac:dyDescent="0.2">
      <c r="A588" s="46"/>
      <c r="B588" s="48" t="b">
        <v>0</v>
      </c>
      <c r="C588" s="459" t="str">
        <f ca="1">敌人!C$185</f>
        <v>古代遗物・冰兵</v>
      </c>
      <c r="D588" s="371"/>
      <c r="E588" s="51">
        <f>敌人!D$185</f>
        <v>8</v>
      </c>
      <c r="F588" s="51">
        <f>敌人!E$185</f>
        <v>0</v>
      </c>
      <c r="G588" s="51">
        <f>敌人!F$185</f>
        <v>0</v>
      </c>
      <c r="H588" s="51">
        <f>敌人!G$185</f>
        <v>0</v>
      </c>
      <c r="I588" s="51">
        <f>敌人!H$185</f>
        <v>0</v>
      </c>
      <c r="J588" s="51">
        <f>敌人!I$185</f>
        <v>0</v>
      </c>
      <c r="K588" s="459" t="str">
        <f ca="1">敌人!J$185</f>
        <v>ＳＰ全体恢复的李子</v>
      </c>
      <c r="L588" s="371"/>
      <c r="M588" s="371"/>
      <c r="N588" s="46"/>
      <c r="O588" s="48" t="b">
        <v>0</v>
      </c>
      <c r="P588" s="459" t="s">
        <v>31</v>
      </c>
      <c r="Q588" s="371"/>
      <c r="R588" s="371"/>
      <c r="S588" s="46"/>
      <c r="T588" s="46"/>
      <c r="U588" s="460"/>
      <c r="V588" s="371"/>
      <c r="W588" s="46"/>
      <c r="X588" s="46"/>
      <c r="Y588" s="46"/>
      <c r="Z588" s="46"/>
      <c r="AA588" s="46"/>
    </row>
    <row r="589" spans="1:27" ht="12.75" x14ac:dyDescent="0.2">
      <c r="A589" s="46"/>
      <c r="B589" s="48" t="b">
        <v>0</v>
      </c>
      <c r="C589" s="459" t="str">
        <f ca="1">敌人!C$364</f>
        <v>古代遗物（风兽）・异型</v>
      </c>
      <c r="D589" s="371"/>
      <c r="E589" s="51">
        <f>敌人!D$364</f>
        <v>2</v>
      </c>
      <c r="F589" s="51">
        <f>敌人!E$364</f>
        <v>0</v>
      </c>
      <c r="G589" s="51">
        <f>敌人!F$364</f>
        <v>0</v>
      </c>
      <c r="H589" s="51">
        <f>敌人!G$364</f>
        <v>0</v>
      </c>
      <c r="I589" s="51">
        <f>敌人!H$364</f>
        <v>0</v>
      </c>
      <c r="J589" s="51">
        <f>敌人!I$364</f>
        <v>0</v>
      </c>
      <c r="K589" s="459" t="str">
        <f ca="1">敌人!J$364</f>
        <v>风之精灵石（特大）</v>
      </c>
      <c r="L589" s="371"/>
      <c r="M589" s="371"/>
      <c r="N589" s="46"/>
      <c r="O589" s="48" t="b">
        <v>0</v>
      </c>
      <c r="P589" s="459" t="str">
        <f ca="1">道具!$C$13</f>
        <v>ＨＰ／ＳＰ／ＢＰ恢复的果酱</v>
      </c>
      <c r="Q589" s="371"/>
      <c r="R589" s="371"/>
      <c r="S589" s="46"/>
      <c r="T589" s="46"/>
      <c r="U589" s="460"/>
      <c r="V589" s="371"/>
      <c r="W589" s="46"/>
      <c r="X589" s="46"/>
      <c r="Y589" s="46"/>
      <c r="Z589" s="46"/>
      <c r="AA589" s="46"/>
    </row>
    <row r="590" spans="1:27" ht="12.75" x14ac:dyDescent="0.2">
      <c r="A590" s="46"/>
      <c r="B590" s="48" t="b">
        <v>0</v>
      </c>
      <c r="C590" s="459" t="str">
        <f ca="1">敌人!C$365</f>
        <v>古代遗物・风兵</v>
      </c>
      <c r="D590" s="371"/>
      <c r="E590" s="51">
        <f>敌人!D$365</f>
        <v>7</v>
      </c>
      <c r="F590" s="51">
        <f>敌人!E$365</f>
        <v>0</v>
      </c>
      <c r="G590" s="51">
        <f>敌人!F$365</f>
        <v>0</v>
      </c>
      <c r="H590" s="51">
        <f>敌人!G$365</f>
        <v>0</v>
      </c>
      <c r="I590" s="51">
        <f>敌人!H$365</f>
        <v>0</v>
      </c>
      <c r="J590" s="51">
        <f>敌人!I$365</f>
        <v>0</v>
      </c>
      <c r="K590" s="459" t="str">
        <f ca="1">敌人!J$365</f>
        <v>ＳＰ全体恢复的李子</v>
      </c>
      <c r="L590" s="371"/>
      <c r="M590" s="371"/>
      <c r="N590" s="46"/>
      <c r="O590" s="46"/>
      <c r="P590" s="460"/>
      <c r="Q590" s="371"/>
      <c r="R590" s="371"/>
      <c r="S590" s="46"/>
      <c r="T590" s="46"/>
      <c r="U590" s="460"/>
      <c r="V590" s="371"/>
      <c r="W590" s="46"/>
      <c r="X590" s="46"/>
      <c r="Y590" s="46"/>
      <c r="Z590" s="46"/>
      <c r="AA590" s="46"/>
    </row>
    <row r="591" spans="1:27" ht="12.75" x14ac:dyDescent="0.2">
      <c r="A591" s="46"/>
      <c r="B591" s="48" t="b">
        <v>0</v>
      </c>
      <c r="C591" s="459" t="str">
        <f ca="1">敌人!C$202</f>
        <v>古代遗物（光兽）・异型</v>
      </c>
      <c r="D591" s="371"/>
      <c r="E591" s="51">
        <f>敌人!D$202</f>
        <v>3</v>
      </c>
      <c r="F591" s="51">
        <f>敌人!E$202</f>
        <v>0</v>
      </c>
      <c r="G591" s="51">
        <f>敌人!F$202</f>
        <v>0</v>
      </c>
      <c r="H591" s="51">
        <f>敌人!G$202</f>
        <v>0</v>
      </c>
      <c r="I591" s="51">
        <f>敌人!H$202</f>
        <v>0</v>
      </c>
      <c r="J591" s="51">
        <f>敌人!I$202</f>
        <v>0</v>
      </c>
      <c r="K591" s="459" t="str">
        <f ca="1">敌人!J$202</f>
        <v>光之精灵石（特大）</v>
      </c>
      <c r="L591" s="371"/>
      <c r="M591" s="371"/>
      <c r="N591" s="46"/>
      <c r="O591" s="46"/>
      <c r="P591" s="460"/>
      <c r="Q591" s="371"/>
      <c r="R591" s="371"/>
      <c r="S591" s="46"/>
      <c r="T591" s="46"/>
      <c r="U591" s="460"/>
      <c r="V591" s="371"/>
      <c r="W591" s="46"/>
      <c r="X591" s="46"/>
      <c r="Y591" s="46"/>
      <c r="Z591" s="46"/>
      <c r="AA591" s="46"/>
    </row>
    <row r="592" spans="1:27" ht="12.75" x14ac:dyDescent="0.2">
      <c r="A592" s="46"/>
      <c r="B592" s="48" t="b">
        <v>0</v>
      </c>
      <c r="C592" s="459" t="str">
        <f ca="1">敌人!C$203</f>
        <v>古代遗物・光兵</v>
      </c>
      <c r="D592" s="371"/>
      <c r="E592" s="51">
        <f>敌人!D$203</f>
        <v>8</v>
      </c>
      <c r="F592" s="51">
        <f>敌人!E$203</f>
        <v>0</v>
      </c>
      <c r="G592" s="51">
        <f>敌人!F$203</f>
        <v>0</v>
      </c>
      <c r="H592" s="51">
        <f>敌人!G$203</f>
        <v>0</v>
      </c>
      <c r="I592" s="51">
        <f>敌人!H$203</f>
        <v>0</v>
      </c>
      <c r="J592" s="51">
        <f>敌人!I$203</f>
        <v>0</v>
      </c>
      <c r="K592" s="459" t="str">
        <f ca="1">敌人!J$203</f>
        <v>ＳＰ全体恢复的李子</v>
      </c>
      <c r="L592" s="371"/>
      <c r="M592" s="371"/>
      <c r="N592" s="46"/>
      <c r="O592" s="46"/>
      <c r="P592" s="460"/>
      <c r="Q592" s="371"/>
      <c r="R592" s="371"/>
      <c r="S592" s="46"/>
      <c r="T592" s="46"/>
      <c r="U592" s="460"/>
      <c r="V592" s="371"/>
      <c r="W592" s="46"/>
      <c r="X592" s="46"/>
      <c r="Y592" s="46"/>
      <c r="Z592" s="46"/>
      <c r="AA592" s="46"/>
    </row>
    <row r="593" spans="1:27" ht="12.75" x14ac:dyDescent="0.2">
      <c r="A593" s="46"/>
      <c r="B593" s="48" t="b">
        <v>0</v>
      </c>
      <c r="C593" s="459" t="str">
        <f ca="1">敌人!C$9</f>
        <v>腐朽的盔甲</v>
      </c>
      <c r="D593" s="371"/>
      <c r="E593" s="51">
        <f>敌人!D$9</f>
        <v>6</v>
      </c>
      <c r="F593" s="51">
        <f>敌人!E$9</f>
        <v>0</v>
      </c>
      <c r="G593" s="51">
        <f>敌人!F$9</f>
        <v>0</v>
      </c>
      <c r="H593" s="51">
        <f>敌人!G$9</f>
        <v>0</v>
      </c>
      <c r="I593" s="51">
        <f>敌人!H$9</f>
        <v>0</v>
      </c>
      <c r="J593" s="51">
        <f>敌人!I$9</f>
        <v>0</v>
      </c>
      <c r="K593" s="459" t="str">
        <f ca="1">敌人!J$9</f>
        <v>ＨＰ／ＳＰ恢复的果酱</v>
      </c>
      <c r="L593" s="371"/>
      <c r="M593" s="371"/>
      <c r="N593" s="46"/>
      <c r="O593" s="46"/>
      <c r="P593" s="492"/>
      <c r="Q593" s="371"/>
      <c r="R593" s="371"/>
      <c r="S593" s="46"/>
      <c r="T593" s="46"/>
      <c r="U593" s="460"/>
      <c r="V593" s="371"/>
      <c r="W593" s="46"/>
      <c r="X593" s="46"/>
      <c r="Y593" s="46"/>
      <c r="Z593" s="46"/>
      <c r="AA593" s="46"/>
    </row>
    <row r="594" spans="1:27" ht="12.75" x14ac:dyDescent="0.2">
      <c r="A594" s="46"/>
      <c r="B594" s="467" t="str">
        <f ca="1">语言!$A$15</f>
        <v>Boss</v>
      </c>
      <c r="C594" s="371"/>
      <c r="D594" s="371"/>
      <c r="E594" s="371"/>
      <c r="F594" s="371"/>
      <c r="G594" s="371"/>
      <c r="H594" s="371"/>
      <c r="I594" s="371"/>
      <c r="J594" s="371"/>
      <c r="K594" s="371"/>
      <c r="L594" s="371"/>
      <c r="M594" s="371"/>
      <c r="N594" s="46"/>
      <c r="O594" s="46"/>
      <c r="P594" s="460"/>
      <c r="Q594" s="371"/>
      <c r="R594" s="371"/>
      <c r="S594" s="46"/>
      <c r="T594" s="46"/>
      <c r="U594" s="460"/>
      <c r="V594" s="371"/>
      <c r="W594" s="46"/>
      <c r="X594" s="46"/>
      <c r="Y594" s="46"/>
      <c r="Z594" s="46"/>
      <c r="AA594" s="46"/>
    </row>
    <row r="595" spans="1:27" ht="12.75" x14ac:dyDescent="0.2">
      <c r="A595" s="46"/>
      <c r="B595" s="48" t="b">
        <v>0</v>
      </c>
      <c r="C595" s="463" t="str">
        <f ca="1">敌人!C$489</f>
        <v>魔剑士巴罗格</v>
      </c>
      <c r="D595" s="371"/>
      <c r="E595" s="48">
        <f>敌人!D$489</f>
        <v>5</v>
      </c>
      <c r="F595" s="48">
        <f>敌人!E$489</f>
        <v>0</v>
      </c>
      <c r="G595" s="48">
        <f>敌人!F$489</f>
        <v>0</v>
      </c>
      <c r="H595" s="48">
        <f>敌人!G$489</f>
        <v>0</v>
      </c>
      <c r="I595" s="48">
        <f>敌人!H$489</f>
        <v>0</v>
      </c>
      <c r="J595" s="48">
        <f>敌人!I$489</f>
        <v>0</v>
      </c>
      <c r="K595" s="463" t="str">
        <f ca="1">敌人!J$489</f>
        <v>ＨＰ／ＳＰ恢复的果酱</v>
      </c>
      <c r="L595" s="371"/>
      <c r="M595" s="371"/>
      <c r="N595" s="46"/>
      <c r="O595" s="46"/>
      <c r="P595" s="468"/>
      <c r="Q595" s="371"/>
      <c r="R595" s="371"/>
      <c r="S595" s="46"/>
      <c r="T595" s="46"/>
      <c r="U595" s="460"/>
      <c r="V595" s="371"/>
      <c r="W595" s="46"/>
      <c r="X595" s="46"/>
      <c r="Y595" s="46"/>
      <c r="Z595" s="46"/>
      <c r="AA595" s="46"/>
    </row>
    <row r="596" spans="1:27" ht="12.75" x14ac:dyDescent="0.2">
      <c r="A596" s="46"/>
      <c r="B596" s="46"/>
      <c r="C596" s="460"/>
      <c r="D596" s="371"/>
      <c r="E596" s="46"/>
      <c r="F596" s="46"/>
      <c r="G596" s="46"/>
      <c r="H596" s="46"/>
      <c r="I596" s="46"/>
      <c r="J596" s="46"/>
      <c r="K596" s="460"/>
      <c r="L596" s="371"/>
      <c r="M596" s="371"/>
      <c r="N596" s="46"/>
      <c r="O596" s="46"/>
      <c r="P596" s="468"/>
      <c r="Q596" s="371"/>
      <c r="R596" s="371"/>
      <c r="S596" s="46"/>
      <c r="T596" s="46"/>
      <c r="U596" s="460"/>
      <c r="V596" s="371"/>
      <c r="W596" s="46"/>
      <c r="X596" s="46"/>
      <c r="Y596" s="46"/>
      <c r="Z596" s="46"/>
      <c r="AA596" s="46"/>
    </row>
    <row r="597" spans="1:27" ht="12.75" x14ac:dyDescent="0.2">
      <c r="A597" s="46"/>
      <c r="B597" s="461" t="str">
        <f ca="1">语言!$A$39&amp;" "&amp;语言!$A$14&amp;" 4"</f>
        <v>普里姆萝洁 章节 4</v>
      </c>
      <c r="C597" s="371"/>
      <c r="D597" s="371"/>
      <c r="E597" s="371"/>
      <c r="F597" s="371"/>
      <c r="G597" s="371"/>
      <c r="H597" s="371"/>
      <c r="I597" s="371"/>
      <c r="J597" s="371"/>
      <c r="K597" s="371"/>
      <c r="L597" s="371"/>
      <c r="M597" s="371"/>
      <c r="N597" s="46"/>
      <c r="O597" s="461" t="str">
        <f ca="1">语言!$A$39&amp;" "&amp;语言!$A$14&amp;" 4"</f>
        <v>普里姆萝洁 章节 4</v>
      </c>
      <c r="P597" s="371"/>
      <c r="Q597" s="371"/>
      <c r="R597" s="371"/>
      <c r="S597" s="46"/>
      <c r="T597" s="46"/>
      <c r="U597" s="460"/>
      <c r="V597" s="371"/>
      <c r="W597" s="46"/>
      <c r="X597" s="461" t="str">
        <f ca="1">语言!$A$39&amp;" "&amp;语言!$A$14&amp;" 4"</f>
        <v>普里姆萝洁 章节 4</v>
      </c>
      <c r="Y597" s="371"/>
      <c r="Z597" s="371"/>
      <c r="AA597" s="46"/>
    </row>
    <row r="598" spans="1:27" ht="12.75" x14ac:dyDescent="0.2">
      <c r="A598" s="46"/>
      <c r="B598" s="462" t="str">
        <f ca="1">语言!A$410&amp;" ("&amp;语言!$A$12&amp;" 45)"</f>
        <v>大剧场 -下层- (危险度 45)</v>
      </c>
      <c r="C598" s="371"/>
      <c r="D598" s="371"/>
      <c r="E598" s="371"/>
      <c r="F598" s="371"/>
      <c r="G598" s="371"/>
      <c r="H598" s="371"/>
      <c r="I598" s="371"/>
      <c r="J598" s="371"/>
      <c r="K598" s="371"/>
      <c r="L598" s="371"/>
      <c r="M598" s="371"/>
      <c r="N598" s="46"/>
      <c r="O598" s="462" t="str">
        <f ca="1">语言!A$409&amp;" (1 "&amp;语言!$A$19&amp;")"</f>
        <v>大剧场 (1 宝箱)</v>
      </c>
      <c r="P598" s="371"/>
      <c r="Q598" s="371"/>
      <c r="R598" s="371"/>
      <c r="S598" s="46"/>
      <c r="T598" s="46"/>
      <c r="U598" s="460"/>
      <c r="V598" s="371"/>
      <c r="W598" s="46"/>
      <c r="X598" s="462" t="s">
        <v>15</v>
      </c>
      <c r="Y598" s="371"/>
      <c r="Z598" s="371"/>
      <c r="AA598" s="46"/>
    </row>
    <row r="599" spans="1:27" ht="12.75" x14ac:dyDescent="0.2">
      <c r="A599" s="46"/>
      <c r="B599" s="48" t="b">
        <v>0</v>
      </c>
      <c r="C599" s="459" t="str">
        <f ca="1">敌人!C$231</f>
        <v>黑曜会干部 I</v>
      </c>
      <c r="D599" s="371"/>
      <c r="E599" s="51">
        <f>敌人!D$231</f>
        <v>2</v>
      </c>
      <c r="F599" s="51">
        <f>敌人!E$231</f>
        <v>0</v>
      </c>
      <c r="G599" s="51">
        <f>敌人!F$231</f>
        <v>0</v>
      </c>
      <c r="H599" s="51">
        <f>敌人!G$231</f>
        <v>0</v>
      </c>
      <c r="I599" s="51">
        <f>敌人!H$231</f>
        <v>0</v>
      </c>
      <c r="J599" s="51">
        <f>敌人!I$231</f>
        <v>0</v>
      </c>
      <c r="K599" s="459" t="str">
        <f ca="1">敌人!J$231</f>
        <v>毒治疗药草</v>
      </c>
      <c r="L599" s="371"/>
      <c r="M599" s="371"/>
      <c r="N599" s="46"/>
      <c r="O599" s="48" t="b">
        <v>0</v>
      </c>
      <c r="P599" s="493" t="str">
        <f ca="1">道具!$C$8</f>
        <v>ＳＰ全体恢复的李子</v>
      </c>
      <c r="Q599" s="371"/>
      <c r="R599" s="371"/>
      <c r="S599" s="46"/>
      <c r="T599" s="46"/>
      <c r="U599" s="460"/>
      <c r="V599" s="371"/>
      <c r="W599" s="46"/>
      <c r="X599" s="464" t="b">
        <v>0</v>
      </c>
      <c r="Y599" s="479" t="str">
        <f ca="1">敌人!$C$472&amp;" &amp;
"&amp;敌人!$C$473&amp;"
Items:
"&amp;道具!$C$464&amp;", "&amp;道具!$C$465</f>
        <v>傀儡人偶・父亲 &amp;
傀儡人偶・舞娘
Items:
物理腰带, 精神腰带</v>
      </c>
      <c r="Z599" s="479" t="str">
        <f ca="1">"During the 1st phase of the boss battle against "&amp;敌人!$C$471&amp;" steal both "&amp;道具!$C$464&amp;" &amp; "&amp;道具!$C$465&amp;", those items are not limited in quantity but they are rare and somewhat time consuming to farm so take advantage of this opportunity to steal those (even better with "&amp;语言!$A$198&amp;" support)."</f>
        <v>During the 1st phase of the boss battle against 席米恩 steal both 物理腰带 &amp; 精神腰带, those items are not limited in quantity but they are rare and somewhat time consuming to farm so take advantage of this opportunity to steal those (even better with 连偷带抢 support).</v>
      </c>
      <c r="AA599" s="46"/>
    </row>
    <row r="600" spans="1:27" ht="12.75" x14ac:dyDescent="0.2">
      <c r="A600" s="46"/>
      <c r="B600" s="48" t="b">
        <v>0</v>
      </c>
      <c r="C600" s="459" t="str">
        <f ca="1">敌人!C$232</f>
        <v>黑曜会干部 II</v>
      </c>
      <c r="D600" s="371"/>
      <c r="E600" s="51">
        <f>敌人!D$232</f>
        <v>1</v>
      </c>
      <c r="F600" s="51">
        <f>敌人!E$232</f>
        <v>0</v>
      </c>
      <c r="G600" s="51">
        <f>敌人!F$232</f>
        <v>0</v>
      </c>
      <c r="H600" s="51">
        <f>敌人!G$232</f>
        <v>0</v>
      </c>
      <c r="I600" s="51">
        <f>敌人!H$232</f>
        <v>0</v>
      </c>
      <c r="J600" s="51">
        <f>敌人!I$232</f>
        <v>0</v>
      </c>
      <c r="K600" s="459" t="str">
        <f ca="1">敌人!J$232</f>
        <v>毒瓶</v>
      </c>
      <c r="L600" s="371"/>
      <c r="M600" s="371"/>
      <c r="N600" s="46"/>
      <c r="O600" s="462" t="str">
        <f ca="1">语言!A$410&amp;" (8 "&amp;语言!$A$19&amp;")"</f>
        <v>大剧场 -下层- (8 宝箱)</v>
      </c>
      <c r="P600" s="371"/>
      <c r="Q600" s="371"/>
      <c r="R600" s="371"/>
      <c r="S600" s="46"/>
      <c r="T600" s="46"/>
      <c r="U600" s="460"/>
      <c r="V600" s="371"/>
      <c r="W600" s="46"/>
      <c r="X600" s="371"/>
      <c r="Y600" s="371"/>
      <c r="Z600" s="371"/>
      <c r="AA600" s="46"/>
    </row>
    <row r="601" spans="1:27" ht="12.75" x14ac:dyDescent="0.2">
      <c r="A601" s="46"/>
      <c r="B601" s="48" t="b">
        <v>0</v>
      </c>
      <c r="C601" s="459" t="str">
        <f ca="1">敌人!C$187</f>
        <v>魔导机（冰）・异型</v>
      </c>
      <c r="D601" s="371"/>
      <c r="E601" s="51">
        <f>敌人!D$187</f>
        <v>1</v>
      </c>
      <c r="F601" s="51">
        <f>敌人!E$187</f>
        <v>0</v>
      </c>
      <c r="G601" s="51">
        <f>敌人!F$187</f>
        <v>0</v>
      </c>
      <c r="H601" s="51">
        <f>敌人!G$187</f>
        <v>0</v>
      </c>
      <c r="I601" s="51">
        <f>敌人!H$187</f>
        <v>0</v>
      </c>
      <c r="J601" s="51">
        <f>敌人!I$187</f>
        <v>0</v>
      </c>
      <c r="K601" s="459" t="str">
        <f ca="1">敌人!J$187</f>
        <v>冰之精灵石（大）</v>
      </c>
      <c r="L601" s="371"/>
      <c r="M601" s="371"/>
      <c r="N601" s="46"/>
      <c r="O601" s="48" t="b">
        <v>0</v>
      </c>
      <c r="P601" s="459" t="str">
        <f ca="1">道具!$C$142&amp;" ("&amp;语言!$A$20&amp;")"</f>
        <v>透明军刀 (上锁宝箱)</v>
      </c>
      <c r="Q601" s="371"/>
      <c r="R601" s="371"/>
      <c r="S601" s="46"/>
      <c r="T601" s="46"/>
      <c r="U601" s="460"/>
      <c r="V601" s="371"/>
      <c r="W601" s="46"/>
      <c r="X601" s="371"/>
      <c r="Y601" s="371"/>
      <c r="Z601" s="371"/>
      <c r="AA601" s="46"/>
    </row>
    <row r="602" spans="1:27" ht="12.75" x14ac:dyDescent="0.2">
      <c r="A602" s="46"/>
      <c r="B602" s="48" t="b">
        <v>0</v>
      </c>
      <c r="C602" s="459" t="str">
        <f ca="1">敌人!C$170</f>
        <v>魔导飞器（冰）・异型</v>
      </c>
      <c r="D602" s="371"/>
      <c r="E602" s="51">
        <f>敌人!D$170</f>
        <v>3</v>
      </c>
      <c r="F602" s="51">
        <f>敌人!E$170</f>
        <v>0</v>
      </c>
      <c r="G602" s="51">
        <f>敌人!F$170</f>
        <v>0</v>
      </c>
      <c r="H602" s="51">
        <f>敌人!G$170</f>
        <v>0</v>
      </c>
      <c r="I602" s="51">
        <f>敌人!H$170</f>
        <v>0</v>
      </c>
      <c r="J602" s="51">
        <f>敌人!I$170</f>
        <v>0</v>
      </c>
      <c r="K602" s="459" t="str">
        <f ca="1">敌人!J$170</f>
        <v>冰之精灵石（大）</v>
      </c>
      <c r="L602" s="371"/>
      <c r="M602" s="371"/>
      <c r="N602" s="46"/>
      <c r="O602" s="48" t="b">
        <v>0</v>
      </c>
      <c r="P602" s="459" t="str">
        <f ca="1">道具!$C$32</f>
        <v>火之精灵石（特大）</v>
      </c>
      <c r="Q602" s="371"/>
      <c r="R602" s="371"/>
      <c r="S602" s="46"/>
      <c r="T602" s="46"/>
      <c r="U602" s="460"/>
      <c r="V602" s="371"/>
      <c r="W602" s="46"/>
      <c r="X602" s="371"/>
      <c r="Y602" s="371"/>
      <c r="Z602" s="371"/>
      <c r="AA602" s="46"/>
    </row>
    <row r="603" spans="1:27" ht="12.75" x14ac:dyDescent="0.2">
      <c r="A603" s="46"/>
      <c r="B603" s="48" t="b">
        <v>0</v>
      </c>
      <c r="C603" s="459" t="str">
        <f ca="1">敌人!C$205</f>
        <v>魔导机（光）・异型</v>
      </c>
      <c r="D603" s="371"/>
      <c r="E603" s="51">
        <f>敌人!D$205</f>
        <v>1</v>
      </c>
      <c r="F603" s="51">
        <f>敌人!E$205</f>
        <v>0</v>
      </c>
      <c r="G603" s="51">
        <f>敌人!F$205</f>
        <v>0</v>
      </c>
      <c r="H603" s="51">
        <f>敌人!G$205</f>
        <v>0</v>
      </c>
      <c r="I603" s="51">
        <f>敌人!H$205</f>
        <v>0</v>
      </c>
      <c r="J603" s="51">
        <f>敌人!I$205</f>
        <v>0</v>
      </c>
      <c r="K603" s="459" t="str">
        <f ca="1">敌人!J$205</f>
        <v>光之精灵石（大）</v>
      </c>
      <c r="L603" s="371"/>
      <c r="M603" s="371"/>
      <c r="N603" s="46"/>
      <c r="O603" s="48" t="b">
        <v>0</v>
      </c>
      <c r="P603" s="459" t="s">
        <v>17</v>
      </c>
      <c r="Q603" s="371"/>
      <c r="R603" s="371"/>
      <c r="S603" s="46"/>
      <c r="T603" s="46"/>
      <c r="U603" s="460"/>
      <c r="V603" s="371"/>
      <c r="W603" s="46"/>
      <c r="X603" s="371"/>
      <c r="Y603" s="371"/>
      <c r="Z603" s="371"/>
      <c r="AA603" s="46"/>
    </row>
    <row r="604" spans="1:27" ht="12.75" x14ac:dyDescent="0.2">
      <c r="A604" s="46"/>
      <c r="B604" s="48" t="b">
        <v>0</v>
      </c>
      <c r="C604" s="459" t="str">
        <f ca="1">敌人!C$197</f>
        <v>魔导飞器（光）・异型</v>
      </c>
      <c r="D604" s="371"/>
      <c r="E604" s="51">
        <f>敌人!D$197</f>
        <v>3</v>
      </c>
      <c r="F604" s="51">
        <f>敌人!E$197</f>
        <v>0</v>
      </c>
      <c r="G604" s="51">
        <f>敌人!F$197</f>
        <v>0</v>
      </c>
      <c r="H604" s="51">
        <f>敌人!G$197</f>
        <v>0</v>
      </c>
      <c r="I604" s="51">
        <f>敌人!H$197</f>
        <v>0</v>
      </c>
      <c r="J604" s="51">
        <f>敌人!I$197</f>
        <v>0</v>
      </c>
      <c r="K604" s="459" t="str">
        <f ca="1">敌人!J$197</f>
        <v>光之精灵石（大）</v>
      </c>
      <c r="L604" s="371"/>
      <c r="M604" s="371"/>
      <c r="N604" s="46"/>
      <c r="O604" s="48" t="b">
        <v>0</v>
      </c>
      <c r="P604" s="459" t="str">
        <f ca="1">道具!$C$407</f>
        <v>精致舞娘衣服</v>
      </c>
      <c r="Q604" s="371"/>
      <c r="R604" s="371"/>
      <c r="S604" s="46"/>
      <c r="T604" s="46"/>
      <c r="U604" s="460"/>
      <c r="V604" s="371"/>
      <c r="W604" s="46"/>
      <c r="X604" s="371"/>
      <c r="Y604" s="371"/>
      <c r="Z604" s="371"/>
      <c r="AA604" s="46"/>
    </row>
    <row r="605" spans="1:27" ht="12.75" x14ac:dyDescent="0.2">
      <c r="A605" s="46"/>
      <c r="B605" s="462" t="str">
        <f ca="1">语言!A$411&amp;" ("&amp;语言!$A$12&amp;" 46)"</f>
        <v>大剧场 -上层- (危险度 46)</v>
      </c>
      <c r="C605" s="371"/>
      <c r="D605" s="371"/>
      <c r="E605" s="371"/>
      <c r="F605" s="371"/>
      <c r="G605" s="371"/>
      <c r="H605" s="371"/>
      <c r="I605" s="371"/>
      <c r="J605" s="371"/>
      <c r="K605" s="371"/>
      <c r="L605" s="371"/>
      <c r="M605" s="371"/>
      <c r="N605" s="46"/>
      <c r="O605" s="48" t="b">
        <v>0</v>
      </c>
      <c r="P605" s="459" t="s">
        <v>22</v>
      </c>
      <c r="Q605" s="371"/>
      <c r="R605" s="371"/>
      <c r="S605" s="46"/>
      <c r="T605" s="46"/>
      <c r="U605" s="460"/>
      <c r="V605" s="371"/>
      <c r="W605" s="46"/>
      <c r="X605" s="46"/>
      <c r="Y605" s="46"/>
      <c r="Z605" s="46"/>
      <c r="AA605" s="46"/>
    </row>
    <row r="606" spans="1:27" ht="12.75" x14ac:dyDescent="0.2">
      <c r="A606" s="46"/>
      <c r="B606" s="48" t="b">
        <v>0</v>
      </c>
      <c r="C606" s="459" t="str">
        <f ca="1">敌人!C$187</f>
        <v>魔导机（冰）・异型</v>
      </c>
      <c r="D606" s="371"/>
      <c r="E606" s="51">
        <f>敌人!D$187</f>
        <v>1</v>
      </c>
      <c r="F606" s="51">
        <f>敌人!E$187</f>
        <v>0</v>
      </c>
      <c r="G606" s="51">
        <f>敌人!F$187</f>
        <v>0</v>
      </c>
      <c r="H606" s="51">
        <f>敌人!G$187</f>
        <v>0</v>
      </c>
      <c r="I606" s="51">
        <f>敌人!H$187</f>
        <v>0</v>
      </c>
      <c r="J606" s="51">
        <f>敌人!I$187</f>
        <v>0</v>
      </c>
      <c r="K606" s="459" t="str">
        <f ca="1">敌人!J$187</f>
        <v>冰之精灵石（大）</v>
      </c>
      <c r="L606" s="371"/>
      <c r="M606" s="371"/>
      <c r="N606" s="46"/>
      <c r="O606" s="48" t="b">
        <v>0</v>
      </c>
      <c r="P606" s="459" t="str">
        <f ca="1">道具!$C$12</f>
        <v>ＨＰ／ＳＰ恢复的果酱</v>
      </c>
      <c r="Q606" s="371"/>
      <c r="R606" s="371"/>
      <c r="S606" s="46"/>
      <c r="T606" s="46"/>
      <c r="U606" s="460"/>
      <c r="V606" s="371"/>
      <c r="W606" s="46"/>
      <c r="X606" s="46"/>
      <c r="Y606" s="46"/>
      <c r="Z606" s="46"/>
      <c r="AA606" s="46"/>
    </row>
    <row r="607" spans="1:27" ht="12.75" x14ac:dyDescent="0.2">
      <c r="A607" s="46"/>
      <c r="B607" s="48" t="b">
        <v>0</v>
      </c>
      <c r="C607" s="459" t="str">
        <f ca="1">敌人!C$173</f>
        <v>魔导机兵（冰）・异型</v>
      </c>
      <c r="D607" s="371"/>
      <c r="E607" s="51">
        <f>敌人!D$173</f>
        <v>4</v>
      </c>
      <c r="F607" s="51">
        <f>敌人!E$173</f>
        <v>0</v>
      </c>
      <c r="G607" s="51">
        <f>敌人!F$173</f>
        <v>0</v>
      </c>
      <c r="H607" s="51">
        <f>敌人!G$173</f>
        <v>0</v>
      </c>
      <c r="I607" s="51">
        <f>敌人!H$173</f>
        <v>0</v>
      </c>
      <c r="J607" s="51">
        <f>敌人!I$173</f>
        <v>0</v>
      </c>
      <c r="K607" s="459" t="str">
        <f ca="1">敌人!J$173</f>
        <v>冰之精灵石（大）</v>
      </c>
      <c r="L607" s="371"/>
      <c r="M607" s="371"/>
      <c r="N607" s="46"/>
      <c r="O607" s="48" t="b">
        <v>0</v>
      </c>
      <c r="P607" s="459" t="str">
        <f ca="1">道具!$C$7</f>
        <v>ＳＰ恢复的李子（大）</v>
      </c>
      <c r="Q607" s="371"/>
      <c r="R607" s="371"/>
      <c r="S607" s="46"/>
      <c r="T607" s="46"/>
      <c r="U607" s="460"/>
      <c r="V607" s="371"/>
      <c r="W607" s="46"/>
      <c r="X607" s="46"/>
      <c r="Y607" s="46"/>
      <c r="Z607" s="46"/>
      <c r="AA607" s="46"/>
    </row>
    <row r="608" spans="1:27" ht="12.75" x14ac:dyDescent="0.2">
      <c r="A608" s="46"/>
      <c r="B608" s="48" t="b">
        <v>0</v>
      </c>
      <c r="C608" s="459" t="str">
        <f ca="1">敌人!C$170</f>
        <v>魔导飞器（冰）・异型</v>
      </c>
      <c r="D608" s="371"/>
      <c r="E608" s="51">
        <f>敌人!D$170</f>
        <v>3</v>
      </c>
      <c r="F608" s="51">
        <f>敌人!E$170</f>
        <v>0</v>
      </c>
      <c r="G608" s="51">
        <f>敌人!F$170</f>
        <v>0</v>
      </c>
      <c r="H608" s="51">
        <f>敌人!G$170</f>
        <v>0</v>
      </c>
      <c r="I608" s="51">
        <f>敌人!H$170</f>
        <v>0</v>
      </c>
      <c r="J608" s="51">
        <f>敌人!I$170</f>
        <v>0</v>
      </c>
      <c r="K608" s="459" t="str">
        <f ca="1">敌人!J$170</f>
        <v>冰之精灵石（大）</v>
      </c>
      <c r="L608" s="371"/>
      <c r="M608" s="371"/>
      <c r="N608" s="46"/>
      <c r="O608" s="48" t="b">
        <v>0</v>
      </c>
      <c r="P608" s="459" t="str">
        <f ca="1">道具!$C$506</f>
        <v>火焰避邪符</v>
      </c>
      <c r="Q608" s="371"/>
      <c r="R608" s="371"/>
      <c r="S608" s="46"/>
      <c r="T608" s="46"/>
      <c r="U608" s="460"/>
      <c r="V608" s="371"/>
      <c r="W608" s="46"/>
      <c r="X608" s="46"/>
      <c r="Y608" s="46"/>
      <c r="Z608" s="46"/>
      <c r="AA608" s="46"/>
    </row>
    <row r="609" spans="1:27" ht="12.75" x14ac:dyDescent="0.2">
      <c r="A609" s="46"/>
      <c r="B609" s="48" t="b">
        <v>0</v>
      </c>
      <c r="C609" s="459" t="str">
        <f ca="1">敌人!C$205</f>
        <v>魔导机（光）・异型</v>
      </c>
      <c r="D609" s="371"/>
      <c r="E609" s="51">
        <f>敌人!D$205</f>
        <v>1</v>
      </c>
      <c r="F609" s="51">
        <f>敌人!E$205</f>
        <v>0</v>
      </c>
      <c r="G609" s="51">
        <f>敌人!F$205</f>
        <v>0</v>
      </c>
      <c r="H609" s="51">
        <f>敌人!G$205</f>
        <v>0</v>
      </c>
      <c r="I609" s="51">
        <f>敌人!H$205</f>
        <v>0</v>
      </c>
      <c r="J609" s="51">
        <f>敌人!I$205</f>
        <v>0</v>
      </c>
      <c r="K609" s="459" t="str">
        <f ca="1">敌人!J$205</f>
        <v>光之精灵石（大）</v>
      </c>
      <c r="L609" s="371"/>
      <c r="M609" s="371"/>
      <c r="N609" s="46"/>
      <c r="O609" s="462" t="str">
        <f ca="1">语言!A$411&amp;" (6 "&amp;语言!$A$19&amp;")"</f>
        <v>大剧场 -上层- (6 宝箱)</v>
      </c>
      <c r="P609" s="371"/>
      <c r="Q609" s="371"/>
      <c r="R609" s="371"/>
      <c r="S609" s="46"/>
      <c r="T609" s="46"/>
      <c r="U609" s="460"/>
      <c r="V609" s="371"/>
      <c r="W609" s="46"/>
      <c r="X609" s="46"/>
      <c r="Y609" s="46"/>
      <c r="Z609" s="46"/>
      <c r="AA609" s="46"/>
    </row>
    <row r="610" spans="1:27" ht="12.75" x14ac:dyDescent="0.2">
      <c r="A610" s="46"/>
      <c r="B610" s="48" t="b">
        <v>0</v>
      </c>
      <c r="C610" s="459" t="str">
        <f ca="1">敌人!C$200</f>
        <v>魔导机兵（光）・异型</v>
      </c>
      <c r="D610" s="371"/>
      <c r="E610" s="51">
        <f>敌人!D$200</f>
        <v>2</v>
      </c>
      <c r="F610" s="51">
        <f>敌人!E$200</f>
        <v>0</v>
      </c>
      <c r="G610" s="51">
        <f>敌人!F$200</f>
        <v>0</v>
      </c>
      <c r="H610" s="51">
        <f>敌人!G$200</f>
        <v>0</v>
      </c>
      <c r="I610" s="51">
        <f>敌人!H$200</f>
        <v>0</v>
      </c>
      <c r="J610" s="51">
        <f>敌人!I$200</f>
        <v>0</v>
      </c>
      <c r="K610" s="459" t="str">
        <f ca="1">敌人!J$200</f>
        <v>光之精灵石（大）</v>
      </c>
      <c r="L610" s="371"/>
      <c r="M610" s="371"/>
      <c r="N610" s="46"/>
      <c r="O610" s="48" t="b">
        <v>0</v>
      </c>
      <c r="P610" s="459" t="str">
        <f ca="1">道具!$C$310&amp;" ("&amp;语言!$A$20&amp;")"</f>
        <v>魔法之杖 (上锁宝箱)</v>
      </c>
      <c r="Q610" s="371"/>
      <c r="R610" s="371"/>
      <c r="S610" s="46"/>
      <c r="T610" s="46"/>
      <c r="U610" s="460"/>
      <c r="V610" s="371"/>
      <c r="W610" s="46"/>
      <c r="X610" s="46"/>
      <c r="Y610" s="46"/>
      <c r="Z610" s="46"/>
      <c r="AA610" s="46"/>
    </row>
    <row r="611" spans="1:27" ht="12.75" x14ac:dyDescent="0.2">
      <c r="A611" s="46"/>
      <c r="B611" s="48" t="b">
        <v>0</v>
      </c>
      <c r="C611" s="459" t="str">
        <f ca="1">敌人!C$197</f>
        <v>魔导飞器（光）・异型</v>
      </c>
      <c r="D611" s="371"/>
      <c r="E611" s="51">
        <f>敌人!D$197</f>
        <v>3</v>
      </c>
      <c r="F611" s="51">
        <f>敌人!E$197</f>
        <v>0</v>
      </c>
      <c r="G611" s="51">
        <f>敌人!F$197</f>
        <v>0</v>
      </c>
      <c r="H611" s="51">
        <f>敌人!G$197</f>
        <v>0</v>
      </c>
      <c r="I611" s="51">
        <f>敌人!H$197</f>
        <v>0</v>
      </c>
      <c r="J611" s="51">
        <f>敌人!I$197</f>
        <v>0</v>
      </c>
      <c r="K611" s="459" t="str">
        <f ca="1">敌人!J$197</f>
        <v>光之精灵石（大）</v>
      </c>
      <c r="L611" s="371"/>
      <c r="M611" s="371"/>
      <c r="N611" s="46"/>
      <c r="O611" s="48" t="b">
        <v>0</v>
      </c>
      <c r="P611" s="459" t="str">
        <f ca="1">道具!$C$120</f>
        <v>放了银块的皮袋</v>
      </c>
      <c r="Q611" s="371"/>
      <c r="R611" s="371"/>
      <c r="S611" s="46"/>
      <c r="T611" s="46"/>
      <c r="U611" s="460"/>
      <c r="V611" s="371"/>
      <c r="W611" s="46"/>
      <c r="X611" s="46"/>
      <c r="Y611" s="46"/>
      <c r="Z611" s="46"/>
      <c r="AA611" s="46"/>
    </row>
    <row r="612" spans="1:27" ht="12.75" x14ac:dyDescent="0.2">
      <c r="A612" s="46"/>
      <c r="B612" s="465" t="str">
        <f ca="1">语言!$A$15</f>
        <v>Boss</v>
      </c>
      <c r="C612" s="371"/>
      <c r="D612" s="371"/>
      <c r="E612" s="371"/>
      <c r="F612" s="371"/>
      <c r="G612" s="371"/>
      <c r="H612" s="371"/>
      <c r="I612" s="371"/>
      <c r="J612" s="371"/>
      <c r="K612" s="371"/>
      <c r="L612" s="371"/>
      <c r="M612" s="371"/>
      <c r="N612" s="46"/>
      <c r="O612" s="48" t="b">
        <v>0</v>
      </c>
      <c r="P612" s="459" t="str">
        <f ca="1">道具!$C$45</f>
        <v>光之精灵石（特大）</v>
      </c>
      <c r="Q612" s="371"/>
      <c r="R612" s="371"/>
      <c r="S612" s="46"/>
      <c r="T612" s="46"/>
      <c r="U612" s="460"/>
      <c r="V612" s="371"/>
      <c r="W612" s="46"/>
      <c r="X612" s="46"/>
      <c r="Y612" s="46"/>
      <c r="Z612" s="46"/>
      <c r="AA612" s="46"/>
    </row>
    <row r="613" spans="1:27" ht="12.75" x14ac:dyDescent="0.2">
      <c r="A613" s="46"/>
      <c r="B613" s="48" t="b">
        <v>0</v>
      </c>
      <c r="C613" s="459" t="str">
        <f ca="1">敌人!C$471</f>
        <v>席米恩</v>
      </c>
      <c r="D613" s="371"/>
      <c r="E613" s="51">
        <f>敌人!D$471</f>
        <v>3</v>
      </c>
      <c r="F613" s="51">
        <f>敌人!E$471</f>
        <v>0</v>
      </c>
      <c r="G613" s="51">
        <f>敌人!F$471</f>
        <v>0</v>
      </c>
      <c r="H613" s="51">
        <f>敌人!G$471</f>
        <v>0</v>
      </c>
      <c r="I613" s="51">
        <f>敌人!H$471</f>
        <v>0</v>
      </c>
      <c r="J613" s="51">
        <f>敌人!I$471</f>
        <v>0</v>
      </c>
      <c r="K613" s="459" t="str">
        <f ca="1">敌人!J$471</f>
        <v>暗之精灵石（特大）</v>
      </c>
      <c r="L613" s="371"/>
      <c r="M613" s="371"/>
      <c r="N613" s="46"/>
      <c r="O613" s="48" t="b">
        <v>0</v>
      </c>
      <c r="P613" s="459" t="str">
        <f ca="1">道具!$C$523</f>
        <v>暗暗耐性石</v>
      </c>
      <c r="Q613" s="371"/>
      <c r="R613" s="371"/>
      <c r="S613" s="46"/>
      <c r="T613" s="46"/>
      <c r="U613" s="460"/>
      <c r="V613" s="371"/>
      <c r="W613" s="46"/>
      <c r="X613" s="46"/>
      <c r="Y613" s="46"/>
      <c r="Z613" s="46"/>
      <c r="AA613" s="46"/>
    </row>
    <row r="614" spans="1:27" ht="12.75" x14ac:dyDescent="0.2">
      <c r="A614" s="46"/>
      <c r="B614" s="48" t="b">
        <v>0</v>
      </c>
      <c r="C614" s="459" t="str">
        <f ca="1">敌人!C$472</f>
        <v>傀儡人偶・父亲</v>
      </c>
      <c r="D614" s="371"/>
      <c r="E614" s="51">
        <f>敌人!D$472</f>
        <v>5</v>
      </c>
      <c r="F614" s="51">
        <f>敌人!E$472</f>
        <v>0</v>
      </c>
      <c r="G614" s="51">
        <f>敌人!F$472</f>
        <v>0</v>
      </c>
      <c r="H614" s="51">
        <f>敌人!G$472</f>
        <v>0</v>
      </c>
      <c r="I614" s="51">
        <f>敌人!H$472</f>
        <v>0</v>
      </c>
      <c r="J614" s="51">
        <f>敌人!I$472</f>
        <v>0</v>
      </c>
      <c r="K614" s="459" t="str">
        <f ca="1">敌人!J$472</f>
        <v>物理腰带</v>
      </c>
      <c r="L614" s="371"/>
      <c r="M614" s="371"/>
      <c r="N614" s="46"/>
      <c r="O614" s="48" t="b">
        <v>0</v>
      </c>
      <c r="P614" s="459" t="str">
        <f ca="1">道具!$C$13</f>
        <v>ＨＰ／ＳＰ／ＢＰ恢复的果酱</v>
      </c>
      <c r="Q614" s="371"/>
      <c r="R614" s="371"/>
      <c r="S614" s="46"/>
      <c r="T614" s="46"/>
      <c r="U614" s="460"/>
      <c r="V614" s="371"/>
      <c r="W614" s="46"/>
      <c r="X614" s="46"/>
      <c r="Y614" s="46"/>
      <c r="Z614" s="46"/>
      <c r="AA614" s="46"/>
    </row>
    <row r="615" spans="1:27" ht="12.75" x14ac:dyDescent="0.2">
      <c r="A615" s="46"/>
      <c r="B615" s="48" t="b">
        <v>0</v>
      </c>
      <c r="C615" s="459" t="str">
        <f ca="1">敌人!C$473</f>
        <v>傀儡人偶・舞娘</v>
      </c>
      <c r="D615" s="371"/>
      <c r="E615" s="51">
        <f>敌人!D$473</f>
        <v>4</v>
      </c>
      <c r="F615" s="51">
        <f>敌人!E$473</f>
        <v>0</v>
      </c>
      <c r="G615" s="51">
        <f>敌人!F$473</f>
        <v>0</v>
      </c>
      <c r="H615" s="51">
        <f>敌人!G$473</f>
        <v>0</v>
      </c>
      <c r="I615" s="51">
        <f>敌人!H$473</f>
        <v>0</v>
      </c>
      <c r="J615" s="51">
        <f>敌人!I$473</f>
        <v>0</v>
      </c>
      <c r="K615" s="459" t="str">
        <f ca="1">敌人!J$473</f>
        <v>精神腰带</v>
      </c>
      <c r="L615" s="371"/>
      <c r="M615" s="371"/>
      <c r="N615" s="46"/>
      <c r="O615" s="48" t="b">
        <v>0</v>
      </c>
      <c r="P615" s="459" t="str">
        <f ca="1">道具!$C$11</f>
        <v>ＢＰ恢复的石榴（特大）</v>
      </c>
      <c r="Q615" s="371"/>
      <c r="R615" s="371"/>
      <c r="S615" s="46"/>
      <c r="T615" s="46"/>
      <c r="U615" s="460"/>
      <c r="V615" s="371"/>
      <c r="W615" s="46"/>
      <c r="X615" s="46"/>
      <c r="Y615" s="46"/>
      <c r="Z615" s="46"/>
      <c r="AA615" s="46"/>
    </row>
    <row r="616" spans="1:27" ht="12.75" x14ac:dyDescent="0.2">
      <c r="A616" s="46"/>
      <c r="B616" s="465" t="str">
        <f ca="1">语言!$A$15</f>
        <v>Boss</v>
      </c>
      <c r="C616" s="371"/>
      <c r="D616" s="371"/>
      <c r="E616" s="371"/>
      <c r="F616" s="371"/>
      <c r="G616" s="371"/>
      <c r="H616" s="371"/>
      <c r="I616" s="371"/>
      <c r="J616" s="371"/>
      <c r="K616" s="371"/>
      <c r="L616" s="371"/>
      <c r="M616" s="371"/>
      <c r="N616" s="46"/>
      <c r="O616" s="46"/>
      <c r="P616" s="460"/>
      <c r="Q616" s="371"/>
      <c r="R616" s="371"/>
      <c r="S616" s="46"/>
      <c r="T616" s="46"/>
      <c r="U616" s="460"/>
      <c r="V616" s="371"/>
      <c r="W616" s="46"/>
      <c r="X616" s="46"/>
      <c r="Y616" s="46"/>
      <c r="Z616" s="46"/>
      <c r="AA616" s="46"/>
    </row>
    <row r="617" spans="1:27" ht="12.75" x14ac:dyDescent="0.2">
      <c r="A617" s="46"/>
      <c r="B617" s="463" t="b">
        <v>0</v>
      </c>
      <c r="C617" s="464" t="str">
        <f ca="1">敌人!C$474</f>
        <v>后颈之男席米恩</v>
      </c>
      <c r="D617" s="371"/>
      <c r="E617" s="464">
        <f>敌人!D$474</f>
        <v>6</v>
      </c>
      <c r="F617" s="48">
        <f>敌人!E$474</f>
        <v>0</v>
      </c>
      <c r="G617" s="48">
        <f>敌人!F$474</f>
        <v>0</v>
      </c>
      <c r="H617" s="48">
        <f>敌人!G$474</f>
        <v>0</v>
      </c>
      <c r="I617" s="48">
        <f>敌人!H$474</f>
        <v>0</v>
      </c>
      <c r="J617" s="48">
        <f>敌人!I$474</f>
        <v>0</v>
      </c>
      <c r="K617" s="464" t="str">
        <f ca="1">敌人!J$474</f>
        <v>执念大衣 (can't steal)</v>
      </c>
      <c r="L617" s="371"/>
      <c r="M617" s="371"/>
      <c r="N617" s="46"/>
      <c r="O617" s="46"/>
      <c r="P617" s="460"/>
      <c r="Q617" s="371"/>
      <c r="R617" s="371"/>
      <c r="S617" s="46"/>
      <c r="T617" s="46"/>
      <c r="U617" s="460"/>
      <c r="V617" s="371"/>
      <c r="W617" s="46"/>
      <c r="X617" s="46"/>
      <c r="Y617" s="46"/>
      <c r="Z617" s="46"/>
      <c r="AA617" s="46"/>
    </row>
    <row r="618" spans="1:27" ht="12.75" x14ac:dyDescent="0.2">
      <c r="A618" s="46"/>
      <c r="B618" s="371"/>
      <c r="C618" s="371"/>
      <c r="D618" s="371"/>
      <c r="E618" s="371"/>
      <c r="F618" s="48">
        <f>敌人!E$475</f>
        <v>0</v>
      </c>
      <c r="G618" s="48">
        <f>敌人!F$475</f>
        <v>0</v>
      </c>
      <c r="H618" s="48">
        <f>敌人!G$475</f>
        <v>0</v>
      </c>
      <c r="I618" s="48">
        <f>敌人!H$475</f>
        <v>0</v>
      </c>
      <c r="J618" s="48">
        <f>敌人!I$475</f>
        <v>0</v>
      </c>
      <c r="K618" s="371"/>
      <c r="L618" s="371"/>
      <c r="M618" s="371"/>
      <c r="N618" s="46"/>
      <c r="O618" s="46"/>
      <c r="P618" s="460"/>
      <c r="Q618" s="371"/>
      <c r="R618" s="371"/>
      <c r="S618" s="46"/>
      <c r="T618" s="46"/>
      <c r="U618" s="460"/>
      <c r="V618" s="371"/>
      <c r="W618" s="46"/>
      <c r="X618" s="46"/>
      <c r="Y618" s="46"/>
      <c r="Z618" s="46"/>
      <c r="AA618" s="46"/>
    </row>
    <row r="619" spans="1:27" ht="12.75" x14ac:dyDescent="0.2">
      <c r="A619" s="46"/>
      <c r="B619" s="371"/>
      <c r="C619" s="371"/>
      <c r="D619" s="371"/>
      <c r="E619" s="371"/>
      <c r="F619" s="48">
        <f>敌人!E$476</f>
        <v>0</v>
      </c>
      <c r="G619" s="48">
        <f>敌人!F$476</f>
        <v>0</v>
      </c>
      <c r="H619" s="48">
        <f>敌人!G$476</f>
        <v>0</v>
      </c>
      <c r="I619" s="48">
        <f>敌人!H$476</f>
        <v>0</v>
      </c>
      <c r="J619" s="48">
        <f>敌人!I$476</f>
        <v>0</v>
      </c>
      <c r="K619" s="371"/>
      <c r="L619" s="371"/>
      <c r="M619" s="371"/>
      <c r="N619" s="46"/>
      <c r="O619" s="46"/>
      <c r="P619" s="460"/>
      <c r="Q619" s="371"/>
      <c r="R619" s="371"/>
      <c r="S619" s="46"/>
      <c r="T619" s="46"/>
      <c r="U619" s="460"/>
      <c r="V619" s="371"/>
      <c r="W619" s="46"/>
      <c r="X619" s="46"/>
      <c r="Y619" s="46"/>
      <c r="Z619" s="46"/>
      <c r="AA619" s="46"/>
    </row>
    <row r="620" spans="1:27" ht="12.75" x14ac:dyDescent="0.2">
      <c r="A620" s="46"/>
      <c r="B620" s="371"/>
      <c r="C620" s="371"/>
      <c r="D620" s="371"/>
      <c r="E620" s="371"/>
      <c r="F620" s="48">
        <f>敌人!E$477</f>
        <v>0</v>
      </c>
      <c r="G620" s="48">
        <f>敌人!F$477</f>
        <v>0</v>
      </c>
      <c r="H620" s="48">
        <f>敌人!G$477</f>
        <v>0</v>
      </c>
      <c r="I620" s="48">
        <f>敌人!H$477</f>
        <v>0</v>
      </c>
      <c r="J620" s="48">
        <f>敌人!I$477</f>
        <v>0</v>
      </c>
      <c r="K620" s="371"/>
      <c r="L620" s="371"/>
      <c r="M620" s="371"/>
      <c r="N620" s="46"/>
      <c r="O620" s="46"/>
      <c r="P620" s="460"/>
      <c r="Q620" s="371"/>
      <c r="R620" s="371"/>
      <c r="S620" s="46"/>
      <c r="T620" s="46"/>
      <c r="U620" s="460"/>
      <c r="V620" s="371"/>
      <c r="W620" s="46"/>
      <c r="X620" s="46"/>
      <c r="Y620" s="46"/>
      <c r="Z620" s="46"/>
      <c r="AA620" s="46"/>
    </row>
    <row r="621" spans="1:27" ht="12.75" x14ac:dyDescent="0.2">
      <c r="A621" s="46"/>
      <c r="B621" s="46"/>
      <c r="C621" s="460"/>
      <c r="D621" s="371"/>
      <c r="E621" s="46"/>
      <c r="F621" s="46"/>
      <c r="G621" s="46"/>
      <c r="H621" s="46"/>
      <c r="I621" s="46"/>
      <c r="J621" s="46"/>
      <c r="K621" s="460"/>
      <c r="L621" s="371"/>
      <c r="M621" s="371"/>
      <c r="N621" s="46"/>
      <c r="O621" s="46"/>
      <c r="P621" s="460"/>
      <c r="Q621" s="371"/>
      <c r="R621" s="371"/>
      <c r="S621" s="46"/>
      <c r="T621" s="46"/>
      <c r="U621" s="460"/>
      <c r="V621" s="371"/>
      <c r="W621" s="46"/>
      <c r="X621" s="46"/>
      <c r="Y621" s="46"/>
      <c r="Z621" s="46"/>
      <c r="AA621" s="46"/>
    </row>
    <row r="622" spans="1:27" ht="12.75" x14ac:dyDescent="0.2">
      <c r="A622" s="46"/>
      <c r="B622" s="462" t="str">
        <f ca="1">语言!A$412</f>
        <v>终结之门</v>
      </c>
      <c r="C622" s="371"/>
      <c r="D622" s="371"/>
      <c r="E622" s="371"/>
      <c r="F622" s="371"/>
      <c r="G622" s="371"/>
      <c r="H622" s="371"/>
      <c r="I622" s="371"/>
      <c r="J622" s="371"/>
      <c r="K622" s="371"/>
      <c r="L622" s="371"/>
      <c r="M622" s="371"/>
      <c r="N622" s="46"/>
      <c r="O622" s="46"/>
      <c r="P622" s="460"/>
      <c r="Q622" s="371"/>
      <c r="R622" s="371"/>
      <c r="S622" s="46"/>
      <c r="T622" s="46"/>
      <c r="U622" s="460"/>
      <c r="V622" s="371"/>
      <c r="W622" s="46"/>
      <c r="X622" s="46"/>
      <c r="Y622" s="46"/>
      <c r="Z622" s="46"/>
      <c r="AA622" s="46"/>
    </row>
    <row r="623" spans="1:27" ht="12.75" x14ac:dyDescent="0.2">
      <c r="A623" s="46"/>
      <c r="B623" s="48"/>
      <c r="C623" s="463" t="s">
        <v>32</v>
      </c>
      <c r="D623" s="371"/>
      <c r="E623" s="48"/>
      <c r="F623" s="48"/>
      <c r="G623" s="48"/>
      <c r="H623" s="48"/>
      <c r="I623" s="48"/>
      <c r="J623" s="48"/>
      <c r="K623" s="463"/>
      <c r="L623" s="371"/>
      <c r="M623" s="371"/>
      <c r="N623" s="46"/>
      <c r="O623" s="46"/>
      <c r="P623" s="460"/>
      <c r="Q623" s="371"/>
      <c r="R623" s="371"/>
      <c r="S623" s="46"/>
      <c r="T623" s="46"/>
      <c r="U623" s="460"/>
      <c r="V623" s="371"/>
      <c r="W623" s="46"/>
      <c r="X623" s="46"/>
      <c r="Y623" s="46"/>
      <c r="Z623" s="46"/>
      <c r="AA623" s="46"/>
    </row>
    <row r="624" spans="1:27" ht="12.75" x14ac:dyDescent="0.2">
      <c r="A624" s="46"/>
      <c r="B624" s="46"/>
      <c r="C624" s="460"/>
      <c r="D624" s="371"/>
      <c r="E624" s="46"/>
      <c r="F624" s="46"/>
      <c r="G624" s="46"/>
      <c r="H624" s="46"/>
      <c r="I624" s="46"/>
      <c r="J624" s="46"/>
      <c r="K624" s="460"/>
      <c r="L624" s="371"/>
      <c r="M624" s="371"/>
      <c r="N624" s="46"/>
      <c r="O624" s="46"/>
      <c r="P624" s="460"/>
      <c r="Q624" s="371"/>
      <c r="R624" s="371"/>
      <c r="S624" s="46"/>
      <c r="T624" s="46"/>
      <c r="U624" s="460"/>
      <c r="V624" s="371"/>
      <c r="W624" s="46"/>
      <c r="X624" s="46"/>
      <c r="Y624" s="46"/>
      <c r="Z624" s="46"/>
      <c r="AA624" s="46"/>
    </row>
    <row r="625" spans="1:27" ht="23.25" x14ac:dyDescent="0.35">
      <c r="A625" s="482" t="str">
        <f ca="1">语言!$A$413</f>
        <v>桑兰多地区</v>
      </c>
      <c r="B625" s="371"/>
      <c r="C625" s="371"/>
      <c r="D625" s="371"/>
      <c r="E625" s="483"/>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row>
    <row r="626" spans="1:27" ht="18" x14ac:dyDescent="0.25">
      <c r="A626" s="397" t="str">
        <f ca="1">语言!$A$323&amp;" 1"</f>
        <v>Tier 1</v>
      </c>
      <c r="B626" s="371"/>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1"/>
      <c r="Z626" s="371"/>
      <c r="AA626" s="371"/>
    </row>
    <row r="627" spans="1:27" ht="12.75" x14ac:dyDescent="0.2">
      <c r="A627" s="55"/>
      <c r="B627" s="56" t="b">
        <v>0</v>
      </c>
      <c r="C627" s="393" t="str">
        <f ca="1">敌人!C$48</f>
        <v>凯特林</v>
      </c>
      <c r="D627" s="371"/>
      <c r="E627" s="56">
        <f>敌人!D$48</f>
        <v>2</v>
      </c>
      <c r="F627" s="56">
        <f>敌人!E$48</f>
        <v>0</v>
      </c>
      <c r="G627" s="56">
        <f>敌人!F$48</f>
        <v>0</v>
      </c>
      <c r="H627" s="56">
        <f>敌人!G$48</f>
        <v>0</v>
      </c>
      <c r="I627" s="56">
        <f>敌人!H$48</f>
        <v>0</v>
      </c>
      <c r="J627" s="56">
        <f>敌人!I$48</f>
        <v>0</v>
      </c>
      <c r="K627" s="393" t="str">
        <f ca="1">敌人!J$48</f>
        <v>ＨＰ／ＳＰ／ＢＰ恢复的果酱</v>
      </c>
      <c r="L627" s="371"/>
      <c r="M627" s="371"/>
      <c r="N627" s="55"/>
      <c r="O627" s="396" t="str">
        <f ca="1">语言!A$414&amp;" (2 "&amp;语言!$A$19&amp;")"</f>
        <v>桑谢德 (2 宝箱)</v>
      </c>
      <c r="P627" s="371"/>
      <c r="Q627" s="371"/>
      <c r="R627" s="371"/>
      <c r="S627" s="55"/>
      <c r="T627" s="396" t="str">
        <f ca="1">语言!A$414</f>
        <v>桑谢德</v>
      </c>
      <c r="U627" s="371"/>
      <c r="V627" s="371"/>
      <c r="W627" s="55"/>
      <c r="X627" s="396" t="str">
        <f ca="1">语言!A$414</f>
        <v>桑谢德</v>
      </c>
      <c r="Y627" s="371"/>
      <c r="Z627" s="371"/>
      <c r="AA627" s="55"/>
    </row>
    <row r="628" spans="1:27" ht="12.75" x14ac:dyDescent="0.2">
      <c r="A628" s="55"/>
      <c r="B628" s="399" t="str">
        <f ca="1">语言!$A$11&amp;" ("&amp;语言!$A$12&amp;" 1 - 4 - 7- 11)"</f>
        <v>以下地区的怪物都一样 (危险度 1 - 4 - 7- 11)</v>
      </c>
      <c r="C628" s="371"/>
      <c r="D628" s="371"/>
      <c r="E628" s="371"/>
      <c r="F628" s="371"/>
      <c r="G628" s="371"/>
      <c r="H628" s="371"/>
      <c r="I628" s="371"/>
      <c r="J628" s="371"/>
      <c r="K628" s="371"/>
      <c r="L628" s="371"/>
      <c r="M628" s="371"/>
      <c r="N628" s="55"/>
      <c r="O628" s="56" t="b">
        <v>0</v>
      </c>
      <c r="P628" s="392" t="str">
        <f ca="1">道具!$C$3</f>
        <v>ＨＰ恢复的葡萄</v>
      </c>
      <c r="Q628" s="371"/>
      <c r="R628" s="371"/>
      <c r="S628" s="55"/>
      <c r="T628" s="56" t="b">
        <v>0</v>
      </c>
      <c r="U628" s="393" t="str">
        <f ca="1">道具!$C$120</f>
        <v>放了银块的皮袋</v>
      </c>
      <c r="V628" s="371"/>
      <c r="W628" s="55"/>
      <c r="X628" s="395" t="b">
        <v>0</v>
      </c>
      <c r="Y628" s="401" t="str">
        <f ca="1">语言!$A$2124&amp;" (NPC)
Item:
"&amp;道具!$C$506</f>
        <v>四处游历的少女 /
莉亚 /
葛罗莉亚 (NPC)
Item:
火焰避邪符</v>
      </c>
      <c r="Z628" s="400" t="str">
        <f ca="1">语言!$A$46&amp;" / "&amp;语言!$A$50&amp;" before completing quest: "&amp;支线!$C$78&amp;". The "&amp;道具!$C$506&amp;" is a Limited item. Her inventory gets reset in "&amp;语言!$A$420&amp;" for no reason but this allow us to steal her 2 times the same items."</f>
        <v>购买 / 偷取 before completing quest: 巡游少女莉亚（１）. The 火焰避邪符 is a Limited item. Her inventory gets reset in 威尔斯宾克 for no reason but this allow us to steal her 2 times the same items.</v>
      </c>
      <c r="AA628" s="55"/>
    </row>
    <row r="629" spans="1:27" ht="12.75" x14ac:dyDescent="0.2">
      <c r="A629" s="55"/>
      <c r="B629" s="484" t="str">
        <f ca="1">语言!A$416</f>
        <v>南桑谢德沙道</v>
      </c>
      <c r="C629" s="371"/>
      <c r="D629" s="371"/>
      <c r="E629" s="371"/>
      <c r="F629" s="371"/>
      <c r="G629" s="371"/>
      <c r="H629" s="371"/>
      <c r="I629" s="371"/>
      <c r="J629" s="371"/>
      <c r="K629" s="371"/>
      <c r="L629" s="371"/>
      <c r="M629" s="371"/>
      <c r="N629" s="55"/>
      <c r="O629" s="56" t="b">
        <v>0</v>
      </c>
      <c r="P629" s="392" t="str">
        <f ca="1">道具!$C$448</f>
        <v>传统舞娘衣服</v>
      </c>
      <c r="Q629" s="371"/>
      <c r="R629" s="371"/>
      <c r="S629" s="55"/>
      <c r="T629" s="56" t="b">
        <v>0</v>
      </c>
      <c r="U629" s="393" t="str">
        <f ca="1">道具!$C$16</f>
        <v>复活的橄榄（大）</v>
      </c>
      <c r="V629" s="371"/>
      <c r="W629" s="55"/>
      <c r="X629" s="371"/>
      <c r="Y629" s="371"/>
      <c r="Z629" s="371"/>
      <c r="AA629" s="55"/>
    </row>
    <row r="630" spans="1:27" ht="12.75" x14ac:dyDescent="0.2">
      <c r="A630" s="55"/>
      <c r="B630" s="484" t="str">
        <f ca="1">语言!A$417</f>
        <v>东桑谢德沙道</v>
      </c>
      <c r="C630" s="371"/>
      <c r="D630" s="371"/>
      <c r="E630" s="371"/>
      <c r="F630" s="371"/>
      <c r="G630" s="371"/>
      <c r="H630" s="371"/>
      <c r="I630" s="371"/>
      <c r="J630" s="371"/>
      <c r="K630" s="371"/>
      <c r="L630" s="371"/>
      <c r="M630" s="371"/>
      <c r="N630" s="55"/>
      <c r="O630" s="396" t="str">
        <f ca="1">语言!A$416&amp;" (3 "&amp;语言!$A$19&amp;")"</f>
        <v>南桑谢德沙道 (3 宝箱)</v>
      </c>
      <c r="P630" s="371"/>
      <c r="Q630" s="371"/>
      <c r="R630" s="371"/>
      <c r="S630" s="55"/>
      <c r="T630" s="56" t="b">
        <v>0</v>
      </c>
      <c r="U630" s="393" t="str">
        <f ca="1">道具!$C$4</f>
        <v>ＨＰ恢复的葡萄（大）</v>
      </c>
      <c r="V630" s="371"/>
      <c r="W630" s="55"/>
      <c r="X630" s="371"/>
      <c r="Y630" s="371"/>
      <c r="Z630" s="371"/>
      <c r="AA630" s="55"/>
    </row>
    <row r="631" spans="1:27" ht="12.75" x14ac:dyDescent="0.2">
      <c r="A631" s="55"/>
      <c r="B631" s="56" t="b">
        <v>0</v>
      </c>
      <c r="C631" s="392" t="str">
        <f ca="1">敌人!C$278</f>
        <v>沙漠蜥蜴人 I</v>
      </c>
      <c r="D631" s="371"/>
      <c r="E631" s="57">
        <f>敌人!D$278</f>
        <v>1</v>
      </c>
      <c r="F631" s="57">
        <f>敌人!E$278</f>
        <v>0</v>
      </c>
      <c r="G631" s="57">
        <f>敌人!F$278</f>
        <v>0</v>
      </c>
      <c r="H631" s="57">
        <f>敌人!G$278</f>
        <v>0</v>
      </c>
      <c r="I631" s="57">
        <f>敌人!H$278</f>
        <v>0</v>
      </c>
      <c r="J631" s="57">
        <f>敌人!I$278</f>
        <v>0</v>
      </c>
      <c r="K631" s="392" t="str">
        <f ca="1">敌人!J$278</f>
        <v>ＳＰ恢复的李子</v>
      </c>
      <c r="L631" s="371"/>
      <c r="M631" s="371"/>
      <c r="N631" s="55"/>
      <c r="O631" s="56" t="b">
        <v>0</v>
      </c>
      <c r="P631" s="392" t="str">
        <f ca="1">道具!$C$6</f>
        <v>ＳＰ恢复的李子</v>
      </c>
      <c r="Q631" s="371"/>
      <c r="R631" s="371"/>
      <c r="S631" s="55"/>
      <c r="T631" s="56" t="b">
        <v>0</v>
      </c>
      <c r="U631" s="393" t="str">
        <f ca="1">道具!$C$49</f>
        <v>增强ＨＰ的坚果</v>
      </c>
      <c r="V631" s="371"/>
      <c r="W631" s="55"/>
      <c r="X631" s="371"/>
      <c r="Y631" s="371"/>
      <c r="Z631" s="371"/>
      <c r="AA631" s="55"/>
    </row>
    <row r="632" spans="1:27" ht="12.75" x14ac:dyDescent="0.2">
      <c r="A632" s="55"/>
      <c r="B632" s="56" t="b">
        <v>0</v>
      </c>
      <c r="C632" s="392" t="str">
        <f ca="1">敌人!C$280</f>
        <v>沙漠蜥蜴人 II</v>
      </c>
      <c r="D632" s="371"/>
      <c r="E632" s="57">
        <f>敌人!D$280</f>
        <v>2</v>
      </c>
      <c r="F632" s="57">
        <f>敌人!E$280</f>
        <v>0</v>
      </c>
      <c r="G632" s="57">
        <f>敌人!F$280</f>
        <v>0</v>
      </c>
      <c r="H632" s="57">
        <f>敌人!G$280</f>
        <v>0</v>
      </c>
      <c r="I632" s="57">
        <f>敌人!H$280</f>
        <v>0</v>
      </c>
      <c r="J632" s="57">
        <f>敌人!I$280</f>
        <v>0</v>
      </c>
      <c r="K632" s="392" t="str">
        <f ca="1">敌人!J$280</f>
        <v>李子树液</v>
      </c>
      <c r="L632" s="371"/>
      <c r="M632" s="371"/>
      <c r="N632" s="55"/>
      <c r="O632" s="56" t="b">
        <v>0</v>
      </c>
      <c r="P632" s="392" t="str">
        <f ca="1">道具!$C$21</f>
        <v>混乱治疗药草</v>
      </c>
      <c r="Q632" s="371"/>
      <c r="R632" s="371"/>
      <c r="S632" s="55"/>
      <c r="T632" s="56" t="b">
        <v>0</v>
      </c>
      <c r="U632" s="393" t="str">
        <f ca="1">道具!$C$196</f>
        <v>魔咒长柄刀</v>
      </c>
      <c r="V632" s="371"/>
      <c r="W632" s="55"/>
      <c r="X632" s="371"/>
      <c r="Y632" s="371"/>
      <c r="Z632" s="371"/>
      <c r="AA632" s="55"/>
    </row>
    <row r="633" spans="1:27" ht="12.75" x14ac:dyDescent="0.2">
      <c r="A633" s="55"/>
      <c r="B633" s="56" t="b">
        <v>0</v>
      </c>
      <c r="C633" s="392" t="str">
        <f ca="1">敌人!C$282&amp;" (7+)"</f>
        <v>沙漠蜥蜴人 III (7+)</v>
      </c>
      <c r="D633" s="371"/>
      <c r="E633" s="57">
        <f>敌人!D$282</f>
        <v>3</v>
      </c>
      <c r="F633" s="57">
        <f>敌人!E$282</f>
        <v>0</v>
      </c>
      <c r="G633" s="57">
        <f>敌人!F$282</f>
        <v>0</v>
      </c>
      <c r="H633" s="57">
        <f>敌人!G$282</f>
        <v>0</v>
      </c>
      <c r="I633" s="57">
        <f>敌人!H$282</f>
        <v>0</v>
      </c>
      <c r="J633" s="57">
        <f>敌人!I$282</f>
        <v>0</v>
      </c>
      <c r="K633" s="392" t="str">
        <f ca="1">敌人!J$282</f>
        <v>ＨＰ恢复的葡萄</v>
      </c>
      <c r="L633" s="371"/>
      <c r="M633" s="371"/>
      <c r="N633" s="55"/>
      <c r="O633" s="56" t="b">
        <v>0</v>
      </c>
      <c r="P633" s="392" t="str">
        <f ca="1">道具!$C$126</f>
        <v>旧硬币</v>
      </c>
      <c r="Q633" s="371"/>
      <c r="R633" s="371"/>
      <c r="S633" s="55"/>
      <c r="T633" s="55"/>
      <c r="U633" s="394"/>
      <c r="V633" s="371"/>
      <c r="W633" s="55"/>
      <c r="X633" s="395" t="b">
        <v>0</v>
      </c>
      <c r="Y633" s="395" t="str">
        <f ca="1">语言!$A$2054&amp;" (NPC)
Item:
"&amp;道具!$C$122</f>
        <v>隐身沙中的男子 (NPC)
Item:
阿里的面包</v>
      </c>
      <c r="Z633" s="400" t="str">
        <f ca="1">"NPC available upon starting quest: "&amp;支线!$C$81&amp;". This is your only source of "&amp;道具!$C$122&amp;" through "&amp;语言!$A$47&amp;" / "&amp;语言!$A$51&amp;". It is required to obtain your "&amp;语言!$A$9&amp;" achievement."</f>
        <v>NPC available upon starting quest: 商人阿里，在那之后. This is your only source of 阿里的面包 through 比试 / 唆使. It is required to obtain your 收藏家 achievement.</v>
      </c>
      <c r="AA633" s="55"/>
    </row>
    <row r="634" spans="1:27" ht="12.75" x14ac:dyDescent="0.2">
      <c r="A634" s="55"/>
      <c r="B634" s="56" t="b">
        <v>0</v>
      </c>
      <c r="C634" s="392" t="str">
        <f ca="1">敌人!C$12</f>
        <v>咬噬蚁</v>
      </c>
      <c r="D634" s="371"/>
      <c r="E634" s="57">
        <f>敌人!D$12</f>
        <v>1</v>
      </c>
      <c r="F634" s="57">
        <f>敌人!E$12</f>
        <v>0</v>
      </c>
      <c r="G634" s="57">
        <f>敌人!F$12</f>
        <v>0</v>
      </c>
      <c r="H634" s="57">
        <f>敌人!G$12</f>
        <v>0</v>
      </c>
      <c r="I634" s="57">
        <f>敌人!H$12</f>
        <v>0</v>
      </c>
      <c r="J634" s="57">
        <f>敌人!I$12</f>
        <v>0</v>
      </c>
      <c r="K634" s="392" t="str">
        <f ca="1">敌人!J$12</f>
        <v>李子树液</v>
      </c>
      <c r="L634" s="371"/>
      <c r="M634" s="371"/>
      <c r="N634" s="55"/>
      <c r="O634" s="396" t="str">
        <f ca="1">语言!A$417&amp;" (3 "&amp;语言!$A$19&amp;")"</f>
        <v>东桑谢德沙道 (3 宝箱)</v>
      </c>
      <c r="P634" s="371"/>
      <c r="Q634" s="371"/>
      <c r="R634" s="371"/>
      <c r="S634" s="55"/>
      <c r="T634" s="55"/>
      <c r="U634" s="394"/>
      <c r="V634" s="371"/>
      <c r="W634" s="55"/>
      <c r="X634" s="371"/>
      <c r="Y634" s="371"/>
      <c r="Z634" s="371"/>
      <c r="AA634" s="55"/>
    </row>
    <row r="635" spans="1:27" ht="12.75" x14ac:dyDescent="0.2">
      <c r="A635" s="55"/>
      <c r="B635" s="56" t="b">
        <v>0</v>
      </c>
      <c r="C635" s="392" t="str">
        <f ca="1">敌人!C$88&amp;" (7+)"</f>
        <v>咬噬蚁异种 (7+)</v>
      </c>
      <c r="D635" s="371"/>
      <c r="E635" s="57">
        <f>敌人!D$88</f>
        <v>2</v>
      </c>
      <c r="F635" s="57">
        <f>敌人!E$88</f>
        <v>0</v>
      </c>
      <c r="G635" s="57">
        <f>敌人!F$88</f>
        <v>0</v>
      </c>
      <c r="H635" s="57">
        <f>敌人!G$88</f>
        <v>0</v>
      </c>
      <c r="I635" s="57">
        <f>敌人!H$88</f>
        <v>0</v>
      </c>
      <c r="J635" s="57">
        <f>敌人!I$88</f>
        <v>0</v>
      </c>
      <c r="K635" s="392" t="str">
        <f ca="1">敌人!J$88</f>
        <v>李子树液</v>
      </c>
      <c r="L635" s="371"/>
      <c r="M635" s="371"/>
      <c r="N635" s="55"/>
      <c r="O635" s="56" t="b">
        <v>0</v>
      </c>
      <c r="P635" s="392" t="str">
        <f ca="1">道具!$C$3</f>
        <v>ＨＰ恢复的葡萄</v>
      </c>
      <c r="Q635" s="371"/>
      <c r="R635" s="371"/>
      <c r="S635" s="55"/>
      <c r="T635" s="55"/>
      <c r="U635" s="394"/>
      <c r="V635" s="371"/>
      <c r="W635" s="55"/>
      <c r="X635" s="371"/>
      <c r="Y635" s="371"/>
      <c r="Z635" s="371"/>
      <c r="AA635" s="55"/>
    </row>
    <row r="636" spans="1:27" ht="12.75" x14ac:dyDescent="0.2">
      <c r="A636" s="55"/>
      <c r="B636" s="56" t="b">
        <v>0</v>
      </c>
      <c r="C636" s="425" t="str">
        <f ca="1">敌人!C$47&amp;" (7-)"</f>
        <v>仙人掌粪金龟 (7-)</v>
      </c>
      <c r="D636" s="371"/>
      <c r="E636" s="57">
        <f>敌人!D$47</f>
        <v>1</v>
      </c>
      <c r="F636" s="57">
        <f>敌人!E$47</f>
        <v>0</v>
      </c>
      <c r="G636" s="57">
        <f>敌人!F$47</f>
        <v>0</v>
      </c>
      <c r="H636" s="57">
        <f>敌人!G$47</f>
        <v>0</v>
      </c>
      <c r="I636" s="57">
        <f>敌人!H$47</f>
        <v>0</v>
      </c>
      <c r="J636" s="57">
        <f>敌人!I$47</f>
        <v>0</v>
      </c>
      <c r="K636" s="392" t="str">
        <f ca="1">敌人!J$47</f>
        <v>复活的橄榄</v>
      </c>
      <c r="L636" s="371"/>
      <c r="M636" s="371"/>
      <c r="N636" s="55"/>
      <c r="O636" s="56" t="b">
        <v>0</v>
      </c>
      <c r="P636" s="392" t="str">
        <f ca="1">道具!$C$36</f>
        <v>雷之精灵石</v>
      </c>
      <c r="Q636" s="371"/>
      <c r="R636" s="371"/>
      <c r="S636" s="55"/>
      <c r="T636" s="55"/>
      <c r="U636" s="394"/>
      <c r="V636" s="371"/>
      <c r="W636" s="55"/>
      <c r="X636" s="371"/>
      <c r="Y636" s="371"/>
      <c r="Z636" s="371"/>
      <c r="AA636" s="55"/>
    </row>
    <row r="637" spans="1:27" ht="12.75" x14ac:dyDescent="0.2">
      <c r="A637" s="55"/>
      <c r="B637" s="56" t="b">
        <v>0</v>
      </c>
      <c r="C637" s="392" t="str">
        <f ca="1">敌人!C$317&amp;" (7+)"</f>
        <v>尸骸粪金龟 (7+)</v>
      </c>
      <c r="D637" s="371"/>
      <c r="E637" s="57">
        <f>敌人!D$317</f>
        <v>2</v>
      </c>
      <c r="F637" s="57">
        <f>敌人!E$317</f>
        <v>0</v>
      </c>
      <c r="G637" s="57">
        <f>敌人!F$317</f>
        <v>0</v>
      </c>
      <c r="H637" s="57">
        <f>敌人!G$317</f>
        <v>0</v>
      </c>
      <c r="I637" s="57">
        <f>敌人!H$317</f>
        <v>0</v>
      </c>
      <c r="J637" s="57">
        <f>敌人!I$317</f>
        <v>0</v>
      </c>
      <c r="K637" s="392" t="str">
        <f ca="1">敌人!J$317</f>
        <v>复活的橄榄</v>
      </c>
      <c r="L637" s="371"/>
      <c r="M637" s="371"/>
      <c r="N637" s="55"/>
      <c r="O637" s="56" t="b">
        <v>0</v>
      </c>
      <c r="P637" s="392" t="str">
        <f ca="1">道具!$C$14</f>
        <v>复活的橄榄</v>
      </c>
      <c r="Q637" s="371"/>
      <c r="R637" s="371"/>
      <c r="S637" s="55"/>
      <c r="T637" s="55"/>
      <c r="U637" s="394"/>
      <c r="V637" s="371"/>
      <c r="W637" s="55"/>
      <c r="X637" s="371"/>
      <c r="Y637" s="371"/>
      <c r="Z637" s="371"/>
      <c r="AA637" s="55"/>
    </row>
    <row r="638" spans="1:27" ht="12.75" x14ac:dyDescent="0.2">
      <c r="A638" s="55"/>
      <c r="B638" s="56" t="b">
        <v>0</v>
      </c>
      <c r="C638" s="392" t="str">
        <f ca="1">敌人!C$287&amp;" (11)"</f>
        <v>沙虫 (11)</v>
      </c>
      <c r="D638" s="371"/>
      <c r="E638" s="57">
        <f>敌人!D$287</f>
        <v>4</v>
      </c>
      <c r="F638" s="57">
        <f>敌人!E$287</f>
        <v>0</v>
      </c>
      <c r="G638" s="57">
        <f>敌人!F$287</f>
        <v>0</v>
      </c>
      <c r="H638" s="57">
        <f>敌人!G$287</f>
        <v>0</v>
      </c>
      <c r="I638" s="57">
        <f>敌人!H$287</f>
        <v>0</v>
      </c>
      <c r="J638" s="57">
        <f>敌人!I$287</f>
        <v>0</v>
      </c>
      <c r="K638" s="392" t="str">
        <f ca="1">敌人!J$287</f>
        <v>橄榄花</v>
      </c>
      <c r="L638" s="371"/>
      <c r="M638" s="371"/>
      <c r="N638" s="55"/>
      <c r="O638" s="396" t="str">
        <f ca="1">语言!A$418&amp;" (5 "&amp;语言!$A$19&amp;")"</f>
        <v>砂笛洞窟 (5 宝箱)</v>
      </c>
      <c r="P638" s="371"/>
      <c r="Q638" s="371"/>
      <c r="R638" s="371"/>
      <c r="S638" s="55"/>
      <c r="T638" s="55"/>
      <c r="U638" s="394"/>
      <c r="V638" s="371"/>
      <c r="W638" s="55"/>
      <c r="X638" s="55"/>
      <c r="Y638" s="55"/>
      <c r="Z638" s="55"/>
      <c r="AA638" s="55"/>
    </row>
    <row r="639" spans="1:27" ht="12.75" x14ac:dyDescent="0.2">
      <c r="A639" s="55"/>
      <c r="B639" s="55"/>
      <c r="C639" s="394"/>
      <c r="D639" s="371"/>
      <c r="E639" s="55"/>
      <c r="F639" s="55"/>
      <c r="G639" s="55"/>
      <c r="H639" s="55"/>
      <c r="I639" s="55"/>
      <c r="J639" s="55"/>
      <c r="K639" s="394"/>
      <c r="L639" s="371"/>
      <c r="M639" s="371"/>
      <c r="N639" s="55"/>
      <c r="O639" s="56" t="b">
        <v>0</v>
      </c>
      <c r="P639" s="392" t="str">
        <f ca="1">"6 000$ ("&amp;语言!$A$20&amp;")"</f>
        <v>6 000$ (上锁宝箱)</v>
      </c>
      <c r="Q639" s="371"/>
      <c r="R639" s="371"/>
      <c r="S639" s="55"/>
      <c r="T639" s="55"/>
      <c r="U639" s="394"/>
      <c r="V639" s="371"/>
      <c r="W639" s="55"/>
      <c r="X639" s="55"/>
      <c r="Y639" s="55"/>
      <c r="Z639" s="55"/>
      <c r="AA639" s="55"/>
    </row>
    <row r="640" spans="1:27" ht="12.75" x14ac:dyDescent="0.2">
      <c r="A640" s="55"/>
      <c r="B640" s="396" t="str">
        <f ca="1">语言!A$418&amp;" ("&amp;语言!$A$12&amp;" 20)"</f>
        <v>砂笛洞窟 (危险度 20)</v>
      </c>
      <c r="C640" s="371"/>
      <c r="D640" s="371"/>
      <c r="E640" s="371"/>
      <c r="F640" s="371"/>
      <c r="G640" s="371"/>
      <c r="H640" s="371"/>
      <c r="I640" s="371"/>
      <c r="J640" s="371"/>
      <c r="K640" s="371"/>
      <c r="L640" s="371"/>
      <c r="M640" s="371"/>
      <c r="N640" s="55"/>
      <c r="O640" s="56" t="b">
        <v>0</v>
      </c>
      <c r="P640" s="392" t="str">
        <f ca="1">道具!$C$31</f>
        <v>火之精灵石（大）</v>
      </c>
      <c r="Q640" s="371"/>
      <c r="R640" s="371"/>
      <c r="S640" s="55"/>
      <c r="T640" s="55"/>
      <c r="U640" s="394"/>
      <c r="V640" s="371"/>
      <c r="W640" s="55"/>
      <c r="X640" s="55"/>
      <c r="Y640" s="55"/>
      <c r="Z640" s="55"/>
      <c r="AA640" s="55"/>
    </row>
    <row r="641" spans="1:27" ht="12.75" x14ac:dyDescent="0.2">
      <c r="A641" s="55"/>
      <c r="B641" s="56" t="b">
        <v>0</v>
      </c>
      <c r="C641" s="392" t="str">
        <f ca="1">敌人!C$140</f>
        <v>大蝎子</v>
      </c>
      <c r="D641" s="371"/>
      <c r="E641" s="57">
        <f>敌人!D$140</f>
        <v>2</v>
      </c>
      <c r="F641" s="57">
        <f>敌人!E$140</f>
        <v>0</v>
      </c>
      <c r="G641" s="57">
        <f>敌人!F$140</f>
        <v>0</v>
      </c>
      <c r="H641" s="57">
        <f>敌人!G$140</f>
        <v>0</v>
      </c>
      <c r="I641" s="57">
        <f>敌人!H$140</f>
        <v>0</v>
      </c>
      <c r="J641" s="57">
        <f>敌人!I$140</f>
        <v>0</v>
      </c>
      <c r="K641" s="392" t="str">
        <f ca="1">敌人!J$140</f>
        <v>石榴树液</v>
      </c>
      <c r="L641" s="371"/>
      <c r="M641" s="371"/>
      <c r="N641" s="55"/>
      <c r="O641" s="56" t="b">
        <v>0</v>
      </c>
      <c r="P641" s="392" t="str">
        <f ca="1">道具!$C$7</f>
        <v>ＳＰ恢复的李子（大）</v>
      </c>
      <c r="Q641" s="371"/>
      <c r="R641" s="371"/>
      <c r="S641" s="55"/>
      <c r="T641" s="55"/>
      <c r="U641" s="394"/>
      <c r="V641" s="371"/>
      <c r="W641" s="55"/>
      <c r="X641" s="55"/>
      <c r="Y641" s="55"/>
      <c r="Z641" s="55"/>
      <c r="AA641" s="55"/>
    </row>
    <row r="642" spans="1:27" ht="12.75" x14ac:dyDescent="0.2">
      <c r="A642" s="55"/>
      <c r="B642" s="56" t="b">
        <v>0</v>
      </c>
      <c r="C642" s="392" t="str">
        <f ca="1">敌人!C$191</f>
        <v>杀手虫异种</v>
      </c>
      <c r="D642" s="371"/>
      <c r="E642" s="57">
        <f>敌人!D$191</f>
        <v>2</v>
      </c>
      <c r="F642" s="57">
        <f>敌人!E$191</f>
        <v>0</v>
      </c>
      <c r="G642" s="57">
        <f>敌人!F$191</f>
        <v>0</v>
      </c>
      <c r="H642" s="57">
        <f>敌人!G$191</f>
        <v>0</v>
      </c>
      <c r="I642" s="57">
        <f>敌人!H$191</f>
        <v>0</v>
      </c>
      <c r="J642" s="57">
        <f>敌人!I$191</f>
        <v>0</v>
      </c>
      <c r="K642" s="392" t="str">
        <f ca="1">敌人!J$191</f>
        <v>石榴树液</v>
      </c>
      <c r="L642" s="371"/>
      <c r="M642" s="371"/>
      <c r="N642" s="55"/>
      <c r="O642" s="56" t="b">
        <v>0</v>
      </c>
      <c r="P642" s="392" t="str">
        <f ca="1">道具!$C$293</f>
        <v>重弓</v>
      </c>
      <c r="Q642" s="371"/>
      <c r="R642" s="371"/>
      <c r="S642" s="55"/>
      <c r="T642" s="55"/>
      <c r="U642" s="394"/>
      <c r="V642" s="371"/>
      <c r="W642" s="55"/>
      <c r="X642" s="55"/>
      <c r="Y642" s="55"/>
      <c r="Z642" s="55"/>
      <c r="AA642" s="55"/>
    </row>
    <row r="643" spans="1:27" ht="12.75" x14ac:dyDescent="0.2">
      <c r="A643" s="55"/>
      <c r="B643" s="56" t="b">
        <v>0</v>
      </c>
      <c r="C643" s="392" t="str">
        <f ca="1">敌人!C$318</f>
        <v>黑杀手虫</v>
      </c>
      <c r="D643" s="371"/>
      <c r="E643" s="57">
        <f>敌人!D$318</f>
        <v>3</v>
      </c>
      <c r="F643" s="57">
        <f>敌人!E$318</f>
        <v>0</v>
      </c>
      <c r="G643" s="57">
        <f>敌人!F$318</f>
        <v>0</v>
      </c>
      <c r="H643" s="57">
        <f>敌人!G$318</f>
        <v>0</v>
      </c>
      <c r="I643" s="57">
        <f>敌人!H$318</f>
        <v>0</v>
      </c>
      <c r="J643" s="57">
        <f>敌人!I$318</f>
        <v>0</v>
      </c>
      <c r="K643" s="392" t="str">
        <f ca="1">敌人!J$318</f>
        <v>李子树液</v>
      </c>
      <c r="L643" s="371"/>
      <c r="M643" s="371"/>
      <c r="N643" s="55"/>
      <c r="O643" s="56" t="b">
        <v>0</v>
      </c>
      <c r="P643" s="392" t="str">
        <f ca="1">道具!$C$16</f>
        <v>复活的橄榄（大）</v>
      </c>
      <c r="Q643" s="371"/>
      <c r="R643" s="371"/>
      <c r="S643" s="55"/>
      <c r="T643" s="55"/>
      <c r="U643" s="394"/>
      <c r="V643" s="371"/>
      <c r="W643" s="55"/>
      <c r="X643" s="55"/>
      <c r="Y643" s="55"/>
      <c r="Z643" s="55"/>
      <c r="AA643" s="55"/>
    </row>
    <row r="644" spans="1:27" ht="12.75" x14ac:dyDescent="0.2">
      <c r="A644" s="55"/>
      <c r="B644" s="56" t="b">
        <v>0</v>
      </c>
      <c r="C644" s="392" t="str">
        <f ca="1">敌人!C$10</f>
        <v>断指蚁异种</v>
      </c>
      <c r="D644" s="371"/>
      <c r="E644" s="57">
        <f>敌人!D$10</f>
        <v>3</v>
      </c>
      <c r="F644" s="57">
        <f>敌人!E$10</f>
        <v>0</v>
      </c>
      <c r="G644" s="57">
        <f>敌人!F$10</f>
        <v>0</v>
      </c>
      <c r="H644" s="57">
        <f>敌人!G$10</f>
        <v>0</v>
      </c>
      <c r="I644" s="57">
        <f>敌人!H$10</f>
        <v>0</v>
      </c>
      <c r="J644" s="57">
        <f>敌人!I$10</f>
        <v>0</v>
      </c>
      <c r="K644" s="392" t="str">
        <f ca="1">敌人!J$10</f>
        <v>毒利米树之叶</v>
      </c>
      <c r="L644" s="371"/>
      <c r="M644" s="371"/>
      <c r="N644" s="55"/>
      <c r="O644" s="55"/>
      <c r="P644" s="394"/>
      <c r="Q644" s="371"/>
      <c r="R644" s="371"/>
      <c r="S644" s="55"/>
      <c r="T644" s="55"/>
      <c r="U644" s="394"/>
      <c r="V644" s="371"/>
      <c r="W644" s="55"/>
      <c r="X644" s="55"/>
      <c r="Y644" s="55"/>
      <c r="Z644" s="55"/>
      <c r="AA644" s="55"/>
    </row>
    <row r="645" spans="1:27" ht="12.75" x14ac:dyDescent="0.2">
      <c r="A645" s="55"/>
      <c r="B645" s="56" t="b">
        <v>0</v>
      </c>
      <c r="C645" s="392" t="str">
        <f ca="1">敌人!C$88</f>
        <v>咬噬蚁异种</v>
      </c>
      <c r="D645" s="371"/>
      <c r="E645" s="57">
        <f>敌人!D$88</f>
        <v>2</v>
      </c>
      <c r="F645" s="57">
        <f>敌人!E$88</f>
        <v>0</v>
      </c>
      <c r="G645" s="57">
        <f>敌人!F$88</f>
        <v>0</v>
      </c>
      <c r="H645" s="57">
        <f>敌人!G$88</f>
        <v>0</v>
      </c>
      <c r="I645" s="57">
        <f>敌人!H$88</f>
        <v>0</v>
      </c>
      <c r="J645" s="57">
        <f>敌人!I$88</f>
        <v>0</v>
      </c>
      <c r="K645" s="392" t="str">
        <f ca="1">敌人!J$88</f>
        <v>李子树液</v>
      </c>
      <c r="L645" s="371"/>
      <c r="M645" s="371"/>
      <c r="N645" s="55"/>
      <c r="O645" s="55"/>
      <c r="P645" s="394"/>
      <c r="Q645" s="371"/>
      <c r="R645" s="371"/>
      <c r="S645" s="55"/>
      <c r="T645" s="55"/>
      <c r="U645" s="394"/>
      <c r="V645" s="371"/>
      <c r="W645" s="55"/>
      <c r="X645" s="55"/>
      <c r="Y645" s="55"/>
      <c r="Z645" s="55"/>
      <c r="AA645" s="55"/>
    </row>
    <row r="646" spans="1:27" ht="12.75" x14ac:dyDescent="0.2">
      <c r="A646" s="55"/>
      <c r="B646" s="56" t="b">
        <v>0</v>
      </c>
      <c r="C646" s="392" t="str">
        <f ca="1">敌人!C$317</f>
        <v>尸骸粪金龟</v>
      </c>
      <c r="D646" s="371"/>
      <c r="E646" s="57">
        <f>敌人!D$317</f>
        <v>2</v>
      </c>
      <c r="F646" s="57">
        <f>敌人!E$317</f>
        <v>0</v>
      </c>
      <c r="G646" s="57">
        <f>敌人!F$317</f>
        <v>0</v>
      </c>
      <c r="H646" s="57">
        <f>敌人!G$317</f>
        <v>0</v>
      </c>
      <c r="I646" s="57">
        <f>敌人!H$317</f>
        <v>0</v>
      </c>
      <c r="J646" s="57">
        <f>敌人!I$317</f>
        <v>0</v>
      </c>
      <c r="K646" s="392" t="str">
        <f ca="1">敌人!J$317</f>
        <v>复活的橄榄</v>
      </c>
      <c r="L646" s="371"/>
      <c r="M646" s="371"/>
      <c r="N646" s="55"/>
      <c r="O646" s="55"/>
      <c r="P646" s="394"/>
      <c r="Q646" s="371"/>
      <c r="R646" s="371"/>
      <c r="S646" s="55"/>
      <c r="T646" s="55"/>
      <c r="U646" s="394"/>
      <c r="V646" s="371"/>
      <c r="W646" s="55"/>
      <c r="X646" s="55"/>
      <c r="Y646" s="55"/>
      <c r="Z646" s="55"/>
      <c r="AA646" s="55"/>
    </row>
    <row r="647" spans="1:27" ht="12.75" x14ac:dyDescent="0.2">
      <c r="A647" s="55"/>
      <c r="B647" s="56" t="b">
        <v>0</v>
      </c>
      <c r="C647" s="392" t="str">
        <f ca="1">敌人!C$79</f>
        <v>黑粪金龟</v>
      </c>
      <c r="D647" s="371"/>
      <c r="E647" s="57">
        <f>敌人!D$79</f>
        <v>1</v>
      </c>
      <c r="F647" s="57">
        <f>敌人!E$79</f>
        <v>0</v>
      </c>
      <c r="G647" s="57">
        <f>敌人!F$79</f>
        <v>0</v>
      </c>
      <c r="H647" s="57">
        <f>敌人!G$79</f>
        <v>0</v>
      </c>
      <c r="I647" s="57">
        <f>敌人!H$79</f>
        <v>0</v>
      </c>
      <c r="J647" s="57">
        <f>敌人!I$79</f>
        <v>0</v>
      </c>
      <c r="K647" s="392" t="str">
        <f ca="1">敌人!J$79</f>
        <v>复活的橄榄</v>
      </c>
      <c r="L647" s="371"/>
      <c r="M647" s="371"/>
      <c r="N647" s="55"/>
      <c r="O647" s="55"/>
      <c r="P647" s="485"/>
      <c r="Q647" s="371"/>
      <c r="R647" s="371"/>
      <c r="S647" s="55"/>
      <c r="T647" s="55"/>
      <c r="U647" s="394"/>
      <c r="V647" s="371"/>
      <c r="W647" s="55"/>
      <c r="X647" s="55"/>
      <c r="Y647" s="55"/>
      <c r="Z647" s="55"/>
      <c r="AA647" s="55"/>
    </row>
    <row r="648" spans="1:27" ht="12.75" x14ac:dyDescent="0.2">
      <c r="A648" s="55"/>
      <c r="B648" s="56" t="b">
        <v>0</v>
      </c>
      <c r="C648" s="392" t="str">
        <f ca="1">敌人!C$258</f>
        <v>河川苍蝇</v>
      </c>
      <c r="D648" s="371"/>
      <c r="E648" s="57">
        <f>敌人!D$258</f>
        <v>1</v>
      </c>
      <c r="F648" s="57">
        <f>敌人!E$258</f>
        <v>0</v>
      </c>
      <c r="G648" s="57">
        <f>敌人!F$258</f>
        <v>0</v>
      </c>
      <c r="H648" s="57">
        <f>敌人!G$258</f>
        <v>0</v>
      </c>
      <c r="I648" s="57">
        <f>敌人!H$258</f>
        <v>0</v>
      </c>
      <c r="J648" s="57">
        <f>敌人!I$258</f>
        <v>0</v>
      </c>
      <c r="K648" s="392" t="str">
        <f ca="1">敌人!J$258</f>
        <v>混乱多之叶</v>
      </c>
      <c r="L648" s="371"/>
      <c r="M648" s="371"/>
      <c r="N648" s="55"/>
      <c r="O648" s="55"/>
      <c r="P648" s="485"/>
      <c r="Q648" s="371"/>
      <c r="R648" s="371"/>
      <c r="S648" s="55"/>
      <c r="T648" s="55"/>
      <c r="U648" s="394"/>
      <c r="V648" s="371"/>
      <c r="W648" s="55"/>
      <c r="X648" s="55"/>
      <c r="Y648" s="55"/>
      <c r="Z648" s="55"/>
      <c r="AA648" s="55"/>
    </row>
    <row r="649" spans="1:27" ht="12.75" x14ac:dyDescent="0.2">
      <c r="A649" s="55"/>
      <c r="B649" s="56" t="b">
        <v>0</v>
      </c>
      <c r="C649" s="392" t="str">
        <f ca="1">敌人!C$167</f>
        <v>河川苍蝇异种</v>
      </c>
      <c r="D649" s="371"/>
      <c r="E649" s="57">
        <f>敌人!D$167</f>
        <v>2</v>
      </c>
      <c r="F649" s="57">
        <f>敌人!E$167</f>
        <v>0</v>
      </c>
      <c r="G649" s="57">
        <f>敌人!F$167</f>
        <v>0</v>
      </c>
      <c r="H649" s="57">
        <f>敌人!G$167</f>
        <v>0</v>
      </c>
      <c r="I649" s="57">
        <f>敌人!H$167</f>
        <v>0</v>
      </c>
      <c r="J649" s="57">
        <f>敌人!I$167</f>
        <v>0</v>
      </c>
      <c r="K649" s="392" t="str">
        <f ca="1">敌人!J$167</f>
        <v>混乱多之叶</v>
      </c>
      <c r="L649" s="371"/>
      <c r="M649" s="371"/>
      <c r="N649" s="55"/>
      <c r="O649" s="55"/>
      <c r="P649" s="485"/>
      <c r="Q649" s="371"/>
      <c r="R649" s="371"/>
      <c r="S649" s="55"/>
      <c r="T649" s="55"/>
      <c r="U649" s="394"/>
      <c r="V649" s="371"/>
      <c r="W649" s="55"/>
      <c r="X649" s="55"/>
      <c r="Y649" s="55"/>
      <c r="Z649" s="55"/>
      <c r="AA649" s="55"/>
    </row>
    <row r="650" spans="1:27" ht="12.75" x14ac:dyDescent="0.2">
      <c r="A650" s="55"/>
      <c r="B650" s="55"/>
      <c r="C650" s="394"/>
      <c r="D650" s="371"/>
      <c r="E650" s="55"/>
      <c r="F650" s="55"/>
      <c r="G650" s="55"/>
      <c r="H650" s="55"/>
      <c r="I650" s="55"/>
      <c r="J650" s="55"/>
      <c r="K650" s="394"/>
      <c r="L650" s="371"/>
      <c r="M650" s="371"/>
      <c r="N650" s="55"/>
      <c r="O650" s="55"/>
      <c r="P650" s="485"/>
      <c r="Q650" s="371"/>
      <c r="R650" s="371"/>
      <c r="S650" s="55"/>
      <c r="T650" s="55"/>
      <c r="U650" s="394"/>
      <c r="V650" s="371"/>
      <c r="W650" s="55"/>
      <c r="X650" s="55"/>
      <c r="Y650" s="55"/>
      <c r="Z650" s="55"/>
      <c r="AA650" s="55"/>
    </row>
    <row r="651" spans="1:27" ht="12.75" x14ac:dyDescent="0.2">
      <c r="A651" s="55"/>
      <c r="B651" s="399" t="str">
        <f ca="1">语言!$A$39&amp;" "&amp;语言!$A$14&amp;" 1"</f>
        <v>普里姆萝洁 章节 1</v>
      </c>
      <c r="C651" s="371"/>
      <c r="D651" s="371"/>
      <c r="E651" s="371"/>
      <c r="F651" s="371"/>
      <c r="G651" s="371"/>
      <c r="H651" s="371"/>
      <c r="I651" s="371"/>
      <c r="J651" s="371"/>
      <c r="K651" s="371"/>
      <c r="L651" s="371"/>
      <c r="M651" s="371"/>
      <c r="N651" s="55"/>
      <c r="O651" s="399" t="str">
        <f ca="1">语言!$A$39&amp;" "&amp;语言!$A$14&amp;" 1"</f>
        <v>普里姆萝洁 章节 1</v>
      </c>
      <c r="P651" s="371"/>
      <c r="Q651" s="371"/>
      <c r="R651" s="371"/>
      <c r="S651" s="55"/>
      <c r="T651" s="55"/>
      <c r="U651" s="394"/>
      <c r="V651" s="371"/>
      <c r="W651" s="55"/>
      <c r="X651" s="55"/>
      <c r="Y651" s="55"/>
      <c r="Z651" s="55"/>
      <c r="AA651" s="55"/>
    </row>
    <row r="652" spans="1:27" ht="12.75" x14ac:dyDescent="0.2">
      <c r="A652" s="55"/>
      <c r="B652" s="396" t="str">
        <f ca="1">语言!A$419&amp;" ("&amp;语言!$A$12&amp;" 1 - 4 - 7 - 11)"</f>
        <v>桑谢德地下道 (危险度 1 - 4 - 7 - 11)</v>
      </c>
      <c r="C652" s="371"/>
      <c r="D652" s="371"/>
      <c r="E652" s="371"/>
      <c r="F652" s="371"/>
      <c r="G652" s="371"/>
      <c r="H652" s="371"/>
      <c r="I652" s="371"/>
      <c r="J652" s="371"/>
      <c r="K652" s="371"/>
      <c r="L652" s="371"/>
      <c r="M652" s="371"/>
      <c r="N652" s="55"/>
      <c r="O652" s="396" t="str">
        <f ca="1">语言!A$419&amp;" (4 "&amp;语言!$A$19&amp;")"</f>
        <v>桑谢德地下道 (4 宝箱)</v>
      </c>
      <c r="P652" s="371"/>
      <c r="Q652" s="371"/>
      <c r="R652" s="371"/>
      <c r="S652" s="55"/>
      <c r="T652" s="55"/>
      <c r="U652" s="394"/>
      <c r="V652" s="371"/>
      <c r="W652" s="55"/>
      <c r="X652" s="55"/>
      <c r="Y652" s="55"/>
      <c r="Z652" s="55"/>
      <c r="AA652" s="55"/>
    </row>
    <row r="653" spans="1:27" ht="12.75" x14ac:dyDescent="0.2">
      <c r="A653" s="55"/>
      <c r="B653" s="56" t="b">
        <v>0</v>
      </c>
      <c r="C653" s="392" t="str">
        <f ca="1">敌人!C$278</f>
        <v>沙漠蜥蜴人 I</v>
      </c>
      <c r="D653" s="371"/>
      <c r="E653" s="57">
        <f>敌人!D$278</f>
        <v>1</v>
      </c>
      <c r="F653" s="57">
        <f>敌人!E$278</f>
        <v>0</v>
      </c>
      <c r="G653" s="57">
        <f>敌人!F$278</f>
        <v>0</v>
      </c>
      <c r="H653" s="57">
        <f>敌人!G$278</f>
        <v>0</v>
      </c>
      <c r="I653" s="57">
        <f>敌人!H$278</f>
        <v>0</v>
      </c>
      <c r="J653" s="57">
        <f>敌人!I$278</f>
        <v>0</v>
      </c>
      <c r="K653" s="392" t="str">
        <f ca="1">敌人!J$278</f>
        <v>ＳＰ恢复的李子</v>
      </c>
      <c r="L653" s="371"/>
      <c r="M653" s="371"/>
      <c r="N653" s="55"/>
      <c r="O653" s="56" t="b">
        <v>0</v>
      </c>
      <c r="P653" s="392" t="str">
        <f ca="1">道具!$C$3</f>
        <v>ＨＰ恢复的葡萄</v>
      </c>
      <c r="Q653" s="371"/>
      <c r="R653" s="371"/>
      <c r="S653" s="55"/>
      <c r="T653" s="55"/>
      <c r="U653" s="394"/>
      <c r="V653" s="371"/>
      <c r="W653" s="55"/>
      <c r="X653" s="55"/>
      <c r="Y653" s="55"/>
      <c r="Z653" s="55"/>
      <c r="AA653" s="55"/>
    </row>
    <row r="654" spans="1:27" ht="12.75" x14ac:dyDescent="0.2">
      <c r="A654" s="55"/>
      <c r="B654" s="56" t="b">
        <v>0</v>
      </c>
      <c r="C654" s="392" t="str">
        <f ca="1">敌人!C$280</f>
        <v>沙漠蜥蜴人 II</v>
      </c>
      <c r="D654" s="371"/>
      <c r="E654" s="57">
        <f>敌人!D$280</f>
        <v>2</v>
      </c>
      <c r="F654" s="57">
        <f>敌人!E$280</f>
        <v>0</v>
      </c>
      <c r="G654" s="57">
        <f>敌人!F$280</f>
        <v>0</v>
      </c>
      <c r="H654" s="57">
        <f>敌人!G$280</f>
        <v>0</v>
      </c>
      <c r="I654" s="57">
        <f>敌人!H$280</f>
        <v>0</v>
      </c>
      <c r="J654" s="57">
        <f>敌人!I$280</f>
        <v>0</v>
      </c>
      <c r="K654" s="392" t="str">
        <f ca="1">敌人!J$280</f>
        <v>李子树液</v>
      </c>
      <c r="L654" s="371"/>
      <c r="M654" s="371"/>
      <c r="N654" s="55"/>
      <c r="O654" s="56" t="b">
        <v>0</v>
      </c>
      <c r="P654" s="392" t="str">
        <f ca="1">道具!$C$46</f>
        <v>暗之精灵石</v>
      </c>
      <c r="Q654" s="371"/>
      <c r="R654" s="371"/>
      <c r="S654" s="55"/>
      <c r="T654" s="55"/>
      <c r="U654" s="394"/>
      <c r="V654" s="371"/>
      <c r="W654" s="55"/>
      <c r="X654" s="55"/>
      <c r="Y654" s="55"/>
      <c r="Z654" s="55"/>
      <c r="AA654" s="55"/>
    </row>
    <row r="655" spans="1:27" ht="12.75" x14ac:dyDescent="0.2">
      <c r="A655" s="55"/>
      <c r="B655" s="56" t="b">
        <v>0</v>
      </c>
      <c r="C655" s="392" t="str">
        <f ca="1">敌人!C$282&amp;" (7+)"</f>
        <v>沙漠蜥蜴人 III (7+)</v>
      </c>
      <c r="D655" s="371"/>
      <c r="E655" s="57">
        <f>敌人!D$282</f>
        <v>3</v>
      </c>
      <c r="F655" s="57">
        <f>敌人!E$282</f>
        <v>0</v>
      </c>
      <c r="G655" s="57">
        <f>敌人!F$282</f>
        <v>0</v>
      </c>
      <c r="H655" s="57">
        <f>敌人!G$282</f>
        <v>0</v>
      </c>
      <c r="I655" s="57">
        <f>敌人!H$282</f>
        <v>0</v>
      </c>
      <c r="J655" s="57">
        <f>敌人!I$282</f>
        <v>0</v>
      </c>
      <c r="K655" s="392" t="str">
        <f ca="1">敌人!J$282</f>
        <v>ＨＰ恢复的葡萄</v>
      </c>
      <c r="L655" s="371"/>
      <c r="M655" s="371"/>
      <c r="N655" s="55"/>
      <c r="O655" s="56" t="b">
        <v>0</v>
      </c>
      <c r="P655" s="392" t="str">
        <f ca="1">道具!$C$6</f>
        <v>ＳＰ恢复的李子</v>
      </c>
      <c r="Q655" s="371"/>
      <c r="R655" s="371"/>
      <c r="S655" s="55"/>
      <c r="T655" s="55"/>
      <c r="U655" s="394"/>
      <c r="V655" s="371"/>
      <c r="W655" s="55"/>
      <c r="X655" s="55"/>
      <c r="Y655" s="55"/>
      <c r="Z655" s="55"/>
      <c r="AA655" s="55"/>
    </row>
    <row r="656" spans="1:27" ht="12.75" x14ac:dyDescent="0.2">
      <c r="A656" s="55"/>
      <c r="B656" s="56" t="b">
        <v>0</v>
      </c>
      <c r="C656" s="392" t="str">
        <f ca="1">敌人!C$14</f>
        <v>杀手虫</v>
      </c>
      <c r="D656" s="371"/>
      <c r="E656" s="57">
        <f>敌人!D$14</f>
        <v>1</v>
      </c>
      <c r="F656" s="57">
        <f>敌人!E$14</f>
        <v>0</v>
      </c>
      <c r="G656" s="57">
        <f>敌人!F$14</f>
        <v>0</v>
      </c>
      <c r="H656" s="57">
        <f>敌人!G$14</f>
        <v>0</v>
      </c>
      <c r="I656" s="57">
        <f>敌人!H$14</f>
        <v>0</v>
      </c>
      <c r="J656" s="57">
        <f>敌人!I$14</f>
        <v>0</v>
      </c>
      <c r="K656" s="392" t="str">
        <f ca="1">敌人!J$14</f>
        <v>石榴树液</v>
      </c>
      <c r="L656" s="371"/>
      <c r="M656" s="371"/>
      <c r="N656" s="55"/>
      <c r="O656" s="56" t="b">
        <v>0</v>
      </c>
      <c r="P656" s="392" t="str">
        <f ca="1">道具!$C$495</f>
        <v>体力耳环</v>
      </c>
      <c r="Q656" s="371"/>
      <c r="R656" s="371"/>
      <c r="S656" s="55"/>
      <c r="T656" s="55"/>
      <c r="U656" s="394"/>
      <c r="V656" s="371"/>
      <c r="W656" s="55"/>
      <c r="X656" s="55"/>
      <c r="Y656" s="55"/>
      <c r="Z656" s="55"/>
      <c r="AA656" s="55"/>
    </row>
    <row r="657" spans="1:27" ht="12.75" x14ac:dyDescent="0.2">
      <c r="A657" s="55"/>
      <c r="B657" s="56" t="b">
        <v>0</v>
      </c>
      <c r="C657" s="392" t="str">
        <f ca="1">敌人!C$191&amp;" (7+)"</f>
        <v>杀手虫异种 (7+)</v>
      </c>
      <c r="D657" s="371"/>
      <c r="E657" s="57">
        <f>敌人!D$191</f>
        <v>2</v>
      </c>
      <c r="F657" s="57">
        <f>敌人!E$191</f>
        <v>0</v>
      </c>
      <c r="G657" s="57">
        <f>敌人!F$191</f>
        <v>0</v>
      </c>
      <c r="H657" s="57">
        <f>敌人!G$191</f>
        <v>0</v>
      </c>
      <c r="I657" s="57">
        <f>敌人!H$191</f>
        <v>0</v>
      </c>
      <c r="J657" s="57">
        <f>敌人!I$191</f>
        <v>0</v>
      </c>
      <c r="K657" s="392" t="str">
        <f ca="1">敌人!J$191</f>
        <v>石榴树液</v>
      </c>
      <c r="L657" s="371"/>
      <c r="M657" s="371"/>
      <c r="N657" s="55"/>
      <c r="O657" s="55"/>
      <c r="P657" s="394"/>
      <c r="Q657" s="371"/>
      <c r="R657" s="371"/>
      <c r="S657" s="55"/>
      <c r="T657" s="55"/>
      <c r="U657" s="394"/>
      <c r="V657" s="371"/>
      <c r="W657" s="55"/>
      <c r="X657" s="55"/>
      <c r="Y657" s="55"/>
      <c r="Z657" s="55"/>
      <c r="AA657" s="55"/>
    </row>
    <row r="658" spans="1:27" ht="12.75" x14ac:dyDescent="0.2">
      <c r="A658" s="55"/>
      <c r="B658" s="56" t="b">
        <v>0</v>
      </c>
      <c r="C658" s="392" t="str">
        <f ca="1">敌人!C$307&amp;" (7+)"</f>
        <v>黑蝙蝠异种 (7+)</v>
      </c>
      <c r="D658" s="371"/>
      <c r="E658" s="57">
        <f>敌人!D$307</f>
        <v>2</v>
      </c>
      <c r="F658" s="57">
        <f>敌人!E$307</f>
        <v>0</v>
      </c>
      <c r="G658" s="57">
        <f>敌人!F$307</f>
        <v>0</v>
      </c>
      <c r="H658" s="57">
        <f>敌人!G$307</f>
        <v>0</v>
      </c>
      <c r="I658" s="57">
        <f>敌人!H$307</f>
        <v>0</v>
      </c>
      <c r="J658" s="57">
        <f>敌人!I$307</f>
        <v>0</v>
      </c>
      <c r="K658" s="392" t="str">
        <f ca="1">敌人!J$307</f>
        <v>神秘之花</v>
      </c>
      <c r="L658" s="371"/>
      <c r="M658" s="371"/>
      <c r="N658" s="55"/>
      <c r="O658" s="55"/>
      <c r="P658" s="394"/>
      <c r="Q658" s="371"/>
      <c r="R658" s="371"/>
      <c r="S658" s="55"/>
      <c r="T658" s="55"/>
      <c r="U658" s="394"/>
      <c r="V658" s="371"/>
      <c r="W658" s="55"/>
      <c r="X658" s="55"/>
      <c r="Y658" s="55"/>
      <c r="Z658" s="55"/>
      <c r="AA658" s="55"/>
    </row>
    <row r="659" spans="1:27" ht="12.75" x14ac:dyDescent="0.2">
      <c r="A659" s="55"/>
      <c r="B659" s="56" t="b">
        <v>0</v>
      </c>
      <c r="C659" s="392" t="str">
        <f ca="1">敌人!C$23</f>
        <v>黑蝙蝠</v>
      </c>
      <c r="D659" s="371"/>
      <c r="E659" s="57">
        <f>敌人!D$23</f>
        <v>1</v>
      </c>
      <c r="F659" s="57">
        <f>敌人!E$23</f>
        <v>0</v>
      </c>
      <c r="G659" s="57">
        <f>敌人!F$23</f>
        <v>0</v>
      </c>
      <c r="H659" s="57">
        <f>敌人!G$23</f>
        <v>0</v>
      </c>
      <c r="I659" s="57">
        <f>敌人!H$23</f>
        <v>0</v>
      </c>
      <c r="J659" s="57">
        <f>敌人!I$23</f>
        <v>0</v>
      </c>
      <c r="K659" s="392" t="str">
        <f ca="1">敌人!J$23</f>
        <v>神秘之花</v>
      </c>
      <c r="L659" s="371"/>
      <c r="M659" s="371"/>
      <c r="N659" s="55"/>
      <c r="O659" s="55"/>
      <c r="P659" s="394"/>
      <c r="Q659" s="371"/>
      <c r="R659" s="371"/>
      <c r="S659" s="55"/>
      <c r="T659" s="55"/>
      <c r="U659" s="394"/>
      <c r="V659" s="371"/>
      <c r="W659" s="55"/>
      <c r="X659" s="55"/>
      <c r="Y659" s="55"/>
      <c r="Z659" s="55"/>
      <c r="AA659" s="55"/>
    </row>
    <row r="660" spans="1:27" ht="12.75" x14ac:dyDescent="0.2">
      <c r="A660" s="55"/>
      <c r="B660" s="56" t="b">
        <v>0</v>
      </c>
      <c r="C660" s="392" t="str">
        <f ca="1">敌人!C$206</f>
        <v>光之鬼火</v>
      </c>
      <c r="D660" s="371"/>
      <c r="E660" s="57">
        <f>敌人!D$206</f>
        <v>1</v>
      </c>
      <c r="F660" s="57">
        <f>敌人!E$206</f>
        <v>0</v>
      </c>
      <c r="G660" s="57">
        <f>敌人!F$206</f>
        <v>0</v>
      </c>
      <c r="H660" s="57">
        <f>敌人!G$206</f>
        <v>0</v>
      </c>
      <c r="I660" s="57">
        <f>敌人!H$206</f>
        <v>0</v>
      </c>
      <c r="J660" s="57">
        <f>敌人!I$206</f>
        <v>0</v>
      </c>
      <c r="K660" s="392" t="str">
        <f ca="1">敌人!J$206</f>
        <v>光之精灵石</v>
      </c>
      <c r="L660" s="371"/>
      <c r="M660" s="371"/>
      <c r="N660" s="55"/>
      <c r="O660" s="55"/>
      <c r="P660" s="394"/>
      <c r="Q660" s="371"/>
      <c r="R660" s="371"/>
      <c r="S660" s="55"/>
      <c r="T660" s="55"/>
      <c r="U660" s="394"/>
      <c r="V660" s="371"/>
      <c r="W660" s="55"/>
      <c r="X660" s="55"/>
      <c r="Y660" s="55"/>
      <c r="Z660" s="55"/>
      <c r="AA660" s="55"/>
    </row>
    <row r="661" spans="1:27" ht="12.75" x14ac:dyDescent="0.2">
      <c r="A661" s="55"/>
      <c r="B661" s="486" t="str">
        <f ca="1">语言!$A$15</f>
        <v>Boss</v>
      </c>
      <c r="C661" s="371"/>
      <c r="D661" s="371"/>
      <c r="E661" s="371"/>
      <c r="F661" s="371"/>
      <c r="G661" s="371"/>
      <c r="H661" s="371"/>
      <c r="I661" s="371"/>
      <c r="J661" s="371"/>
      <c r="K661" s="371"/>
      <c r="L661" s="371"/>
      <c r="M661" s="371"/>
      <c r="N661" s="55"/>
      <c r="O661" s="55"/>
      <c r="P661" s="394"/>
      <c r="Q661" s="371"/>
      <c r="R661" s="371"/>
      <c r="S661" s="55"/>
      <c r="T661" s="55"/>
      <c r="U661" s="394"/>
      <c r="V661" s="371"/>
      <c r="W661" s="55"/>
      <c r="X661" s="55"/>
      <c r="Y661" s="55"/>
      <c r="Z661" s="55"/>
      <c r="AA661" s="55"/>
    </row>
    <row r="662" spans="1:27" ht="12.75" x14ac:dyDescent="0.2">
      <c r="A662" s="55"/>
      <c r="B662" s="56" t="b">
        <v>0</v>
      </c>
      <c r="C662" s="392" t="str">
        <f ca="1">敌人!C$400</f>
        <v>赫尔根尼修</v>
      </c>
      <c r="D662" s="371"/>
      <c r="E662" s="57" t="str">
        <f>敌人!D$400</f>
        <v>4+</v>
      </c>
      <c r="F662" s="57">
        <f>敌人!E$400</f>
        <v>0</v>
      </c>
      <c r="G662" s="57">
        <f>敌人!F$400</f>
        <v>0</v>
      </c>
      <c r="H662" s="57">
        <f>敌人!G$400</f>
        <v>0</v>
      </c>
      <c r="I662" s="57">
        <f>敌人!H$400</f>
        <v>0</v>
      </c>
      <c r="J662" s="57">
        <f>敌人!I$400</f>
        <v>0</v>
      </c>
      <c r="K662" s="425" t="str">
        <f ca="1">敌人!J$400</f>
        <v>鼓胀的钱包</v>
      </c>
      <c r="L662" s="371"/>
      <c r="M662" s="371"/>
      <c r="N662" s="55"/>
      <c r="O662" s="55"/>
      <c r="P662" s="394"/>
      <c r="Q662" s="371"/>
      <c r="R662" s="371"/>
      <c r="S662" s="55"/>
      <c r="T662" s="55"/>
      <c r="U662" s="394"/>
      <c r="V662" s="371"/>
      <c r="W662" s="55"/>
      <c r="X662" s="55"/>
      <c r="Y662" s="55"/>
      <c r="Z662" s="55"/>
      <c r="AA662" s="55"/>
    </row>
    <row r="663" spans="1:27" ht="12.75" x14ac:dyDescent="0.2">
      <c r="A663" s="55"/>
      <c r="B663" s="56" t="b">
        <v>0</v>
      </c>
      <c r="C663" s="392" t="str">
        <f ca="1">敌人!C$401</f>
        <v>赫尔根尼修的手下</v>
      </c>
      <c r="D663" s="371"/>
      <c r="E663" s="57" t="str">
        <f>敌人!D$401</f>
        <v>1+</v>
      </c>
      <c r="F663" s="57">
        <f>敌人!E$401</f>
        <v>0</v>
      </c>
      <c r="G663" s="57">
        <f>敌人!F$401</f>
        <v>0</v>
      </c>
      <c r="H663" s="57">
        <f>敌人!G$401</f>
        <v>0</v>
      </c>
      <c r="I663" s="57">
        <f>敌人!H$401</f>
        <v>0</v>
      </c>
      <c r="J663" s="57">
        <f>敌人!I$401</f>
        <v>0</v>
      </c>
      <c r="K663" s="425" t="str">
        <f ca="1">敌人!J$401</f>
        <v>长剑</v>
      </c>
      <c r="L663" s="371"/>
      <c r="M663" s="371"/>
      <c r="N663" s="403" t="str">
        <f ca="1">敌人!$C$400&amp;" summons more Lackey if you kill them after a few turns, making it possible to steal as many "&amp;道具!$C$169&amp;" as you want"</f>
        <v>赫尔根尼修 summons more Lackey if you kill them after a few turns, making it possible to steal as many 长剑 as you want</v>
      </c>
      <c r="O663" s="371"/>
      <c r="P663" s="371"/>
      <c r="Q663" s="371"/>
      <c r="R663" s="371"/>
      <c r="S663" s="371"/>
      <c r="T663" s="371"/>
      <c r="U663" s="371"/>
      <c r="V663" s="371"/>
      <c r="W663" s="371"/>
      <c r="X663" s="371"/>
      <c r="Y663" s="371"/>
      <c r="Z663" s="55"/>
      <c r="AA663" s="55"/>
    </row>
    <row r="664" spans="1:27" ht="12.75" x14ac:dyDescent="0.2">
      <c r="A664" s="55"/>
      <c r="B664" s="55"/>
      <c r="C664" s="394"/>
      <c r="D664" s="371"/>
      <c r="E664" s="55"/>
      <c r="F664" s="55"/>
      <c r="G664" s="55"/>
      <c r="H664" s="55"/>
      <c r="I664" s="55"/>
      <c r="J664" s="55"/>
      <c r="K664" s="394"/>
      <c r="L664" s="371"/>
      <c r="M664" s="371"/>
      <c r="N664" s="55"/>
      <c r="O664" s="55"/>
      <c r="P664" s="394"/>
      <c r="Q664" s="371"/>
      <c r="R664" s="371"/>
      <c r="S664" s="55"/>
      <c r="T664" s="55"/>
      <c r="U664" s="394"/>
      <c r="V664" s="371"/>
      <c r="W664" s="55"/>
      <c r="X664" s="55"/>
      <c r="Y664" s="55"/>
      <c r="Z664" s="55"/>
      <c r="AA664" s="55"/>
    </row>
    <row r="665" spans="1:27" ht="18" x14ac:dyDescent="0.25">
      <c r="A665" s="397" t="str">
        <f ca="1">语言!$A$323&amp;" 2"</f>
        <v>Tier 2</v>
      </c>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row>
    <row r="666" spans="1:27" ht="12.75" x14ac:dyDescent="0.2">
      <c r="A666" s="55"/>
      <c r="B666" s="56" t="b">
        <v>0</v>
      </c>
      <c r="C666" s="393" t="str">
        <f ca="1">敌人!C$69</f>
        <v>绅士凯特林</v>
      </c>
      <c r="D666" s="371"/>
      <c r="E666" s="56">
        <f>敌人!D$69</f>
        <v>4</v>
      </c>
      <c r="F666" s="56">
        <f>敌人!E$69</f>
        <v>0</v>
      </c>
      <c r="G666" s="56">
        <f>敌人!F$69</f>
        <v>0</v>
      </c>
      <c r="H666" s="56">
        <f>敌人!G$69</f>
        <v>0</v>
      </c>
      <c r="I666" s="56">
        <f>敌人!H$69</f>
        <v>0</v>
      </c>
      <c r="J666" s="56">
        <f>敌人!I$69</f>
        <v>0</v>
      </c>
      <c r="K666" s="393" t="str">
        <f ca="1">敌人!J$69</f>
        <v>ＨＰ／ＳＰ／ＢＰ恢复的果酱</v>
      </c>
      <c r="L666" s="371"/>
      <c r="M666" s="371"/>
      <c r="N666" s="55"/>
      <c r="O666" s="396" t="str">
        <f ca="1">语言!A$420&amp;" (4 "&amp;语言!$A$19&amp;")"</f>
        <v>威尔斯宾克 (4 宝箱)</v>
      </c>
      <c r="P666" s="371"/>
      <c r="Q666" s="371"/>
      <c r="R666" s="371"/>
      <c r="S666" s="55"/>
      <c r="T666" s="396" t="str">
        <f ca="1">语言!A$420</f>
        <v>威尔斯宾克</v>
      </c>
      <c r="U666" s="371"/>
      <c r="V666" s="371"/>
      <c r="W666" s="55"/>
      <c r="X666" s="55"/>
      <c r="Y666" s="55"/>
      <c r="Z666" s="55"/>
      <c r="AA666" s="55"/>
    </row>
    <row r="667" spans="1:27" ht="12.75" x14ac:dyDescent="0.2">
      <c r="A667" s="55"/>
      <c r="B667" s="399" t="str">
        <f ca="1">"Common Areas ("&amp;语言!$A$12&amp;" 31 - 32 - 33 - 35)"</f>
        <v>Common Areas (危险度 31 - 32 - 33 - 35)</v>
      </c>
      <c r="C667" s="371"/>
      <c r="D667" s="371"/>
      <c r="E667" s="371"/>
      <c r="F667" s="371"/>
      <c r="G667" s="371"/>
      <c r="H667" s="371"/>
      <c r="I667" s="371"/>
      <c r="J667" s="371"/>
      <c r="K667" s="371"/>
      <c r="L667" s="371"/>
      <c r="M667" s="371"/>
      <c r="N667" s="55"/>
      <c r="O667" s="56" t="b">
        <v>0</v>
      </c>
      <c r="P667" s="392" t="str">
        <f ca="1">道具!$C$4</f>
        <v>ＨＰ恢复的葡萄（大）</v>
      </c>
      <c r="Q667" s="371"/>
      <c r="R667" s="371"/>
      <c r="S667" s="55"/>
      <c r="T667" s="56" t="b">
        <v>0</v>
      </c>
      <c r="U667" s="393" t="str">
        <f ca="1">道具!$C$37</f>
        <v>雷之精灵石（大）</v>
      </c>
      <c r="V667" s="371"/>
      <c r="W667" s="55"/>
      <c r="X667" s="55"/>
      <c r="Y667" s="60"/>
      <c r="Z667" s="61"/>
      <c r="AA667" s="55"/>
    </row>
    <row r="668" spans="1:27" ht="12.75" x14ac:dyDescent="0.2">
      <c r="A668" s="55"/>
      <c r="B668" s="484" t="str">
        <f ca="1">语言!A$421</f>
        <v>北威尔斯宾克沙道</v>
      </c>
      <c r="C668" s="371"/>
      <c r="D668" s="371"/>
      <c r="E668" s="371"/>
      <c r="F668" s="371"/>
      <c r="G668" s="371"/>
      <c r="H668" s="371"/>
      <c r="I668" s="371"/>
      <c r="J668" s="371"/>
      <c r="K668" s="371"/>
      <c r="L668" s="371"/>
      <c r="M668" s="371"/>
      <c r="N668" s="55"/>
      <c r="O668" s="56" t="b">
        <v>0</v>
      </c>
      <c r="P668" s="392" t="str">
        <f ca="1">道具!$C$7</f>
        <v>ＳＰ恢复的李子（大）</v>
      </c>
      <c r="Q668" s="371"/>
      <c r="R668" s="371"/>
      <c r="S668" s="55"/>
      <c r="T668" s="56" t="b">
        <v>0</v>
      </c>
      <c r="U668" s="393" t="str">
        <f ca="1">道具!$C$5</f>
        <v>ＨＰ全体恢复的葡萄</v>
      </c>
      <c r="V668" s="371"/>
      <c r="W668" s="55"/>
      <c r="X668" s="55"/>
      <c r="Y668" s="60"/>
      <c r="Z668" s="61"/>
      <c r="AA668" s="55"/>
    </row>
    <row r="669" spans="1:27" ht="12.75" x14ac:dyDescent="0.2">
      <c r="A669" s="55"/>
      <c r="B669" s="484" t="str">
        <f ca="1">语言!A$422</f>
        <v>东威尔斯宾克沙道</v>
      </c>
      <c r="C669" s="371"/>
      <c r="D669" s="371"/>
      <c r="E669" s="371"/>
      <c r="F669" s="371"/>
      <c r="G669" s="371"/>
      <c r="H669" s="371"/>
      <c r="I669" s="371"/>
      <c r="J669" s="371"/>
      <c r="K669" s="371"/>
      <c r="L669" s="371"/>
      <c r="M669" s="371"/>
      <c r="N669" s="55"/>
      <c r="O669" s="56" t="b">
        <v>0</v>
      </c>
      <c r="P669" s="392" t="str">
        <f ca="1">"14 000$ ("&amp;语言!$A$20&amp;")"</f>
        <v>14 000$ (上锁宝箱)</v>
      </c>
      <c r="Q669" s="371"/>
      <c r="R669" s="371"/>
      <c r="S669" s="55"/>
      <c r="T669" s="56" t="b">
        <v>0</v>
      </c>
      <c r="U669" s="393" t="str">
        <f ca="1">道具!$C$127</f>
        <v>放了铜块的麻袋</v>
      </c>
      <c r="V669" s="371"/>
      <c r="W669" s="55"/>
      <c r="X669" s="55"/>
      <c r="Y669" s="60"/>
      <c r="Z669" s="61"/>
      <c r="AA669" s="55"/>
    </row>
    <row r="670" spans="1:27" ht="12.75" x14ac:dyDescent="0.2">
      <c r="A670" s="55"/>
      <c r="B670" s="56" t="b">
        <v>0</v>
      </c>
      <c r="C670" s="392" t="str">
        <f ca="1">敌人!C$284</f>
        <v>沙漠蜥蜴人 IV</v>
      </c>
      <c r="D670" s="371"/>
      <c r="E670" s="57">
        <f>敌人!D$284</f>
        <v>2</v>
      </c>
      <c r="F670" s="57">
        <f>敌人!E$284</f>
        <v>0</v>
      </c>
      <c r="G670" s="57">
        <f>敌人!F$284</f>
        <v>0</v>
      </c>
      <c r="H670" s="57">
        <f>敌人!G$284</f>
        <v>0</v>
      </c>
      <c r="I670" s="57">
        <f>敌人!H$284</f>
        <v>0</v>
      </c>
      <c r="J670" s="57">
        <f>敌人!I$284</f>
        <v>0</v>
      </c>
      <c r="K670" s="392" t="str">
        <f ca="1">敌人!J$284</f>
        <v>ＳＰ恢复的李子（大）</v>
      </c>
      <c r="L670" s="371"/>
      <c r="M670" s="371"/>
      <c r="N670" s="55"/>
      <c r="O670" s="56" t="b">
        <v>0</v>
      </c>
      <c r="P670" s="392" t="str">
        <f ca="1">"9 000$ ("&amp;语言!$A$20&amp;")"</f>
        <v>9 000$ (上锁宝箱)</v>
      </c>
      <c r="Q670" s="371"/>
      <c r="R670" s="371"/>
      <c r="S670" s="55"/>
      <c r="T670" s="56" t="b">
        <v>0</v>
      </c>
      <c r="U670" s="393" t="str">
        <f ca="1">道具!$C$7</f>
        <v>ＳＰ恢复的李子（大）</v>
      </c>
      <c r="V670" s="371"/>
      <c r="W670" s="55"/>
      <c r="X670" s="55"/>
      <c r="Y670" s="55"/>
      <c r="Z670" s="55"/>
      <c r="AA670" s="55"/>
    </row>
    <row r="671" spans="1:27" ht="12.75" x14ac:dyDescent="0.2">
      <c r="A671" s="55"/>
      <c r="B671" s="56" t="b">
        <v>0</v>
      </c>
      <c r="C671" s="392" t="str">
        <f ca="1">敌人!C$285</f>
        <v>沙漠蜥蜴人 V</v>
      </c>
      <c r="D671" s="371"/>
      <c r="E671" s="57">
        <f>敌人!D$285</f>
        <v>3</v>
      </c>
      <c r="F671" s="57">
        <f>敌人!E$285</f>
        <v>0</v>
      </c>
      <c r="G671" s="57">
        <f>敌人!F$285</f>
        <v>0</v>
      </c>
      <c r="H671" s="57">
        <f>敌人!G$285</f>
        <v>0</v>
      </c>
      <c r="I671" s="57">
        <f>敌人!H$285</f>
        <v>0</v>
      </c>
      <c r="J671" s="57">
        <f>敌人!I$285</f>
        <v>0</v>
      </c>
      <c r="K671" s="392" t="str">
        <f ca="1">敌人!J$285</f>
        <v>李子树液</v>
      </c>
      <c r="L671" s="371"/>
      <c r="M671" s="371"/>
      <c r="N671" s="55"/>
      <c r="O671" s="396" t="str">
        <f ca="1">语言!A$421&amp;" (4 "&amp;语言!$A$19&amp;")"</f>
        <v>北威尔斯宾克沙道 (4 宝箱)</v>
      </c>
      <c r="P671" s="371"/>
      <c r="Q671" s="371"/>
      <c r="R671" s="371"/>
      <c r="S671" s="55"/>
      <c r="T671" s="56" t="b">
        <v>0</v>
      </c>
      <c r="U671" s="403" t="str">
        <f ca="1">道具!$C$117</f>
        <v>鼓胀的钱包</v>
      </c>
      <c r="V671" s="371"/>
      <c r="W671" s="403" t="str">
        <f ca="1">"Hidden item available after "&amp;语言!$A$38&amp;" chapter 3 but before completing "&amp;语言!$A$38&amp;" chapter 4 (NPC: "&amp;语言!$A$1793&amp;")"</f>
        <v>Hidden item available after 欧尔贝克 chapter 3 but before completing 欧尔贝克 chapter 4 (NPC: 贝尔队长)</v>
      </c>
      <c r="X671" s="371"/>
      <c r="Y671" s="371"/>
      <c r="Z671" s="371"/>
      <c r="AA671" s="55"/>
    </row>
    <row r="672" spans="1:27" ht="12.75" x14ac:dyDescent="0.2">
      <c r="A672" s="55"/>
      <c r="B672" s="56" t="b">
        <v>0</v>
      </c>
      <c r="C672" s="392" t="str">
        <f ca="1">敌人!C$286&amp;" (32+)"</f>
        <v>沙漠蜥蜴人 VI (32+)</v>
      </c>
      <c r="D672" s="371"/>
      <c r="E672" s="57">
        <f>敌人!D$286</f>
        <v>1</v>
      </c>
      <c r="F672" s="57">
        <f>敌人!E$286</f>
        <v>0</v>
      </c>
      <c r="G672" s="57">
        <f>敌人!F$286</f>
        <v>0</v>
      </c>
      <c r="H672" s="57">
        <f>敌人!G$286</f>
        <v>0</v>
      </c>
      <c r="I672" s="57">
        <f>敌人!H$286</f>
        <v>0</v>
      </c>
      <c r="J672" s="57">
        <f>敌人!I$286</f>
        <v>0</v>
      </c>
      <c r="K672" s="392" t="str">
        <f ca="1">敌人!J$286</f>
        <v>ＨＰ恢复的葡萄（大）</v>
      </c>
      <c r="L672" s="371"/>
      <c r="M672" s="371"/>
      <c r="N672" s="55"/>
      <c r="O672" s="56" t="b">
        <v>0</v>
      </c>
      <c r="P672" s="392" t="str">
        <f ca="1">道具!$C$10</f>
        <v>ＢＰ恢复的石榴（大）</v>
      </c>
      <c r="Q672" s="371"/>
      <c r="R672" s="371"/>
      <c r="S672" s="55"/>
      <c r="T672" s="56" t="b">
        <v>0</v>
      </c>
      <c r="U672" s="393" t="str">
        <f ca="1">道具!$C$117</f>
        <v>鼓胀的钱包</v>
      </c>
      <c r="V672" s="371"/>
      <c r="W672" s="55"/>
      <c r="X672" s="55"/>
      <c r="Y672" s="55"/>
      <c r="Z672" s="55"/>
      <c r="AA672" s="55"/>
    </row>
    <row r="673" spans="1:27" ht="12.75" x14ac:dyDescent="0.2">
      <c r="A673" s="55"/>
      <c r="B673" s="56" t="b">
        <v>0</v>
      </c>
      <c r="C673" s="392" t="str">
        <f ca="1">敌人!C$273&amp;" (33+)"</f>
        <v>沙漠大蜥蜴人 I (33+)</v>
      </c>
      <c r="D673" s="371"/>
      <c r="E673" s="57">
        <f>敌人!D$273</f>
        <v>4</v>
      </c>
      <c r="F673" s="57">
        <f>敌人!E$273</f>
        <v>0</v>
      </c>
      <c r="G673" s="57">
        <f>敌人!F$273</f>
        <v>0</v>
      </c>
      <c r="H673" s="57">
        <f>敌人!G$273</f>
        <v>0</v>
      </c>
      <c r="I673" s="57">
        <f>敌人!H$273</f>
        <v>0</v>
      </c>
      <c r="J673" s="57">
        <f>敌人!I$273</f>
        <v>0</v>
      </c>
      <c r="K673" s="392" t="str">
        <f ca="1">敌人!J$273</f>
        <v>ＨＰ恢复的葡萄（大）</v>
      </c>
      <c r="L673" s="371"/>
      <c r="M673" s="371"/>
      <c r="N673" s="55"/>
      <c r="O673" s="56" t="b">
        <v>0</v>
      </c>
      <c r="P673" s="392" t="str">
        <f ca="1">道具!$C$183</f>
        <v>帝国骑枪</v>
      </c>
      <c r="Q673" s="371"/>
      <c r="R673" s="371"/>
      <c r="S673" s="55"/>
      <c r="T673" s="55"/>
      <c r="U673" s="394"/>
      <c r="V673" s="371"/>
      <c r="W673" s="55"/>
      <c r="X673" s="55"/>
      <c r="Y673" s="55"/>
      <c r="Z673" s="55"/>
      <c r="AA673" s="55"/>
    </row>
    <row r="674" spans="1:27" ht="12.75" x14ac:dyDescent="0.2">
      <c r="A674" s="55"/>
      <c r="B674" s="56" t="b">
        <v>0</v>
      </c>
      <c r="C674" s="392" t="str">
        <f ca="1">敌人!C$287&amp;" (33-)"</f>
        <v>沙虫 (33-)</v>
      </c>
      <c r="D674" s="371"/>
      <c r="E674" s="57">
        <f>敌人!D$287</f>
        <v>4</v>
      </c>
      <c r="F674" s="57">
        <f>敌人!E$287</f>
        <v>0</v>
      </c>
      <c r="G674" s="57">
        <f>敌人!F$287</f>
        <v>0</v>
      </c>
      <c r="H674" s="57">
        <f>敌人!G$287</f>
        <v>0</v>
      </c>
      <c r="I674" s="57">
        <f>敌人!H$287</f>
        <v>0</v>
      </c>
      <c r="J674" s="57">
        <f>敌人!I$287</f>
        <v>0</v>
      </c>
      <c r="K674" s="392" t="str">
        <f ca="1">敌人!J$287</f>
        <v>橄榄花</v>
      </c>
      <c r="L674" s="371"/>
      <c r="M674" s="371"/>
      <c r="N674" s="55"/>
      <c r="O674" s="56" t="b">
        <v>0</v>
      </c>
      <c r="P674" s="392" t="str">
        <f ca="1">道具!$C$6</f>
        <v>ＳＰ恢复的李子</v>
      </c>
      <c r="Q674" s="371"/>
      <c r="R674" s="371"/>
      <c r="S674" s="55"/>
      <c r="T674" s="55"/>
      <c r="U674" s="394"/>
      <c r="V674" s="371"/>
      <c r="W674" s="55"/>
      <c r="X674" s="55"/>
      <c r="Y674" s="55"/>
      <c r="Z674" s="55"/>
      <c r="AA674" s="55"/>
    </row>
    <row r="675" spans="1:27" ht="12.75" x14ac:dyDescent="0.2">
      <c r="A675" s="55"/>
      <c r="B675" s="56" t="b">
        <v>0</v>
      </c>
      <c r="C675" s="392" t="str">
        <f ca="1">敌人!C$86&amp;" (33+)"</f>
        <v>沙虫异种 (33+)</v>
      </c>
      <c r="D675" s="371"/>
      <c r="E675" s="57">
        <f>敌人!D$86</f>
        <v>5</v>
      </c>
      <c r="F675" s="57">
        <f>敌人!E$86</f>
        <v>0</v>
      </c>
      <c r="G675" s="57">
        <f>敌人!F$86</f>
        <v>0</v>
      </c>
      <c r="H675" s="57">
        <f>敌人!G$86</f>
        <v>0</v>
      </c>
      <c r="I675" s="57">
        <f>敌人!H$86</f>
        <v>0</v>
      </c>
      <c r="J675" s="57">
        <f>敌人!I$86</f>
        <v>0</v>
      </c>
      <c r="K675" s="392" t="str">
        <f ca="1">敌人!J$86</f>
        <v>橄榄花</v>
      </c>
      <c r="L675" s="371"/>
      <c r="M675" s="371"/>
      <c r="N675" s="55"/>
      <c r="O675" s="56" t="b">
        <v>0</v>
      </c>
      <c r="P675" s="392" t="str">
        <f ca="1">道具!$C$14</f>
        <v>复活的橄榄</v>
      </c>
      <c r="Q675" s="371"/>
      <c r="R675" s="371"/>
      <c r="S675" s="55"/>
      <c r="T675" s="55"/>
      <c r="U675" s="394"/>
      <c r="V675" s="371"/>
      <c r="W675" s="55"/>
      <c r="X675" s="55"/>
      <c r="Y675" s="55"/>
      <c r="Z675" s="55"/>
      <c r="AA675" s="55"/>
    </row>
    <row r="676" spans="1:27" ht="12.75" x14ac:dyDescent="0.2">
      <c r="A676" s="55"/>
      <c r="B676" s="56" t="b">
        <v>0</v>
      </c>
      <c r="C676" s="392" t="str">
        <f ca="1">敌人!C$140&amp;" (33-)"</f>
        <v>大蝎子 (33-)</v>
      </c>
      <c r="D676" s="371"/>
      <c r="E676" s="57">
        <f>敌人!D$140</f>
        <v>2</v>
      </c>
      <c r="F676" s="57">
        <f>敌人!E$140</f>
        <v>0</v>
      </c>
      <c r="G676" s="57">
        <f>敌人!F$140</f>
        <v>0</v>
      </c>
      <c r="H676" s="57">
        <f>敌人!G$140</f>
        <v>0</v>
      </c>
      <c r="I676" s="57">
        <f>敌人!H$140</f>
        <v>0</v>
      </c>
      <c r="J676" s="57">
        <f>敌人!I$140</f>
        <v>0</v>
      </c>
      <c r="K676" s="392" t="str">
        <f ca="1">敌人!J$140</f>
        <v>石榴树液</v>
      </c>
      <c r="L676" s="371"/>
      <c r="M676" s="371"/>
      <c r="N676" s="55"/>
      <c r="O676" s="396" t="str">
        <f ca="1">语言!A$422&amp;" (5 "&amp;语言!$A$19&amp;")"</f>
        <v>东威尔斯宾克沙道 (5 宝箱)</v>
      </c>
      <c r="P676" s="371"/>
      <c r="Q676" s="371"/>
      <c r="R676" s="371"/>
      <c r="S676" s="55"/>
      <c r="T676" s="55"/>
      <c r="U676" s="394"/>
      <c r="V676" s="371"/>
      <c r="W676" s="55"/>
      <c r="X676" s="55"/>
      <c r="Y676" s="55"/>
      <c r="Z676" s="55"/>
      <c r="AA676" s="55"/>
    </row>
    <row r="677" spans="1:27" ht="12.75" x14ac:dyDescent="0.2">
      <c r="A677" s="55"/>
      <c r="B677" s="56" t="b">
        <v>0</v>
      </c>
      <c r="C677" s="392" t="str">
        <f ca="1">敌人!C$288&amp;" (33+)"</f>
        <v>大蝎子异种 (33+)</v>
      </c>
      <c r="D677" s="371"/>
      <c r="E677" s="57">
        <f>敌人!D$288</f>
        <v>3</v>
      </c>
      <c r="F677" s="57">
        <f>敌人!E$288</f>
        <v>0</v>
      </c>
      <c r="G677" s="57">
        <f>敌人!F$288</f>
        <v>0</v>
      </c>
      <c r="H677" s="57">
        <f>敌人!G$288</f>
        <v>0</v>
      </c>
      <c r="I677" s="57">
        <f>敌人!H$288</f>
        <v>0</v>
      </c>
      <c r="J677" s="57">
        <f>敌人!I$288</f>
        <v>0</v>
      </c>
      <c r="K677" s="392" t="str">
        <f ca="1">敌人!J$288</f>
        <v>石榴树液</v>
      </c>
      <c r="L677" s="371"/>
      <c r="M677" s="371"/>
      <c r="N677" s="55"/>
      <c r="O677" s="56" t="b">
        <v>0</v>
      </c>
      <c r="P677" s="392" t="str">
        <f ca="1">道具!$C$127</f>
        <v>放了铜块的麻袋</v>
      </c>
      <c r="Q677" s="371"/>
      <c r="R677" s="371"/>
      <c r="S677" s="55"/>
      <c r="T677" s="55"/>
      <c r="U677" s="394"/>
      <c r="V677" s="371"/>
      <c r="W677" s="55"/>
      <c r="X677" s="55"/>
      <c r="Y677" s="55"/>
      <c r="Z677" s="55"/>
      <c r="AA677" s="55"/>
    </row>
    <row r="678" spans="1:27" ht="12.75" x14ac:dyDescent="0.2">
      <c r="A678" s="55"/>
      <c r="B678" s="56" t="b">
        <v>0</v>
      </c>
      <c r="C678" s="392" t="str">
        <f ca="1">敌人!C$79</f>
        <v>黑粪金龟</v>
      </c>
      <c r="D678" s="371"/>
      <c r="E678" s="57">
        <f>敌人!D$79</f>
        <v>1</v>
      </c>
      <c r="F678" s="57">
        <f>敌人!E$79</f>
        <v>0</v>
      </c>
      <c r="G678" s="57">
        <f>敌人!F$79</f>
        <v>0</v>
      </c>
      <c r="H678" s="57">
        <f>敌人!G$79</f>
        <v>0</v>
      </c>
      <c r="I678" s="57">
        <f>敌人!H$79</f>
        <v>0</v>
      </c>
      <c r="J678" s="57">
        <f>敌人!I$79</f>
        <v>0</v>
      </c>
      <c r="K678" s="392" t="str">
        <f ca="1">敌人!J$79</f>
        <v>复活的橄榄</v>
      </c>
      <c r="L678" s="371"/>
      <c r="M678" s="371"/>
      <c r="N678" s="55"/>
      <c r="O678" s="56" t="b">
        <v>0</v>
      </c>
      <c r="P678" s="392" t="str">
        <f ca="1">道具!$C$100</f>
        <v>看起来像金矿石的东西</v>
      </c>
      <c r="Q678" s="371"/>
      <c r="R678" s="371"/>
      <c r="S678" s="55"/>
      <c r="T678" s="55"/>
      <c r="U678" s="394"/>
      <c r="V678" s="371"/>
      <c r="W678" s="55"/>
      <c r="X678" s="55"/>
      <c r="Y678" s="55"/>
      <c r="Z678" s="55"/>
      <c r="AA678" s="55"/>
    </row>
    <row r="679" spans="1:27" ht="12.75" x14ac:dyDescent="0.2">
      <c r="A679" s="55"/>
      <c r="B679" s="56" t="b">
        <v>0</v>
      </c>
      <c r="C679" s="392" t="str">
        <f ca="1">敌人!C$371</f>
        <v>风来枯草</v>
      </c>
      <c r="D679" s="371"/>
      <c r="E679" s="57">
        <f>敌人!D$371</f>
        <v>1</v>
      </c>
      <c r="F679" s="57">
        <f>敌人!E$371</f>
        <v>0</v>
      </c>
      <c r="G679" s="57">
        <f>敌人!F$371</f>
        <v>0</v>
      </c>
      <c r="H679" s="57">
        <f>敌人!G$371</f>
        <v>0</v>
      </c>
      <c r="I679" s="57">
        <f>敌人!H$371</f>
        <v>0</v>
      </c>
      <c r="J679" s="57">
        <f>敌人!I$371</f>
        <v>0</v>
      </c>
      <c r="K679" s="392" t="str">
        <f ca="1">敌人!J$371</f>
        <v>混乱多之叶</v>
      </c>
      <c r="L679" s="371"/>
      <c r="M679" s="371"/>
      <c r="N679" s="55"/>
      <c r="O679" s="56" t="b">
        <v>0</v>
      </c>
      <c r="P679" s="392" t="str">
        <f ca="1">道具!$C$38</f>
        <v>雷之精灵石（特大）</v>
      </c>
      <c r="Q679" s="371"/>
      <c r="R679" s="371"/>
      <c r="S679" s="55"/>
      <c r="T679" s="55"/>
      <c r="U679" s="394"/>
      <c r="V679" s="371"/>
      <c r="W679" s="55"/>
      <c r="X679" s="55"/>
      <c r="Y679" s="55"/>
      <c r="Z679" s="55"/>
      <c r="AA679" s="55"/>
    </row>
    <row r="680" spans="1:27" ht="12.75" x14ac:dyDescent="0.2">
      <c r="A680" s="55"/>
      <c r="B680" s="56" t="b">
        <v>0</v>
      </c>
      <c r="C680" s="392" t="str">
        <f ca="1">敌人!C$325&amp;" (35)"</f>
        <v>尖刺蜥蜴 (35)</v>
      </c>
      <c r="D680" s="371"/>
      <c r="E680" s="57">
        <f>敌人!D$325</f>
        <v>4</v>
      </c>
      <c r="F680" s="57">
        <f>敌人!E$325</f>
        <v>0</v>
      </c>
      <c r="G680" s="57">
        <f>敌人!F$325</f>
        <v>0</v>
      </c>
      <c r="H680" s="57">
        <f>敌人!G$325</f>
        <v>0</v>
      </c>
      <c r="I680" s="57">
        <f>敌人!H$325</f>
        <v>0</v>
      </c>
      <c r="J680" s="57">
        <f>敌人!I$325</f>
        <v>0</v>
      </c>
      <c r="K680" s="392" t="str">
        <f ca="1">敌人!J$325</f>
        <v>ＨＰ恢复的葡萄（大）</v>
      </c>
      <c r="L680" s="371"/>
      <c r="M680" s="371"/>
      <c r="N680" s="55"/>
      <c r="O680" s="56" t="b">
        <v>0</v>
      </c>
      <c r="P680" s="392" t="str">
        <f ca="1">道具!$C$4</f>
        <v>ＨＰ恢复的葡萄（大）</v>
      </c>
      <c r="Q680" s="371"/>
      <c r="R680" s="371"/>
      <c r="S680" s="55"/>
      <c r="T680" s="55"/>
      <c r="U680" s="394"/>
      <c r="V680" s="371"/>
      <c r="W680" s="55"/>
      <c r="X680" s="55"/>
      <c r="Y680" s="55"/>
      <c r="Z680" s="55"/>
      <c r="AA680" s="55"/>
    </row>
    <row r="681" spans="1:27" ht="12.75" x14ac:dyDescent="0.2">
      <c r="A681" s="55"/>
      <c r="B681" s="55"/>
      <c r="C681" s="394"/>
      <c r="D681" s="371"/>
      <c r="E681" s="55"/>
      <c r="F681" s="55"/>
      <c r="G681" s="55"/>
      <c r="H681" s="55"/>
      <c r="I681" s="55"/>
      <c r="J681" s="55"/>
      <c r="K681" s="394"/>
      <c r="L681" s="371"/>
      <c r="M681" s="371"/>
      <c r="N681" s="55"/>
      <c r="O681" s="56" t="b">
        <v>0</v>
      </c>
      <c r="P681" s="392" t="str">
        <f ca="1">道具!$C$485&amp;" ("&amp;语言!$A$20&amp;")"</f>
        <v>察知手环 (上锁宝箱)</v>
      </c>
      <c r="Q681" s="371"/>
      <c r="R681" s="371"/>
      <c r="S681" s="55"/>
      <c r="T681" s="55"/>
      <c r="U681" s="394"/>
      <c r="V681" s="371"/>
      <c r="W681" s="55"/>
      <c r="X681" s="55"/>
      <c r="Y681" s="55"/>
      <c r="Z681" s="55"/>
      <c r="AA681" s="55"/>
    </row>
    <row r="682" spans="1:27" ht="12.75" x14ac:dyDescent="0.2">
      <c r="A682" s="55"/>
      <c r="B682" s="396" t="str">
        <f ca="1">语言!A$423&amp;" ("&amp;语言!$A$12&amp;" 40)"</f>
        <v>流沙洞窟 (危险度 40)</v>
      </c>
      <c r="C682" s="371"/>
      <c r="D682" s="371"/>
      <c r="E682" s="371"/>
      <c r="F682" s="371"/>
      <c r="G682" s="371"/>
      <c r="H682" s="371"/>
      <c r="I682" s="371"/>
      <c r="J682" s="371"/>
      <c r="K682" s="371"/>
      <c r="L682" s="371"/>
      <c r="M682" s="371"/>
      <c r="N682" s="55"/>
      <c r="O682" s="396" t="str">
        <f ca="1">语言!A$423&amp;" (6 "&amp;语言!$A$19&amp;")"</f>
        <v>流沙洞窟 (6 宝箱)</v>
      </c>
      <c r="P682" s="371"/>
      <c r="Q682" s="371"/>
      <c r="R682" s="371"/>
      <c r="S682" s="55"/>
      <c r="T682" s="55"/>
      <c r="U682" s="394"/>
      <c r="V682" s="371"/>
      <c r="W682" s="55"/>
      <c r="X682" s="55"/>
      <c r="Y682" s="55"/>
      <c r="Z682" s="55"/>
      <c r="AA682" s="55"/>
    </row>
    <row r="683" spans="1:27" ht="12.75" x14ac:dyDescent="0.2">
      <c r="A683" s="55"/>
      <c r="B683" s="56" t="b">
        <v>0</v>
      </c>
      <c r="C683" s="392" t="str">
        <f ca="1">敌人!C$98</f>
        <v>双头蛇</v>
      </c>
      <c r="D683" s="371"/>
      <c r="E683" s="57">
        <f>敌人!D$98</f>
        <v>2</v>
      </c>
      <c r="F683" s="57">
        <f>敌人!E$98</f>
        <v>0</v>
      </c>
      <c r="G683" s="57">
        <f>敌人!F$98</f>
        <v>0</v>
      </c>
      <c r="H683" s="57">
        <f>敌人!G$98</f>
        <v>0</v>
      </c>
      <c r="I683" s="57">
        <f>敌人!H$98</f>
        <v>0</v>
      </c>
      <c r="J683" s="57">
        <f>敌人!I$98</f>
        <v>0</v>
      </c>
      <c r="K683" s="392" t="str">
        <f ca="1">敌人!J$98</f>
        <v>混乱瓶</v>
      </c>
      <c r="L683" s="371"/>
      <c r="M683" s="371"/>
      <c r="N683" s="55"/>
      <c r="O683" s="56" t="b">
        <v>0</v>
      </c>
      <c r="P683" s="392" t="str">
        <f ca="1">道具!$C$247&amp;" ("&amp;语言!$A$20&amp;")"</f>
        <v>地狱斧 (上锁宝箱)</v>
      </c>
      <c r="Q683" s="371"/>
      <c r="R683" s="371"/>
      <c r="S683" s="55"/>
      <c r="T683" s="55"/>
      <c r="U683" s="394"/>
      <c r="V683" s="371"/>
      <c r="W683" s="55"/>
      <c r="X683" s="55"/>
      <c r="Y683" s="55"/>
      <c r="Z683" s="55"/>
      <c r="AA683" s="55"/>
    </row>
    <row r="684" spans="1:27" ht="12.75" x14ac:dyDescent="0.2">
      <c r="A684" s="55"/>
      <c r="B684" s="56" t="b">
        <v>0</v>
      </c>
      <c r="C684" s="392" t="str">
        <f ca="1">敌人!C$96</f>
        <v>双子蛇</v>
      </c>
      <c r="D684" s="371"/>
      <c r="E684" s="57">
        <f>敌人!D$96</f>
        <v>3</v>
      </c>
      <c r="F684" s="57">
        <f>敌人!E$96</f>
        <v>0</v>
      </c>
      <c r="G684" s="57">
        <f>敌人!F$96</f>
        <v>0</v>
      </c>
      <c r="H684" s="57">
        <f>敌人!G$96</f>
        <v>0</v>
      </c>
      <c r="I684" s="57">
        <f>敌人!H$96</f>
        <v>0</v>
      </c>
      <c r="J684" s="57">
        <f>敌人!I$96</f>
        <v>0</v>
      </c>
      <c r="K684" s="392" t="str">
        <f ca="1">敌人!J$96</f>
        <v>毒瓶</v>
      </c>
      <c r="L684" s="371"/>
      <c r="M684" s="371"/>
      <c r="N684" s="55"/>
      <c r="O684" s="56" t="b">
        <v>0</v>
      </c>
      <c r="P684" s="392" t="str">
        <f ca="1">道具!$C$12</f>
        <v>ＨＰ／ＳＰ恢复的果酱</v>
      </c>
      <c r="Q684" s="371"/>
      <c r="R684" s="371"/>
      <c r="S684" s="55"/>
      <c r="T684" s="55"/>
      <c r="U684" s="394"/>
      <c r="V684" s="371"/>
      <c r="W684" s="55"/>
      <c r="X684" s="55"/>
      <c r="Y684" s="55"/>
      <c r="Z684" s="55"/>
      <c r="AA684" s="55"/>
    </row>
    <row r="685" spans="1:27" ht="12.75" x14ac:dyDescent="0.2">
      <c r="A685" s="55"/>
      <c r="B685" s="56" t="b">
        <v>0</v>
      </c>
      <c r="C685" s="392" t="str">
        <f ca="1">敌人!C$99</f>
        <v>双颈蛇</v>
      </c>
      <c r="D685" s="371"/>
      <c r="E685" s="57">
        <f>敌人!D$99</f>
        <v>2</v>
      </c>
      <c r="F685" s="57">
        <f>敌人!E$99</f>
        <v>0</v>
      </c>
      <c r="G685" s="57">
        <f>敌人!F$99</f>
        <v>0</v>
      </c>
      <c r="H685" s="57">
        <f>敌人!G$99</f>
        <v>0</v>
      </c>
      <c r="I685" s="57">
        <f>敌人!H$99</f>
        <v>0</v>
      </c>
      <c r="J685" s="57">
        <f>敌人!I$99</f>
        <v>0</v>
      </c>
      <c r="K685" s="392" t="str">
        <f ca="1">敌人!J$99</f>
        <v>混乱瓶</v>
      </c>
      <c r="L685" s="371"/>
      <c r="M685" s="371"/>
      <c r="N685" s="55"/>
      <c r="O685" s="56" t="b">
        <v>0</v>
      </c>
      <c r="P685" s="392" t="str">
        <f ca="1">道具!$C$32</f>
        <v>火之精灵石（特大）</v>
      </c>
      <c r="Q685" s="371"/>
      <c r="R685" s="371"/>
      <c r="S685" s="55"/>
      <c r="T685" s="55"/>
      <c r="U685" s="394"/>
      <c r="V685" s="371"/>
      <c r="W685" s="55"/>
      <c r="X685" s="55"/>
      <c r="Y685" s="55"/>
      <c r="Z685" s="55"/>
      <c r="AA685" s="55"/>
    </row>
    <row r="686" spans="1:27" ht="12.75" x14ac:dyDescent="0.2">
      <c r="A686" s="55"/>
      <c r="B686" s="56" t="b">
        <v>0</v>
      </c>
      <c r="C686" s="392" t="str">
        <f ca="1">敌人!C$93</f>
        <v>鳞蛇异种</v>
      </c>
      <c r="D686" s="371"/>
      <c r="E686" s="57">
        <f>敌人!D$93</f>
        <v>3</v>
      </c>
      <c r="F686" s="57">
        <f>敌人!E$93</f>
        <v>0</v>
      </c>
      <c r="G686" s="57">
        <f>敌人!F$93</f>
        <v>0</v>
      </c>
      <c r="H686" s="57">
        <f>敌人!G$93</f>
        <v>0</v>
      </c>
      <c r="I686" s="57">
        <f>敌人!H$93</f>
        <v>0</v>
      </c>
      <c r="J686" s="57">
        <f>敌人!I$93</f>
        <v>0</v>
      </c>
      <c r="K686" s="392" t="str">
        <f ca="1">敌人!J$93</f>
        <v>毒治疗药草</v>
      </c>
      <c r="L686" s="371"/>
      <c r="M686" s="371"/>
      <c r="N686" s="55"/>
      <c r="O686" s="56" t="b">
        <v>0</v>
      </c>
      <c r="P686" s="392" t="str">
        <f ca="1">道具!$C$524</f>
        <v>恐怖耐性石</v>
      </c>
      <c r="Q686" s="371"/>
      <c r="R686" s="371"/>
      <c r="S686" s="55"/>
      <c r="T686" s="55"/>
      <c r="U686" s="394"/>
      <c r="V686" s="371"/>
      <c r="W686" s="55"/>
      <c r="X686" s="55"/>
      <c r="Y686" s="55"/>
      <c r="Z686" s="55"/>
      <c r="AA686" s="55"/>
    </row>
    <row r="687" spans="1:27" ht="12.75" x14ac:dyDescent="0.2">
      <c r="A687" s="55"/>
      <c r="B687" s="56" t="b">
        <v>0</v>
      </c>
      <c r="C687" s="392" t="str">
        <f ca="1">敌人!C$28</f>
        <v>红蛇异种</v>
      </c>
      <c r="D687" s="371"/>
      <c r="E687" s="57">
        <f>敌人!D$28</f>
        <v>2</v>
      </c>
      <c r="F687" s="57">
        <f>敌人!E$28</f>
        <v>0</v>
      </c>
      <c r="G687" s="57">
        <f>敌人!F$28</f>
        <v>0</v>
      </c>
      <c r="H687" s="57">
        <f>敌人!G$28</f>
        <v>0</v>
      </c>
      <c r="I687" s="57">
        <f>敌人!H$28</f>
        <v>0</v>
      </c>
      <c r="J687" s="57">
        <f>敌人!I$28</f>
        <v>0</v>
      </c>
      <c r="K687" s="392" t="str">
        <f ca="1">敌人!J$28</f>
        <v>毒利米树之叶</v>
      </c>
      <c r="L687" s="371"/>
      <c r="M687" s="371"/>
      <c r="N687" s="55"/>
      <c r="O687" s="56" t="b">
        <v>0</v>
      </c>
      <c r="P687" s="392" t="str">
        <f ca="1">道具!$C$8</f>
        <v>ＳＰ全体恢复的李子</v>
      </c>
      <c r="Q687" s="371"/>
      <c r="R687" s="371"/>
      <c r="S687" s="55"/>
      <c r="T687" s="55"/>
      <c r="U687" s="394"/>
      <c r="V687" s="371"/>
      <c r="W687" s="55"/>
      <c r="X687" s="55"/>
      <c r="Y687" s="55"/>
      <c r="Z687" s="55"/>
      <c r="AA687" s="55"/>
    </row>
    <row r="688" spans="1:27" ht="12.75" x14ac:dyDescent="0.2">
      <c r="A688" s="55"/>
      <c r="B688" s="56" t="b">
        <v>0</v>
      </c>
      <c r="C688" s="392" t="str">
        <f ca="1">敌人!C$304</f>
        <v>蓝蛇</v>
      </c>
      <c r="D688" s="371"/>
      <c r="E688" s="57">
        <f>敌人!D$304</f>
        <v>1</v>
      </c>
      <c r="F688" s="57">
        <f>敌人!E$304</f>
        <v>0</v>
      </c>
      <c r="G688" s="57">
        <f>敌人!F$304</f>
        <v>0</v>
      </c>
      <c r="H688" s="57">
        <f>敌人!G$304</f>
        <v>0</v>
      </c>
      <c r="I688" s="57">
        <f>敌人!H$304</f>
        <v>0</v>
      </c>
      <c r="J688" s="57">
        <f>敌人!I$304</f>
        <v>0</v>
      </c>
      <c r="K688" s="392" t="str">
        <f ca="1">敌人!J$304</f>
        <v>毒治疗药草</v>
      </c>
      <c r="L688" s="371"/>
      <c r="M688" s="371"/>
      <c r="N688" s="55"/>
      <c r="O688" s="56" t="b">
        <v>0</v>
      </c>
      <c r="P688" s="392" t="str">
        <f ca="1">道具!$C$482</f>
        <v>守护手环</v>
      </c>
      <c r="Q688" s="371"/>
      <c r="R688" s="371"/>
      <c r="S688" s="55"/>
      <c r="T688" s="55"/>
      <c r="U688" s="394"/>
      <c r="V688" s="371"/>
      <c r="W688" s="55"/>
      <c r="X688" s="55"/>
      <c r="Y688" s="55"/>
      <c r="Z688" s="55"/>
      <c r="AA688" s="55"/>
    </row>
    <row r="689" spans="1:27" ht="12.75" x14ac:dyDescent="0.2">
      <c r="A689" s="55"/>
      <c r="B689" s="56" t="b">
        <v>0</v>
      </c>
      <c r="C689" s="392" t="str">
        <f ca="1">敌人!C$318</f>
        <v>黑杀手虫</v>
      </c>
      <c r="D689" s="371"/>
      <c r="E689" s="57">
        <f>敌人!D$318</f>
        <v>3</v>
      </c>
      <c r="F689" s="57">
        <f>敌人!E$318</f>
        <v>0</v>
      </c>
      <c r="G689" s="57">
        <f>敌人!F$318</f>
        <v>0</v>
      </c>
      <c r="H689" s="57">
        <f>敌人!G$318</f>
        <v>0</v>
      </c>
      <c r="I689" s="57">
        <f>敌人!H$318</f>
        <v>0</v>
      </c>
      <c r="J689" s="57">
        <f>敌人!I$318</f>
        <v>0</v>
      </c>
      <c r="K689" s="392" t="str">
        <f ca="1">敌人!J$318</f>
        <v>李子树液</v>
      </c>
      <c r="L689" s="371"/>
      <c r="M689" s="371"/>
      <c r="N689" s="55"/>
      <c r="O689" s="55"/>
      <c r="P689" s="394"/>
      <c r="Q689" s="371"/>
      <c r="R689" s="371"/>
      <c r="S689" s="55"/>
      <c r="T689" s="55"/>
      <c r="U689" s="394"/>
      <c r="V689" s="371"/>
      <c r="W689" s="55"/>
      <c r="X689" s="55"/>
      <c r="Y689" s="55"/>
      <c r="Z689" s="55"/>
      <c r="AA689" s="55"/>
    </row>
    <row r="690" spans="1:27" ht="12.75" x14ac:dyDescent="0.2">
      <c r="A690" s="55"/>
      <c r="B690" s="56" t="b">
        <v>0</v>
      </c>
      <c r="C690" s="392" t="str">
        <f ca="1">敌人!C$314</f>
        <v>天上蜘蛛</v>
      </c>
      <c r="D690" s="371"/>
      <c r="E690" s="57">
        <f>敌人!D$314</f>
        <v>4</v>
      </c>
      <c r="F690" s="57">
        <f>敌人!E$314</f>
        <v>0</v>
      </c>
      <c r="G690" s="57">
        <f>敌人!F$314</f>
        <v>0</v>
      </c>
      <c r="H690" s="57">
        <f>敌人!G$314</f>
        <v>0</v>
      </c>
      <c r="I690" s="57">
        <f>敌人!H$314</f>
        <v>0</v>
      </c>
      <c r="J690" s="57">
        <f>敌人!I$314</f>
        <v>0</v>
      </c>
      <c r="K690" s="392" t="str">
        <f ca="1">敌人!J$314</f>
        <v>混乱多之叶</v>
      </c>
      <c r="L690" s="371"/>
      <c r="M690" s="371"/>
      <c r="N690" s="55"/>
      <c r="O690" s="55"/>
      <c r="P690" s="394"/>
      <c r="Q690" s="371"/>
      <c r="R690" s="371"/>
      <c r="S690" s="55"/>
      <c r="T690" s="55"/>
      <c r="U690" s="394"/>
      <c r="V690" s="371"/>
      <c r="W690" s="55"/>
      <c r="X690" s="55"/>
      <c r="Y690" s="55"/>
      <c r="Z690" s="55"/>
      <c r="AA690" s="55"/>
    </row>
    <row r="691" spans="1:27" ht="12.75" x14ac:dyDescent="0.2">
      <c r="A691" s="55"/>
      <c r="B691" s="486" t="str">
        <f ca="1">语言!$A$15&amp;" (knowledge: The Giant Serpent's Master)"</f>
        <v>Boss (knowledge: The Giant Serpent's Master)</v>
      </c>
      <c r="C691" s="371"/>
      <c r="D691" s="371"/>
      <c r="E691" s="371"/>
      <c r="F691" s="371"/>
      <c r="G691" s="371"/>
      <c r="H691" s="371"/>
      <c r="I691" s="371"/>
      <c r="J691" s="371"/>
      <c r="K691" s="371"/>
      <c r="L691" s="371"/>
      <c r="M691" s="371"/>
      <c r="N691" s="55"/>
      <c r="O691" s="55"/>
      <c r="P691" s="485"/>
      <c r="Q691" s="371"/>
      <c r="R691" s="371"/>
      <c r="S691" s="55"/>
      <c r="T691" s="55"/>
      <c r="U691" s="394"/>
      <c r="V691" s="371"/>
      <c r="W691" s="55"/>
      <c r="X691" s="55"/>
      <c r="Y691" s="55"/>
      <c r="Z691" s="55"/>
      <c r="AA691" s="55"/>
    </row>
    <row r="692" spans="1:27" ht="12.75" x14ac:dyDescent="0.2">
      <c r="A692" s="55"/>
      <c r="B692" s="56" t="b">
        <v>0</v>
      </c>
      <c r="C692" s="392" t="str">
        <f ca="1">敌人!C$503</f>
        <v>巨大蛇</v>
      </c>
      <c r="D692" s="371"/>
      <c r="E692" s="57">
        <f>敌人!D$503</f>
        <v>5</v>
      </c>
      <c r="F692" s="57">
        <f>敌人!E$503</f>
        <v>0</v>
      </c>
      <c r="G692" s="57">
        <f>敌人!F$503</f>
        <v>0</v>
      </c>
      <c r="H692" s="57">
        <f>敌人!G$503</f>
        <v>0</v>
      </c>
      <c r="I692" s="57">
        <f>敌人!H$503</f>
        <v>0</v>
      </c>
      <c r="J692" s="57">
        <f>敌人!I$503</f>
        <v>0</v>
      </c>
      <c r="K692" s="392" t="str">
        <f ca="1">敌人!J$503</f>
        <v>ＢＰ恢复的石榴（特大）</v>
      </c>
      <c r="L692" s="371"/>
      <c r="M692" s="371"/>
      <c r="N692" s="55"/>
      <c r="O692" s="55"/>
      <c r="P692" s="485"/>
      <c r="Q692" s="371"/>
      <c r="R692" s="371"/>
      <c r="S692" s="55"/>
      <c r="T692" s="55"/>
      <c r="U692" s="394"/>
      <c r="V692" s="371"/>
      <c r="W692" s="55"/>
      <c r="X692" s="55"/>
      <c r="Y692" s="55"/>
      <c r="Z692" s="55"/>
      <c r="AA692" s="55"/>
    </row>
    <row r="693" spans="1:27" ht="12.75" x14ac:dyDescent="0.2">
      <c r="A693" s="55"/>
      <c r="B693" s="56" t="b">
        <v>0</v>
      </c>
      <c r="C693" s="392" t="str">
        <f ca="1">敌人!C$504</f>
        <v>操蛇人</v>
      </c>
      <c r="D693" s="371"/>
      <c r="E693" s="57">
        <f>敌人!D$504</f>
        <v>5</v>
      </c>
      <c r="F693" s="57">
        <f>敌人!E$504</f>
        <v>0</v>
      </c>
      <c r="G693" s="57">
        <f>敌人!F$504</f>
        <v>0</v>
      </c>
      <c r="H693" s="57">
        <f>敌人!G$504</f>
        <v>0</v>
      </c>
      <c r="I693" s="57">
        <f>敌人!H$504</f>
        <v>0</v>
      </c>
      <c r="J693" s="57">
        <f>敌人!I$504</f>
        <v>0</v>
      </c>
      <c r="K693" s="392" t="str">
        <f ca="1">敌人!J$504</f>
        <v>睡眠治疗药草</v>
      </c>
      <c r="L693" s="371"/>
      <c r="M693" s="371"/>
      <c r="N693" s="55"/>
      <c r="O693" s="55"/>
      <c r="P693" s="485"/>
      <c r="Q693" s="371"/>
      <c r="R693" s="371"/>
      <c r="S693" s="55"/>
      <c r="T693" s="55"/>
      <c r="U693" s="394"/>
      <c r="V693" s="371"/>
      <c r="W693" s="55"/>
      <c r="X693" s="55"/>
      <c r="Y693" s="55"/>
      <c r="Z693" s="55"/>
      <c r="AA693" s="55"/>
    </row>
    <row r="694" spans="1:27" ht="12.75" x14ac:dyDescent="0.2">
      <c r="A694" s="55"/>
      <c r="B694" s="396" t="str">
        <f ca="1">语言!A$424&amp;" ("&amp;语言!$A$12&amp;" 35)"</f>
        <v>南威尔斯宾克废道 (危险度 35)</v>
      </c>
      <c r="C694" s="371"/>
      <c r="D694" s="371"/>
      <c r="E694" s="371"/>
      <c r="F694" s="371"/>
      <c r="G694" s="371"/>
      <c r="H694" s="371"/>
      <c r="I694" s="371"/>
      <c r="J694" s="371"/>
      <c r="K694" s="371"/>
      <c r="L694" s="371"/>
      <c r="M694" s="371"/>
      <c r="N694" s="55"/>
      <c r="O694" s="55"/>
      <c r="P694" s="485"/>
      <c r="Q694" s="371"/>
      <c r="R694" s="371"/>
      <c r="S694" s="55"/>
      <c r="T694" s="55"/>
      <c r="U694" s="394"/>
      <c r="V694" s="371"/>
      <c r="W694" s="55"/>
      <c r="X694" s="55"/>
      <c r="Y694" s="55"/>
      <c r="Z694" s="55"/>
      <c r="AA694" s="55"/>
    </row>
    <row r="695" spans="1:27" ht="12.75" x14ac:dyDescent="0.2">
      <c r="A695" s="55"/>
      <c r="B695" s="57" t="b">
        <v>0</v>
      </c>
      <c r="C695" s="392" t="str">
        <f ca="1">敌人!C$288</f>
        <v>大蝎子异种</v>
      </c>
      <c r="D695" s="371"/>
      <c r="E695" s="57">
        <f>敌人!D$288</f>
        <v>3</v>
      </c>
      <c r="F695" s="57">
        <f>敌人!E$288</f>
        <v>0</v>
      </c>
      <c r="G695" s="57">
        <f>敌人!F$288</f>
        <v>0</v>
      </c>
      <c r="H695" s="57">
        <f>敌人!G$288</f>
        <v>0</v>
      </c>
      <c r="I695" s="57">
        <f>敌人!H$288</f>
        <v>0</v>
      </c>
      <c r="J695" s="57">
        <f>敌人!I$288</f>
        <v>0</v>
      </c>
      <c r="K695" s="392" t="str">
        <f ca="1">敌人!J$288</f>
        <v>石榴树液</v>
      </c>
      <c r="L695" s="371"/>
      <c r="M695" s="371"/>
      <c r="N695" s="55"/>
      <c r="O695" s="55"/>
      <c r="P695" s="485"/>
      <c r="Q695" s="371"/>
      <c r="R695" s="371"/>
      <c r="S695" s="55"/>
      <c r="T695" s="55"/>
      <c r="U695" s="394"/>
      <c r="V695" s="371"/>
      <c r="W695" s="55"/>
      <c r="X695" s="55"/>
      <c r="Y695" s="55"/>
      <c r="Z695" s="55"/>
      <c r="AA695" s="55"/>
    </row>
    <row r="696" spans="1:27" ht="12.75" x14ac:dyDescent="0.2">
      <c r="A696" s="55"/>
      <c r="B696" s="56" t="b">
        <v>0</v>
      </c>
      <c r="C696" s="392" t="str">
        <f ca="1">敌人!C$79</f>
        <v>黑粪金龟</v>
      </c>
      <c r="D696" s="371"/>
      <c r="E696" s="57">
        <f>敌人!D$79</f>
        <v>1</v>
      </c>
      <c r="F696" s="57">
        <f>敌人!E$79</f>
        <v>0</v>
      </c>
      <c r="G696" s="57">
        <f>敌人!F$79</f>
        <v>0</v>
      </c>
      <c r="H696" s="57">
        <f>敌人!G$79</f>
        <v>0</v>
      </c>
      <c r="I696" s="57">
        <f>敌人!H$79</f>
        <v>0</v>
      </c>
      <c r="J696" s="57">
        <f>敌人!I$79</f>
        <v>0</v>
      </c>
      <c r="K696" s="392" t="str">
        <f ca="1">敌人!J$79</f>
        <v>复活的橄榄</v>
      </c>
      <c r="L696" s="371"/>
      <c r="M696" s="371"/>
      <c r="N696" s="55"/>
      <c r="O696" s="396" t="str">
        <f ca="1">语言!A$424&amp;" (4 "&amp;语言!$A$19&amp;")"</f>
        <v>南威尔斯宾克废道 (4 宝箱)</v>
      </c>
      <c r="P696" s="371"/>
      <c r="Q696" s="371"/>
      <c r="R696" s="371"/>
      <c r="S696" s="55"/>
      <c r="T696" s="55"/>
      <c r="U696" s="394"/>
      <c r="V696" s="371"/>
      <c r="W696" s="55"/>
      <c r="X696" s="55"/>
      <c r="Y696" s="55"/>
      <c r="Z696" s="55"/>
      <c r="AA696" s="55"/>
    </row>
    <row r="697" spans="1:27" ht="12.75" x14ac:dyDescent="0.2">
      <c r="A697" s="55"/>
      <c r="B697" s="56" t="b">
        <v>0</v>
      </c>
      <c r="C697" s="392" t="str">
        <f ca="1">敌人!C$371</f>
        <v>风来枯草</v>
      </c>
      <c r="D697" s="371"/>
      <c r="E697" s="57">
        <f>敌人!D$371</f>
        <v>1</v>
      </c>
      <c r="F697" s="57">
        <f>敌人!E$371</f>
        <v>0</v>
      </c>
      <c r="G697" s="57">
        <f>敌人!F$371</f>
        <v>0</v>
      </c>
      <c r="H697" s="57">
        <f>敌人!G$371</f>
        <v>0</v>
      </c>
      <c r="I697" s="57">
        <f>敌人!H$371</f>
        <v>0</v>
      </c>
      <c r="J697" s="57">
        <f>敌人!I$371</f>
        <v>0</v>
      </c>
      <c r="K697" s="392" t="str">
        <f ca="1">敌人!J$371</f>
        <v>混乱多之叶</v>
      </c>
      <c r="L697" s="371"/>
      <c r="M697" s="371"/>
      <c r="N697" s="55"/>
      <c r="O697" s="56" t="b">
        <v>0</v>
      </c>
      <c r="P697" s="392" t="str">
        <f ca="1">道具!$C$9</f>
        <v>ＢＰ恢复的石榴</v>
      </c>
      <c r="Q697" s="371"/>
      <c r="R697" s="371"/>
      <c r="S697" s="55"/>
      <c r="T697" s="55"/>
      <c r="U697" s="394"/>
      <c r="V697" s="371"/>
      <c r="W697" s="55"/>
      <c r="X697" s="55"/>
      <c r="Y697" s="55"/>
      <c r="Z697" s="55"/>
      <c r="AA697" s="55"/>
    </row>
    <row r="698" spans="1:27" ht="12.75" x14ac:dyDescent="0.2">
      <c r="A698" s="55"/>
      <c r="B698" s="56" t="b">
        <v>0</v>
      </c>
      <c r="C698" s="392" t="str">
        <f ca="1">敌人!C$325</f>
        <v>尖刺蜥蜴</v>
      </c>
      <c r="D698" s="371"/>
      <c r="E698" s="57">
        <f>敌人!D$325</f>
        <v>4</v>
      </c>
      <c r="F698" s="57">
        <f>敌人!E$325</f>
        <v>0</v>
      </c>
      <c r="G698" s="57">
        <f>敌人!F$325</f>
        <v>0</v>
      </c>
      <c r="H698" s="57">
        <f>敌人!G$325</f>
        <v>0</v>
      </c>
      <c r="I698" s="57">
        <f>敌人!H$325</f>
        <v>0</v>
      </c>
      <c r="J698" s="57">
        <f>敌人!I$325</f>
        <v>0</v>
      </c>
      <c r="K698" s="392" t="str">
        <f ca="1">敌人!J$325</f>
        <v>ＨＰ恢复的葡萄（大）</v>
      </c>
      <c r="L698" s="371"/>
      <c r="M698" s="371"/>
      <c r="N698" s="55"/>
      <c r="O698" s="56" t="b">
        <v>0</v>
      </c>
      <c r="P698" s="392" t="str">
        <f ca="1">道具!$C$32</f>
        <v>火之精灵石（特大）</v>
      </c>
      <c r="Q698" s="371"/>
      <c r="R698" s="371"/>
      <c r="S698" s="55"/>
      <c r="T698" s="55"/>
      <c r="U698" s="394"/>
      <c r="V698" s="371"/>
      <c r="W698" s="55"/>
      <c r="X698" s="55"/>
      <c r="Y698" s="55"/>
      <c r="Z698" s="55"/>
      <c r="AA698" s="55"/>
    </row>
    <row r="699" spans="1:27" ht="12.75" x14ac:dyDescent="0.2">
      <c r="A699" s="55"/>
      <c r="B699" s="55"/>
      <c r="C699" s="394"/>
      <c r="D699" s="371"/>
      <c r="E699" s="55"/>
      <c r="F699" s="55"/>
      <c r="G699" s="55"/>
      <c r="H699" s="55"/>
      <c r="I699" s="55"/>
      <c r="J699" s="55"/>
      <c r="K699" s="394"/>
      <c r="L699" s="371"/>
      <c r="M699" s="371"/>
      <c r="N699" s="55"/>
      <c r="O699" s="56" t="b">
        <v>0</v>
      </c>
      <c r="P699" s="392" t="str">
        <f ca="1">道具!$C$484&amp;" ("&amp;语言!$A$20&amp;")"</f>
        <v>狙击手环 (上锁宝箱)</v>
      </c>
      <c r="Q699" s="371"/>
      <c r="R699" s="371"/>
      <c r="S699" s="55"/>
      <c r="T699" s="55"/>
      <c r="U699" s="394"/>
      <c r="V699" s="371"/>
      <c r="W699" s="55"/>
      <c r="X699" s="55"/>
      <c r="Y699" s="55"/>
      <c r="Z699" s="55"/>
      <c r="AA699" s="55"/>
    </row>
    <row r="700" spans="1:27" ht="12.75" x14ac:dyDescent="0.2">
      <c r="A700" s="55"/>
      <c r="B700" s="399" t="str">
        <f ca="1">语言!$A$41&amp;" "&amp;语言!$A$14&amp;" 3"</f>
        <v>泰里翁 章节 3</v>
      </c>
      <c r="C700" s="371"/>
      <c r="D700" s="371"/>
      <c r="E700" s="371"/>
      <c r="F700" s="371"/>
      <c r="G700" s="371"/>
      <c r="H700" s="371"/>
      <c r="I700" s="371"/>
      <c r="J700" s="371"/>
      <c r="K700" s="371"/>
      <c r="L700" s="371"/>
      <c r="M700" s="371"/>
      <c r="N700" s="55"/>
      <c r="O700" s="399" t="str">
        <f ca="1">语言!$A$41&amp;" "&amp;语言!$A$14&amp;" 3"</f>
        <v>泰里翁 章节 3</v>
      </c>
      <c r="P700" s="371"/>
      <c r="Q700" s="371"/>
      <c r="R700" s="371"/>
      <c r="S700" s="55"/>
      <c r="T700" s="55"/>
      <c r="U700" s="394"/>
      <c r="V700" s="371"/>
      <c r="W700" s="55"/>
      <c r="X700" s="399" t="str">
        <f ca="1">语言!$A$41&amp;" "&amp;语言!$A$14&amp;" 3"</f>
        <v>泰里翁 章节 3</v>
      </c>
      <c r="Y700" s="371"/>
      <c r="Z700" s="371"/>
      <c r="AA700" s="55"/>
    </row>
    <row r="701" spans="1:27" ht="12.75" x14ac:dyDescent="0.2">
      <c r="A701" s="55"/>
      <c r="B701" s="396" t="str">
        <f ca="1">语言!A$425&amp;" ("&amp;语言!$A$12&amp;" 36)"</f>
        <v>黑市 (危险度 36)</v>
      </c>
      <c r="C701" s="371"/>
      <c r="D701" s="371"/>
      <c r="E701" s="371"/>
      <c r="F701" s="371"/>
      <c r="G701" s="371"/>
      <c r="H701" s="371"/>
      <c r="I701" s="371"/>
      <c r="J701" s="371"/>
      <c r="K701" s="371"/>
      <c r="L701" s="371"/>
      <c r="M701" s="371"/>
      <c r="N701" s="55"/>
      <c r="O701" s="56" t="b">
        <v>0</v>
      </c>
      <c r="P701" s="392" t="str">
        <f ca="1">道具!$C$127</f>
        <v>放了铜块的麻袋</v>
      </c>
      <c r="Q701" s="371"/>
      <c r="R701" s="371"/>
      <c r="S701" s="55"/>
      <c r="T701" s="55"/>
      <c r="U701" s="394"/>
      <c r="V701" s="371"/>
      <c r="W701" s="55"/>
      <c r="X701" s="395" t="b">
        <v>0</v>
      </c>
      <c r="Y701" s="401" t="str">
        <f ca="1">语言!$A$1859&amp;" (NPC)
items:
"&amp;道具!$C$120</f>
        <v>工作人员 (NPC)
items:
放了银块的皮袋</v>
      </c>
      <c r="Z701" s="400" t="str">
        <f ca="1">语言!$A$46&amp;" / "&amp;语言!$A$50&amp;" his normal items before getting any "&amp;道具!$F$23&amp;", "&amp;道具!$F$24&amp;" or "&amp;道具!$F$25&amp;". The "&amp;道具!$C$120&amp;" is a limited item."</f>
        <v>购买 / 偷取 his normal items before getting any 工作人员面具, 贵族面具 or 黑市商品清单. The 放了银块的皮袋 is a limited item.</v>
      </c>
      <c r="AA701" s="55"/>
    </row>
    <row r="702" spans="1:27" ht="12.75" x14ac:dyDescent="0.2">
      <c r="A702" s="55"/>
      <c r="B702" s="56" t="b">
        <v>0</v>
      </c>
      <c r="C702" s="392" t="str">
        <f ca="1">敌人!C$86</f>
        <v>沙虫异种</v>
      </c>
      <c r="D702" s="371"/>
      <c r="E702" s="57">
        <f>敌人!D$86</f>
        <v>5</v>
      </c>
      <c r="F702" s="57">
        <f>敌人!E$86</f>
        <v>0</v>
      </c>
      <c r="G702" s="57">
        <f>敌人!F$86</f>
        <v>0</v>
      </c>
      <c r="H702" s="57">
        <f>敌人!G$86</f>
        <v>0</v>
      </c>
      <c r="I702" s="57">
        <f>敌人!H$86</f>
        <v>0</v>
      </c>
      <c r="J702" s="57">
        <f>敌人!I$86</f>
        <v>0</v>
      </c>
      <c r="K702" s="392" t="str">
        <f ca="1">敌人!J$86</f>
        <v>橄榄花</v>
      </c>
      <c r="L702" s="371"/>
      <c r="M702" s="371"/>
      <c r="N702" s="55"/>
      <c r="O702" s="396" t="str">
        <f ca="1">语言!A$425&amp;" (9 "&amp;语言!$A$19&amp;")"</f>
        <v>黑市 (9 宝箱)</v>
      </c>
      <c r="P702" s="371"/>
      <c r="Q702" s="371"/>
      <c r="R702" s="371"/>
      <c r="S702" s="55"/>
      <c r="T702" s="55"/>
      <c r="U702" s="394"/>
      <c r="V702" s="371"/>
      <c r="W702" s="55"/>
      <c r="X702" s="371"/>
      <c r="Y702" s="371"/>
      <c r="Z702" s="371"/>
      <c r="AA702" s="55"/>
    </row>
    <row r="703" spans="1:27" ht="12.75" x14ac:dyDescent="0.2">
      <c r="A703" s="55"/>
      <c r="B703" s="56" t="b">
        <v>0</v>
      </c>
      <c r="C703" s="392" t="str">
        <f ca="1">敌人!C$288</f>
        <v>大蝎子异种</v>
      </c>
      <c r="D703" s="371"/>
      <c r="E703" s="57">
        <f>敌人!D$288</f>
        <v>3</v>
      </c>
      <c r="F703" s="57">
        <f>敌人!E$288</f>
        <v>0</v>
      </c>
      <c r="G703" s="57">
        <f>敌人!F$288</f>
        <v>0</v>
      </c>
      <c r="H703" s="57">
        <f>敌人!G$288</f>
        <v>0</v>
      </c>
      <c r="I703" s="57">
        <f>敌人!H$288</f>
        <v>0</v>
      </c>
      <c r="J703" s="57">
        <f>敌人!I$288</f>
        <v>0</v>
      </c>
      <c r="K703" s="392" t="str">
        <f ca="1">敌人!J$288</f>
        <v>石榴树液</v>
      </c>
      <c r="L703" s="371"/>
      <c r="M703" s="371"/>
      <c r="N703" s="55"/>
      <c r="O703" s="56" t="b">
        <v>0</v>
      </c>
      <c r="P703" s="392" t="str">
        <f ca="1">道具!$C$32</f>
        <v>火之精灵石（特大）</v>
      </c>
      <c r="Q703" s="371"/>
      <c r="R703" s="371"/>
      <c r="S703" s="55"/>
      <c r="T703" s="55"/>
      <c r="U703" s="394"/>
      <c r="V703" s="371"/>
      <c r="W703" s="55"/>
      <c r="X703" s="371"/>
      <c r="Y703" s="371"/>
      <c r="Z703" s="371"/>
      <c r="AA703" s="55"/>
    </row>
    <row r="704" spans="1:27" ht="12.75" x14ac:dyDescent="0.2">
      <c r="A704" s="55"/>
      <c r="B704" s="56" t="b">
        <v>0</v>
      </c>
      <c r="C704" s="392" t="str">
        <f ca="1">敌人!C$79</f>
        <v>黑粪金龟</v>
      </c>
      <c r="D704" s="371"/>
      <c r="E704" s="57">
        <f>敌人!D$79</f>
        <v>1</v>
      </c>
      <c r="F704" s="57">
        <f>敌人!E$79</f>
        <v>0</v>
      </c>
      <c r="G704" s="57">
        <f>敌人!F$79</f>
        <v>0</v>
      </c>
      <c r="H704" s="57">
        <f>敌人!G$79</f>
        <v>0</v>
      </c>
      <c r="I704" s="57">
        <f>敌人!H$79</f>
        <v>0</v>
      </c>
      <c r="J704" s="57">
        <f>敌人!I$79</f>
        <v>0</v>
      </c>
      <c r="K704" s="392" t="str">
        <f ca="1">敌人!J$79</f>
        <v>复活的橄榄</v>
      </c>
      <c r="L704" s="371"/>
      <c r="M704" s="371"/>
      <c r="N704" s="55"/>
      <c r="O704" s="56" t="b">
        <v>0</v>
      </c>
      <c r="P704" s="392" t="str">
        <f ca="1">道具!$C$4</f>
        <v>ＨＰ恢复的葡萄（大）</v>
      </c>
      <c r="Q704" s="371"/>
      <c r="R704" s="371"/>
      <c r="S704" s="55"/>
      <c r="T704" s="55"/>
      <c r="U704" s="394"/>
      <c r="V704" s="371"/>
      <c r="W704" s="55"/>
      <c r="X704" s="371"/>
      <c r="Y704" s="371"/>
      <c r="Z704" s="371"/>
      <c r="AA704" s="55"/>
    </row>
    <row r="705" spans="1:27" ht="12.75" x14ac:dyDescent="0.2">
      <c r="A705" s="55"/>
      <c r="B705" s="56" t="b">
        <v>0</v>
      </c>
      <c r="C705" s="392" t="str">
        <f ca="1">敌人!C$34</f>
        <v>战士骷髅异种</v>
      </c>
      <c r="D705" s="371"/>
      <c r="E705" s="57">
        <f>敌人!D$34</f>
        <v>1</v>
      </c>
      <c r="F705" s="57">
        <f>敌人!E$34</f>
        <v>0</v>
      </c>
      <c r="G705" s="57">
        <f>敌人!F$34</f>
        <v>0</v>
      </c>
      <c r="H705" s="57">
        <f>敌人!G$34</f>
        <v>0</v>
      </c>
      <c r="I705" s="57">
        <f>敌人!H$34</f>
        <v>0</v>
      </c>
      <c r="J705" s="57">
        <f>敌人!I$34</f>
        <v>0</v>
      </c>
      <c r="K705" s="392" t="str">
        <f ca="1">敌人!J$34</f>
        <v>复活的橄榄（大）</v>
      </c>
      <c r="L705" s="371"/>
      <c r="M705" s="371"/>
      <c r="N705" s="55"/>
      <c r="O705" s="56" t="b">
        <v>0</v>
      </c>
      <c r="P705" s="392" t="str">
        <f ca="1">道具!$C$8</f>
        <v>ＳＰ全体恢复的李子</v>
      </c>
      <c r="Q705" s="371"/>
      <c r="R705" s="371"/>
      <c r="S705" s="55"/>
      <c r="T705" s="55"/>
      <c r="U705" s="394"/>
      <c r="V705" s="371"/>
      <c r="W705" s="55"/>
      <c r="X705" s="395" t="b">
        <v>0</v>
      </c>
      <c r="Y705" s="395" t="str">
        <f ca="1">"2x "&amp;语言!$A$1780&amp;" (NPC)"</f>
        <v>2x 贵族 (NPC)</v>
      </c>
      <c r="Z705" s="400" t="s">
        <v>33</v>
      </c>
      <c r="AA705" s="55"/>
    </row>
    <row r="706" spans="1:27" ht="12.75" x14ac:dyDescent="0.2">
      <c r="A706" s="55"/>
      <c r="B706" s="56" t="b">
        <v>0</v>
      </c>
      <c r="C706" s="392" t="str">
        <f ca="1">敌人!C$350</f>
        <v>战士骷髅</v>
      </c>
      <c r="D706" s="371"/>
      <c r="E706" s="57">
        <f>敌人!D$350</f>
        <v>2</v>
      </c>
      <c r="F706" s="57">
        <f>敌人!E$350</f>
        <v>0</v>
      </c>
      <c r="G706" s="57">
        <f>敌人!F$350</f>
        <v>0</v>
      </c>
      <c r="H706" s="57">
        <f>敌人!G$350</f>
        <v>0</v>
      </c>
      <c r="I706" s="57">
        <f>敌人!H$350</f>
        <v>0</v>
      </c>
      <c r="J706" s="57">
        <f>敌人!I$350</f>
        <v>0</v>
      </c>
      <c r="K706" s="392" t="str">
        <f ca="1">敌人!J$350</f>
        <v>混乱瓶</v>
      </c>
      <c r="L706" s="371"/>
      <c r="M706" s="371"/>
      <c r="N706" s="55"/>
      <c r="O706" s="56" t="b">
        <v>0</v>
      </c>
      <c r="P706" s="392" t="str">
        <f ca="1">道具!$C$11</f>
        <v>ＢＰ恢复的石榴（特大）</v>
      </c>
      <c r="Q706" s="371"/>
      <c r="R706" s="371"/>
      <c r="S706" s="55"/>
      <c r="T706" s="55"/>
      <c r="U706" s="394"/>
      <c r="V706" s="371"/>
      <c r="W706" s="55"/>
      <c r="X706" s="371"/>
      <c r="Y706" s="371"/>
      <c r="Z706" s="371"/>
      <c r="AA706" s="55"/>
    </row>
    <row r="707" spans="1:27" ht="12.75" x14ac:dyDescent="0.2">
      <c r="A707" s="55"/>
      <c r="B707" s="56" t="b">
        <v>0</v>
      </c>
      <c r="C707" s="392" t="str">
        <f ca="1">敌人!C$49</f>
        <v>红大鹫</v>
      </c>
      <c r="D707" s="371"/>
      <c r="E707" s="57">
        <f>敌人!D$49</f>
        <v>3</v>
      </c>
      <c r="F707" s="57">
        <f>敌人!E$49</f>
        <v>0</v>
      </c>
      <c r="G707" s="57">
        <f>敌人!F$49</f>
        <v>0</v>
      </c>
      <c r="H707" s="57">
        <f>敌人!G$49</f>
        <v>0</v>
      </c>
      <c r="I707" s="57">
        <f>敌人!H$49</f>
        <v>0</v>
      </c>
      <c r="J707" s="57">
        <f>敌人!I$49</f>
        <v>0</v>
      </c>
      <c r="K707" s="392" t="str">
        <f ca="1">敌人!J$49</f>
        <v>大鸟的羽毛</v>
      </c>
      <c r="L707" s="371"/>
      <c r="M707" s="371"/>
      <c r="N707" s="55"/>
      <c r="O707" s="56" t="b">
        <v>0</v>
      </c>
      <c r="P707" s="392" t="s">
        <v>14</v>
      </c>
      <c r="Q707" s="371"/>
      <c r="R707" s="371"/>
      <c r="S707" s="55"/>
      <c r="T707" s="55"/>
      <c r="U707" s="394"/>
      <c r="V707" s="371"/>
      <c r="W707" s="55"/>
      <c r="X707" s="371"/>
      <c r="Y707" s="371"/>
      <c r="Z707" s="371"/>
      <c r="AA707" s="55"/>
    </row>
    <row r="708" spans="1:27" ht="12.75" x14ac:dyDescent="0.2">
      <c r="A708" s="55"/>
      <c r="B708" s="491" t="str">
        <f ca="1">语言!$A$17</f>
        <v>特殊怪</v>
      </c>
      <c r="C708" s="371"/>
      <c r="D708" s="371"/>
      <c r="E708" s="371"/>
      <c r="F708" s="371"/>
      <c r="G708" s="371"/>
      <c r="H708" s="371"/>
      <c r="I708" s="371"/>
      <c r="J708" s="371"/>
      <c r="K708" s="371"/>
      <c r="L708" s="371"/>
      <c r="M708" s="371"/>
      <c r="N708" s="55"/>
      <c r="O708" s="56" t="b">
        <v>0</v>
      </c>
      <c r="P708" s="392" t="str">
        <f ca="1">道具!$C$518</f>
        <v>光之避邪符</v>
      </c>
      <c r="Q708" s="371"/>
      <c r="R708" s="371"/>
      <c r="S708" s="55"/>
      <c r="T708" s="55"/>
      <c r="U708" s="394"/>
      <c r="V708" s="371"/>
      <c r="W708" s="55"/>
      <c r="X708" s="371"/>
      <c r="Y708" s="371"/>
      <c r="Z708" s="371"/>
      <c r="AA708" s="55"/>
    </row>
    <row r="709" spans="1:27" ht="12.75" x14ac:dyDescent="0.2">
      <c r="A709" s="55"/>
      <c r="B709" s="57" t="b">
        <v>0</v>
      </c>
      <c r="C709" s="392" t="str">
        <f ca="1">敌人!C$453</f>
        <v>达留斯的手下 I</v>
      </c>
      <c r="D709" s="371"/>
      <c r="E709" s="57">
        <f>敌人!D$453</f>
        <v>3</v>
      </c>
      <c r="F709" s="57">
        <f>敌人!E$453</f>
        <v>0</v>
      </c>
      <c r="G709" s="57">
        <f>敌人!F$453</f>
        <v>0</v>
      </c>
      <c r="H709" s="57">
        <f>敌人!G$453</f>
        <v>0</v>
      </c>
      <c r="I709" s="57">
        <f>敌人!H$453</f>
        <v>0</v>
      </c>
      <c r="J709" s="57">
        <f>敌人!I$453</f>
        <v>0</v>
      </c>
      <c r="K709" s="392" t="str">
        <f ca="1">敌人!J$453</f>
        <v>ＨＰ恢复的葡萄</v>
      </c>
      <c r="L709" s="371"/>
      <c r="M709" s="371"/>
      <c r="N709" s="55"/>
      <c r="O709" s="56" t="b">
        <v>0</v>
      </c>
      <c r="P709" s="392" t="str">
        <f ca="1">道具!$C$5</f>
        <v>ＨＰ全体恢复的葡萄</v>
      </c>
      <c r="Q709" s="371"/>
      <c r="R709" s="371"/>
      <c r="S709" s="55"/>
      <c r="T709" s="55"/>
      <c r="U709" s="394"/>
      <c r="V709" s="371"/>
      <c r="W709" s="55"/>
      <c r="X709" s="55"/>
      <c r="Y709" s="55"/>
      <c r="Z709" s="55"/>
      <c r="AA709" s="55"/>
    </row>
    <row r="710" spans="1:27" ht="12.75" x14ac:dyDescent="0.2">
      <c r="A710" s="55"/>
      <c r="B710" s="57" t="b">
        <v>0</v>
      </c>
      <c r="C710" s="392" t="str">
        <f ca="1">敌人!C$454</f>
        <v>达留斯的手下 II</v>
      </c>
      <c r="D710" s="371"/>
      <c r="E710" s="57">
        <f>敌人!D$454</f>
        <v>3</v>
      </c>
      <c r="F710" s="57">
        <f>敌人!E$454</f>
        <v>0</v>
      </c>
      <c r="G710" s="57">
        <f>敌人!F$454</f>
        <v>0</v>
      </c>
      <c r="H710" s="57">
        <f>敌人!G$454</f>
        <v>0</v>
      </c>
      <c r="I710" s="57">
        <f>敌人!H$454</f>
        <v>0</v>
      </c>
      <c r="J710" s="57">
        <f>敌人!I$454</f>
        <v>0</v>
      </c>
      <c r="K710" s="392" t="str">
        <f ca="1">敌人!J$454</f>
        <v>复活的橄榄</v>
      </c>
      <c r="L710" s="371"/>
      <c r="M710" s="371"/>
      <c r="N710" s="55"/>
      <c r="O710" s="56" t="b">
        <v>0</v>
      </c>
      <c r="P710" s="392" t="str">
        <f ca="1">道具!$C$524&amp;" ("&amp;语言!$A$20&amp;")"</f>
        <v>恐怖耐性石 (上锁宝箱)</v>
      </c>
      <c r="Q710" s="371"/>
      <c r="R710" s="371"/>
      <c r="S710" s="55"/>
      <c r="T710" s="55"/>
      <c r="U710" s="394"/>
      <c r="V710" s="371"/>
      <c r="W710" s="55"/>
      <c r="X710" s="55"/>
      <c r="Y710" s="55"/>
      <c r="Z710" s="55"/>
      <c r="AA710" s="55"/>
    </row>
    <row r="711" spans="1:27" ht="12.75" x14ac:dyDescent="0.2">
      <c r="A711" s="55"/>
      <c r="B711" s="491" t="str">
        <f ca="1">语言!$A$15</f>
        <v>Boss</v>
      </c>
      <c r="C711" s="371"/>
      <c r="D711" s="371"/>
      <c r="E711" s="371"/>
      <c r="F711" s="371"/>
      <c r="G711" s="371"/>
      <c r="H711" s="371"/>
      <c r="I711" s="371"/>
      <c r="J711" s="371"/>
      <c r="K711" s="371"/>
      <c r="L711" s="371"/>
      <c r="M711" s="371"/>
      <c r="N711" s="55"/>
      <c r="O711" s="56" t="b">
        <v>0</v>
      </c>
      <c r="P711" s="392" t="str">
        <f ca="1">道具!$C$285</f>
        <v>战姬的大弓</v>
      </c>
      <c r="Q711" s="371"/>
      <c r="R711" s="371"/>
      <c r="S711" s="55"/>
      <c r="T711" s="55"/>
      <c r="U711" s="394"/>
      <c r="V711" s="371"/>
      <c r="W711" s="55"/>
      <c r="X711" s="55"/>
      <c r="Y711" s="55"/>
      <c r="Z711" s="55"/>
      <c r="AA711" s="55"/>
    </row>
    <row r="712" spans="1:27" ht="12.75" x14ac:dyDescent="0.2">
      <c r="A712" s="55"/>
      <c r="B712" s="57" t="b">
        <v>0</v>
      </c>
      <c r="C712" s="392" t="str">
        <f ca="1">敌人!C$455</f>
        <v>盖雷斯</v>
      </c>
      <c r="D712" s="371"/>
      <c r="E712" s="57">
        <f>敌人!D$455</f>
        <v>5</v>
      </c>
      <c r="F712" s="57">
        <f>敌人!E$455</f>
        <v>0</v>
      </c>
      <c r="G712" s="57">
        <f>敌人!F$455</f>
        <v>0</v>
      </c>
      <c r="H712" s="57">
        <f>敌人!G$455</f>
        <v>0</v>
      </c>
      <c r="I712" s="57">
        <f>敌人!H$455</f>
        <v>0</v>
      </c>
      <c r="J712" s="57">
        <f>敌人!I$455</f>
        <v>0</v>
      </c>
      <c r="K712" s="392" t="str">
        <f ca="1">敌人!J$455</f>
        <v>盖雷斯的头盔 (can't steal)</v>
      </c>
      <c r="L712" s="371"/>
      <c r="M712" s="371"/>
      <c r="N712" s="55"/>
      <c r="O712" s="55"/>
      <c r="P712" s="487"/>
      <c r="Q712" s="371"/>
      <c r="R712" s="371"/>
      <c r="S712" s="55"/>
      <c r="T712" s="55"/>
      <c r="U712" s="394"/>
      <c r="V712" s="371"/>
      <c r="W712" s="55"/>
      <c r="X712" s="55"/>
      <c r="Y712" s="55"/>
      <c r="Z712" s="55"/>
      <c r="AA712" s="55"/>
    </row>
    <row r="713" spans="1:27" ht="12.75" x14ac:dyDescent="0.2">
      <c r="A713" s="55"/>
      <c r="B713" s="57" t="b">
        <v>0</v>
      </c>
      <c r="C713" s="392" t="str">
        <f ca="1">敌人!C$456</f>
        <v>盗贼团干部</v>
      </c>
      <c r="D713" s="371"/>
      <c r="E713" s="57">
        <f>敌人!D$456</f>
        <v>5</v>
      </c>
      <c r="F713" s="57">
        <f>敌人!E$456</f>
        <v>0</v>
      </c>
      <c r="G713" s="57">
        <f>敌人!F$456</f>
        <v>0</v>
      </c>
      <c r="H713" s="57">
        <f>敌人!G$456</f>
        <v>0</v>
      </c>
      <c r="I713" s="57">
        <f>敌人!H$456</f>
        <v>0</v>
      </c>
      <c r="J713" s="57">
        <f>敌人!I$456</f>
        <v>0</v>
      </c>
      <c r="K713" s="392" t="str">
        <f ca="1">敌人!J$456</f>
        <v>ＢＰ恢复的石榴</v>
      </c>
      <c r="L713" s="371"/>
      <c r="M713" s="371"/>
      <c r="N713" s="55"/>
      <c r="O713" s="55"/>
      <c r="P713" s="488"/>
      <c r="Q713" s="371"/>
      <c r="R713" s="371"/>
      <c r="S713" s="55"/>
      <c r="T713" s="55"/>
      <c r="U713" s="394"/>
      <c r="V713" s="371"/>
      <c r="W713" s="55"/>
      <c r="X713" s="55"/>
      <c r="Y713" s="55"/>
      <c r="Z713" s="55"/>
      <c r="AA713" s="55"/>
    </row>
    <row r="714" spans="1:27" ht="12.75" x14ac:dyDescent="0.2">
      <c r="A714" s="55"/>
      <c r="B714" s="55"/>
      <c r="C714" s="394"/>
      <c r="D714" s="371"/>
      <c r="E714" s="55"/>
      <c r="F714" s="55"/>
      <c r="G714" s="55"/>
      <c r="H714" s="55"/>
      <c r="I714" s="55"/>
      <c r="J714" s="55"/>
      <c r="K714" s="394"/>
      <c r="L714" s="371"/>
      <c r="M714" s="371"/>
      <c r="N714" s="55"/>
      <c r="O714" s="55"/>
      <c r="P714" s="488"/>
      <c r="Q714" s="371"/>
      <c r="R714" s="371"/>
      <c r="S714" s="55"/>
      <c r="T714" s="55"/>
      <c r="U714" s="394"/>
      <c r="V714" s="371"/>
      <c r="W714" s="55"/>
      <c r="X714" s="55"/>
      <c r="Y714" s="55"/>
      <c r="Z714" s="55"/>
      <c r="AA714" s="55"/>
    </row>
    <row r="715" spans="1:27" ht="12.75" x14ac:dyDescent="0.2">
      <c r="A715" s="55"/>
      <c r="B715" s="399" t="str">
        <f ca="1">语言!$A$38&amp;" "&amp;语言!$A$14&amp;" 3 (*Sand Lizardmans&amp;king are not the same as in Sunshade area)"</f>
        <v>欧尔贝克 章节 3 (*Sand Lizardmans&amp;king are not the same as in Sunshade area)</v>
      </c>
      <c r="C715" s="371"/>
      <c r="D715" s="371"/>
      <c r="E715" s="371"/>
      <c r="F715" s="371"/>
      <c r="G715" s="371"/>
      <c r="H715" s="371"/>
      <c r="I715" s="371"/>
      <c r="J715" s="371"/>
      <c r="K715" s="371"/>
      <c r="L715" s="371"/>
      <c r="M715" s="371"/>
      <c r="N715" s="55"/>
      <c r="O715" s="399" t="str">
        <f ca="1">语言!$A$38&amp;" "&amp;语言!$A$14&amp;" 3"</f>
        <v>欧尔贝克 章节 3</v>
      </c>
      <c r="P715" s="371"/>
      <c r="Q715" s="371"/>
      <c r="R715" s="371"/>
      <c r="S715" s="55"/>
      <c r="T715" s="55"/>
      <c r="U715" s="394"/>
      <c r="V715" s="371"/>
      <c r="W715" s="55"/>
      <c r="X715" s="55"/>
      <c r="Y715" s="55"/>
      <c r="Z715" s="55"/>
      <c r="AA715" s="55"/>
    </row>
    <row r="716" spans="1:27" ht="12.75" x14ac:dyDescent="0.2">
      <c r="A716" s="55"/>
      <c r="B716" s="396" t="str">
        <f ca="1">语言!A$426&amp;" ("&amp;语言!$A$12&amp;" 31)"</f>
        <v>西威尔斯宾克沙道 (危险度 31)</v>
      </c>
      <c r="C716" s="371"/>
      <c r="D716" s="371"/>
      <c r="E716" s="371"/>
      <c r="F716" s="371"/>
      <c r="G716" s="371"/>
      <c r="H716" s="371"/>
      <c r="I716" s="371"/>
      <c r="J716" s="371"/>
      <c r="K716" s="371"/>
      <c r="L716" s="371"/>
      <c r="M716" s="371"/>
      <c r="N716" s="55"/>
      <c r="O716" s="396" t="str">
        <f ca="1">语言!A$426&amp;" (2 "&amp;语言!$A$19&amp;")"</f>
        <v>西威尔斯宾克沙道 (2 宝箱)</v>
      </c>
      <c r="P716" s="371"/>
      <c r="Q716" s="371"/>
      <c r="R716" s="371"/>
      <c r="S716" s="55"/>
      <c r="T716" s="55"/>
      <c r="U716" s="394"/>
      <c r="V716" s="371"/>
      <c r="W716" s="55"/>
      <c r="X716" s="55"/>
      <c r="Y716" s="55"/>
      <c r="Z716" s="55"/>
      <c r="AA716" s="55"/>
    </row>
    <row r="717" spans="1:27" ht="12.75" x14ac:dyDescent="0.2">
      <c r="A717" s="55"/>
      <c r="B717" s="398" t="str">
        <f ca="1">语言!$A$17</f>
        <v>特殊怪</v>
      </c>
      <c r="C717" s="371"/>
      <c r="D717" s="371"/>
      <c r="E717" s="371"/>
      <c r="F717" s="371"/>
      <c r="G717" s="371"/>
      <c r="H717" s="371"/>
      <c r="I717" s="371"/>
      <c r="J717" s="371"/>
      <c r="K717" s="371"/>
      <c r="L717" s="371"/>
      <c r="M717" s="371"/>
      <c r="N717" s="55"/>
      <c r="O717" s="56" t="b">
        <v>0</v>
      </c>
      <c r="P717" s="392" t="s">
        <v>28</v>
      </c>
      <c r="Q717" s="371"/>
      <c r="R717" s="371"/>
      <c r="S717" s="55"/>
      <c r="T717" s="55"/>
      <c r="U717" s="394"/>
      <c r="V717" s="371"/>
      <c r="W717" s="55"/>
      <c r="X717" s="55"/>
      <c r="Y717" s="55"/>
      <c r="Z717" s="55"/>
      <c r="AA717" s="55"/>
    </row>
    <row r="718" spans="1:27" ht="12.75" x14ac:dyDescent="0.2">
      <c r="A718" s="55"/>
      <c r="B718" s="56" t="b">
        <v>0</v>
      </c>
      <c r="C718" s="392" t="str">
        <f ca="1">敌人!C$442</f>
        <v>沙漠大蜥蜴人 I</v>
      </c>
      <c r="D718" s="371"/>
      <c r="E718" s="57">
        <f>敌人!D$442</f>
        <v>4</v>
      </c>
      <c r="F718" s="57">
        <f>敌人!E$442</f>
        <v>0</v>
      </c>
      <c r="G718" s="57">
        <f>敌人!F$442</f>
        <v>0</v>
      </c>
      <c r="H718" s="57">
        <f>敌人!G$442</f>
        <v>0</v>
      </c>
      <c r="I718" s="57">
        <f>敌人!H$442</f>
        <v>0</v>
      </c>
      <c r="J718" s="57">
        <f>敌人!I$442</f>
        <v>0</v>
      </c>
      <c r="K718" s="392" t="str">
        <f ca="1">敌人!J$442</f>
        <v>ＳＰ恢复的李子（大）</v>
      </c>
      <c r="L718" s="371"/>
      <c r="M718" s="371"/>
      <c r="N718" s="55"/>
      <c r="O718" s="56" t="b">
        <v>0</v>
      </c>
      <c r="P718" s="392" t="str">
        <f ca="1">道具!$C$16</f>
        <v>复活的橄榄（大）</v>
      </c>
      <c r="Q718" s="371"/>
      <c r="R718" s="371"/>
      <c r="S718" s="55"/>
      <c r="T718" s="55"/>
      <c r="U718" s="394"/>
      <c r="V718" s="371"/>
      <c r="W718" s="55"/>
      <c r="X718" s="55"/>
      <c r="Y718" s="55"/>
      <c r="Z718" s="55"/>
      <c r="AA718" s="55"/>
    </row>
    <row r="719" spans="1:27" ht="12.75" x14ac:dyDescent="0.2">
      <c r="A719" s="55"/>
      <c r="B719" s="56" t="b">
        <v>0</v>
      </c>
      <c r="C719" s="392" t="str">
        <f ca="1">敌人!C$443</f>
        <v>沙漠大蜥蜴人 II</v>
      </c>
      <c r="D719" s="371"/>
      <c r="E719" s="57">
        <f>敌人!D$443</f>
        <v>5</v>
      </c>
      <c r="F719" s="57">
        <f>敌人!E$443</f>
        <v>0</v>
      </c>
      <c r="G719" s="57">
        <f>敌人!F$443</f>
        <v>0</v>
      </c>
      <c r="H719" s="57">
        <f>敌人!G$443</f>
        <v>0</v>
      </c>
      <c r="I719" s="57">
        <f>敌人!H$443</f>
        <v>0</v>
      </c>
      <c r="J719" s="57">
        <f>敌人!I$443</f>
        <v>0</v>
      </c>
      <c r="K719" s="392" t="str">
        <f ca="1">敌人!J$443</f>
        <v>ＳＰ恢复的李子</v>
      </c>
      <c r="L719" s="371"/>
      <c r="M719" s="371"/>
      <c r="N719" s="55"/>
      <c r="O719" s="396" t="str">
        <f ca="1">语言!A$427&amp;" (10 "&amp;语言!$A$19&amp;")"</f>
        <v>蜥蜴人的巢穴 (10 宝箱)</v>
      </c>
      <c r="P719" s="371"/>
      <c r="Q719" s="371"/>
      <c r="R719" s="371"/>
      <c r="S719" s="55"/>
      <c r="T719" s="55"/>
      <c r="U719" s="394"/>
      <c r="V719" s="371"/>
      <c r="W719" s="55"/>
      <c r="X719" s="55"/>
      <c r="Y719" s="55"/>
      <c r="Z719" s="55"/>
      <c r="AA719" s="55"/>
    </row>
    <row r="720" spans="1:27" ht="12.75" x14ac:dyDescent="0.2">
      <c r="A720" s="55"/>
      <c r="B720" s="398" t="str">
        <f ca="1">语言!$A$18</f>
        <v>普通野怪</v>
      </c>
      <c r="C720" s="371"/>
      <c r="D720" s="371"/>
      <c r="E720" s="371"/>
      <c r="F720" s="371"/>
      <c r="G720" s="371"/>
      <c r="H720" s="371"/>
      <c r="I720" s="371"/>
      <c r="J720" s="371"/>
      <c r="K720" s="371"/>
      <c r="L720" s="371"/>
      <c r="M720" s="371"/>
      <c r="N720" s="55"/>
      <c r="O720" s="56" t="b">
        <v>0</v>
      </c>
      <c r="P720" s="490">
        <v>400</v>
      </c>
      <c r="Q720" s="371"/>
      <c r="R720" s="371"/>
      <c r="S720" s="55"/>
      <c r="T720" s="55"/>
      <c r="U720" s="394"/>
      <c r="V720" s="371"/>
      <c r="W720" s="55"/>
      <c r="X720" s="55"/>
      <c r="Y720" s="55"/>
      <c r="Z720" s="55"/>
      <c r="AA720" s="55"/>
    </row>
    <row r="721" spans="1:27" ht="12.75" x14ac:dyDescent="0.2">
      <c r="A721" s="55"/>
      <c r="B721" s="56" t="b">
        <v>0</v>
      </c>
      <c r="C721" s="392" t="str">
        <f ca="1">敌人!C$279</f>
        <v>热沙蜥蜴人 I</v>
      </c>
      <c r="D721" s="371"/>
      <c r="E721" s="57">
        <f>敌人!D$279</f>
        <v>1</v>
      </c>
      <c r="F721" s="57">
        <f>敌人!E$279</f>
        <v>0</v>
      </c>
      <c r="G721" s="57">
        <f>敌人!F$279</f>
        <v>0</v>
      </c>
      <c r="H721" s="57">
        <f>敌人!G$279</f>
        <v>0</v>
      </c>
      <c r="I721" s="57">
        <f>敌人!H$279</f>
        <v>0</v>
      </c>
      <c r="J721" s="57">
        <f>敌人!I$279</f>
        <v>0</v>
      </c>
      <c r="K721" s="392" t="str">
        <f ca="1">敌人!J$279</f>
        <v>ＳＰ恢复的李子（大）</v>
      </c>
      <c r="L721" s="371"/>
      <c r="M721" s="371"/>
      <c r="N721" s="55"/>
      <c r="O721" s="56" t="b">
        <v>0</v>
      </c>
      <c r="P721" s="489" t="s">
        <v>34</v>
      </c>
      <c r="Q721" s="371"/>
      <c r="R721" s="371"/>
      <c r="S721" s="55"/>
      <c r="T721" s="55"/>
      <c r="U721" s="394"/>
      <c r="V721" s="371"/>
      <c r="W721" s="55"/>
      <c r="X721" s="55"/>
      <c r="Y721" s="55"/>
      <c r="Z721" s="55"/>
      <c r="AA721" s="55"/>
    </row>
    <row r="722" spans="1:27" ht="12.75" x14ac:dyDescent="0.2">
      <c r="A722" s="55"/>
      <c r="B722" s="56" t="b">
        <v>0</v>
      </c>
      <c r="C722" s="392" t="str">
        <f ca="1">敌人!C$281</f>
        <v>热沙蜥蜴人 II</v>
      </c>
      <c r="D722" s="371"/>
      <c r="E722" s="57">
        <f>敌人!D$281</f>
        <v>2</v>
      </c>
      <c r="F722" s="57">
        <f>敌人!E$281</f>
        <v>0</v>
      </c>
      <c r="G722" s="57">
        <f>敌人!F$281</f>
        <v>0</v>
      </c>
      <c r="H722" s="57">
        <f>敌人!G$281</f>
        <v>0</v>
      </c>
      <c r="I722" s="57">
        <f>敌人!H$281</f>
        <v>0</v>
      </c>
      <c r="J722" s="57">
        <f>敌人!I$281</f>
        <v>0</v>
      </c>
      <c r="K722" s="392" t="str">
        <f ca="1">敌人!J$281</f>
        <v>ＳＰ恢复的李子（大）</v>
      </c>
      <c r="L722" s="371"/>
      <c r="M722" s="371"/>
      <c r="N722" s="55"/>
      <c r="O722" s="56" t="b">
        <v>0</v>
      </c>
      <c r="P722" s="489" t="str">
        <f ca="1">道具!$C$120&amp;" ("&amp;语言!$A$20&amp;")"</f>
        <v>放了银块的皮袋 (上锁宝箱)</v>
      </c>
      <c r="Q722" s="371"/>
      <c r="R722" s="371"/>
      <c r="S722" s="55"/>
      <c r="T722" s="55"/>
      <c r="U722" s="394"/>
      <c r="V722" s="371"/>
      <c r="W722" s="55"/>
      <c r="X722" s="55"/>
      <c r="Y722" s="55"/>
      <c r="Z722" s="55"/>
      <c r="AA722" s="55"/>
    </row>
    <row r="723" spans="1:27" ht="12.75" x14ac:dyDescent="0.2">
      <c r="A723" s="55"/>
      <c r="B723" s="56" t="b">
        <v>0</v>
      </c>
      <c r="C723" s="392" t="str">
        <f ca="1">敌人!C$283</f>
        <v>热沙蜥蜴人 III</v>
      </c>
      <c r="D723" s="371"/>
      <c r="E723" s="57">
        <f>敌人!D$283</f>
        <v>3</v>
      </c>
      <c r="F723" s="57">
        <f>敌人!E$283</f>
        <v>0</v>
      </c>
      <c r="G723" s="57">
        <f>敌人!F$283</f>
        <v>0</v>
      </c>
      <c r="H723" s="57">
        <f>敌人!G$283</f>
        <v>0</v>
      </c>
      <c r="I723" s="57">
        <f>敌人!H$283</f>
        <v>0</v>
      </c>
      <c r="J723" s="57">
        <f>敌人!I$283</f>
        <v>0</v>
      </c>
      <c r="K723" s="392" t="str">
        <f ca="1">敌人!J$283</f>
        <v>ＳＰ恢复的李子（大）</v>
      </c>
      <c r="L723" s="371"/>
      <c r="M723" s="371"/>
      <c r="N723" s="55"/>
      <c r="O723" s="56" t="b">
        <v>0</v>
      </c>
      <c r="P723" s="490">
        <v>200</v>
      </c>
      <c r="Q723" s="371"/>
      <c r="R723" s="371"/>
      <c r="S723" s="55"/>
      <c r="T723" s="55"/>
      <c r="U723" s="394"/>
      <c r="V723" s="371"/>
      <c r="W723" s="55"/>
      <c r="X723" s="55"/>
      <c r="Y723" s="55"/>
      <c r="Z723" s="55"/>
      <c r="AA723" s="55"/>
    </row>
    <row r="724" spans="1:27" ht="12.75" x14ac:dyDescent="0.2">
      <c r="A724" s="55"/>
      <c r="B724" s="56" t="b">
        <v>0</v>
      </c>
      <c r="C724" s="392" t="str">
        <f ca="1">敌人!C$274</f>
        <v>热沙大蜥蜴人 I</v>
      </c>
      <c r="D724" s="371"/>
      <c r="E724" s="57">
        <f>敌人!D$274</f>
        <v>4</v>
      </c>
      <c r="F724" s="57">
        <f>敌人!E$274</f>
        <v>0</v>
      </c>
      <c r="G724" s="57">
        <f>敌人!F$274</f>
        <v>0</v>
      </c>
      <c r="H724" s="57">
        <f>敌人!G$274</f>
        <v>0</v>
      </c>
      <c r="I724" s="57">
        <f>敌人!H$274</f>
        <v>0</v>
      </c>
      <c r="J724" s="57">
        <f>敌人!I$274</f>
        <v>0</v>
      </c>
      <c r="K724" s="392" t="str">
        <f ca="1">敌人!J$274</f>
        <v>ＨＰ恢复的葡萄（大）</v>
      </c>
      <c r="L724" s="371"/>
      <c r="M724" s="371"/>
      <c r="N724" s="55"/>
      <c r="O724" s="56" t="b">
        <v>0</v>
      </c>
      <c r="P724" s="490">
        <v>800</v>
      </c>
      <c r="Q724" s="371"/>
      <c r="R724" s="371"/>
      <c r="S724" s="55"/>
      <c r="T724" s="55"/>
      <c r="U724" s="394"/>
      <c r="V724" s="371"/>
      <c r="W724" s="55"/>
      <c r="X724" s="55"/>
      <c r="Y724" s="55"/>
      <c r="Z724" s="55"/>
      <c r="AA724" s="55"/>
    </row>
    <row r="725" spans="1:27" ht="12.75" x14ac:dyDescent="0.2">
      <c r="A725" s="55"/>
      <c r="B725" s="56" t="b">
        <v>0</v>
      </c>
      <c r="C725" s="392" t="str">
        <f ca="1">敌人!C$276</f>
        <v>热沙大蜥蜴人 II</v>
      </c>
      <c r="D725" s="371"/>
      <c r="E725" s="57">
        <f>敌人!D$276</f>
        <v>5</v>
      </c>
      <c r="F725" s="57">
        <f>敌人!E$276</f>
        <v>0</v>
      </c>
      <c r="G725" s="57">
        <f>敌人!F$276</f>
        <v>0</v>
      </c>
      <c r="H725" s="57">
        <f>敌人!G$276</f>
        <v>0</v>
      </c>
      <c r="I725" s="57">
        <f>敌人!H$276</f>
        <v>0</v>
      </c>
      <c r="J725" s="57">
        <f>敌人!I$276</f>
        <v>0</v>
      </c>
      <c r="K725" s="392" t="str">
        <f ca="1">敌人!J$276</f>
        <v>ＨＰ恢复的葡萄（大）</v>
      </c>
      <c r="L725" s="371"/>
      <c r="M725" s="371"/>
      <c r="N725" s="55"/>
      <c r="O725" s="56" t="b">
        <v>0</v>
      </c>
      <c r="P725" s="489" t="s">
        <v>20</v>
      </c>
      <c r="Q725" s="371"/>
      <c r="R725" s="371"/>
      <c r="S725" s="55"/>
      <c r="T725" s="55"/>
      <c r="U725" s="394"/>
      <c r="V725" s="371"/>
      <c r="W725" s="55"/>
      <c r="X725" s="55"/>
      <c r="Y725" s="55"/>
      <c r="Z725" s="55"/>
      <c r="AA725" s="55"/>
    </row>
    <row r="726" spans="1:27" ht="12.75" x14ac:dyDescent="0.2">
      <c r="A726" s="55"/>
      <c r="B726" s="56" t="b">
        <v>0</v>
      </c>
      <c r="C726" s="392" t="str">
        <f ca="1">敌人!C$86</f>
        <v>沙虫异种</v>
      </c>
      <c r="D726" s="371"/>
      <c r="E726" s="57">
        <f>敌人!D$86</f>
        <v>5</v>
      </c>
      <c r="F726" s="57">
        <f>敌人!E$86</f>
        <v>0</v>
      </c>
      <c r="G726" s="57">
        <f>敌人!F$86</f>
        <v>0</v>
      </c>
      <c r="H726" s="57">
        <f>敌人!G$86</f>
        <v>0</v>
      </c>
      <c r="I726" s="57">
        <f>敌人!H$86</f>
        <v>0</v>
      </c>
      <c r="J726" s="57">
        <f>敌人!I$86</f>
        <v>0</v>
      </c>
      <c r="K726" s="392" t="str">
        <f ca="1">敌人!J$86</f>
        <v>橄榄花</v>
      </c>
      <c r="L726" s="371"/>
      <c r="M726" s="371"/>
      <c r="N726" s="55"/>
      <c r="O726" s="56" t="b">
        <v>0</v>
      </c>
      <c r="P726" s="489" t="str">
        <f ca="1">道具!$C$127</f>
        <v>放了铜块的麻袋</v>
      </c>
      <c r="Q726" s="371"/>
      <c r="R726" s="371"/>
      <c r="S726" s="55"/>
      <c r="T726" s="55"/>
      <c r="U726" s="394"/>
      <c r="V726" s="371"/>
      <c r="W726" s="55"/>
      <c r="X726" s="55"/>
      <c r="Y726" s="55"/>
      <c r="Z726" s="55"/>
      <c r="AA726" s="55"/>
    </row>
    <row r="727" spans="1:27" ht="12.75" x14ac:dyDescent="0.2">
      <c r="A727" s="55"/>
      <c r="B727" s="56" t="b">
        <v>0</v>
      </c>
      <c r="C727" s="392" t="str">
        <f ca="1">敌人!C$79</f>
        <v>黑粪金龟</v>
      </c>
      <c r="D727" s="371"/>
      <c r="E727" s="57">
        <f>敌人!D$79</f>
        <v>1</v>
      </c>
      <c r="F727" s="57">
        <f>敌人!E$79</f>
        <v>0</v>
      </c>
      <c r="G727" s="57">
        <f>敌人!F$79</f>
        <v>0</v>
      </c>
      <c r="H727" s="57">
        <f>敌人!G$79</f>
        <v>0</v>
      </c>
      <c r="I727" s="57">
        <f>敌人!H$79</f>
        <v>0</v>
      </c>
      <c r="J727" s="57">
        <f>敌人!I$79</f>
        <v>0</v>
      </c>
      <c r="K727" s="392" t="str">
        <f ca="1">敌人!J$79</f>
        <v>复活的橄榄</v>
      </c>
      <c r="L727" s="371"/>
      <c r="M727" s="371"/>
      <c r="N727" s="55"/>
      <c r="O727" s="56" t="b">
        <v>0</v>
      </c>
      <c r="P727" s="489" t="s">
        <v>25</v>
      </c>
      <c r="Q727" s="371"/>
      <c r="R727" s="371"/>
      <c r="S727" s="55"/>
      <c r="T727" s="55"/>
      <c r="U727" s="394"/>
      <c r="V727" s="371"/>
      <c r="W727" s="55"/>
      <c r="X727" s="55"/>
      <c r="Y727" s="55"/>
      <c r="Z727" s="55"/>
      <c r="AA727" s="55"/>
    </row>
    <row r="728" spans="1:27" ht="12.75" x14ac:dyDescent="0.2">
      <c r="A728" s="55"/>
      <c r="B728" s="396" t="str">
        <f ca="1">语言!A$427&amp;" ("&amp;语言!$A$12&amp;" 32)"</f>
        <v>蜥蜴人的巢穴 (危险度 32)</v>
      </c>
      <c r="C728" s="371"/>
      <c r="D728" s="371"/>
      <c r="E728" s="371"/>
      <c r="F728" s="371"/>
      <c r="G728" s="371"/>
      <c r="H728" s="371"/>
      <c r="I728" s="371"/>
      <c r="J728" s="371"/>
      <c r="K728" s="371"/>
      <c r="L728" s="371"/>
      <c r="M728" s="371"/>
      <c r="N728" s="55"/>
      <c r="O728" s="56" t="b">
        <v>0</v>
      </c>
      <c r="P728" s="489" t="s">
        <v>35</v>
      </c>
      <c r="Q728" s="371"/>
      <c r="R728" s="371"/>
      <c r="S728" s="55"/>
      <c r="T728" s="55"/>
      <c r="U728" s="394"/>
      <c r="V728" s="371"/>
      <c r="W728" s="55"/>
      <c r="X728" s="55"/>
      <c r="Y728" s="55"/>
      <c r="Z728" s="55"/>
      <c r="AA728" s="55"/>
    </row>
    <row r="729" spans="1:27" ht="12.75" x14ac:dyDescent="0.2">
      <c r="A729" s="55"/>
      <c r="B729" s="56" t="b">
        <v>0</v>
      </c>
      <c r="C729" s="392" t="str">
        <f ca="1">敌人!C$279</f>
        <v>热沙蜥蜴人 I</v>
      </c>
      <c r="D729" s="371"/>
      <c r="E729" s="57">
        <f>敌人!D$279</f>
        <v>1</v>
      </c>
      <c r="F729" s="57">
        <f>敌人!E$279</f>
        <v>0</v>
      </c>
      <c r="G729" s="57">
        <f>敌人!F$279</f>
        <v>0</v>
      </c>
      <c r="H729" s="57">
        <f>敌人!G$279</f>
        <v>0</v>
      </c>
      <c r="I729" s="57">
        <f>敌人!H$279</f>
        <v>0</v>
      </c>
      <c r="J729" s="57">
        <f>敌人!I$279</f>
        <v>0</v>
      </c>
      <c r="K729" s="392" t="str">
        <f ca="1">敌人!J$279</f>
        <v>ＳＰ恢复的李子（大）</v>
      </c>
      <c r="L729" s="371"/>
      <c r="M729" s="371"/>
      <c r="N729" s="55"/>
      <c r="O729" s="56" t="b">
        <v>0</v>
      </c>
      <c r="P729" s="489" t="str">
        <f ca="1">道具!$C$127</f>
        <v>放了铜块的麻袋</v>
      </c>
      <c r="Q729" s="371"/>
      <c r="R729" s="371"/>
      <c r="S729" s="55"/>
      <c r="T729" s="55"/>
      <c r="U729" s="394"/>
      <c r="V729" s="371"/>
      <c r="W729" s="55"/>
      <c r="X729" s="55"/>
      <c r="Y729" s="55"/>
      <c r="Z729" s="55"/>
      <c r="AA729" s="55"/>
    </row>
    <row r="730" spans="1:27" ht="12.75" x14ac:dyDescent="0.2">
      <c r="A730" s="55"/>
      <c r="B730" s="56" t="b">
        <v>0</v>
      </c>
      <c r="C730" s="392" t="str">
        <f ca="1">敌人!C$281</f>
        <v>热沙蜥蜴人 II</v>
      </c>
      <c r="D730" s="371"/>
      <c r="E730" s="57">
        <f>敌人!D$281</f>
        <v>2</v>
      </c>
      <c r="F730" s="57">
        <f>敌人!E$281</f>
        <v>0</v>
      </c>
      <c r="G730" s="57">
        <f>敌人!F$281</f>
        <v>0</v>
      </c>
      <c r="H730" s="57">
        <f>敌人!G$281</f>
        <v>0</v>
      </c>
      <c r="I730" s="57">
        <f>敌人!H$281</f>
        <v>0</v>
      </c>
      <c r="J730" s="57">
        <f>敌人!I$281</f>
        <v>0</v>
      </c>
      <c r="K730" s="392" t="str">
        <f ca="1">敌人!J$281</f>
        <v>ＳＰ恢复的李子（大）</v>
      </c>
      <c r="L730" s="371"/>
      <c r="M730" s="371"/>
      <c r="N730" s="55"/>
      <c r="O730" s="55"/>
      <c r="P730" s="394"/>
      <c r="Q730" s="371"/>
      <c r="R730" s="371"/>
      <c r="S730" s="55"/>
      <c r="T730" s="55"/>
      <c r="U730" s="394"/>
      <c r="V730" s="371"/>
      <c r="W730" s="55"/>
      <c r="X730" s="55"/>
      <c r="Y730" s="55"/>
      <c r="Z730" s="55"/>
      <c r="AA730" s="55"/>
    </row>
    <row r="731" spans="1:27" ht="12.75" x14ac:dyDescent="0.2">
      <c r="A731" s="55"/>
      <c r="B731" s="56" t="b">
        <v>0</v>
      </c>
      <c r="C731" s="392" t="str">
        <f ca="1">敌人!C$283</f>
        <v>热沙蜥蜴人 III</v>
      </c>
      <c r="D731" s="371"/>
      <c r="E731" s="57">
        <f>敌人!D$283</f>
        <v>3</v>
      </c>
      <c r="F731" s="57">
        <f>敌人!E$283</f>
        <v>0</v>
      </c>
      <c r="G731" s="57">
        <f>敌人!F$283</f>
        <v>0</v>
      </c>
      <c r="H731" s="57">
        <f>敌人!G$283</f>
        <v>0</v>
      </c>
      <c r="I731" s="57">
        <f>敌人!H$283</f>
        <v>0</v>
      </c>
      <c r="J731" s="57">
        <f>敌人!I$283</f>
        <v>0</v>
      </c>
      <c r="K731" s="392" t="str">
        <f ca="1">敌人!J$283</f>
        <v>ＳＰ恢复的李子（大）</v>
      </c>
      <c r="L731" s="371"/>
      <c r="M731" s="371"/>
      <c r="N731" s="55"/>
      <c r="O731" s="55"/>
      <c r="P731" s="394"/>
      <c r="Q731" s="371"/>
      <c r="R731" s="371"/>
      <c r="S731" s="55"/>
      <c r="T731" s="55"/>
      <c r="U731" s="394"/>
      <c r="V731" s="371"/>
      <c r="W731" s="55"/>
      <c r="X731" s="55"/>
      <c r="Y731" s="55"/>
      <c r="Z731" s="55"/>
      <c r="AA731" s="55"/>
    </row>
    <row r="732" spans="1:27" ht="12.75" x14ac:dyDescent="0.2">
      <c r="A732" s="55"/>
      <c r="B732" s="56" t="b">
        <v>0</v>
      </c>
      <c r="C732" s="392" t="str">
        <f ca="1">敌人!C$274</f>
        <v>热沙大蜥蜴人 I</v>
      </c>
      <c r="D732" s="371"/>
      <c r="E732" s="57">
        <f>敌人!D$274</f>
        <v>4</v>
      </c>
      <c r="F732" s="57">
        <f>敌人!E$274</f>
        <v>0</v>
      </c>
      <c r="G732" s="57">
        <f>敌人!F$274</f>
        <v>0</v>
      </c>
      <c r="H732" s="57">
        <f>敌人!G$274</f>
        <v>0</v>
      </c>
      <c r="I732" s="57">
        <f>敌人!H$274</f>
        <v>0</v>
      </c>
      <c r="J732" s="57">
        <f>敌人!I$274</f>
        <v>0</v>
      </c>
      <c r="K732" s="392" t="str">
        <f ca="1">敌人!J$274</f>
        <v>ＨＰ恢复的葡萄（大）</v>
      </c>
      <c r="L732" s="371"/>
      <c r="M732" s="371"/>
      <c r="N732" s="55"/>
      <c r="O732" s="55"/>
      <c r="P732" s="394"/>
      <c r="Q732" s="371"/>
      <c r="R732" s="371"/>
      <c r="S732" s="55"/>
      <c r="T732" s="55"/>
      <c r="U732" s="394"/>
      <c r="V732" s="371"/>
      <c r="W732" s="55"/>
      <c r="X732" s="55"/>
      <c r="Y732" s="55"/>
      <c r="Z732" s="55"/>
      <c r="AA732" s="55"/>
    </row>
    <row r="733" spans="1:27" ht="12.75" x14ac:dyDescent="0.2">
      <c r="A733" s="55"/>
      <c r="B733" s="56" t="b">
        <v>0</v>
      </c>
      <c r="C733" s="392" t="str">
        <f ca="1">敌人!C$276</f>
        <v>热沙大蜥蜴人 II</v>
      </c>
      <c r="D733" s="371"/>
      <c r="E733" s="57">
        <f>敌人!D$276</f>
        <v>5</v>
      </c>
      <c r="F733" s="57">
        <f>敌人!E$276</f>
        <v>0</v>
      </c>
      <c r="G733" s="57">
        <f>敌人!F$276</f>
        <v>0</v>
      </c>
      <c r="H733" s="57">
        <f>敌人!G$276</f>
        <v>0</v>
      </c>
      <c r="I733" s="57">
        <f>敌人!H$276</f>
        <v>0</v>
      </c>
      <c r="J733" s="57">
        <f>敌人!I$276</f>
        <v>0</v>
      </c>
      <c r="K733" s="392" t="str">
        <f ca="1">敌人!J$276</f>
        <v>ＨＰ恢复的葡萄（大）</v>
      </c>
      <c r="L733" s="371"/>
      <c r="M733" s="371"/>
      <c r="N733" s="55"/>
      <c r="O733" s="55"/>
      <c r="P733" s="394"/>
      <c r="Q733" s="371"/>
      <c r="R733" s="371"/>
      <c r="S733" s="55"/>
      <c r="T733" s="55"/>
      <c r="U733" s="394"/>
      <c r="V733" s="371"/>
      <c r="W733" s="55"/>
      <c r="X733" s="55"/>
      <c r="Y733" s="55"/>
      <c r="Z733" s="55"/>
      <c r="AA733" s="55"/>
    </row>
    <row r="734" spans="1:27" ht="12.75" x14ac:dyDescent="0.2">
      <c r="A734" s="55"/>
      <c r="B734" s="56" t="b">
        <v>0</v>
      </c>
      <c r="C734" s="392" t="str">
        <f ca="1">敌人!C$318</f>
        <v>黑杀手虫</v>
      </c>
      <c r="D734" s="371"/>
      <c r="E734" s="57">
        <f>敌人!D$318</f>
        <v>3</v>
      </c>
      <c r="F734" s="57">
        <f>敌人!E$318</f>
        <v>0</v>
      </c>
      <c r="G734" s="57">
        <f>敌人!F$318</f>
        <v>0</v>
      </c>
      <c r="H734" s="57">
        <f>敌人!G$318</f>
        <v>0</v>
      </c>
      <c r="I734" s="57">
        <f>敌人!H$318</f>
        <v>0</v>
      </c>
      <c r="J734" s="57">
        <f>敌人!I$318</f>
        <v>0</v>
      </c>
      <c r="K734" s="392" t="str">
        <f ca="1">敌人!J$318</f>
        <v>李子树液</v>
      </c>
      <c r="L734" s="371"/>
      <c r="M734" s="371"/>
      <c r="N734" s="55"/>
      <c r="O734" s="55"/>
      <c r="P734" s="394"/>
      <c r="Q734" s="371"/>
      <c r="R734" s="371"/>
      <c r="S734" s="55"/>
      <c r="T734" s="55"/>
      <c r="U734" s="394"/>
      <c r="V734" s="371"/>
      <c r="W734" s="55"/>
      <c r="X734" s="55"/>
      <c r="Y734" s="55"/>
      <c r="Z734" s="55"/>
      <c r="AA734" s="55"/>
    </row>
    <row r="735" spans="1:27" ht="12.75" x14ac:dyDescent="0.2">
      <c r="A735" s="55"/>
      <c r="B735" s="56" t="b">
        <v>0</v>
      </c>
      <c r="C735" s="392" t="str">
        <f ca="1">敌人!C$345</f>
        <v>食人蝙蝠</v>
      </c>
      <c r="D735" s="371"/>
      <c r="E735" s="57">
        <f>敌人!D$345</f>
        <v>1</v>
      </c>
      <c r="F735" s="57">
        <f>敌人!E$345</f>
        <v>0</v>
      </c>
      <c r="G735" s="57">
        <f>敌人!F$345</f>
        <v>0</v>
      </c>
      <c r="H735" s="57">
        <f>敌人!G$345</f>
        <v>0</v>
      </c>
      <c r="I735" s="57">
        <f>敌人!H$345</f>
        <v>0</v>
      </c>
      <c r="J735" s="57">
        <f>敌人!I$345</f>
        <v>0</v>
      </c>
      <c r="K735" s="392" t="str">
        <f ca="1">敌人!J$345</f>
        <v>神秘之花</v>
      </c>
      <c r="L735" s="371"/>
      <c r="M735" s="371"/>
      <c r="N735" s="55"/>
      <c r="O735" s="55"/>
      <c r="P735" s="394"/>
      <c r="Q735" s="371"/>
      <c r="R735" s="371"/>
      <c r="S735" s="55"/>
      <c r="T735" s="55"/>
      <c r="U735" s="394"/>
      <c r="V735" s="371"/>
      <c r="W735" s="55"/>
      <c r="X735" s="55"/>
      <c r="Y735" s="55"/>
      <c r="Z735" s="55"/>
      <c r="AA735" s="55"/>
    </row>
    <row r="736" spans="1:27" ht="12.75" x14ac:dyDescent="0.2">
      <c r="A736" s="55"/>
      <c r="B736" s="398" t="str">
        <f ca="1">语言!$A$15</f>
        <v>Boss</v>
      </c>
      <c r="C736" s="371"/>
      <c r="D736" s="371"/>
      <c r="E736" s="371"/>
      <c r="F736" s="371"/>
      <c r="G736" s="371"/>
      <c r="H736" s="371"/>
      <c r="I736" s="371"/>
      <c r="J736" s="371"/>
      <c r="K736" s="371"/>
      <c r="L736" s="371"/>
      <c r="M736" s="371"/>
      <c r="N736" s="55"/>
      <c r="O736" s="55"/>
      <c r="P736" s="394"/>
      <c r="Q736" s="371"/>
      <c r="R736" s="371"/>
      <c r="S736" s="55"/>
      <c r="T736" s="55"/>
      <c r="U736" s="394"/>
      <c r="V736" s="371"/>
      <c r="W736" s="55"/>
      <c r="X736" s="55"/>
      <c r="Y736" s="55"/>
      <c r="Z736" s="55"/>
      <c r="AA736" s="55"/>
    </row>
    <row r="737" spans="1:27" ht="12.75" x14ac:dyDescent="0.2">
      <c r="A737" s="55"/>
      <c r="B737" s="56" t="b">
        <v>0</v>
      </c>
      <c r="C737" s="392" t="str">
        <f ca="1">敌人!C$444</f>
        <v>蜥蜴人的首领</v>
      </c>
      <c r="D737" s="371"/>
      <c r="E737" s="57">
        <f>敌人!D$444</f>
        <v>7</v>
      </c>
      <c r="F737" s="57">
        <f>敌人!E$444</f>
        <v>0</v>
      </c>
      <c r="G737" s="57">
        <f>敌人!F$444</f>
        <v>0</v>
      </c>
      <c r="H737" s="57">
        <f>敌人!G$444</f>
        <v>0</v>
      </c>
      <c r="I737" s="57">
        <f>敌人!H$444</f>
        <v>0</v>
      </c>
      <c r="J737" s="57">
        <f>敌人!I$444</f>
        <v>0</v>
      </c>
      <c r="K737" s="392" t="str">
        <f ca="1">敌人!J$444</f>
        <v>蜥蜴王之斧 (can't steal)</v>
      </c>
      <c r="L737" s="371"/>
      <c r="M737" s="371"/>
      <c r="N737" s="55"/>
      <c r="O737" s="55"/>
      <c r="P737" s="394"/>
      <c r="Q737" s="371"/>
      <c r="R737" s="371"/>
      <c r="S737" s="55"/>
      <c r="T737" s="55"/>
      <c r="U737" s="394"/>
      <c r="V737" s="371"/>
      <c r="W737" s="55"/>
      <c r="X737" s="55"/>
      <c r="Y737" s="55"/>
      <c r="Z737" s="55"/>
      <c r="AA737" s="55"/>
    </row>
    <row r="738" spans="1:27" ht="12.75" x14ac:dyDescent="0.2">
      <c r="A738" s="55"/>
      <c r="B738" s="56" t="b">
        <v>0</v>
      </c>
      <c r="C738" s="392" t="str">
        <f ca="1">敌人!C$445</f>
        <v>热沙大蜥蜴人</v>
      </c>
      <c r="D738" s="371"/>
      <c r="E738" s="57">
        <f>敌人!D$445</f>
        <v>3</v>
      </c>
      <c r="F738" s="57">
        <f>敌人!E$445</f>
        <v>0</v>
      </c>
      <c r="G738" s="57">
        <f>敌人!F$445</f>
        <v>0</v>
      </c>
      <c r="H738" s="57">
        <f>敌人!G$445</f>
        <v>0</v>
      </c>
      <c r="I738" s="57">
        <f>敌人!H$445</f>
        <v>0</v>
      </c>
      <c r="J738" s="57">
        <f>敌人!I$445</f>
        <v>0</v>
      </c>
      <c r="K738" s="392" t="str">
        <f ca="1">敌人!J$445</f>
        <v>ＨＰ全体恢复的葡萄</v>
      </c>
      <c r="L738" s="371"/>
      <c r="M738" s="371"/>
      <c r="N738" s="55"/>
      <c r="O738" s="55"/>
      <c r="P738" s="394"/>
      <c r="Q738" s="371"/>
      <c r="R738" s="371"/>
      <c r="S738" s="55"/>
      <c r="T738" s="55"/>
      <c r="U738" s="394"/>
      <c r="V738" s="371"/>
      <c r="W738" s="55"/>
      <c r="X738" s="55"/>
      <c r="Y738" s="55"/>
      <c r="Z738" s="55"/>
      <c r="AA738" s="55"/>
    </row>
    <row r="739" spans="1:27" ht="12.75" x14ac:dyDescent="0.2">
      <c r="A739" s="55"/>
      <c r="B739" s="398" t="str">
        <f ca="1">语言!$A$17</f>
        <v>特殊怪</v>
      </c>
      <c r="C739" s="371"/>
      <c r="D739" s="371"/>
      <c r="E739" s="371"/>
      <c r="F739" s="371"/>
      <c r="G739" s="371"/>
      <c r="H739" s="371"/>
      <c r="I739" s="371"/>
      <c r="J739" s="371"/>
      <c r="K739" s="371"/>
      <c r="L739" s="371"/>
      <c r="M739" s="371"/>
      <c r="N739" s="55"/>
      <c r="O739" s="55"/>
      <c r="P739" s="394"/>
      <c r="Q739" s="371"/>
      <c r="R739" s="371"/>
      <c r="S739" s="55"/>
      <c r="T739" s="55"/>
      <c r="U739" s="394"/>
      <c r="V739" s="371"/>
      <c r="W739" s="55"/>
      <c r="X739" s="55"/>
      <c r="Y739" s="55"/>
      <c r="Z739" s="55"/>
      <c r="AA739" s="55"/>
    </row>
    <row r="740" spans="1:27" ht="12.75" x14ac:dyDescent="0.2">
      <c r="A740" s="55"/>
      <c r="B740" s="56" t="b">
        <v>0</v>
      </c>
      <c r="C740" s="393" t="str">
        <f ca="1">敌人!C$446</f>
        <v>艾尔哈特</v>
      </c>
      <c r="D740" s="371"/>
      <c r="E740" s="56">
        <f>敌人!D$446</f>
        <v>6</v>
      </c>
      <c r="F740" s="56">
        <f>敌人!E$446</f>
        <v>0</v>
      </c>
      <c r="G740" s="56">
        <f>敌人!F$446</f>
        <v>0</v>
      </c>
      <c r="H740" s="56">
        <f>敌人!G$446</f>
        <v>0</v>
      </c>
      <c r="I740" s="56">
        <f>敌人!H$446</f>
        <v>0</v>
      </c>
      <c r="J740" s="56">
        <f>敌人!I$446</f>
        <v>0</v>
      </c>
      <c r="K740" s="403" t="str">
        <f ca="1">敌人!J$446</f>
        <v>神圣之刃</v>
      </c>
      <c r="L740" s="371"/>
      <c r="M740" s="371"/>
      <c r="N740" s="55"/>
      <c r="O740" s="55"/>
      <c r="P740" s="394"/>
      <c r="Q740" s="371"/>
      <c r="R740" s="371"/>
      <c r="S740" s="55"/>
      <c r="T740" s="55"/>
      <c r="U740" s="394"/>
      <c r="V740" s="371"/>
      <c r="W740" s="55"/>
      <c r="X740" s="55"/>
      <c r="Y740" s="55"/>
      <c r="Z740" s="55"/>
      <c r="AA740" s="55"/>
    </row>
    <row r="741" spans="1:27" ht="12.75" x14ac:dyDescent="0.2">
      <c r="A741" s="55"/>
      <c r="B741" s="55"/>
      <c r="C741" s="394"/>
      <c r="D741" s="371"/>
      <c r="E741" s="55"/>
      <c r="F741" s="55"/>
      <c r="G741" s="55"/>
      <c r="H741" s="55"/>
      <c r="I741" s="55"/>
      <c r="J741" s="55"/>
      <c r="K741" s="394"/>
      <c r="L741" s="371"/>
      <c r="M741" s="371"/>
      <c r="N741" s="55"/>
      <c r="O741" s="55"/>
      <c r="P741" s="394"/>
      <c r="Q741" s="371"/>
      <c r="R741" s="371"/>
      <c r="S741" s="55"/>
      <c r="T741" s="55"/>
      <c r="U741" s="394"/>
      <c r="V741" s="371"/>
      <c r="W741" s="55"/>
      <c r="X741" s="55"/>
      <c r="Y741" s="55"/>
      <c r="Z741" s="55"/>
      <c r="AA741" s="55"/>
    </row>
    <row r="742" spans="1:27" ht="18" x14ac:dyDescent="0.25">
      <c r="A742" s="397" t="str">
        <f ca="1">语言!$A$323&amp;" 3"</f>
        <v>Tier 3</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row>
    <row r="743" spans="1:27" ht="12.75" x14ac:dyDescent="0.2">
      <c r="A743" s="55"/>
      <c r="B743" s="56" t="b">
        <v>0</v>
      </c>
      <c r="C743" s="393" t="str">
        <f ca="1">敌人!C$53</f>
        <v>布尔乔亚凯特林</v>
      </c>
      <c r="D743" s="371"/>
      <c r="E743" s="56">
        <f>敌人!D$53</f>
        <v>4</v>
      </c>
      <c r="F743" s="56">
        <f>敌人!E$53</f>
        <v>0</v>
      </c>
      <c r="G743" s="56">
        <f>敌人!F$53</f>
        <v>0</v>
      </c>
      <c r="H743" s="56">
        <f>敌人!G$53</f>
        <v>0</v>
      </c>
      <c r="I743" s="56">
        <f>敌人!H$53</f>
        <v>0</v>
      </c>
      <c r="J743" s="56">
        <f>敌人!I$53</f>
        <v>0</v>
      </c>
      <c r="K743" s="393" t="str">
        <f ca="1">敌人!J$53</f>
        <v>ＨＰ／ＳＰ／ＢＰ恢复的果酱</v>
      </c>
      <c r="L743" s="371"/>
      <c r="M743" s="371"/>
      <c r="N743" s="55"/>
      <c r="O743" s="396" t="str">
        <f ca="1">语言!A$428&amp;" (7 "&amp;语言!$A$19&amp;")"</f>
        <v>马尔沙利姆 (7 宝箱)</v>
      </c>
      <c r="P743" s="371"/>
      <c r="Q743" s="371"/>
      <c r="R743" s="371"/>
      <c r="S743" s="55"/>
      <c r="T743" s="396" t="str">
        <f ca="1">语言!A$428</f>
        <v>马尔沙利姆</v>
      </c>
      <c r="U743" s="371"/>
      <c r="V743" s="371"/>
      <c r="W743" s="55"/>
      <c r="X743" s="396" t="str">
        <f ca="1">语言!A$428</f>
        <v>马尔沙利姆</v>
      </c>
      <c r="Y743" s="371"/>
      <c r="Z743" s="371"/>
      <c r="AA743" s="55"/>
    </row>
    <row r="744" spans="1:27" ht="12.75" x14ac:dyDescent="0.2">
      <c r="A744" s="55"/>
      <c r="B744" s="396" t="str">
        <f ca="1">语言!A$430&amp;" ("&amp;语言!$A$12&amp;" 45)"</f>
        <v>东马尔沙利姆沙道 (危险度 45)</v>
      </c>
      <c r="C744" s="371"/>
      <c r="D744" s="371"/>
      <c r="E744" s="371"/>
      <c r="F744" s="371"/>
      <c r="G744" s="371"/>
      <c r="H744" s="371"/>
      <c r="I744" s="371"/>
      <c r="J744" s="371"/>
      <c r="K744" s="371"/>
      <c r="L744" s="371"/>
      <c r="M744" s="371"/>
      <c r="N744" s="55"/>
      <c r="O744" s="56" t="b">
        <v>0</v>
      </c>
      <c r="P744" s="392" t="str">
        <f ca="1">道具!$C$20</f>
        <v>黑暗治疗药草</v>
      </c>
      <c r="Q744" s="371"/>
      <c r="R744" s="371"/>
      <c r="S744" s="55"/>
      <c r="T744" s="56" t="b">
        <v>0</v>
      </c>
      <c r="U744" s="393" t="str">
        <f ca="1">道具!$C$8</f>
        <v>ＳＰ全体恢复的李子</v>
      </c>
      <c r="V744" s="371"/>
      <c r="W744" s="55"/>
      <c r="X744" s="395" t="b">
        <v>0</v>
      </c>
      <c r="Y744" s="395" t="str">
        <f ca="1">语言!$A$1828&amp;" (NPC)"</f>
        <v>部族长 (NPC)</v>
      </c>
      <c r="Z744" s="400" t="str">
        <f ca="1">"NPC is available only during quest: "&amp;支线!$C$88&amp;". He doesn't have much interesting on him but he deserves to get stolen."</f>
        <v>NPC is available only during quest: 巡游少女莉亚（３）. He doesn't have much interesting on him but he deserves to get stolen.</v>
      </c>
      <c r="AA744" s="55"/>
    </row>
    <row r="745" spans="1:27" ht="12.75" x14ac:dyDescent="0.2">
      <c r="A745" s="55"/>
      <c r="B745" s="56" t="b">
        <v>0</v>
      </c>
      <c r="C745" s="392" t="str">
        <f ca="1">敌人!C$273</f>
        <v>沙漠大蜥蜴人 I</v>
      </c>
      <c r="D745" s="371"/>
      <c r="E745" s="57">
        <f>敌人!D$273</f>
        <v>4</v>
      </c>
      <c r="F745" s="57">
        <f>敌人!E$273</f>
        <v>0</v>
      </c>
      <c r="G745" s="57">
        <f>敌人!F$273</f>
        <v>0</v>
      </c>
      <c r="H745" s="57">
        <f>敌人!G$273</f>
        <v>0</v>
      </c>
      <c r="I745" s="57">
        <f>敌人!H$273</f>
        <v>0</v>
      </c>
      <c r="J745" s="57">
        <f>敌人!I$273</f>
        <v>0</v>
      </c>
      <c r="K745" s="392" t="str">
        <f ca="1">敌人!J$273</f>
        <v>ＨＰ恢复的葡萄（大）</v>
      </c>
      <c r="L745" s="371"/>
      <c r="M745" s="371"/>
      <c r="N745" s="55"/>
      <c r="O745" s="56" t="b">
        <v>0</v>
      </c>
      <c r="P745" s="392" t="str">
        <f ca="1">道具!$C$29</f>
        <v>睡眠瓶</v>
      </c>
      <c r="Q745" s="371"/>
      <c r="R745" s="371"/>
      <c r="S745" s="55"/>
      <c r="T745" s="56" t="b">
        <v>0</v>
      </c>
      <c r="U745" s="393" t="str">
        <f ca="1">道具!$C$127</f>
        <v>放了铜块的麻袋</v>
      </c>
      <c r="V745" s="371"/>
      <c r="W745" s="55"/>
      <c r="X745" s="371"/>
      <c r="Y745" s="371"/>
      <c r="Z745" s="371"/>
      <c r="AA745" s="55"/>
    </row>
    <row r="746" spans="1:27" ht="12.75" x14ac:dyDescent="0.2">
      <c r="A746" s="55"/>
      <c r="B746" s="56" t="b">
        <v>0</v>
      </c>
      <c r="C746" s="392" t="str">
        <f ca="1">敌人!C$275</f>
        <v>沙漠大蜥蜴人 II</v>
      </c>
      <c r="D746" s="371"/>
      <c r="E746" s="57">
        <f>敌人!D$275</f>
        <v>3</v>
      </c>
      <c r="F746" s="57">
        <f>敌人!E$275</f>
        <v>0</v>
      </c>
      <c r="G746" s="57">
        <f>敌人!F$275</f>
        <v>0</v>
      </c>
      <c r="H746" s="57">
        <f>敌人!G$275</f>
        <v>0</v>
      </c>
      <c r="I746" s="57">
        <f>敌人!H$275</f>
        <v>0</v>
      </c>
      <c r="J746" s="57">
        <f>敌人!I$275</f>
        <v>0</v>
      </c>
      <c r="K746" s="392" t="str">
        <f ca="1">敌人!J$275</f>
        <v>李子树液</v>
      </c>
      <c r="L746" s="371"/>
      <c r="M746" s="371"/>
      <c r="N746" s="55"/>
      <c r="O746" s="56" t="b">
        <v>0</v>
      </c>
      <c r="P746" s="392" t="str">
        <f ca="1">道具!$C$410</f>
        <v>名家铠甲</v>
      </c>
      <c r="Q746" s="371"/>
      <c r="R746" s="371"/>
      <c r="S746" s="55"/>
      <c r="T746" s="56" t="b">
        <v>0</v>
      </c>
      <c r="U746" s="393" t="str">
        <f ca="1">道具!$C$32</f>
        <v>火之精灵石（特大）</v>
      </c>
      <c r="V746" s="371"/>
      <c r="W746" s="55"/>
      <c r="X746" s="371"/>
      <c r="Y746" s="371"/>
      <c r="Z746" s="371"/>
      <c r="AA746" s="55"/>
    </row>
    <row r="747" spans="1:27" ht="12.75" x14ac:dyDescent="0.2">
      <c r="A747" s="55"/>
      <c r="B747" s="56" t="b">
        <v>0</v>
      </c>
      <c r="C747" s="392" t="str">
        <f ca="1">敌人!C$277</f>
        <v>沙漠大蜥蜴人 III</v>
      </c>
      <c r="D747" s="371"/>
      <c r="E747" s="57">
        <f>敌人!D$277</f>
        <v>5</v>
      </c>
      <c r="F747" s="57">
        <f>敌人!E$277</f>
        <v>0</v>
      </c>
      <c r="G747" s="57">
        <f>敌人!F$277</f>
        <v>0</v>
      </c>
      <c r="H747" s="57">
        <f>敌人!G$277</f>
        <v>0</v>
      </c>
      <c r="I747" s="57">
        <f>敌人!H$277</f>
        <v>0</v>
      </c>
      <c r="J747" s="57">
        <f>敌人!I$277</f>
        <v>0</v>
      </c>
      <c r="K747" s="392" t="str">
        <f ca="1">敌人!J$277</f>
        <v>ＳＰ恢复的李子（大）</v>
      </c>
      <c r="L747" s="371"/>
      <c r="M747" s="371"/>
      <c r="N747" s="55"/>
      <c r="O747" s="56" t="b">
        <v>0</v>
      </c>
      <c r="P747" s="392" t="s">
        <v>24</v>
      </c>
      <c r="Q747" s="371"/>
      <c r="R747" s="371"/>
      <c r="S747" s="55"/>
      <c r="T747" s="56" t="b">
        <v>0</v>
      </c>
      <c r="U747" s="393" t="str">
        <f ca="1">道具!$C$7</f>
        <v>ＳＰ恢复的李子（大）</v>
      </c>
      <c r="V747" s="371"/>
      <c r="W747" s="55"/>
      <c r="X747" s="395" t="b">
        <v>0</v>
      </c>
      <c r="Y747" s="395" t="str">
        <f ca="1">语言!$A$2132&amp;" (NPC)"</f>
        <v>年轻的士兵 (NPC)</v>
      </c>
      <c r="Z747" s="400" t="str">
        <f ca="1">"NPC disapear if you complete quest: "&amp;支线!$C$89&amp;" with "&amp;语言!$A$47&amp;" / "&amp;语言!$A$51&amp;". He doesn't have much interesting on him but he deserves to get stolen"</f>
        <v>NPC disapear if you complete quest: 从未见过的东西 with 比试 / 唆使. He doesn't have much interesting on him but he deserves to get stolen</v>
      </c>
      <c r="AA747" s="55"/>
    </row>
    <row r="748" spans="1:27" ht="12.75" x14ac:dyDescent="0.2">
      <c r="A748" s="55"/>
      <c r="B748" s="56" t="b">
        <v>0</v>
      </c>
      <c r="C748" s="392" t="str">
        <f ca="1">敌人!C$250</f>
        <v>古代遗物（兽）・异型</v>
      </c>
      <c r="D748" s="371"/>
      <c r="E748" s="57">
        <f>敌人!D$250</f>
        <v>5</v>
      </c>
      <c r="F748" s="57">
        <f>敌人!E$250</f>
        <v>0</v>
      </c>
      <c r="G748" s="57">
        <f>敌人!F$250</f>
        <v>0</v>
      </c>
      <c r="H748" s="57">
        <f>敌人!G$250</f>
        <v>0</v>
      </c>
      <c r="I748" s="57">
        <f>敌人!H$250</f>
        <v>0</v>
      </c>
      <c r="J748" s="57">
        <f>敌人!I$250</f>
        <v>0</v>
      </c>
      <c r="K748" s="392" t="str">
        <f ca="1">敌人!J$250</f>
        <v>复活的橄榄（特大）</v>
      </c>
      <c r="L748" s="371"/>
      <c r="M748" s="371"/>
      <c r="N748" s="55"/>
      <c r="O748" s="56" t="b">
        <v>0</v>
      </c>
      <c r="P748" s="392" t="str">
        <f ca="1">道具!$C$371</f>
        <v>魔法饰环</v>
      </c>
      <c r="Q748" s="371"/>
      <c r="R748" s="371"/>
      <c r="S748" s="55"/>
      <c r="T748" s="56" t="b">
        <v>0</v>
      </c>
      <c r="U748" s="393" t="str">
        <f ca="1">道具!$C$96</f>
        <v>装了破烂儿的小袋子</v>
      </c>
      <c r="V748" s="371"/>
      <c r="W748" s="55"/>
      <c r="X748" s="371"/>
      <c r="Y748" s="371"/>
      <c r="Z748" s="371"/>
      <c r="AA748" s="55"/>
    </row>
    <row r="749" spans="1:27" ht="12.75" x14ac:dyDescent="0.2">
      <c r="A749" s="55"/>
      <c r="B749" s="56" t="b">
        <v>0</v>
      </c>
      <c r="C749" s="392" t="str">
        <f ca="1">敌人!C$346</f>
        <v>毒蝎子</v>
      </c>
      <c r="D749" s="371"/>
      <c r="E749" s="57">
        <f>敌人!D$346</f>
        <v>3</v>
      </c>
      <c r="F749" s="57">
        <f>敌人!E$346</f>
        <v>0</v>
      </c>
      <c r="G749" s="57">
        <f>敌人!F$346</f>
        <v>0</v>
      </c>
      <c r="H749" s="57">
        <f>敌人!G$346</f>
        <v>0</v>
      </c>
      <c r="I749" s="57">
        <f>敌人!H$346</f>
        <v>0</v>
      </c>
      <c r="J749" s="57">
        <f>敌人!I$346</f>
        <v>0</v>
      </c>
      <c r="K749" s="392" t="str">
        <f ca="1">敌人!J$346</f>
        <v>石榴树液</v>
      </c>
      <c r="L749" s="371"/>
      <c r="M749" s="371"/>
      <c r="N749" s="55"/>
      <c r="O749" s="56" t="b">
        <v>0</v>
      </c>
      <c r="P749" s="392" t="str">
        <f ca="1">道具!$C$508&amp;" ("&amp;语言!$A$20&amp;")"</f>
        <v>龙卷风避邪符 (上锁宝箱)</v>
      </c>
      <c r="Q749" s="371"/>
      <c r="R749" s="371"/>
      <c r="S749" s="55"/>
      <c r="T749" s="56" t="b">
        <v>0</v>
      </c>
      <c r="U749" s="393" t="str">
        <f ca="1">道具!$C$32</f>
        <v>火之精灵石（特大）</v>
      </c>
      <c r="V749" s="371"/>
      <c r="W749" s="55"/>
      <c r="X749" s="371"/>
      <c r="Y749" s="371"/>
      <c r="Z749" s="371"/>
      <c r="AA749" s="55"/>
    </row>
    <row r="750" spans="1:27" ht="12.75" x14ac:dyDescent="0.2">
      <c r="A750" s="55"/>
      <c r="B750" s="56" t="b">
        <v>0</v>
      </c>
      <c r="C750" s="392" t="str">
        <f ca="1">敌人!C$190</f>
        <v>七色鸟</v>
      </c>
      <c r="D750" s="371"/>
      <c r="E750" s="57">
        <f>敌人!D$190</f>
        <v>3</v>
      </c>
      <c r="F750" s="57">
        <f>敌人!E$190</f>
        <v>0</v>
      </c>
      <c r="G750" s="57">
        <f>敌人!F$190</f>
        <v>0</v>
      </c>
      <c r="H750" s="57">
        <f>敌人!G$190</f>
        <v>0</v>
      </c>
      <c r="I750" s="57">
        <f>敌人!H$190</f>
        <v>0</v>
      </c>
      <c r="J750" s="57">
        <f>敌人!I$190</f>
        <v>0</v>
      </c>
      <c r="K750" s="392" t="str">
        <f ca="1">敌人!J$190</f>
        <v>大鸟的羽毛</v>
      </c>
      <c r="L750" s="371"/>
      <c r="M750" s="371"/>
      <c r="N750" s="55"/>
      <c r="O750" s="56" t="b">
        <v>0</v>
      </c>
      <c r="P750" s="392" t="str">
        <f ca="1">道具!$C$284&amp;" ("&amp;语言!$A$20&amp;")"</f>
        <v>精神弓 (上锁宝箱)</v>
      </c>
      <c r="Q750" s="371"/>
      <c r="R750" s="371"/>
      <c r="S750" s="55"/>
      <c r="T750" s="55"/>
      <c r="U750" s="394"/>
      <c r="V750" s="371"/>
      <c r="W750" s="55"/>
      <c r="X750" s="371"/>
      <c r="Y750" s="371"/>
      <c r="Z750" s="371"/>
      <c r="AA750" s="55"/>
    </row>
    <row r="751" spans="1:27" ht="12.75" x14ac:dyDescent="0.2">
      <c r="A751" s="55"/>
      <c r="B751" s="56" t="b">
        <v>0</v>
      </c>
      <c r="C751" s="392" t="str">
        <f ca="1">敌人!C$100</f>
        <v>火元素</v>
      </c>
      <c r="D751" s="371"/>
      <c r="E751" s="57">
        <f>敌人!D$100</f>
        <v>4</v>
      </c>
      <c r="F751" s="57">
        <f>敌人!E$100</f>
        <v>0</v>
      </c>
      <c r="G751" s="57">
        <f>敌人!F$100</f>
        <v>0</v>
      </c>
      <c r="H751" s="57">
        <f>敌人!G$100</f>
        <v>0</v>
      </c>
      <c r="I751" s="57">
        <f>敌人!H$100</f>
        <v>0</v>
      </c>
      <c r="J751" s="57">
        <f>敌人!I$100</f>
        <v>0</v>
      </c>
      <c r="K751" s="392" t="str">
        <f ca="1">敌人!J$100</f>
        <v>火之精灵石（特大）</v>
      </c>
      <c r="L751" s="371"/>
      <c r="M751" s="371"/>
      <c r="N751" s="55"/>
      <c r="O751" s="396" t="str">
        <f ca="1">语言!A$430&amp;" (3 "&amp;语言!$A$19&amp;")"</f>
        <v>东马尔沙利姆沙道 (3 宝箱)</v>
      </c>
      <c r="P751" s="371"/>
      <c r="Q751" s="371"/>
      <c r="R751" s="371"/>
      <c r="S751" s="55"/>
      <c r="T751" s="55"/>
      <c r="U751" s="394"/>
      <c r="V751" s="371"/>
      <c r="W751" s="55"/>
      <c r="X751" s="55"/>
      <c r="Y751" s="55"/>
      <c r="Z751" s="55"/>
      <c r="AA751" s="55"/>
    </row>
    <row r="752" spans="1:27" ht="12.75" x14ac:dyDescent="0.2">
      <c r="A752" s="55"/>
      <c r="B752" s="396" t="str">
        <f ca="1">语言!A$431&amp;" ("&amp;语言!$A$12&amp;" 50)"</f>
        <v>马尔沙利姆地下墓地 (危险度 50)</v>
      </c>
      <c r="C752" s="371"/>
      <c r="D752" s="371"/>
      <c r="E752" s="371"/>
      <c r="F752" s="371"/>
      <c r="G752" s="371"/>
      <c r="H752" s="371"/>
      <c r="I752" s="371"/>
      <c r="J752" s="371"/>
      <c r="K752" s="371"/>
      <c r="L752" s="371"/>
      <c r="M752" s="371"/>
      <c r="N752" s="55"/>
      <c r="O752" s="56" t="b">
        <v>0</v>
      </c>
      <c r="P752" s="392" t="str">
        <f ca="1">"20 000$ ("&amp;语言!$A$20&amp;")"</f>
        <v>20 000$ (上锁宝箱)</v>
      </c>
      <c r="Q752" s="371"/>
      <c r="R752" s="371"/>
      <c r="S752" s="55"/>
      <c r="T752" s="55"/>
      <c r="U752" s="394"/>
      <c r="V752" s="371"/>
      <c r="W752" s="55"/>
      <c r="X752" s="55"/>
      <c r="Y752" s="55"/>
      <c r="Z752" s="55"/>
      <c r="AA752" s="55"/>
    </row>
    <row r="753" spans="1:27" ht="12.75" x14ac:dyDescent="0.2">
      <c r="A753" s="55"/>
      <c r="B753" s="56" t="b">
        <v>0</v>
      </c>
      <c r="C753" s="392" t="str">
        <f ca="1">敌人!C$275</f>
        <v>沙漠大蜥蜴人 II</v>
      </c>
      <c r="D753" s="371"/>
      <c r="E753" s="57">
        <f>敌人!D$275</f>
        <v>3</v>
      </c>
      <c r="F753" s="57">
        <f>敌人!E$275</f>
        <v>0</v>
      </c>
      <c r="G753" s="57">
        <f>敌人!F$275</f>
        <v>0</v>
      </c>
      <c r="H753" s="57">
        <f>敌人!G$275</f>
        <v>0</v>
      </c>
      <c r="I753" s="57">
        <f>敌人!H$275</f>
        <v>0</v>
      </c>
      <c r="J753" s="57">
        <f>敌人!I$275</f>
        <v>0</v>
      </c>
      <c r="K753" s="392" t="str">
        <f ca="1">敌人!J$275</f>
        <v>李子树液</v>
      </c>
      <c r="L753" s="371"/>
      <c r="M753" s="371"/>
      <c r="N753" s="55"/>
      <c r="O753" s="56" t="b">
        <v>0</v>
      </c>
      <c r="P753" s="392" t="str">
        <f ca="1">道具!$C$38</f>
        <v>雷之精灵石（特大）</v>
      </c>
      <c r="Q753" s="371"/>
      <c r="R753" s="371"/>
      <c r="S753" s="55"/>
      <c r="T753" s="55"/>
      <c r="U753" s="394"/>
      <c r="V753" s="371"/>
      <c r="W753" s="55"/>
      <c r="X753" s="55"/>
      <c r="Y753" s="55"/>
      <c r="Z753" s="55"/>
      <c r="AA753" s="55"/>
    </row>
    <row r="754" spans="1:27" ht="12.75" x14ac:dyDescent="0.2">
      <c r="A754" s="55"/>
      <c r="B754" s="56" t="b">
        <v>0</v>
      </c>
      <c r="C754" s="392" t="str">
        <f ca="1">敌人!C$277</f>
        <v>沙漠大蜥蜴人 III</v>
      </c>
      <c r="D754" s="371"/>
      <c r="E754" s="57">
        <f>敌人!D$277</f>
        <v>5</v>
      </c>
      <c r="F754" s="57">
        <f>敌人!E$277</f>
        <v>0</v>
      </c>
      <c r="G754" s="57">
        <f>敌人!F$277</f>
        <v>0</v>
      </c>
      <c r="H754" s="57">
        <f>敌人!G$277</f>
        <v>0</v>
      </c>
      <c r="I754" s="57">
        <f>敌人!H$277</f>
        <v>0</v>
      </c>
      <c r="J754" s="57">
        <f>敌人!I$277</f>
        <v>0</v>
      </c>
      <c r="K754" s="392" t="str">
        <f ca="1">敌人!J$277</f>
        <v>ＳＰ恢复的李子（大）</v>
      </c>
      <c r="L754" s="371"/>
      <c r="M754" s="371"/>
      <c r="N754" s="55"/>
      <c r="O754" s="56" t="b">
        <v>0</v>
      </c>
      <c r="P754" s="392" t="str">
        <f ca="1">道具!$C$8</f>
        <v>ＳＰ全体恢复的李子</v>
      </c>
      <c r="Q754" s="371"/>
      <c r="R754" s="371"/>
      <c r="S754" s="55"/>
      <c r="T754" s="55"/>
      <c r="U754" s="394"/>
      <c r="V754" s="371"/>
      <c r="W754" s="55"/>
      <c r="X754" s="55"/>
      <c r="Y754" s="55"/>
      <c r="Z754" s="55"/>
      <c r="AA754" s="55"/>
    </row>
    <row r="755" spans="1:27" ht="12.75" x14ac:dyDescent="0.2">
      <c r="A755" s="55"/>
      <c r="B755" s="56" t="b">
        <v>0</v>
      </c>
      <c r="C755" s="392" t="str">
        <f ca="1">敌人!C$86</f>
        <v>沙虫异种</v>
      </c>
      <c r="D755" s="371"/>
      <c r="E755" s="57">
        <f>敌人!D$86</f>
        <v>5</v>
      </c>
      <c r="F755" s="57">
        <f>敌人!E$86</f>
        <v>0</v>
      </c>
      <c r="G755" s="57">
        <f>敌人!F$86</f>
        <v>0</v>
      </c>
      <c r="H755" s="57">
        <f>敌人!G$86</f>
        <v>0</v>
      </c>
      <c r="I755" s="57">
        <f>敌人!H$86</f>
        <v>0</v>
      </c>
      <c r="J755" s="57">
        <f>敌人!I$86</f>
        <v>0</v>
      </c>
      <c r="K755" s="392" t="str">
        <f ca="1">敌人!J$86</f>
        <v>橄榄花</v>
      </c>
      <c r="L755" s="371"/>
      <c r="M755" s="371"/>
      <c r="N755" s="55"/>
      <c r="O755" s="396" t="str">
        <f ca="1">语言!A$431&amp;" (8 "&amp;语言!$A$19&amp;")"</f>
        <v>马尔沙利姆地下墓地 (8 宝箱)</v>
      </c>
      <c r="P755" s="371"/>
      <c r="Q755" s="371"/>
      <c r="R755" s="371"/>
      <c r="S755" s="55"/>
      <c r="T755" s="55"/>
      <c r="U755" s="394"/>
      <c r="V755" s="371"/>
      <c r="W755" s="55"/>
      <c r="X755" s="55"/>
      <c r="Y755" s="55"/>
      <c r="Z755" s="55"/>
      <c r="AA755" s="55"/>
    </row>
    <row r="756" spans="1:27" ht="12.75" x14ac:dyDescent="0.2">
      <c r="A756" s="55"/>
      <c r="B756" s="56" t="b">
        <v>0</v>
      </c>
      <c r="C756" s="392" t="str">
        <f ca="1">敌人!C$91</f>
        <v>尸骸粪金龟异种</v>
      </c>
      <c r="D756" s="371"/>
      <c r="E756" s="57">
        <f>敌人!D$91</f>
        <v>2</v>
      </c>
      <c r="F756" s="57">
        <f>敌人!E$91</f>
        <v>0</v>
      </c>
      <c r="G756" s="57">
        <f>敌人!F$91</f>
        <v>0</v>
      </c>
      <c r="H756" s="57">
        <f>敌人!G$91</f>
        <v>0</v>
      </c>
      <c r="I756" s="57">
        <f>敌人!H$91</f>
        <v>0</v>
      </c>
      <c r="J756" s="57">
        <f>敌人!I$91</f>
        <v>0</v>
      </c>
      <c r="K756" s="392" t="str">
        <f ca="1">敌人!J$91</f>
        <v>复活的橄榄</v>
      </c>
      <c r="L756" s="371"/>
      <c r="M756" s="371"/>
      <c r="N756" s="55"/>
      <c r="O756" s="56" t="b">
        <v>0</v>
      </c>
      <c r="P756" s="392" t="str">
        <f ca="1">道具!$C$204&amp;" ("&amp;语言!$A$20&amp;")"</f>
        <v>大蛇短剑 (上锁宝箱)</v>
      </c>
      <c r="Q756" s="371"/>
      <c r="R756" s="371"/>
      <c r="S756" s="55"/>
      <c r="T756" s="55"/>
      <c r="U756" s="394"/>
      <c r="V756" s="371"/>
      <c r="W756" s="55"/>
      <c r="X756" s="55"/>
      <c r="Y756" s="55"/>
      <c r="Z756" s="55"/>
      <c r="AA756" s="55"/>
    </row>
    <row r="757" spans="1:27" ht="12.75" x14ac:dyDescent="0.2">
      <c r="A757" s="55"/>
      <c r="B757" s="56" t="b">
        <v>0</v>
      </c>
      <c r="C757" s="392" t="str">
        <f ca="1">敌人!C$34</f>
        <v>战士骷髅异种</v>
      </c>
      <c r="D757" s="371"/>
      <c r="E757" s="57">
        <f>敌人!D$34</f>
        <v>1</v>
      </c>
      <c r="F757" s="57">
        <f>敌人!E$34</f>
        <v>0</v>
      </c>
      <c r="G757" s="57">
        <f>敌人!F$34</f>
        <v>0</v>
      </c>
      <c r="H757" s="57">
        <f>敌人!G$34</f>
        <v>0</v>
      </c>
      <c r="I757" s="57">
        <f>敌人!H$34</f>
        <v>0</v>
      </c>
      <c r="J757" s="57">
        <f>敌人!I$34</f>
        <v>0</v>
      </c>
      <c r="K757" s="392" t="str">
        <f ca="1">敌人!J$34</f>
        <v>复活的橄榄（大）</v>
      </c>
      <c r="L757" s="371"/>
      <c r="M757" s="371"/>
      <c r="N757" s="55"/>
      <c r="O757" s="56" t="b">
        <v>0</v>
      </c>
      <c r="P757" s="392" t="str">
        <f ca="1">道具!$C$13</f>
        <v>ＨＰ／ＳＰ／ＢＰ恢复的果酱</v>
      </c>
      <c r="Q757" s="371"/>
      <c r="R757" s="371"/>
      <c r="S757" s="55"/>
      <c r="T757" s="55"/>
      <c r="U757" s="394"/>
      <c r="V757" s="371"/>
      <c r="W757" s="55"/>
      <c r="X757" s="55"/>
      <c r="Y757" s="55"/>
      <c r="Z757" s="55"/>
      <c r="AA757" s="55"/>
    </row>
    <row r="758" spans="1:27" ht="12.75" x14ac:dyDescent="0.2">
      <c r="A758" s="55"/>
      <c r="B758" s="56" t="b">
        <v>0</v>
      </c>
      <c r="C758" s="392" t="str">
        <f ca="1">敌人!C$350</f>
        <v>战士骷髅</v>
      </c>
      <c r="D758" s="371"/>
      <c r="E758" s="57">
        <f>敌人!D$350</f>
        <v>2</v>
      </c>
      <c r="F758" s="57">
        <f>敌人!E$350</f>
        <v>0</v>
      </c>
      <c r="G758" s="57">
        <f>敌人!F$350</f>
        <v>0</v>
      </c>
      <c r="H758" s="57">
        <f>敌人!G$350</f>
        <v>0</v>
      </c>
      <c r="I758" s="57">
        <f>敌人!H$350</f>
        <v>0</v>
      </c>
      <c r="J758" s="57">
        <f>敌人!I$350</f>
        <v>0</v>
      </c>
      <c r="K758" s="392" t="str">
        <f ca="1">敌人!J$350</f>
        <v>混乱瓶</v>
      </c>
      <c r="L758" s="371"/>
      <c r="M758" s="371"/>
      <c r="N758" s="55"/>
      <c r="O758" s="56" t="b">
        <v>0</v>
      </c>
      <c r="P758" s="392" t="str">
        <f ca="1">道具!$C$524</f>
        <v>恐怖耐性石</v>
      </c>
      <c r="Q758" s="371"/>
      <c r="R758" s="371"/>
      <c r="S758" s="55"/>
      <c r="T758" s="55"/>
      <c r="U758" s="394"/>
      <c r="V758" s="371"/>
      <c r="W758" s="55"/>
      <c r="X758" s="55"/>
      <c r="Y758" s="55"/>
      <c r="Z758" s="55"/>
      <c r="AA758" s="55"/>
    </row>
    <row r="759" spans="1:27" ht="12.75" x14ac:dyDescent="0.2">
      <c r="A759" s="55"/>
      <c r="B759" s="56" t="b">
        <v>0</v>
      </c>
      <c r="C759" s="392" t="str">
        <f ca="1">敌人!C$198</f>
        <v>光元素</v>
      </c>
      <c r="D759" s="371"/>
      <c r="E759" s="57">
        <f>敌人!D$198</f>
        <v>4</v>
      </c>
      <c r="F759" s="57">
        <f>敌人!E$198</f>
        <v>0</v>
      </c>
      <c r="G759" s="57">
        <f>敌人!F$198</f>
        <v>0</v>
      </c>
      <c r="H759" s="57">
        <f>敌人!G$198</f>
        <v>0</v>
      </c>
      <c r="I759" s="57">
        <f>敌人!H$198</f>
        <v>0</v>
      </c>
      <c r="J759" s="57">
        <f>敌人!I$198</f>
        <v>0</v>
      </c>
      <c r="K759" s="392" t="str">
        <f ca="1">敌人!J$198</f>
        <v>光之精灵石（特大）</v>
      </c>
      <c r="L759" s="371"/>
      <c r="M759" s="371"/>
      <c r="N759" s="55"/>
      <c r="O759" s="56" t="b">
        <v>0</v>
      </c>
      <c r="P759" s="392" t="str">
        <f ca="1">道具!$C$5</f>
        <v>ＨＰ全体恢复的葡萄</v>
      </c>
      <c r="Q759" s="371"/>
      <c r="R759" s="371"/>
      <c r="S759" s="55"/>
      <c r="T759" s="55"/>
      <c r="U759" s="394"/>
      <c r="V759" s="371"/>
      <c r="W759" s="55"/>
      <c r="X759" s="55"/>
      <c r="Y759" s="55"/>
      <c r="Z759" s="55"/>
      <c r="AA759" s="55"/>
    </row>
    <row r="760" spans="1:27" ht="12.75" x14ac:dyDescent="0.2">
      <c r="A760" s="55"/>
      <c r="B760" s="398" t="str">
        <f ca="1">语言!$A$16</f>
        <v>小Boss</v>
      </c>
      <c r="C760" s="371"/>
      <c r="D760" s="371"/>
      <c r="E760" s="371"/>
      <c r="F760" s="371"/>
      <c r="G760" s="371"/>
      <c r="H760" s="371"/>
      <c r="I760" s="371"/>
      <c r="J760" s="371"/>
      <c r="K760" s="371"/>
      <c r="L760" s="371"/>
      <c r="M760" s="371"/>
      <c r="N760" s="55"/>
      <c r="O760" s="56" t="b">
        <v>0</v>
      </c>
      <c r="P760" s="392" t="str">
        <f ca="1">道具!$C$148</f>
        <v>天使军刀</v>
      </c>
      <c r="Q760" s="371"/>
      <c r="R760" s="371"/>
      <c r="S760" s="55"/>
      <c r="T760" s="55"/>
      <c r="U760" s="394"/>
      <c r="V760" s="371"/>
      <c r="W760" s="55"/>
      <c r="X760" s="55"/>
      <c r="Y760" s="55"/>
      <c r="Z760" s="55"/>
      <c r="AA760" s="55"/>
    </row>
    <row r="761" spans="1:27" ht="12.75" x14ac:dyDescent="0.2">
      <c r="A761" s="55"/>
      <c r="B761" s="56" t="b">
        <v>0</v>
      </c>
      <c r="C761" s="392" t="str">
        <f ca="1">敌人!C$383</f>
        <v>沙漠虫</v>
      </c>
      <c r="D761" s="371"/>
      <c r="E761" s="57">
        <f>敌人!D$383</f>
        <v>10</v>
      </c>
      <c r="F761" s="57">
        <f>敌人!E$383</f>
        <v>0</v>
      </c>
      <c r="G761" s="57">
        <f>敌人!F$383</f>
        <v>0</v>
      </c>
      <c r="H761" s="57">
        <f>敌人!G$383</f>
        <v>0</v>
      </c>
      <c r="I761" s="57">
        <f>敌人!H$383</f>
        <v>0</v>
      </c>
      <c r="J761" s="57">
        <f>敌人!I$383</f>
        <v>0</v>
      </c>
      <c r="K761" s="392" t="str">
        <f ca="1">敌人!J$383</f>
        <v>ＨＰ／ＳＰ／ＢＰ恢复的果酱</v>
      </c>
      <c r="L761" s="371"/>
      <c r="M761" s="371"/>
      <c r="N761" s="55"/>
      <c r="O761" s="56" t="b">
        <v>0</v>
      </c>
      <c r="P761" s="392" t="str">
        <f ca="1">道具!$C$12</f>
        <v>ＨＰ／ＳＰ恢复的果酱</v>
      </c>
      <c r="Q761" s="371"/>
      <c r="R761" s="371"/>
      <c r="S761" s="55"/>
      <c r="T761" s="55"/>
      <c r="U761" s="394"/>
      <c r="V761" s="371"/>
      <c r="W761" s="55"/>
      <c r="X761" s="55"/>
      <c r="Y761" s="55"/>
      <c r="Z761" s="55"/>
      <c r="AA761" s="55"/>
    </row>
    <row r="762" spans="1:27" ht="12.75" x14ac:dyDescent="0.2">
      <c r="A762" s="55"/>
      <c r="B762" s="56" t="b">
        <v>0</v>
      </c>
      <c r="C762" s="392" t="str">
        <f ca="1">敌人!C$86&amp;" (common)"</f>
        <v>沙虫异种 (common)</v>
      </c>
      <c r="D762" s="371"/>
      <c r="E762" s="57">
        <f>敌人!D$86</f>
        <v>5</v>
      </c>
      <c r="F762" s="57">
        <f>敌人!E$86</f>
        <v>0</v>
      </c>
      <c r="G762" s="57">
        <f>敌人!F$86</f>
        <v>0</v>
      </c>
      <c r="H762" s="57">
        <f>敌人!G$86</f>
        <v>0</v>
      </c>
      <c r="I762" s="57">
        <f>敌人!H$86</f>
        <v>0</v>
      </c>
      <c r="J762" s="57">
        <f>敌人!I$86</f>
        <v>0</v>
      </c>
      <c r="K762" s="392" t="str">
        <f ca="1">敌人!J$86</f>
        <v>橄榄花</v>
      </c>
      <c r="L762" s="371"/>
      <c r="M762" s="371"/>
      <c r="N762" s="55"/>
      <c r="O762" s="56" t="b">
        <v>0</v>
      </c>
      <c r="P762" s="392" t="str">
        <f ca="1">道具!$C$11</f>
        <v>ＢＰ恢复的石榴（特大）</v>
      </c>
      <c r="Q762" s="371"/>
      <c r="R762" s="371"/>
      <c r="S762" s="55"/>
      <c r="T762" s="55"/>
      <c r="U762" s="394"/>
      <c r="V762" s="371"/>
      <c r="W762" s="55"/>
      <c r="X762" s="55"/>
      <c r="Y762" s="55"/>
      <c r="Z762" s="55"/>
      <c r="AA762" s="55"/>
    </row>
    <row r="763" spans="1:27" ht="12.75" x14ac:dyDescent="0.2">
      <c r="A763" s="55"/>
      <c r="B763" s="55"/>
      <c r="C763" s="394"/>
      <c r="D763" s="371"/>
      <c r="E763" s="55"/>
      <c r="F763" s="55"/>
      <c r="G763" s="55"/>
      <c r="H763" s="55"/>
      <c r="I763" s="55"/>
      <c r="J763" s="55"/>
      <c r="K763" s="394"/>
      <c r="L763" s="371"/>
      <c r="M763" s="371"/>
      <c r="N763" s="55"/>
      <c r="O763" s="56" t="b">
        <v>0</v>
      </c>
      <c r="P763" s="392" t="str">
        <f ca="1">道具!$C$173</f>
        <v>名手之枪</v>
      </c>
      <c r="Q763" s="371"/>
      <c r="R763" s="371"/>
      <c r="S763" s="55"/>
      <c r="T763" s="55"/>
      <c r="U763" s="394"/>
      <c r="V763" s="371"/>
      <c r="W763" s="55"/>
      <c r="X763" s="55"/>
      <c r="Y763" s="55"/>
      <c r="Z763" s="55"/>
      <c r="AA763" s="55"/>
    </row>
    <row r="764" spans="1:27" ht="12.75" x14ac:dyDescent="0.2">
      <c r="A764" s="55"/>
      <c r="B764" s="55"/>
      <c r="C764" s="394"/>
      <c r="D764" s="371"/>
      <c r="E764" s="55"/>
      <c r="F764" s="55"/>
      <c r="G764" s="55"/>
      <c r="H764" s="55"/>
      <c r="I764" s="55"/>
      <c r="J764" s="55"/>
      <c r="K764" s="394"/>
      <c r="L764" s="371"/>
      <c r="M764" s="371"/>
      <c r="N764" s="55"/>
      <c r="O764" s="55"/>
      <c r="P764" s="394"/>
      <c r="Q764" s="371"/>
      <c r="R764" s="371"/>
      <c r="S764" s="55"/>
      <c r="T764" s="55"/>
      <c r="U764" s="394"/>
      <c r="V764" s="371"/>
      <c r="W764" s="55"/>
      <c r="X764" s="55"/>
      <c r="Y764" s="55"/>
      <c r="Z764" s="55"/>
      <c r="AA764" s="55"/>
    </row>
    <row r="765" spans="1:27" ht="12.75" x14ac:dyDescent="0.2">
      <c r="A765" s="55"/>
      <c r="B765" s="399" t="str">
        <f ca="1">语言!$A$42&amp;" "&amp;语言!$A$14&amp;" 4"</f>
        <v>海茵特 章节 4</v>
      </c>
      <c r="C765" s="371"/>
      <c r="D765" s="371"/>
      <c r="E765" s="371"/>
      <c r="F765" s="371"/>
      <c r="G765" s="371"/>
      <c r="H765" s="371"/>
      <c r="I765" s="371"/>
      <c r="J765" s="371"/>
      <c r="K765" s="371"/>
      <c r="L765" s="371"/>
      <c r="M765" s="371"/>
      <c r="N765" s="55"/>
      <c r="O765" s="399" t="str">
        <f ca="1">语言!$A$42&amp;" "&amp;语言!$A$14&amp;" 4"</f>
        <v>海茵特 章节 4</v>
      </c>
      <c r="P765" s="371"/>
      <c r="Q765" s="371"/>
      <c r="R765" s="371"/>
      <c r="S765" s="55"/>
      <c r="T765" s="55"/>
      <c r="U765" s="394"/>
      <c r="V765" s="371"/>
      <c r="W765" s="55"/>
      <c r="X765" s="399" t="str">
        <f ca="1">语言!$A$42&amp;" "&amp;语言!$A$14&amp;" 4"</f>
        <v>海茵特 章节 4</v>
      </c>
      <c r="Y765" s="371"/>
      <c r="Z765" s="371"/>
      <c r="AA765" s="55"/>
    </row>
    <row r="766" spans="1:27" ht="12.75" x14ac:dyDescent="0.2">
      <c r="A766" s="55"/>
      <c r="B766" s="396" t="str">
        <f ca="1">语言!A$432&amp;" ("&amp;语言!$A$12&amp;" 45)"</f>
        <v>通往灰色沙丘遗迹的道路 (危险度 45)</v>
      </c>
      <c r="C766" s="371"/>
      <c r="D766" s="371"/>
      <c r="E766" s="371"/>
      <c r="F766" s="371"/>
      <c r="G766" s="371"/>
      <c r="H766" s="371"/>
      <c r="I766" s="371"/>
      <c r="J766" s="371"/>
      <c r="K766" s="371"/>
      <c r="L766" s="371"/>
      <c r="M766" s="371"/>
      <c r="N766" s="55"/>
      <c r="O766" s="396" t="str">
        <f ca="1">语言!A$432&amp;" (3 "&amp;语言!$A$19&amp;")"</f>
        <v>通往灰色沙丘遗迹的道路 (3 宝箱)</v>
      </c>
      <c r="P766" s="371"/>
      <c r="Q766" s="371"/>
      <c r="R766" s="371"/>
      <c r="S766" s="55"/>
      <c r="T766" s="55"/>
      <c r="U766" s="394"/>
      <c r="V766" s="371"/>
      <c r="W766" s="55"/>
      <c r="X766" s="396" t="str">
        <f ca="1">语言!A$428</f>
        <v>马尔沙利姆</v>
      </c>
      <c r="Y766" s="371"/>
      <c r="Z766" s="371"/>
      <c r="AA766" s="55"/>
    </row>
    <row r="767" spans="1:27" ht="12.75" x14ac:dyDescent="0.2">
      <c r="A767" s="55"/>
      <c r="B767" s="56" t="b">
        <v>0</v>
      </c>
      <c r="C767" s="392" t="str">
        <f ca="1">敌人!C$346</f>
        <v>毒蝎子</v>
      </c>
      <c r="D767" s="371"/>
      <c r="E767" s="57">
        <f>敌人!D$346</f>
        <v>3</v>
      </c>
      <c r="F767" s="57">
        <f>敌人!E$346</f>
        <v>0</v>
      </c>
      <c r="G767" s="57">
        <f>敌人!F$346</f>
        <v>0</v>
      </c>
      <c r="H767" s="57">
        <f>敌人!G$346</f>
        <v>0</v>
      </c>
      <c r="I767" s="57">
        <f>敌人!H$346</f>
        <v>0</v>
      </c>
      <c r="J767" s="57">
        <f>敌人!I$346</f>
        <v>0</v>
      </c>
      <c r="K767" s="392" t="str">
        <f ca="1">敌人!J$346</f>
        <v>石榴树液</v>
      </c>
      <c r="L767" s="371"/>
      <c r="M767" s="371"/>
      <c r="N767" s="55"/>
      <c r="O767" s="56" t="b">
        <v>0</v>
      </c>
      <c r="P767" s="392" t="str">
        <f ca="1">道具!$C$120</f>
        <v>放了银块的皮袋</v>
      </c>
      <c r="Q767" s="371"/>
      <c r="R767" s="371"/>
      <c r="S767" s="55"/>
      <c r="T767" s="55"/>
      <c r="U767" s="394"/>
      <c r="V767" s="371"/>
      <c r="W767" s="55"/>
      <c r="X767" s="395" t="b">
        <v>0</v>
      </c>
      <c r="Y767" s="395" t="str">
        <f ca="1">语言!$A$1855&amp;" (NPC)
Item:
"&amp;道具!$C$140</f>
        <v>圣火骑士爱丽莎 (NPC)
Item:
龙之军刀</v>
      </c>
      <c r="Z767" s="400" t="str">
        <f ca="1">语言!$A$46&amp;" / "&amp;语言!$A$50&amp;": "&amp;道具!$C$140&amp;" will be available only for a short while, as soon as you start a cutscene in the middle of "&amp;语言!$A$428&amp;" it's no longer available. This is not a Missable nor a Limited item but it's worth taking."</f>
        <v>购买 / 偷取: 龙之军刀 will be available only for a short while, as soon as you start a cutscene in the middle of 马尔沙利姆 it's no longer available. This is not a Missable nor a Limited item but it's worth taking.</v>
      </c>
      <c r="AA767" s="55"/>
    </row>
    <row r="768" spans="1:27" ht="12.75" x14ac:dyDescent="0.2">
      <c r="A768" s="55"/>
      <c r="B768" s="56" t="b">
        <v>0</v>
      </c>
      <c r="C768" s="392" t="str">
        <f ca="1">敌人!C$250</f>
        <v>古代遗物（兽）・异型</v>
      </c>
      <c r="D768" s="371"/>
      <c r="E768" s="57">
        <f>敌人!D$250</f>
        <v>5</v>
      </c>
      <c r="F768" s="57">
        <f>敌人!E$250</f>
        <v>0</v>
      </c>
      <c r="G768" s="57">
        <f>敌人!F$250</f>
        <v>0</v>
      </c>
      <c r="H768" s="57">
        <f>敌人!G$250</f>
        <v>0</v>
      </c>
      <c r="I768" s="57">
        <f>敌人!H$250</f>
        <v>0</v>
      </c>
      <c r="J768" s="57">
        <f>敌人!I$250</f>
        <v>0</v>
      </c>
      <c r="K768" s="392" t="str">
        <f ca="1">敌人!J$250</f>
        <v>复活的橄榄（特大）</v>
      </c>
      <c r="L768" s="371"/>
      <c r="M768" s="371"/>
      <c r="N768" s="55"/>
      <c r="O768" s="56" t="b">
        <v>0</v>
      </c>
      <c r="P768" s="392" t="str">
        <f ca="1">道具!$C$11</f>
        <v>ＢＰ恢复的石榴（特大）</v>
      </c>
      <c r="Q768" s="371"/>
      <c r="R768" s="371"/>
      <c r="S768" s="55"/>
      <c r="T768" s="55"/>
      <c r="U768" s="394"/>
      <c r="V768" s="371"/>
      <c r="W768" s="55"/>
      <c r="X768" s="371"/>
      <c r="Y768" s="371"/>
      <c r="Z768" s="371"/>
      <c r="AA768" s="55"/>
    </row>
    <row r="769" spans="1:27" ht="12.75" x14ac:dyDescent="0.2">
      <c r="A769" s="55"/>
      <c r="B769" s="56" t="b">
        <v>0</v>
      </c>
      <c r="C769" s="392" t="str">
        <f ca="1">敌人!C$256</f>
        <v>古代遗物・兵</v>
      </c>
      <c r="D769" s="371"/>
      <c r="E769" s="57">
        <f>敌人!D$256</f>
        <v>9</v>
      </c>
      <c r="F769" s="57">
        <f>敌人!E$256</f>
        <v>0</v>
      </c>
      <c r="G769" s="57">
        <f>敌人!F$256</f>
        <v>0</v>
      </c>
      <c r="H769" s="57">
        <f>敌人!G$256</f>
        <v>0</v>
      </c>
      <c r="I769" s="57">
        <f>敌人!H$256</f>
        <v>0</v>
      </c>
      <c r="J769" s="57">
        <f>敌人!I$256</f>
        <v>0</v>
      </c>
      <c r="K769" s="392" t="str">
        <f ca="1">敌人!J$256</f>
        <v>ＨＰ／ＳＰ／ＢＰ恢复的果酱</v>
      </c>
      <c r="L769" s="371"/>
      <c r="M769" s="371"/>
      <c r="N769" s="55"/>
      <c r="O769" s="56" t="b">
        <v>0</v>
      </c>
      <c r="P769" s="392" t="str">
        <f ca="1">道具!$C$32</f>
        <v>火之精灵石（特大）</v>
      </c>
      <c r="Q769" s="371"/>
      <c r="R769" s="371"/>
      <c r="S769" s="55"/>
      <c r="T769" s="55"/>
      <c r="U769" s="394"/>
      <c r="V769" s="371"/>
      <c r="W769" s="55"/>
      <c r="X769" s="371"/>
      <c r="Y769" s="371"/>
      <c r="Z769" s="371"/>
      <c r="AA769" s="55"/>
    </row>
    <row r="770" spans="1:27" ht="12.75" x14ac:dyDescent="0.2">
      <c r="A770" s="55"/>
      <c r="B770" s="56" t="b">
        <v>0</v>
      </c>
      <c r="C770" s="392" t="str">
        <f ca="1">敌人!C$100</f>
        <v>火元素</v>
      </c>
      <c r="D770" s="371"/>
      <c r="E770" s="57">
        <f>敌人!D$100</f>
        <v>4</v>
      </c>
      <c r="F770" s="57">
        <f>敌人!E$100</f>
        <v>0</v>
      </c>
      <c r="G770" s="57">
        <f>敌人!F$100</f>
        <v>0</v>
      </c>
      <c r="H770" s="57">
        <f>敌人!G$100</f>
        <v>0</v>
      </c>
      <c r="I770" s="57">
        <f>敌人!H$100</f>
        <v>0</v>
      </c>
      <c r="J770" s="57">
        <f>敌人!I$100</f>
        <v>0</v>
      </c>
      <c r="K770" s="392" t="str">
        <f ca="1">敌人!J$100</f>
        <v>火之精灵石（特大）</v>
      </c>
      <c r="L770" s="371"/>
      <c r="M770" s="371"/>
      <c r="N770" s="55"/>
      <c r="O770" s="396" t="str">
        <f ca="1">语言!A$433&amp;" (45) (5 "&amp;语言!$A$19&amp;")"</f>
        <v>灰色沙丘遗迹 (45) (5 宝箱)</v>
      </c>
      <c r="P770" s="371"/>
      <c r="Q770" s="371"/>
      <c r="R770" s="371"/>
      <c r="S770" s="55"/>
      <c r="T770" s="55"/>
      <c r="U770" s="394"/>
      <c r="V770" s="371"/>
      <c r="W770" s="55"/>
      <c r="X770" s="371"/>
      <c r="Y770" s="371"/>
      <c r="Z770" s="371"/>
      <c r="AA770" s="55"/>
    </row>
    <row r="771" spans="1:27" ht="12.75" x14ac:dyDescent="0.2">
      <c r="A771" s="55"/>
      <c r="B771" s="396" t="str">
        <f ca="1">语言!A$433&amp;" ("&amp;语言!$A$12&amp;" 45)"</f>
        <v>灰色沙丘遗迹 (危险度 45)</v>
      </c>
      <c r="C771" s="371"/>
      <c r="D771" s="371"/>
      <c r="E771" s="371"/>
      <c r="F771" s="371"/>
      <c r="G771" s="371"/>
      <c r="H771" s="371"/>
      <c r="I771" s="371"/>
      <c r="J771" s="371"/>
      <c r="K771" s="371"/>
      <c r="L771" s="371"/>
      <c r="M771" s="371"/>
      <c r="N771" s="55"/>
      <c r="O771" s="56" t="b">
        <v>0</v>
      </c>
      <c r="P771" s="392" t="s">
        <v>17</v>
      </c>
      <c r="Q771" s="371"/>
      <c r="R771" s="371"/>
      <c r="S771" s="55"/>
      <c r="T771" s="55"/>
      <c r="U771" s="394"/>
      <c r="V771" s="371"/>
      <c r="W771" s="55"/>
      <c r="X771" s="371"/>
      <c r="Y771" s="371"/>
      <c r="Z771" s="371"/>
      <c r="AA771" s="55"/>
    </row>
    <row r="772" spans="1:27" ht="12.75" x14ac:dyDescent="0.2">
      <c r="A772" s="55"/>
      <c r="B772" s="56" t="b">
        <v>0</v>
      </c>
      <c r="C772" s="392" t="str">
        <f ca="1">敌人!C$38</f>
        <v>山贼骷髅异种</v>
      </c>
      <c r="D772" s="371"/>
      <c r="E772" s="57">
        <f>敌人!D$38</f>
        <v>1</v>
      </c>
      <c r="F772" s="57">
        <f>敌人!E$38</f>
        <v>0</v>
      </c>
      <c r="G772" s="57">
        <f>敌人!F$38</f>
        <v>0</v>
      </c>
      <c r="H772" s="57">
        <f>敌人!G$38</f>
        <v>0</v>
      </c>
      <c r="I772" s="57">
        <f>敌人!H$38</f>
        <v>0</v>
      </c>
      <c r="J772" s="57">
        <f>敌人!I$38</f>
        <v>0</v>
      </c>
      <c r="K772" s="392" t="str">
        <f ca="1">敌人!J$38</f>
        <v>恐怖治疗药草</v>
      </c>
      <c r="L772" s="371"/>
      <c r="M772" s="371"/>
      <c r="N772" s="55"/>
      <c r="O772" s="56" t="b">
        <v>0</v>
      </c>
      <c r="P772" s="392" t="str">
        <f ca="1">道具!$C$4</f>
        <v>ＨＰ恢复的葡萄（大）</v>
      </c>
      <c r="Q772" s="371"/>
      <c r="R772" s="371"/>
      <c r="S772" s="55"/>
      <c r="T772" s="55"/>
      <c r="U772" s="394"/>
      <c r="V772" s="371"/>
      <c r="W772" s="55"/>
      <c r="X772" s="55"/>
      <c r="Y772" s="55"/>
      <c r="Z772" s="55"/>
      <c r="AA772" s="55"/>
    </row>
    <row r="773" spans="1:27" ht="12.75" x14ac:dyDescent="0.2">
      <c r="A773" s="55"/>
      <c r="B773" s="56" t="b">
        <v>0</v>
      </c>
      <c r="C773" s="392" t="str">
        <f ca="1">敌人!C$346</f>
        <v>毒蝎子</v>
      </c>
      <c r="D773" s="371"/>
      <c r="E773" s="57">
        <f>敌人!D$346</f>
        <v>3</v>
      </c>
      <c r="F773" s="57">
        <f>敌人!E$346</f>
        <v>0</v>
      </c>
      <c r="G773" s="57">
        <f>敌人!F$346</f>
        <v>0</v>
      </c>
      <c r="H773" s="57">
        <f>敌人!G$346</f>
        <v>0</v>
      </c>
      <c r="I773" s="57">
        <f>敌人!H$346</f>
        <v>0</v>
      </c>
      <c r="J773" s="57">
        <f>敌人!I$346</f>
        <v>0</v>
      </c>
      <c r="K773" s="392" t="str">
        <f ca="1">敌人!J$346</f>
        <v>石榴树液</v>
      </c>
      <c r="L773" s="371"/>
      <c r="M773" s="371"/>
      <c r="N773" s="55"/>
      <c r="O773" s="56" t="b">
        <v>0</v>
      </c>
      <c r="P773" s="392" t="str">
        <f ca="1">道具!$C$10</f>
        <v>ＢＰ恢复的石榴（大）</v>
      </c>
      <c r="Q773" s="371"/>
      <c r="R773" s="371"/>
      <c r="S773" s="55"/>
      <c r="T773" s="55"/>
      <c r="U773" s="394"/>
      <c r="V773" s="371"/>
      <c r="W773" s="55"/>
      <c r="X773" s="55"/>
      <c r="Y773" s="55"/>
      <c r="Z773" s="55"/>
      <c r="AA773" s="55"/>
    </row>
    <row r="774" spans="1:27" ht="12.75" x14ac:dyDescent="0.2">
      <c r="A774" s="55"/>
      <c r="B774" s="56" t="b">
        <v>0</v>
      </c>
      <c r="C774" s="392" t="str">
        <f ca="1">敌人!C$250</f>
        <v>古代遗物（兽）・异型</v>
      </c>
      <c r="D774" s="371"/>
      <c r="E774" s="57">
        <f>敌人!D$250</f>
        <v>5</v>
      </c>
      <c r="F774" s="57">
        <f>敌人!E$250</f>
        <v>0</v>
      </c>
      <c r="G774" s="57">
        <f>敌人!F$250</f>
        <v>0</v>
      </c>
      <c r="H774" s="57">
        <f>敌人!G$250</f>
        <v>0</v>
      </c>
      <c r="I774" s="57">
        <f>敌人!H$250</f>
        <v>0</v>
      </c>
      <c r="J774" s="57">
        <f>敌人!I$250</f>
        <v>0</v>
      </c>
      <c r="K774" s="392" t="str">
        <f ca="1">敌人!J$250</f>
        <v>复活的橄榄（特大）</v>
      </c>
      <c r="L774" s="371"/>
      <c r="M774" s="371"/>
      <c r="N774" s="55"/>
      <c r="O774" s="56" t="b">
        <v>0</v>
      </c>
      <c r="P774" s="392" t="str">
        <f ca="1">道具!$C$524</f>
        <v>恐怖耐性石</v>
      </c>
      <c r="Q774" s="371"/>
      <c r="R774" s="371"/>
      <c r="S774" s="55"/>
      <c r="T774" s="55"/>
      <c r="U774" s="394"/>
      <c r="V774" s="371"/>
      <c r="W774" s="55"/>
      <c r="X774" s="55"/>
      <c r="Y774" s="55"/>
      <c r="Z774" s="55"/>
      <c r="AA774" s="55"/>
    </row>
    <row r="775" spans="1:27" ht="12.75" x14ac:dyDescent="0.2">
      <c r="A775" s="55"/>
      <c r="B775" s="56" t="b">
        <v>0</v>
      </c>
      <c r="C775" s="392" t="str">
        <f ca="1">敌人!C$256</f>
        <v>古代遗物・兵</v>
      </c>
      <c r="D775" s="371"/>
      <c r="E775" s="57">
        <f>敌人!D$256</f>
        <v>9</v>
      </c>
      <c r="F775" s="57">
        <f>敌人!E$256</f>
        <v>0</v>
      </c>
      <c r="G775" s="57">
        <f>敌人!F$256</f>
        <v>0</v>
      </c>
      <c r="H775" s="57">
        <f>敌人!G$256</f>
        <v>0</v>
      </c>
      <c r="I775" s="57">
        <f>敌人!H$256</f>
        <v>0</v>
      </c>
      <c r="J775" s="57">
        <f>敌人!I$256</f>
        <v>0</v>
      </c>
      <c r="K775" s="392" t="str">
        <f ca="1">敌人!J$256</f>
        <v>ＨＰ／ＳＰ／ＢＰ恢复的果酱</v>
      </c>
      <c r="L775" s="371"/>
      <c r="M775" s="371"/>
      <c r="N775" s="55"/>
      <c r="O775" s="56" t="b">
        <v>0</v>
      </c>
      <c r="P775" s="392" t="str">
        <f ca="1">道具!$C$142&amp;" ("&amp;语言!$A$20&amp;")"</f>
        <v>透明军刀 (上锁宝箱)</v>
      </c>
      <c r="Q775" s="371"/>
      <c r="R775" s="371"/>
      <c r="S775" s="55"/>
      <c r="T775" s="55"/>
      <c r="U775" s="394"/>
      <c r="V775" s="371"/>
      <c r="W775" s="55"/>
      <c r="X775" s="55"/>
      <c r="Y775" s="55"/>
      <c r="Z775" s="55"/>
      <c r="AA775" s="55"/>
    </row>
    <row r="776" spans="1:27" ht="12.75" x14ac:dyDescent="0.2">
      <c r="A776" s="55"/>
      <c r="B776" s="396" t="str">
        <f ca="1">语言!A$433&amp;" ("&amp;语言!$A$12&amp;" 46)"</f>
        <v>灰色沙丘遗迹 (危险度 46)</v>
      </c>
      <c r="C776" s="371"/>
      <c r="D776" s="371"/>
      <c r="E776" s="371"/>
      <c r="F776" s="371"/>
      <c r="G776" s="371"/>
      <c r="H776" s="371"/>
      <c r="I776" s="371"/>
      <c r="J776" s="371"/>
      <c r="K776" s="371"/>
      <c r="L776" s="371"/>
      <c r="M776" s="371"/>
      <c r="N776" s="55"/>
      <c r="O776" s="396" t="str">
        <f ca="1">语言!A$433&amp;" (46) (11 "&amp;语言!$A$19&amp;")"</f>
        <v>灰色沙丘遗迹 (46) (11 宝箱)</v>
      </c>
      <c r="P776" s="371"/>
      <c r="Q776" s="371"/>
      <c r="R776" s="371"/>
      <c r="S776" s="55"/>
      <c r="T776" s="55"/>
      <c r="U776" s="394"/>
      <c r="V776" s="371"/>
      <c r="W776" s="55"/>
      <c r="X776" s="55"/>
      <c r="Y776" s="55"/>
      <c r="Z776" s="55"/>
      <c r="AA776" s="55"/>
    </row>
    <row r="777" spans="1:27" ht="12.75" x14ac:dyDescent="0.2">
      <c r="A777" s="55"/>
      <c r="B777" s="56" t="b">
        <v>0</v>
      </c>
      <c r="C777" s="392" t="str">
        <f ca="1">敌人!C$346</f>
        <v>毒蝎子</v>
      </c>
      <c r="D777" s="371"/>
      <c r="E777" s="57">
        <f>敌人!D$346</f>
        <v>3</v>
      </c>
      <c r="F777" s="57">
        <f>敌人!E$346</f>
        <v>0</v>
      </c>
      <c r="G777" s="57">
        <f>敌人!F$346</f>
        <v>0</v>
      </c>
      <c r="H777" s="57">
        <f>敌人!G$346</f>
        <v>0</v>
      </c>
      <c r="I777" s="57">
        <f>敌人!H$346</f>
        <v>0</v>
      </c>
      <c r="J777" s="57">
        <f>敌人!I$346</f>
        <v>0</v>
      </c>
      <c r="K777" s="392" t="str">
        <f ca="1">敌人!J$346</f>
        <v>石榴树液</v>
      </c>
      <c r="L777" s="371"/>
      <c r="M777" s="371"/>
      <c r="N777" s="55"/>
      <c r="O777" s="56" t="b">
        <v>0</v>
      </c>
      <c r="P777" s="392" t="str">
        <f ca="1">"50 000$ ("&amp;语言!$A$20&amp;")"</f>
        <v>50 000$ (上锁宝箱)</v>
      </c>
      <c r="Q777" s="371"/>
      <c r="R777" s="371"/>
      <c r="S777" s="55"/>
      <c r="T777" s="55"/>
      <c r="U777" s="394"/>
      <c r="V777" s="371"/>
      <c r="W777" s="55"/>
      <c r="X777" s="55"/>
      <c r="Y777" s="55"/>
      <c r="Z777" s="55"/>
      <c r="AA777" s="55"/>
    </row>
    <row r="778" spans="1:27" ht="12.75" x14ac:dyDescent="0.2">
      <c r="A778" s="55"/>
      <c r="B778" s="56" t="b">
        <v>0</v>
      </c>
      <c r="C778" s="392" t="str">
        <f ca="1">敌人!C$329</f>
        <v>石化尖刺蜥蜴</v>
      </c>
      <c r="D778" s="371"/>
      <c r="E778" s="57">
        <f>敌人!D$329</f>
        <v>6</v>
      </c>
      <c r="F778" s="57">
        <f>敌人!E$329</f>
        <v>0</v>
      </c>
      <c r="G778" s="57">
        <f>敌人!F$329</f>
        <v>0</v>
      </c>
      <c r="H778" s="57">
        <f>敌人!G$329</f>
        <v>0</v>
      </c>
      <c r="I778" s="57">
        <f>敌人!H$329</f>
        <v>0</v>
      </c>
      <c r="J778" s="57">
        <f>敌人!I$329</f>
        <v>0</v>
      </c>
      <c r="K778" s="392" t="str">
        <f ca="1">敌人!J$329</f>
        <v>ＨＰ恢复的葡萄（大）</v>
      </c>
      <c r="L778" s="371"/>
      <c r="M778" s="371"/>
      <c r="N778" s="55"/>
      <c r="O778" s="56" t="b">
        <v>0</v>
      </c>
      <c r="P778" s="392" t="str">
        <f ca="1">道具!$C$512</f>
        <v>闪光避邪符</v>
      </c>
      <c r="Q778" s="371"/>
      <c r="R778" s="371"/>
      <c r="S778" s="55"/>
      <c r="T778" s="55"/>
      <c r="U778" s="394"/>
      <c r="V778" s="371"/>
      <c r="W778" s="55"/>
      <c r="X778" s="55"/>
      <c r="Y778" s="55"/>
      <c r="Z778" s="55"/>
      <c r="AA778" s="55"/>
    </row>
    <row r="779" spans="1:27" ht="12.75" x14ac:dyDescent="0.2">
      <c r="A779" s="55"/>
      <c r="B779" s="56" t="b">
        <v>0</v>
      </c>
      <c r="C779" s="392" t="str">
        <f ca="1">敌人!C$328</f>
        <v>石化杀手虫</v>
      </c>
      <c r="D779" s="371"/>
      <c r="E779" s="57">
        <f>敌人!D$328</f>
        <v>2</v>
      </c>
      <c r="F779" s="57">
        <f>敌人!E$328</f>
        <v>0</v>
      </c>
      <c r="G779" s="57">
        <f>敌人!F$328</f>
        <v>0</v>
      </c>
      <c r="H779" s="57">
        <f>敌人!G$328</f>
        <v>0</v>
      </c>
      <c r="I779" s="57">
        <f>敌人!H$328</f>
        <v>0</v>
      </c>
      <c r="J779" s="57">
        <f>敌人!I$328</f>
        <v>0</v>
      </c>
      <c r="K779" s="392" t="str">
        <f ca="1">敌人!J$328</f>
        <v>李子树液</v>
      </c>
      <c r="L779" s="371"/>
      <c r="M779" s="371"/>
      <c r="N779" s="55"/>
      <c r="O779" s="56" t="b">
        <v>0</v>
      </c>
      <c r="P779" s="392" t="str">
        <f ca="1">道具!$C$4</f>
        <v>ＨＰ恢复的葡萄（大）</v>
      </c>
      <c r="Q779" s="371"/>
      <c r="R779" s="371"/>
      <c r="S779" s="55"/>
      <c r="T779" s="55"/>
      <c r="U779" s="394"/>
      <c r="V779" s="371"/>
      <c r="W779" s="55"/>
      <c r="X779" s="55"/>
      <c r="Y779" s="55"/>
      <c r="Z779" s="55"/>
      <c r="AA779" s="55"/>
    </row>
    <row r="780" spans="1:27" ht="12.75" x14ac:dyDescent="0.2">
      <c r="A780" s="55"/>
      <c r="B780" s="56" t="b">
        <v>0</v>
      </c>
      <c r="C780" s="392" t="str">
        <f ca="1">敌人!C$330</f>
        <v>石化双子蛇</v>
      </c>
      <c r="D780" s="371"/>
      <c r="E780" s="57">
        <f>敌人!D$330</f>
        <v>5</v>
      </c>
      <c r="F780" s="57">
        <f>敌人!E$330</f>
        <v>0</v>
      </c>
      <c r="G780" s="57">
        <f>敌人!F$330</f>
        <v>0</v>
      </c>
      <c r="H780" s="57">
        <f>敌人!G$330</f>
        <v>0</v>
      </c>
      <c r="I780" s="57">
        <f>敌人!H$330</f>
        <v>0</v>
      </c>
      <c r="J780" s="57">
        <f>敌人!I$330</f>
        <v>0</v>
      </c>
      <c r="K780" s="392" t="str">
        <f ca="1">敌人!J$330</f>
        <v>暗黑瓶</v>
      </c>
      <c r="L780" s="371"/>
      <c r="M780" s="371"/>
      <c r="N780" s="55"/>
      <c r="O780" s="56" t="b">
        <v>0</v>
      </c>
      <c r="P780" s="392" t="str">
        <f ca="1">道具!$C$7</f>
        <v>ＳＰ恢复的李子（大）</v>
      </c>
      <c r="Q780" s="371"/>
      <c r="R780" s="371"/>
      <c r="S780" s="55"/>
      <c r="T780" s="55"/>
      <c r="U780" s="394"/>
      <c r="V780" s="371"/>
      <c r="W780" s="55"/>
      <c r="X780" s="55"/>
      <c r="Y780" s="55"/>
      <c r="Z780" s="55"/>
      <c r="AA780" s="55"/>
    </row>
    <row r="781" spans="1:27" ht="12.75" x14ac:dyDescent="0.2">
      <c r="A781" s="55"/>
      <c r="B781" s="56" t="b">
        <v>0</v>
      </c>
      <c r="C781" s="392" t="str">
        <f ca="1">敌人!C$250</f>
        <v>古代遗物（兽）・异型</v>
      </c>
      <c r="D781" s="371"/>
      <c r="E781" s="57">
        <f>敌人!D$250</f>
        <v>5</v>
      </c>
      <c r="F781" s="57">
        <f>敌人!E$250</f>
        <v>0</v>
      </c>
      <c r="G781" s="57">
        <f>敌人!F$250</f>
        <v>0</v>
      </c>
      <c r="H781" s="57">
        <f>敌人!G$250</f>
        <v>0</v>
      </c>
      <c r="I781" s="57">
        <f>敌人!H$250</f>
        <v>0</v>
      </c>
      <c r="J781" s="57">
        <f>敌人!I$250</f>
        <v>0</v>
      </c>
      <c r="K781" s="392" t="str">
        <f ca="1">敌人!J$250</f>
        <v>复活的橄榄（特大）</v>
      </c>
      <c r="L781" s="371"/>
      <c r="M781" s="371"/>
      <c r="N781" s="55"/>
      <c r="O781" s="56" t="b">
        <v>0</v>
      </c>
      <c r="P781" s="392" t="str">
        <f ca="1">道具!$C$477</f>
        <v>察知项链</v>
      </c>
      <c r="Q781" s="371"/>
      <c r="R781" s="371"/>
      <c r="S781" s="55"/>
      <c r="T781" s="55"/>
      <c r="U781" s="394"/>
      <c r="V781" s="371"/>
      <c r="W781" s="55"/>
      <c r="X781" s="55"/>
      <c r="Y781" s="55"/>
      <c r="Z781" s="55"/>
      <c r="AA781" s="55"/>
    </row>
    <row r="782" spans="1:27" ht="12.75" x14ac:dyDescent="0.2">
      <c r="A782" s="55"/>
      <c r="B782" s="56" t="b">
        <v>0</v>
      </c>
      <c r="C782" s="392" t="str">
        <f ca="1">敌人!C$256</f>
        <v>古代遗物・兵</v>
      </c>
      <c r="D782" s="371"/>
      <c r="E782" s="57">
        <f>敌人!D$256</f>
        <v>9</v>
      </c>
      <c r="F782" s="57">
        <f>敌人!E$256</f>
        <v>0</v>
      </c>
      <c r="G782" s="57">
        <f>敌人!F$256</f>
        <v>0</v>
      </c>
      <c r="H782" s="57">
        <f>敌人!G$256</f>
        <v>0</v>
      </c>
      <c r="I782" s="57">
        <f>敌人!H$256</f>
        <v>0</v>
      </c>
      <c r="J782" s="57">
        <f>敌人!I$256</f>
        <v>0</v>
      </c>
      <c r="K782" s="392" t="str">
        <f ca="1">敌人!J$256</f>
        <v>ＨＰ／ＳＰ／ＢＰ恢复的果酱</v>
      </c>
      <c r="L782" s="371"/>
      <c r="M782" s="371"/>
      <c r="N782" s="55"/>
      <c r="O782" s="56" t="b">
        <v>0</v>
      </c>
      <c r="P782" s="392" t="str">
        <f ca="1">道具!$C$339</f>
        <v>力之盾</v>
      </c>
      <c r="Q782" s="371"/>
      <c r="R782" s="371"/>
      <c r="S782" s="55"/>
      <c r="T782" s="55"/>
      <c r="U782" s="394"/>
      <c r="V782" s="371"/>
      <c r="W782" s="55"/>
      <c r="X782" s="55"/>
      <c r="Y782" s="55"/>
      <c r="Z782" s="55"/>
      <c r="AA782" s="55"/>
    </row>
    <row r="783" spans="1:27" ht="12.75" x14ac:dyDescent="0.2">
      <c r="A783" s="55"/>
      <c r="B783" s="398" t="str">
        <f ca="1">语言!$A$15</f>
        <v>Boss</v>
      </c>
      <c r="C783" s="371"/>
      <c r="D783" s="371"/>
      <c r="E783" s="371"/>
      <c r="F783" s="371"/>
      <c r="G783" s="371"/>
      <c r="H783" s="371"/>
      <c r="I783" s="371"/>
      <c r="J783" s="371"/>
      <c r="K783" s="371"/>
      <c r="L783" s="371"/>
      <c r="M783" s="371"/>
      <c r="N783" s="55"/>
      <c r="O783" s="56" t="b">
        <v>0</v>
      </c>
      <c r="P783" s="392" t="str">
        <f ca="1">道具!$C$10</f>
        <v>ＢＰ恢复的石榴（大）</v>
      </c>
      <c r="Q783" s="371"/>
      <c r="R783" s="371"/>
      <c r="S783" s="55"/>
      <c r="T783" s="55"/>
      <c r="U783" s="394"/>
      <c r="V783" s="371"/>
      <c r="W783" s="55"/>
      <c r="X783" s="55"/>
      <c r="Y783" s="55"/>
      <c r="Z783" s="55"/>
      <c r="AA783" s="55"/>
    </row>
    <row r="784" spans="1:27" ht="12.75" x14ac:dyDescent="0.2">
      <c r="A784" s="55"/>
      <c r="B784" s="393" t="b">
        <v>0</v>
      </c>
      <c r="C784" s="395" t="str">
        <f ca="1">敌人!C$482</f>
        <v>红眼</v>
      </c>
      <c r="D784" s="371"/>
      <c r="E784" s="395">
        <f>敌人!D$482</f>
        <v>5</v>
      </c>
      <c r="F784" s="56">
        <f>敌人!E$482</f>
        <v>0</v>
      </c>
      <c r="G784" s="56">
        <f>敌人!F$482</f>
        <v>0</v>
      </c>
      <c r="H784" s="56">
        <f>敌人!G$482</f>
        <v>0</v>
      </c>
      <c r="I784" s="56">
        <f>敌人!H$482</f>
        <v>0</v>
      </c>
      <c r="J784" s="56">
        <f>敌人!I$482</f>
        <v>0</v>
      </c>
      <c r="K784" s="395" t="str">
        <f ca="1">敌人!J$482</f>
        <v>复活的橄榄（特大）</v>
      </c>
      <c r="L784" s="371"/>
      <c r="M784" s="371"/>
      <c r="N784" s="55"/>
      <c r="O784" s="56" t="b">
        <v>0</v>
      </c>
      <c r="P784" s="392" t="str">
        <f ca="1">道具!$C$7</f>
        <v>ＳＰ恢复的李子（大）</v>
      </c>
      <c r="Q784" s="371"/>
      <c r="R784" s="371"/>
      <c r="S784" s="55"/>
      <c r="T784" s="55"/>
      <c r="U784" s="394"/>
      <c r="V784" s="371"/>
      <c r="W784" s="55"/>
      <c r="X784" s="55"/>
      <c r="Y784" s="55"/>
      <c r="Z784" s="55"/>
      <c r="AA784" s="55"/>
    </row>
    <row r="785" spans="1:27" ht="12.75" x14ac:dyDescent="0.2">
      <c r="A785" s="55"/>
      <c r="B785" s="371"/>
      <c r="C785" s="371"/>
      <c r="D785" s="371"/>
      <c r="E785" s="371"/>
      <c r="F785" s="56">
        <f>敌人!E$483</f>
        <v>0</v>
      </c>
      <c r="G785" s="56">
        <f>敌人!F$483</f>
        <v>0</v>
      </c>
      <c r="H785" s="56">
        <f>敌人!G$483</f>
        <v>0</v>
      </c>
      <c r="I785" s="56">
        <f>敌人!H$483</f>
        <v>0</v>
      </c>
      <c r="J785" s="56">
        <f>敌人!I$483</f>
        <v>0</v>
      </c>
      <c r="K785" s="371"/>
      <c r="L785" s="371"/>
      <c r="M785" s="371"/>
      <c r="N785" s="55"/>
      <c r="O785" s="56" t="b">
        <v>0</v>
      </c>
      <c r="P785" s="392" t="str">
        <f ca="1">道具!$C$5</f>
        <v>ＨＰ全体恢复的葡萄</v>
      </c>
      <c r="Q785" s="371"/>
      <c r="R785" s="371"/>
      <c r="S785" s="55"/>
      <c r="T785" s="55"/>
      <c r="U785" s="394"/>
      <c r="V785" s="371"/>
      <c r="W785" s="55"/>
      <c r="X785" s="55"/>
      <c r="Y785" s="55"/>
      <c r="Z785" s="55"/>
      <c r="AA785" s="55"/>
    </row>
    <row r="786" spans="1:27" ht="12.75" x14ac:dyDescent="0.2">
      <c r="A786" s="55"/>
      <c r="B786" s="371"/>
      <c r="C786" s="371"/>
      <c r="D786" s="371"/>
      <c r="E786" s="371"/>
      <c r="F786" s="56">
        <f>敌人!E$484</f>
        <v>0</v>
      </c>
      <c r="G786" s="56">
        <f>敌人!F$484</f>
        <v>0</v>
      </c>
      <c r="H786" s="56">
        <f>敌人!G$484</f>
        <v>0</v>
      </c>
      <c r="I786" s="56">
        <f>敌人!H$484</f>
        <v>0</v>
      </c>
      <c r="J786" s="56">
        <f>敌人!I$484</f>
        <v>0</v>
      </c>
      <c r="K786" s="371"/>
      <c r="L786" s="371"/>
      <c r="M786" s="371"/>
      <c r="N786" s="55"/>
      <c r="O786" s="56" t="b">
        <v>0</v>
      </c>
      <c r="P786" s="392" t="str">
        <f ca="1">道具!$C$8</f>
        <v>ＳＰ全体恢复的李子</v>
      </c>
      <c r="Q786" s="371"/>
      <c r="R786" s="371"/>
      <c r="S786" s="55"/>
      <c r="T786" s="55"/>
      <c r="U786" s="394"/>
      <c r="V786" s="371"/>
      <c r="W786" s="55"/>
      <c r="X786" s="55"/>
      <c r="Y786" s="55"/>
      <c r="Z786" s="55"/>
      <c r="AA786" s="55"/>
    </row>
    <row r="787" spans="1:27" ht="12.75" x14ac:dyDescent="0.2">
      <c r="A787" s="55"/>
      <c r="B787" s="55"/>
      <c r="C787" s="394"/>
      <c r="D787" s="371"/>
      <c r="E787" s="55"/>
      <c r="F787" s="55"/>
      <c r="G787" s="55"/>
      <c r="H787" s="55"/>
      <c r="I787" s="55"/>
      <c r="J787" s="55"/>
      <c r="K787" s="394"/>
      <c r="L787" s="371"/>
      <c r="M787" s="371"/>
      <c r="N787" s="55"/>
      <c r="O787" s="56" t="b">
        <v>0</v>
      </c>
      <c r="P787" s="392" t="str">
        <f ca="1">道具!$C$12</f>
        <v>ＨＰ／ＳＰ恢复的果酱</v>
      </c>
      <c r="Q787" s="371"/>
      <c r="R787" s="371"/>
      <c r="S787" s="55"/>
      <c r="T787" s="55"/>
      <c r="U787" s="394"/>
      <c r="V787" s="371"/>
      <c r="W787" s="55"/>
      <c r="X787" s="55"/>
      <c r="Y787" s="55"/>
      <c r="Z787" s="55"/>
      <c r="AA787" s="55"/>
    </row>
    <row r="788" spans="1:27" ht="12.75" x14ac:dyDescent="0.2">
      <c r="A788" s="55"/>
      <c r="B788" s="55"/>
      <c r="C788" s="394"/>
      <c r="D788" s="371"/>
      <c r="E788" s="55"/>
      <c r="F788" s="55"/>
      <c r="G788" s="55"/>
      <c r="H788" s="55"/>
      <c r="I788" s="55"/>
      <c r="J788" s="55"/>
      <c r="K788" s="394"/>
      <c r="L788" s="371"/>
      <c r="M788" s="371"/>
      <c r="N788" s="55"/>
      <c r="O788" s="55"/>
      <c r="P788" s="394"/>
      <c r="Q788" s="371"/>
      <c r="R788" s="371"/>
      <c r="S788" s="55"/>
      <c r="T788" s="55"/>
      <c r="U788" s="394"/>
      <c r="V788" s="371"/>
      <c r="W788" s="55"/>
      <c r="X788" s="55"/>
      <c r="Y788" s="55"/>
      <c r="Z788" s="55"/>
      <c r="AA788" s="55"/>
    </row>
    <row r="789" spans="1:27" ht="23.25" x14ac:dyDescent="0.35">
      <c r="A789" s="449" t="str">
        <f ca="1">语言!$A$434</f>
        <v>利维兰多地区</v>
      </c>
      <c r="B789" s="371"/>
      <c r="C789" s="371"/>
      <c r="D789" s="371"/>
      <c r="E789" s="380"/>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row>
    <row r="790" spans="1:27" ht="18" x14ac:dyDescent="0.25">
      <c r="A790" s="384" t="str">
        <f ca="1">语言!$A$323&amp;" 1"</f>
        <v>Tier 1</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row>
    <row r="791" spans="1:27" ht="12.75" x14ac:dyDescent="0.2">
      <c r="A791" s="7"/>
      <c r="B791" s="8" t="b">
        <v>0</v>
      </c>
      <c r="C791" s="381" t="str">
        <f ca="1">敌人!C$48</f>
        <v>凯特林</v>
      </c>
      <c r="D791" s="371"/>
      <c r="E791" s="8">
        <f>敌人!D$48</f>
        <v>2</v>
      </c>
      <c r="F791" s="8">
        <f>敌人!E$48</f>
        <v>0</v>
      </c>
      <c r="G791" s="8">
        <f>敌人!F$48</f>
        <v>0</v>
      </c>
      <c r="H791" s="8">
        <f>敌人!G$48</f>
        <v>0</v>
      </c>
      <c r="I791" s="8">
        <f>敌人!H$48</f>
        <v>0</v>
      </c>
      <c r="J791" s="8">
        <f>敌人!I$48</f>
        <v>0</v>
      </c>
      <c r="K791" s="381" t="str">
        <f ca="1">敌人!J$48</f>
        <v>ＨＰ／ＳＰ／ＢＰ恢复的果酱</v>
      </c>
      <c r="L791" s="371"/>
      <c r="M791" s="371"/>
      <c r="N791" s="7"/>
      <c r="O791" s="382" t="str">
        <f ca="1">语言!A$435&amp;" (3 "&amp;语言!$A$19&amp;")"</f>
        <v>库利亚布鲁克 (3 宝箱)</v>
      </c>
      <c r="P791" s="371"/>
      <c r="Q791" s="371"/>
      <c r="R791" s="371"/>
      <c r="S791" s="7"/>
      <c r="T791" s="382" t="str">
        <f ca="1">语言!A$435</f>
        <v>库利亚布鲁克</v>
      </c>
      <c r="U791" s="371"/>
      <c r="V791" s="371"/>
      <c r="W791" s="7"/>
      <c r="X791" s="382" t="str">
        <f ca="1">语言!A$435&amp;" / "&amp;语言!A$436</f>
        <v>库利亚布鲁克 / 西库利亚布鲁克川道</v>
      </c>
      <c r="Y791" s="371"/>
      <c r="Z791" s="371"/>
      <c r="AA791" s="7"/>
    </row>
    <row r="792" spans="1:27" ht="12.75" x14ac:dyDescent="0.2">
      <c r="A792" s="7"/>
      <c r="B792" s="385" t="str">
        <f ca="1">语言!$A$11&amp;" ("&amp;语言!$A$12&amp;" 1 - 4 - 7- 11)"</f>
        <v>以下地区的怪物都一样 (危险度 1 - 4 - 7- 11)</v>
      </c>
      <c r="C792" s="371"/>
      <c r="D792" s="371"/>
      <c r="E792" s="371"/>
      <c r="F792" s="371"/>
      <c r="G792" s="371"/>
      <c r="H792" s="371"/>
      <c r="I792" s="371"/>
      <c r="J792" s="371"/>
      <c r="K792" s="371"/>
      <c r="L792" s="371"/>
      <c r="M792" s="371"/>
      <c r="N792" s="7"/>
      <c r="O792" s="8" t="b">
        <v>0</v>
      </c>
      <c r="P792" s="378" t="str">
        <f ca="1">道具!$C$3</f>
        <v>ＨＰ恢复的葡萄</v>
      </c>
      <c r="Q792" s="371"/>
      <c r="R792" s="371"/>
      <c r="S792" s="7"/>
      <c r="T792" s="8" t="b">
        <v>0</v>
      </c>
      <c r="U792" s="381" t="str">
        <f ca="1">道具!$C$542</f>
        <v>石榴树液</v>
      </c>
      <c r="V792" s="371"/>
      <c r="W792" s="7"/>
      <c r="X792" s="379" t="b">
        <v>0</v>
      </c>
      <c r="Y792" s="379" t="str">
        <f ca="1">语言!$A$1876&amp;" (NPC)
Item:
"&amp;道具!$C$87</f>
        <v>鱼贩 (NPC)
Item:
小酒壶</v>
      </c>
      <c r="Z792" s="402" t="str">
        <f ca="1">"If you missed the "&amp;道具!$C$87&amp;" during "&amp;语言!$A$37&amp;" Chapter 1 then "&amp;语言!$A$47&amp;" / "&amp;语言!$A$51&amp;" "&amp;语言!$A$1876&amp;" is your only other way to get this item."</f>
        <v>If you missed the 小酒壶 during 特蕾莎 Chapter 1 then 比试 / 唆使 鱼贩 is your only other way to get this item.</v>
      </c>
      <c r="AA792" s="7"/>
    </row>
    <row r="793" spans="1:27" ht="12.75" x14ac:dyDescent="0.2">
      <c r="A793" s="7"/>
      <c r="B793" s="406" t="str">
        <f ca="1">语言!A$436</f>
        <v>西库利亚布鲁克川道</v>
      </c>
      <c r="C793" s="371"/>
      <c r="D793" s="371"/>
      <c r="E793" s="371"/>
      <c r="F793" s="371"/>
      <c r="G793" s="371"/>
      <c r="H793" s="371"/>
      <c r="I793" s="371"/>
      <c r="J793" s="371"/>
      <c r="K793" s="371"/>
      <c r="L793" s="371"/>
      <c r="M793" s="371"/>
      <c r="N793" s="7"/>
      <c r="O793" s="8" t="b">
        <v>0</v>
      </c>
      <c r="P793" s="378" t="str">
        <f ca="1">道具!$C$267</f>
        <v>铁斧</v>
      </c>
      <c r="Q793" s="371"/>
      <c r="R793" s="371"/>
      <c r="S793" s="7"/>
      <c r="T793" s="8" t="b">
        <v>0</v>
      </c>
      <c r="U793" s="381" t="str">
        <f ca="1">道具!$C$264</f>
        <v>银制斧</v>
      </c>
      <c r="V793" s="371"/>
      <c r="W793" s="7"/>
      <c r="X793" s="371"/>
      <c r="Y793" s="371"/>
      <c r="Z793" s="371"/>
      <c r="AA793" s="7"/>
    </row>
    <row r="794" spans="1:27" ht="12.75" x14ac:dyDescent="0.2">
      <c r="A794" s="7"/>
      <c r="B794" s="406" t="str">
        <f ca="1">语言!A$437</f>
        <v>南库利亚布鲁克川道</v>
      </c>
      <c r="C794" s="371"/>
      <c r="D794" s="371"/>
      <c r="E794" s="371"/>
      <c r="F794" s="371"/>
      <c r="G794" s="371"/>
      <c r="H794" s="371"/>
      <c r="I794" s="371"/>
      <c r="J794" s="371"/>
      <c r="K794" s="371"/>
      <c r="L794" s="371"/>
      <c r="M794" s="371"/>
      <c r="N794" s="7"/>
      <c r="O794" s="8" t="b">
        <v>0</v>
      </c>
      <c r="P794" s="378" t="str">
        <f ca="1">道具!$C$98&amp;" ("&amp;语言!$A$20&amp;")"</f>
        <v>貌似金矿石的东西 (上锁宝箱)</v>
      </c>
      <c r="Q794" s="371"/>
      <c r="R794" s="371"/>
      <c r="S794" s="7"/>
      <c r="T794" s="8" t="b">
        <v>0</v>
      </c>
      <c r="U794" s="381" t="str">
        <f ca="1">道具!$C$65</f>
        <v>增强属防的坚果</v>
      </c>
      <c r="V794" s="371"/>
      <c r="W794" s="7"/>
      <c r="X794" s="371"/>
      <c r="Y794" s="371"/>
      <c r="Z794" s="371"/>
      <c r="AA794" s="7"/>
    </row>
    <row r="795" spans="1:27" ht="12.75" x14ac:dyDescent="0.2">
      <c r="A795" s="7"/>
      <c r="B795" s="406" t="str">
        <f ca="1">语言!A$439&amp;" ("&amp;语言!$A$40&amp;" "&amp;语言!$A$14&amp;" 1)"</f>
        <v>通往里欧洞窟的道路 (亚芬 章节 1)</v>
      </c>
      <c r="C795" s="371"/>
      <c r="D795" s="371"/>
      <c r="E795" s="371"/>
      <c r="F795" s="371"/>
      <c r="G795" s="371"/>
      <c r="H795" s="371"/>
      <c r="I795" s="371"/>
      <c r="J795" s="371"/>
      <c r="K795" s="371"/>
      <c r="L795" s="371"/>
      <c r="M795" s="371"/>
      <c r="N795" s="7"/>
      <c r="O795" s="382" t="str">
        <f ca="1">语言!A$436&amp;" (3 "&amp;语言!$A$19&amp;")"</f>
        <v>西库利亚布鲁克川道 (3 宝箱)</v>
      </c>
      <c r="P795" s="371"/>
      <c r="Q795" s="371"/>
      <c r="R795" s="371"/>
      <c r="S795" s="7"/>
      <c r="T795" s="8" t="b">
        <v>0</v>
      </c>
      <c r="U795" s="403" t="str">
        <f ca="1">道具!$C$538</f>
        <v>睡眠花之叶</v>
      </c>
      <c r="V795" s="371"/>
      <c r="W795" s="7"/>
      <c r="X795" s="371"/>
      <c r="Y795" s="371"/>
      <c r="Z795" s="371"/>
      <c r="AA795" s="7"/>
    </row>
    <row r="796" spans="1:27" ht="12.75" x14ac:dyDescent="0.2">
      <c r="A796" s="7"/>
      <c r="B796" s="8" t="b">
        <v>0</v>
      </c>
      <c r="C796" s="378" t="str">
        <f ca="1">敌人!C$259</f>
        <v>河川巨蛙 I</v>
      </c>
      <c r="D796" s="371"/>
      <c r="E796" s="10">
        <f>敌人!D$259</f>
        <v>1</v>
      </c>
      <c r="F796" s="10">
        <f>敌人!E$259</f>
        <v>0</v>
      </c>
      <c r="G796" s="10">
        <f>敌人!F$259</f>
        <v>0</v>
      </c>
      <c r="H796" s="10">
        <f>敌人!G$259</f>
        <v>0</v>
      </c>
      <c r="I796" s="10">
        <f>敌人!H$259</f>
        <v>0</v>
      </c>
      <c r="J796" s="10">
        <f>敌人!I$259</f>
        <v>0</v>
      </c>
      <c r="K796" s="378" t="str">
        <f ca="1">敌人!J$259</f>
        <v>ＳＰ恢复的李子</v>
      </c>
      <c r="L796" s="371"/>
      <c r="M796" s="371"/>
      <c r="N796" s="7"/>
      <c r="O796" s="8" t="b">
        <v>0</v>
      </c>
      <c r="P796" s="378" t="str">
        <f ca="1">道具!$C$96</f>
        <v>装了破烂儿的小袋子</v>
      </c>
      <c r="Q796" s="371"/>
      <c r="R796" s="371"/>
      <c r="S796" s="7"/>
      <c r="T796" s="8" t="b">
        <v>0</v>
      </c>
      <c r="U796" s="381" t="str">
        <f ca="1">道具!$C$539</f>
        <v>混乱多之叶</v>
      </c>
      <c r="V796" s="371"/>
      <c r="W796" s="7"/>
      <c r="X796" s="371"/>
      <c r="Y796" s="371"/>
      <c r="Z796" s="371"/>
      <c r="AA796" s="7"/>
    </row>
    <row r="797" spans="1:27" ht="12.75" x14ac:dyDescent="0.2">
      <c r="A797" s="7"/>
      <c r="B797" s="8" t="b">
        <v>0</v>
      </c>
      <c r="C797" s="378" t="str">
        <f ca="1">敌人!C$260</f>
        <v>河川巨蛙 II</v>
      </c>
      <c r="D797" s="371"/>
      <c r="E797" s="10">
        <f>敌人!D$260</f>
        <v>2</v>
      </c>
      <c r="F797" s="10">
        <f>敌人!E$260</f>
        <v>0</v>
      </c>
      <c r="G797" s="10">
        <f>敌人!F$260</f>
        <v>0</v>
      </c>
      <c r="H797" s="10">
        <f>敌人!G$260</f>
        <v>0</v>
      </c>
      <c r="I797" s="10">
        <f>敌人!H$260</f>
        <v>0</v>
      </c>
      <c r="J797" s="10">
        <f>敌人!I$260</f>
        <v>0</v>
      </c>
      <c r="K797" s="378" t="str">
        <f ca="1">敌人!J$260</f>
        <v>毒利米树之叶</v>
      </c>
      <c r="L797" s="371"/>
      <c r="M797" s="371"/>
      <c r="N797" s="7"/>
      <c r="O797" s="8" t="b">
        <v>0</v>
      </c>
      <c r="P797" s="378" t="str">
        <f ca="1">道具!$C$14</f>
        <v>复活的橄榄</v>
      </c>
      <c r="Q797" s="371"/>
      <c r="R797" s="371"/>
      <c r="S797" s="7"/>
      <c r="T797" s="8" t="b">
        <v>0</v>
      </c>
      <c r="U797" s="381" t="str">
        <f ca="1">道具!$C$541</f>
        <v>李子树液</v>
      </c>
      <c r="V797" s="371"/>
      <c r="W797" s="7"/>
      <c r="X797" s="7"/>
      <c r="Y797" s="7"/>
      <c r="Z797" s="7"/>
      <c r="AA797" s="7"/>
    </row>
    <row r="798" spans="1:27" ht="12.75" x14ac:dyDescent="0.2">
      <c r="A798" s="7"/>
      <c r="B798" s="8" t="b">
        <v>0</v>
      </c>
      <c r="C798" s="378" t="str">
        <f ca="1">敌人!C$261&amp;" (7+)"</f>
        <v>河川巨蛙 III (7+)</v>
      </c>
      <c r="D798" s="371"/>
      <c r="E798" s="10">
        <f>敌人!D$261</f>
        <v>3</v>
      </c>
      <c r="F798" s="10">
        <f>敌人!E$261</f>
        <v>0</v>
      </c>
      <c r="G798" s="10">
        <f>敌人!F$261</f>
        <v>0</v>
      </c>
      <c r="H798" s="10">
        <f>敌人!G$261</f>
        <v>0</v>
      </c>
      <c r="I798" s="10">
        <f>敌人!H$261</f>
        <v>0</v>
      </c>
      <c r="J798" s="10">
        <f>敌人!I$261</f>
        <v>0</v>
      </c>
      <c r="K798" s="378" t="str">
        <f ca="1">敌人!J$261</f>
        <v>ＨＰ恢复的葡萄</v>
      </c>
      <c r="L798" s="371"/>
      <c r="M798" s="371"/>
      <c r="N798" s="7"/>
      <c r="O798" s="8" t="b">
        <v>0</v>
      </c>
      <c r="P798" s="378" t="str">
        <f ca="1">道具!$C$3</f>
        <v>ＨＰ恢复的葡萄</v>
      </c>
      <c r="Q798" s="371"/>
      <c r="R798" s="371"/>
      <c r="S798" s="7"/>
      <c r="T798" s="8" t="b">
        <v>0</v>
      </c>
      <c r="U798" s="403" t="str">
        <f ca="1">道具!$C$543</f>
        <v>橄榄花</v>
      </c>
      <c r="V798" s="371"/>
      <c r="W798" s="401" t="str">
        <f ca="1">"Get "&amp;道具!$C$538&amp;" before the end of "&amp;语言!$A$36&amp;" &amp; "&amp;语言!$A$40&amp;" chapter 4
and get "&amp;道具!$C$543&amp;" before completing "&amp;支线!$C$95&amp;"."</f>
        <v>Get 睡眠花之叶 before the end of 赛拉斯 &amp; 亚芬 chapter 4
and get 橄榄花 before completing 孤儿梅莉儿（１）.</v>
      </c>
      <c r="X798" s="371"/>
      <c r="Y798" s="371"/>
      <c r="Z798" s="371"/>
      <c r="AA798" s="7"/>
    </row>
    <row r="799" spans="1:27" ht="12.75" x14ac:dyDescent="0.2">
      <c r="A799" s="7"/>
      <c r="B799" s="8" t="b">
        <v>0</v>
      </c>
      <c r="C799" s="378" t="str">
        <f ca="1">敌人!C$268</f>
        <v>河蜂</v>
      </c>
      <c r="D799" s="371"/>
      <c r="E799" s="10">
        <f>敌人!D$268</f>
        <v>1</v>
      </c>
      <c r="F799" s="10">
        <f>敌人!E$268</f>
        <v>0</v>
      </c>
      <c r="G799" s="10">
        <f>敌人!F$268</f>
        <v>0</v>
      </c>
      <c r="H799" s="10">
        <f>敌人!G$268</f>
        <v>0</v>
      </c>
      <c r="I799" s="10">
        <f>敌人!H$268</f>
        <v>0</v>
      </c>
      <c r="J799" s="10">
        <f>敌人!I$268</f>
        <v>0</v>
      </c>
      <c r="K799" s="378" t="str">
        <f ca="1">敌人!J$268</f>
        <v>毒利米树之叶</v>
      </c>
      <c r="L799" s="371"/>
      <c r="M799" s="371"/>
      <c r="N799" s="7"/>
      <c r="O799" s="382" t="str">
        <f ca="1">语言!A$437&amp;" (4 "&amp;语言!$A$19&amp;")"</f>
        <v>南库利亚布鲁克川道 (4 宝箱)</v>
      </c>
      <c r="P799" s="371"/>
      <c r="Q799" s="371"/>
      <c r="R799" s="371"/>
      <c r="S799" s="7"/>
      <c r="T799" s="382" t="str">
        <f ca="1">语言!A$436</f>
        <v>西库利亚布鲁克川道</v>
      </c>
      <c r="U799" s="371"/>
      <c r="V799" s="371"/>
      <c r="W799" s="371"/>
      <c r="X799" s="371"/>
      <c r="Y799" s="371"/>
      <c r="Z799" s="371"/>
      <c r="AA799" s="7"/>
    </row>
    <row r="800" spans="1:27" ht="12.75" x14ac:dyDescent="0.2">
      <c r="A800" s="7"/>
      <c r="B800" s="8" t="b">
        <v>0</v>
      </c>
      <c r="C800" s="378" t="str">
        <f ca="1">敌人!C$351&amp;" (7+)"</f>
        <v>河蜂异种 (7+)</v>
      </c>
      <c r="D800" s="371"/>
      <c r="E800" s="10">
        <f>敌人!D$351</f>
        <v>2</v>
      </c>
      <c r="F800" s="10">
        <f>敌人!E$351</f>
        <v>0</v>
      </c>
      <c r="G800" s="10">
        <f>敌人!F$351</f>
        <v>0</v>
      </c>
      <c r="H800" s="10">
        <f>敌人!G$351</f>
        <v>0</v>
      </c>
      <c r="I800" s="10">
        <f>敌人!H$351</f>
        <v>0</v>
      </c>
      <c r="J800" s="10">
        <f>敌人!I$351</f>
        <v>0</v>
      </c>
      <c r="K800" s="378" t="str">
        <f ca="1">敌人!J$351</f>
        <v>毒利米树之叶</v>
      </c>
      <c r="L800" s="371"/>
      <c r="M800" s="371"/>
      <c r="N800" s="7"/>
      <c r="O800" s="8" t="b">
        <v>0</v>
      </c>
      <c r="P800" s="378" t="str">
        <f ca="1">道具!$C$14</f>
        <v>复活的橄榄</v>
      </c>
      <c r="Q800" s="371"/>
      <c r="R800" s="371"/>
      <c r="S800" s="7"/>
      <c r="T800" s="8" t="b">
        <v>0</v>
      </c>
      <c r="U800" s="381" t="str">
        <f ca="1">道具!$F$69</f>
        <v>巨大的蛋</v>
      </c>
      <c r="V800" s="371"/>
      <c r="W800" s="7"/>
      <c r="X800" s="7"/>
      <c r="Y800" s="7"/>
      <c r="Z800" s="7"/>
      <c r="AA800" s="7"/>
    </row>
    <row r="801" spans="1:27" ht="12.75" x14ac:dyDescent="0.2">
      <c r="A801" s="7"/>
      <c r="B801" s="8" t="b">
        <v>0</v>
      </c>
      <c r="C801" s="378" t="str">
        <f ca="1">敌人!C$142</f>
        <v>贝壳蜗牛</v>
      </c>
      <c r="D801" s="371"/>
      <c r="E801" s="10">
        <f>敌人!D$142</f>
        <v>1</v>
      </c>
      <c r="F801" s="10">
        <f>敌人!E$142</f>
        <v>0</v>
      </c>
      <c r="G801" s="10">
        <f>敌人!F$142</f>
        <v>0</v>
      </c>
      <c r="H801" s="10">
        <f>敌人!G$142</f>
        <v>0</v>
      </c>
      <c r="I801" s="10">
        <f>敌人!H$142</f>
        <v>0</v>
      </c>
      <c r="J801" s="10">
        <f>敌人!I$142</f>
        <v>0</v>
      </c>
      <c r="K801" s="378" t="str">
        <f ca="1">敌人!J$142</f>
        <v>石榴树液</v>
      </c>
      <c r="L801" s="371"/>
      <c r="M801" s="371"/>
      <c r="N801" s="7"/>
      <c r="O801" s="8" t="b">
        <v>0</v>
      </c>
      <c r="P801" s="404">
        <v>500</v>
      </c>
      <c r="Q801" s="371"/>
      <c r="R801" s="371"/>
      <c r="S801" s="7"/>
      <c r="T801" s="7"/>
      <c r="U801" s="380"/>
      <c r="V801" s="371"/>
      <c r="W801" s="7"/>
      <c r="X801" s="7"/>
      <c r="Y801" s="7"/>
      <c r="Z801" s="7"/>
      <c r="AA801" s="7"/>
    </row>
    <row r="802" spans="1:27" ht="12.75" x14ac:dyDescent="0.2">
      <c r="A802" s="7"/>
      <c r="B802" s="8" t="b">
        <v>0</v>
      </c>
      <c r="C802" s="378" t="str">
        <f ca="1">敌人!C$272&amp;" (11)"</f>
        <v>沙罗曼达 (11)</v>
      </c>
      <c r="D802" s="371"/>
      <c r="E802" s="10">
        <f>敌人!D$272</f>
        <v>3</v>
      </c>
      <c r="F802" s="10">
        <f>敌人!E$272</f>
        <v>0</v>
      </c>
      <c r="G802" s="10">
        <f>敌人!F$272</f>
        <v>0</v>
      </c>
      <c r="H802" s="10">
        <f>敌人!G$272</f>
        <v>0</v>
      </c>
      <c r="I802" s="10">
        <f>敌人!H$272</f>
        <v>0</v>
      </c>
      <c r="J802" s="10">
        <f>敌人!I$272</f>
        <v>0</v>
      </c>
      <c r="K802" s="378" t="str">
        <f ca="1">敌人!J$272</f>
        <v>橄榄花</v>
      </c>
      <c r="L802" s="371"/>
      <c r="M802" s="371"/>
      <c r="N802" s="7"/>
      <c r="O802" s="8" t="b">
        <v>0</v>
      </c>
      <c r="P802" s="378" t="str">
        <f ca="1">道具!$C$3</f>
        <v>ＨＰ恢复的葡萄</v>
      </c>
      <c r="Q802" s="371"/>
      <c r="R802" s="371"/>
      <c r="S802" s="7"/>
      <c r="T802" s="7"/>
      <c r="U802" s="380"/>
      <c r="V802" s="371"/>
      <c r="W802" s="7"/>
      <c r="X802" s="7"/>
      <c r="Y802" s="7"/>
      <c r="Z802" s="7"/>
      <c r="AA802" s="7"/>
    </row>
    <row r="803" spans="1:27" ht="12.75" x14ac:dyDescent="0.2">
      <c r="A803" s="7"/>
      <c r="B803" s="7"/>
      <c r="C803" s="380"/>
      <c r="D803" s="371"/>
      <c r="E803" s="7"/>
      <c r="F803" s="7"/>
      <c r="G803" s="7"/>
      <c r="H803" s="7"/>
      <c r="I803" s="7"/>
      <c r="J803" s="7"/>
      <c r="K803" s="380"/>
      <c r="L803" s="371"/>
      <c r="M803" s="371"/>
      <c r="N803" s="7"/>
      <c r="O803" s="8" t="b">
        <v>0</v>
      </c>
      <c r="P803" s="378" t="str">
        <f ca="1">道具!$C$528</f>
        <v>药的素材</v>
      </c>
      <c r="Q803" s="371"/>
      <c r="R803" s="371"/>
      <c r="S803" s="7"/>
      <c r="T803" s="7"/>
      <c r="U803" s="380"/>
      <c r="V803" s="371"/>
      <c r="W803" s="7"/>
      <c r="X803" s="7"/>
      <c r="Y803" s="7"/>
      <c r="Z803" s="7"/>
      <c r="AA803" s="7"/>
    </row>
    <row r="804" spans="1:27" ht="12.75" x14ac:dyDescent="0.2">
      <c r="A804" s="7"/>
      <c r="B804" s="382" t="str">
        <f ca="1">语言!A$438&amp;" ("&amp;语言!$A$12&amp;" 20)"</f>
        <v>双子瀑布 (危险度 20)</v>
      </c>
      <c r="C804" s="371"/>
      <c r="D804" s="371"/>
      <c r="E804" s="371"/>
      <c r="F804" s="371"/>
      <c r="G804" s="371"/>
      <c r="H804" s="371"/>
      <c r="I804" s="371"/>
      <c r="J804" s="371"/>
      <c r="K804" s="371"/>
      <c r="L804" s="371"/>
      <c r="M804" s="371"/>
      <c r="N804" s="7"/>
      <c r="O804" s="382" t="str">
        <f ca="1">语言!A$438&amp;" (8 "&amp;语言!$A$19&amp;")"</f>
        <v>双子瀑布 (8 宝箱)</v>
      </c>
      <c r="P804" s="371"/>
      <c r="Q804" s="371"/>
      <c r="R804" s="371"/>
      <c r="S804" s="7"/>
      <c r="T804" s="7"/>
      <c r="U804" s="380"/>
      <c r="V804" s="371"/>
      <c r="W804" s="7"/>
      <c r="X804" s="7"/>
      <c r="Y804" s="7"/>
      <c r="Z804" s="7"/>
      <c r="AA804" s="7"/>
    </row>
    <row r="805" spans="1:27" ht="12.75" x14ac:dyDescent="0.2">
      <c r="A805" s="7"/>
      <c r="B805" s="8" t="b">
        <v>0</v>
      </c>
      <c r="C805" s="378" t="str">
        <f ca="1">敌人!C$262</f>
        <v>河川巨蛙 IV</v>
      </c>
      <c r="D805" s="371"/>
      <c r="E805" s="10">
        <f>敌人!D$262</f>
        <v>2</v>
      </c>
      <c r="F805" s="10">
        <f>敌人!E$262</f>
        <v>0</v>
      </c>
      <c r="G805" s="10">
        <f>敌人!F$262</f>
        <v>0</v>
      </c>
      <c r="H805" s="10">
        <f>敌人!G$262</f>
        <v>0</v>
      </c>
      <c r="I805" s="10">
        <f>敌人!H$262</f>
        <v>0</v>
      </c>
      <c r="J805" s="10">
        <f>敌人!I$262</f>
        <v>0</v>
      </c>
      <c r="K805" s="378" t="str">
        <f ca="1">敌人!J$262</f>
        <v>ＳＰ恢复的李子</v>
      </c>
      <c r="L805" s="371"/>
      <c r="M805" s="371"/>
      <c r="N805" s="7"/>
      <c r="O805" s="8" t="b">
        <v>0</v>
      </c>
      <c r="P805" s="378" t="str">
        <f ca="1">道具!$C$328&amp;" (locked)"</f>
        <v>理力之杖 (locked)</v>
      </c>
      <c r="Q805" s="371"/>
      <c r="R805" s="371"/>
      <c r="S805" s="7"/>
      <c r="T805" s="7"/>
      <c r="U805" s="380"/>
      <c r="V805" s="371"/>
      <c r="W805" s="7"/>
      <c r="X805" s="7"/>
      <c r="Y805" s="7"/>
      <c r="Z805" s="7"/>
      <c r="AA805" s="7"/>
    </row>
    <row r="806" spans="1:27" ht="12.75" x14ac:dyDescent="0.2">
      <c r="A806" s="7"/>
      <c r="B806" s="8" t="b">
        <v>0</v>
      </c>
      <c r="C806" s="378" t="str">
        <f ca="1">敌人!C$263</f>
        <v>河川巨蛙 V</v>
      </c>
      <c r="D806" s="371"/>
      <c r="E806" s="10">
        <f>敌人!D$263</f>
        <v>3</v>
      </c>
      <c r="F806" s="10">
        <f>敌人!E$263</f>
        <v>0</v>
      </c>
      <c r="G806" s="10">
        <f>敌人!F$263</f>
        <v>0</v>
      </c>
      <c r="H806" s="10">
        <f>敌人!G$263</f>
        <v>0</v>
      </c>
      <c r="I806" s="10">
        <f>敌人!H$263</f>
        <v>0</v>
      </c>
      <c r="J806" s="10">
        <f>敌人!I$263</f>
        <v>0</v>
      </c>
      <c r="K806" s="378" t="str">
        <f ca="1">敌人!J$263</f>
        <v>毒利米树之叶</v>
      </c>
      <c r="L806" s="371"/>
      <c r="M806" s="371"/>
      <c r="N806" s="7"/>
      <c r="O806" s="8" t="b">
        <v>0</v>
      </c>
      <c r="P806" s="378" t="str">
        <f ca="1">道具!$C$10</f>
        <v>ＢＰ恢复的石榴（大）</v>
      </c>
      <c r="Q806" s="371"/>
      <c r="R806" s="371"/>
      <c r="S806" s="7"/>
      <c r="T806" s="7"/>
      <c r="U806" s="380"/>
      <c r="V806" s="371"/>
      <c r="W806" s="7"/>
      <c r="X806" s="7"/>
      <c r="Y806" s="7"/>
      <c r="Z806" s="7"/>
      <c r="AA806" s="7"/>
    </row>
    <row r="807" spans="1:27" ht="12.75" x14ac:dyDescent="0.2">
      <c r="A807" s="7"/>
      <c r="B807" s="8" t="b">
        <v>0</v>
      </c>
      <c r="C807" s="378" t="str">
        <f ca="1">敌人!C$28</f>
        <v>红蛇异种</v>
      </c>
      <c r="D807" s="371"/>
      <c r="E807" s="10">
        <f>敌人!D$28</f>
        <v>2</v>
      </c>
      <c r="F807" s="10">
        <f>敌人!E$28</f>
        <v>0</v>
      </c>
      <c r="G807" s="10">
        <f>敌人!F$28</f>
        <v>0</v>
      </c>
      <c r="H807" s="10">
        <f>敌人!G$28</f>
        <v>0</v>
      </c>
      <c r="I807" s="10">
        <f>敌人!H$28</f>
        <v>0</v>
      </c>
      <c r="J807" s="10">
        <f>敌人!I$28</f>
        <v>0</v>
      </c>
      <c r="K807" s="378" t="str">
        <f ca="1">敌人!J$28</f>
        <v>毒利米树之叶</v>
      </c>
      <c r="L807" s="371"/>
      <c r="M807" s="371"/>
      <c r="N807" s="7"/>
      <c r="O807" s="8" t="b">
        <v>0</v>
      </c>
      <c r="P807" s="378" t="str">
        <f ca="1">道具!$C$6</f>
        <v>ＳＰ恢复的李子</v>
      </c>
      <c r="Q807" s="371"/>
      <c r="R807" s="371"/>
      <c r="S807" s="7"/>
      <c r="T807" s="7"/>
      <c r="U807" s="380"/>
      <c r="V807" s="371"/>
      <c r="W807" s="7"/>
      <c r="X807" s="7"/>
      <c r="Y807" s="7"/>
      <c r="Z807" s="7"/>
      <c r="AA807" s="7"/>
    </row>
    <row r="808" spans="1:27" ht="12.75" x14ac:dyDescent="0.2">
      <c r="A808" s="7"/>
      <c r="B808" s="8" t="b">
        <v>0</v>
      </c>
      <c r="C808" s="378" t="str">
        <f ca="1">敌人!C$351</f>
        <v>河蜂异种</v>
      </c>
      <c r="D808" s="371"/>
      <c r="E808" s="10">
        <f>敌人!D$351</f>
        <v>2</v>
      </c>
      <c r="F808" s="10">
        <f>敌人!E$351</f>
        <v>0</v>
      </c>
      <c r="G808" s="10">
        <f>敌人!F$351</f>
        <v>0</v>
      </c>
      <c r="H808" s="10">
        <f>敌人!G$351</f>
        <v>0</v>
      </c>
      <c r="I808" s="10">
        <f>敌人!H$351</f>
        <v>0</v>
      </c>
      <c r="J808" s="10">
        <f>敌人!I$351</f>
        <v>0</v>
      </c>
      <c r="K808" s="378" t="str">
        <f ca="1">敌人!J$351</f>
        <v>毒利米树之叶</v>
      </c>
      <c r="L808" s="371"/>
      <c r="M808" s="371"/>
      <c r="N808" s="7"/>
      <c r="O808" s="8" t="b">
        <v>0</v>
      </c>
      <c r="P808" s="378" t="str">
        <f ca="1">道具!$C$16</f>
        <v>复活的橄榄（大）</v>
      </c>
      <c r="Q808" s="371"/>
      <c r="R808" s="371"/>
      <c r="S808" s="7"/>
      <c r="T808" s="7"/>
      <c r="U808" s="380"/>
      <c r="V808" s="371"/>
      <c r="W808" s="7"/>
      <c r="X808" s="7"/>
      <c r="Y808" s="7"/>
      <c r="Z808" s="7"/>
      <c r="AA808" s="7"/>
    </row>
    <row r="809" spans="1:27" ht="12.75" x14ac:dyDescent="0.2">
      <c r="A809" s="7"/>
      <c r="B809" s="8" t="b">
        <v>0</v>
      </c>
      <c r="C809" s="378" t="str">
        <f ca="1">敌人!C$258</f>
        <v>河川苍蝇</v>
      </c>
      <c r="D809" s="371"/>
      <c r="E809" s="10">
        <f>敌人!D$258</f>
        <v>1</v>
      </c>
      <c r="F809" s="10">
        <f>敌人!E$258</f>
        <v>0</v>
      </c>
      <c r="G809" s="10">
        <f>敌人!F$258</f>
        <v>0</v>
      </c>
      <c r="H809" s="10">
        <f>敌人!G$258</f>
        <v>0</v>
      </c>
      <c r="I809" s="10">
        <f>敌人!H$258</f>
        <v>0</v>
      </c>
      <c r="J809" s="10">
        <f>敌人!I$258</f>
        <v>0</v>
      </c>
      <c r="K809" s="378" t="str">
        <f ca="1">敌人!J$258</f>
        <v>混乱多之叶</v>
      </c>
      <c r="L809" s="371"/>
      <c r="M809" s="371"/>
      <c r="N809" s="7"/>
      <c r="O809" s="8" t="b">
        <v>0</v>
      </c>
      <c r="P809" s="378" t="str">
        <f ca="1">道具!$C$4</f>
        <v>ＨＰ恢复的葡萄（大）</v>
      </c>
      <c r="Q809" s="371"/>
      <c r="R809" s="371"/>
      <c r="S809" s="7"/>
      <c r="T809" s="7"/>
      <c r="U809" s="380"/>
      <c r="V809" s="371"/>
      <c r="W809" s="7"/>
      <c r="X809" s="7"/>
      <c r="Y809" s="7"/>
      <c r="Z809" s="7"/>
      <c r="AA809" s="7"/>
    </row>
    <row r="810" spans="1:27" ht="12.75" x14ac:dyDescent="0.2">
      <c r="A810" s="7"/>
      <c r="B810" s="8" t="b">
        <v>0</v>
      </c>
      <c r="C810" s="378" t="str">
        <f ca="1">敌人!C$307</f>
        <v>黑蝙蝠异种</v>
      </c>
      <c r="D810" s="371"/>
      <c r="E810" s="10">
        <f>敌人!D$307</f>
        <v>2</v>
      </c>
      <c r="F810" s="10">
        <f>敌人!E$307</f>
        <v>0</v>
      </c>
      <c r="G810" s="10">
        <f>敌人!F$307</f>
        <v>0</v>
      </c>
      <c r="H810" s="10">
        <f>敌人!G$307</f>
        <v>0</v>
      </c>
      <c r="I810" s="10">
        <f>敌人!H$307</f>
        <v>0</v>
      </c>
      <c r="J810" s="10">
        <f>敌人!I$307</f>
        <v>0</v>
      </c>
      <c r="K810" s="378" t="str">
        <f ca="1">敌人!J$307</f>
        <v>神秘之花</v>
      </c>
      <c r="L810" s="371"/>
      <c r="M810" s="371"/>
      <c r="N810" s="7"/>
      <c r="O810" s="8" t="b">
        <v>0</v>
      </c>
      <c r="P810" s="378" t="str">
        <f ca="1">道具!$C$7</f>
        <v>ＳＰ恢复的李子（大）</v>
      </c>
      <c r="Q810" s="371"/>
      <c r="R810" s="371"/>
      <c r="S810" s="7"/>
      <c r="T810" s="7"/>
      <c r="U810" s="380"/>
      <c r="V810" s="371"/>
      <c r="W810" s="7"/>
      <c r="X810" s="7"/>
      <c r="Y810" s="7"/>
      <c r="Z810" s="7"/>
      <c r="AA810" s="7"/>
    </row>
    <row r="811" spans="1:27" ht="12.75" x14ac:dyDescent="0.2">
      <c r="A811" s="7"/>
      <c r="B811" s="8" t="b">
        <v>0</v>
      </c>
      <c r="C811" s="378" t="str">
        <f ca="1">敌人!C$272</f>
        <v>沙罗曼达</v>
      </c>
      <c r="D811" s="371"/>
      <c r="E811" s="10">
        <f>敌人!D$272</f>
        <v>3</v>
      </c>
      <c r="F811" s="10">
        <f>敌人!E$272</f>
        <v>0</v>
      </c>
      <c r="G811" s="10">
        <f>敌人!F$272</f>
        <v>0</v>
      </c>
      <c r="H811" s="10">
        <f>敌人!G$272</f>
        <v>0</v>
      </c>
      <c r="I811" s="10">
        <f>敌人!H$272</f>
        <v>0</v>
      </c>
      <c r="J811" s="10">
        <f>敌人!I$272</f>
        <v>0</v>
      </c>
      <c r="K811" s="378" t="str">
        <f ca="1">敌人!J$272</f>
        <v>橄榄花</v>
      </c>
      <c r="L811" s="371"/>
      <c r="M811" s="371"/>
      <c r="N811" s="7"/>
      <c r="O811" s="8" t="b">
        <v>0</v>
      </c>
      <c r="P811" s="378" t="str">
        <f ca="1">道具!$C$12</f>
        <v>ＨＰ／ＳＰ恢复的果酱</v>
      </c>
      <c r="Q811" s="371"/>
      <c r="R811" s="371"/>
      <c r="S811" s="7"/>
      <c r="T811" s="7"/>
      <c r="U811" s="380"/>
      <c r="V811" s="371"/>
      <c r="W811" s="7"/>
      <c r="X811" s="7"/>
      <c r="Y811" s="7"/>
      <c r="Z811" s="7"/>
      <c r="AA811" s="7"/>
    </row>
    <row r="812" spans="1:27" ht="12.75" x14ac:dyDescent="0.2">
      <c r="A812" s="7"/>
      <c r="B812" s="383" t="str">
        <f ca="1">语言!$A$16</f>
        <v>小Boss</v>
      </c>
      <c r="C812" s="371"/>
      <c r="D812" s="371"/>
      <c r="E812" s="371"/>
      <c r="F812" s="371"/>
      <c r="G812" s="371"/>
      <c r="H812" s="371"/>
      <c r="I812" s="371"/>
      <c r="J812" s="371"/>
      <c r="K812" s="371"/>
      <c r="L812" s="371"/>
      <c r="M812" s="371"/>
      <c r="N812" s="7"/>
      <c r="O812" s="8" t="b">
        <v>0</v>
      </c>
      <c r="P812" s="378" t="s">
        <v>19</v>
      </c>
      <c r="Q812" s="371"/>
      <c r="R812" s="371"/>
      <c r="S812" s="7"/>
      <c r="T812" s="7"/>
      <c r="U812" s="380"/>
      <c r="V812" s="371"/>
      <c r="W812" s="7"/>
      <c r="X812" s="7"/>
      <c r="Y812" s="7"/>
      <c r="Z812" s="7"/>
      <c r="AA812" s="7"/>
    </row>
    <row r="813" spans="1:27" ht="12.75" x14ac:dyDescent="0.2">
      <c r="A813" s="7"/>
      <c r="B813" s="8" t="b">
        <v>0</v>
      </c>
      <c r="C813" s="381" t="str">
        <f ca="1">敌人!C$385</f>
        <v>人面蝶</v>
      </c>
      <c r="D813" s="371"/>
      <c r="E813" s="8">
        <f>敌人!D$385</f>
        <v>10</v>
      </c>
      <c r="F813" s="8">
        <f>敌人!E$385</f>
        <v>0</v>
      </c>
      <c r="G813" s="8">
        <f>敌人!F$385</f>
        <v>0</v>
      </c>
      <c r="H813" s="8">
        <f>敌人!G$385</f>
        <v>0</v>
      </c>
      <c r="I813" s="8">
        <f>敌人!H$385</f>
        <v>0</v>
      </c>
      <c r="J813" s="8">
        <f>敌人!I$385</f>
        <v>0</v>
      </c>
      <c r="K813" s="381" t="str">
        <f ca="1">敌人!J$385</f>
        <v>ＨＰ／ＳＰ／ＢＰ恢复的果酱</v>
      </c>
      <c r="L813" s="371"/>
      <c r="M813" s="371"/>
      <c r="N813" s="7"/>
      <c r="O813" s="7"/>
      <c r="P813" s="380"/>
      <c r="Q813" s="371"/>
      <c r="R813" s="371"/>
      <c r="S813" s="7"/>
      <c r="T813" s="7"/>
      <c r="U813" s="380"/>
      <c r="V813" s="371"/>
      <c r="W813" s="7"/>
      <c r="X813" s="7"/>
      <c r="Y813" s="7"/>
      <c r="Z813" s="7"/>
      <c r="AA813" s="7"/>
    </row>
    <row r="814" spans="1:27" ht="12.75" x14ac:dyDescent="0.2">
      <c r="A814" s="7"/>
      <c r="B814" s="7"/>
      <c r="C814" s="380"/>
      <c r="D814" s="371"/>
      <c r="E814" s="7"/>
      <c r="F814" s="7"/>
      <c r="G814" s="7"/>
      <c r="H814" s="7"/>
      <c r="I814" s="7"/>
      <c r="J814" s="7"/>
      <c r="K814" s="380"/>
      <c r="L814" s="371"/>
      <c r="M814" s="371"/>
      <c r="N814" s="7"/>
      <c r="O814" s="7"/>
      <c r="P814" s="380"/>
      <c r="Q814" s="371"/>
      <c r="R814" s="371"/>
      <c r="S814" s="7"/>
      <c r="T814" s="7"/>
      <c r="U814" s="380"/>
      <c r="V814" s="371"/>
      <c r="W814" s="7"/>
      <c r="X814" s="7"/>
      <c r="Y814" s="7"/>
      <c r="Z814" s="7"/>
      <c r="AA814" s="7"/>
    </row>
    <row r="815" spans="1:27" ht="12.75" x14ac:dyDescent="0.2">
      <c r="A815" s="7"/>
      <c r="B815" s="385" t="str">
        <f ca="1">语言!$A$40&amp;" "&amp;语言!$A$14&amp;" 1"</f>
        <v>亚芬 章节 1</v>
      </c>
      <c r="C815" s="371"/>
      <c r="D815" s="371"/>
      <c r="E815" s="371"/>
      <c r="F815" s="371"/>
      <c r="G815" s="371"/>
      <c r="H815" s="371"/>
      <c r="I815" s="371"/>
      <c r="J815" s="371"/>
      <c r="K815" s="371"/>
      <c r="L815" s="371"/>
      <c r="M815" s="371"/>
      <c r="N815" s="7"/>
      <c r="O815" s="385" t="str">
        <f ca="1">语言!$A$40&amp;" "&amp;语言!$A$14&amp;" 1"</f>
        <v>亚芬 章节 1</v>
      </c>
      <c r="P815" s="371"/>
      <c r="Q815" s="371"/>
      <c r="R815" s="371"/>
      <c r="S815" s="7"/>
      <c r="T815" s="7"/>
      <c r="U815" s="380"/>
      <c r="V815" s="371"/>
      <c r="W815" s="7"/>
      <c r="X815" s="7"/>
      <c r="Y815" s="7"/>
      <c r="Z815" s="7"/>
      <c r="AA815" s="7"/>
    </row>
    <row r="816" spans="1:27" ht="12.75" x14ac:dyDescent="0.2">
      <c r="A816" s="7"/>
      <c r="B816" s="382" t="str">
        <f ca="1">语言!A$440&amp;" ("&amp;语言!$A$12&amp;" 1 - 4 - 7 - 11)"</f>
        <v>里欧洞窟 (危险度 1 - 4 - 7 - 11)</v>
      </c>
      <c r="C816" s="371"/>
      <c r="D816" s="371"/>
      <c r="E816" s="371"/>
      <c r="F816" s="371"/>
      <c r="G816" s="371"/>
      <c r="H816" s="371"/>
      <c r="I816" s="371"/>
      <c r="J816" s="371"/>
      <c r="K816" s="371"/>
      <c r="L816" s="371"/>
      <c r="M816" s="371"/>
      <c r="N816" s="7"/>
      <c r="O816" s="382" t="str">
        <f ca="1">语言!A$439&amp;" (3 "&amp;语言!$A$19&amp;")"</f>
        <v>通往里欧洞窟的道路 (3 宝箱)</v>
      </c>
      <c r="P816" s="371"/>
      <c r="Q816" s="371"/>
      <c r="R816" s="371"/>
      <c r="S816" s="7"/>
      <c r="T816" s="7"/>
      <c r="U816" s="380"/>
      <c r="V816" s="371"/>
      <c r="W816" s="7"/>
      <c r="X816" s="7"/>
      <c r="Y816" s="7"/>
      <c r="Z816" s="7"/>
      <c r="AA816" s="7"/>
    </row>
    <row r="817" spans="1:27" ht="12.75" x14ac:dyDescent="0.2">
      <c r="A817" s="7"/>
      <c r="B817" s="8" t="b">
        <v>0</v>
      </c>
      <c r="C817" s="378" t="str">
        <f ca="1">敌人!C$28&amp;" (7+)"</f>
        <v>红蛇异种 (7+)</v>
      </c>
      <c r="D817" s="371"/>
      <c r="E817" s="10">
        <f>敌人!D$28</f>
        <v>2</v>
      </c>
      <c r="F817" s="10">
        <f>敌人!E$28</f>
        <v>0</v>
      </c>
      <c r="G817" s="10">
        <f>敌人!F$28</f>
        <v>0</v>
      </c>
      <c r="H817" s="10">
        <f>敌人!G$28</f>
        <v>0</v>
      </c>
      <c r="I817" s="10">
        <f>敌人!H$28</f>
        <v>0</v>
      </c>
      <c r="J817" s="10">
        <f>敌人!I$28</f>
        <v>0</v>
      </c>
      <c r="K817" s="378" t="str">
        <f ca="1">敌人!J$28</f>
        <v>毒利米树之叶</v>
      </c>
      <c r="L817" s="371"/>
      <c r="M817" s="371"/>
      <c r="N817" s="7"/>
      <c r="O817" s="8" t="b">
        <v>0</v>
      </c>
      <c r="P817" s="378" t="str">
        <f ca="1">道具!$C$3</f>
        <v>ＨＰ恢复的葡萄</v>
      </c>
      <c r="Q817" s="371"/>
      <c r="R817" s="371"/>
      <c r="S817" s="7"/>
      <c r="T817" s="7"/>
      <c r="U817" s="380"/>
      <c r="V817" s="371"/>
      <c r="W817" s="7"/>
      <c r="X817" s="7"/>
      <c r="Y817" s="7"/>
      <c r="Z817" s="7"/>
      <c r="AA817" s="7"/>
    </row>
    <row r="818" spans="1:27" ht="12.75" x14ac:dyDescent="0.2">
      <c r="A818" s="7"/>
      <c r="B818" s="8" t="b">
        <v>0</v>
      </c>
      <c r="C818" s="378" t="str">
        <f ca="1">敌人!C$248</f>
        <v>红蛇异种</v>
      </c>
      <c r="D818" s="371"/>
      <c r="E818" s="10">
        <f>敌人!D$248</f>
        <v>1</v>
      </c>
      <c r="F818" s="10">
        <f>敌人!E$248</f>
        <v>0</v>
      </c>
      <c r="G818" s="10">
        <f>敌人!F$248</f>
        <v>0</v>
      </c>
      <c r="H818" s="10">
        <f>敌人!G$248</f>
        <v>0</v>
      </c>
      <c r="I818" s="10">
        <f>敌人!H$248</f>
        <v>0</v>
      </c>
      <c r="J818" s="10">
        <f>敌人!I$248</f>
        <v>0</v>
      </c>
      <c r="K818" s="378" t="str">
        <f ca="1">敌人!J$248</f>
        <v>毒利米树之叶</v>
      </c>
      <c r="L818" s="371"/>
      <c r="M818" s="371"/>
      <c r="N818" s="7"/>
      <c r="O818" s="8" t="b">
        <v>0</v>
      </c>
      <c r="P818" s="378" t="str">
        <f ca="1">道具!$C$529</f>
        <v>药的素材（扩散）</v>
      </c>
      <c r="Q818" s="371"/>
      <c r="R818" s="371"/>
      <c r="S818" s="7"/>
      <c r="T818" s="7"/>
      <c r="U818" s="380"/>
      <c r="V818" s="371"/>
      <c r="W818" s="7"/>
      <c r="X818" s="7"/>
      <c r="Y818" s="7"/>
      <c r="Z818" s="7"/>
      <c r="AA818" s="7"/>
    </row>
    <row r="819" spans="1:27" ht="12.75" x14ac:dyDescent="0.2">
      <c r="A819" s="7"/>
      <c r="B819" s="8" t="b">
        <v>0</v>
      </c>
      <c r="C819" s="378" t="str">
        <f ca="1">敌人!C$227</f>
        <v>彩色蜗牛</v>
      </c>
      <c r="D819" s="371"/>
      <c r="E819" s="10">
        <f>敌人!D$227</f>
        <v>2</v>
      </c>
      <c r="F819" s="10">
        <f>敌人!E$227</f>
        <v>0</v>
      </c>
      <c r="G819" s="10">
        <f>敌人!F$227</f>
        <v>0</v>
      </c>
      <c r="H819" s="10">
        <f>敌人!G$227</f>
        <v>0</v>
      </c>
      <c r="I819" s="10">
        <f>敌人!H$227</f>
        <v>0</v>
      </c>
      <c r="J819" s="10">
        <f>敌人!I$227</f>
        <v>0</v>
      </c>
      <c r="K819" s="378" t="str">
        <f ca="1">敌人!J$227</f>
        <v>石榴树液</v>
      </c>
      <c r="L819" s="371"/>
      <c r="M819" s="371"/>
      <c r="N819" s="7"/>
      <c r="O819" s="8" t="b">
        <v>0</v>
      </c>
      <c r="P819" s="378" t="str">
        <f ca="1">道具!$C$541</f>
        <v>李子树液</v>
      </c>
      <c r="Q819" s="371"/>
      <c r="R819" s="371"/>
      <c r="S819" s="7"/>
      <c r="T819" s="7"/>
      <c r="U819" s="380"/>
      <c r="V819" s="371"/>
      <c r="W819" s="7"/>
      <c r="X819" s="7"/>
      <c r="Y819" s="7"/>
      <c r="Z819" s="7"/>
      <c r="AA819" s="7"/>
    </row>
    <row r="820" spans="1:27" ht="12.75" x14ac:dyDescent="0.2">
      <c r="A820" s="7"/>
      <c r="B820" s="8" t="b">
        <v>0</v>
      </c>
      <c r="C820" s="378" t="str">
        <f ca="1">敌人!C$23</f>
        <v>黑蝙蝠</v>
      </c>
      <c r="D820" s="371"/>
      <c r="E820" s="10">
        <f>敌人!D$23</f>
        <v>1</v>
      </c>
      <c r="F820" s="10">
        <f>敌人!E$23</f>
        <v>0</v>
      </c>
      <c r="G820" s="10">
        <f>敌人!F$23</f>
        <v>0</v>
      </c>
      <c r="H820" s="10">
        <f>敌人!G$23</f>
        <v>0</v>
      </c>
      <c r="I820" s="10">
        <f>敌人!H$23</f>
        <v>0</v>
      </c>
      <c r="J820" s="10">
        <f>敌人!I$23</f>
        <v>0</v>
      </c>
      <c r="K820" s="378" t="str">
        <f ca="1">敌人!J$23</f>
        <v>神秘之花</v>
      </c>
      <c r="L820" s="371"/>
      <c r="M820" s="371"/>
      <c r="N820" s="7"/>
      <c r="O820" s="382" t="str">
        <f ca="1">语言!A$440&amp;" (8 "&amp;语言!$A$19&amp;")"</f>
        <v>里欧洞窟 (8 宝箱)</v>
      </c>
      <c r="P820" s="371"/>
      <c r="Q820" s="371"/>
      <c r="R820" s="371"/>
      <c r="S820" s="7"/>
      <c r="T820" s="7"/>
      <c r="U820" s="380"/>
      <c r="V820" s="371"/>
      <c r="W820" s="7"/>
      <c r="X820" s="7"/>
      <c r="Y820" s="7"/>
      <c r="Z820" s="7"/>
      <c r="AA820" s="7"/>
    </row>
    <row r="821" spans="1:27" ht="12.75" x14ac:dyDescent="0.2">
      <c r="A821" s="7"/>
      <c r="B821" s="8" t="b">
        <v>0</v>
      </c>
      <c r="C821" s="378" t="str">
        <f ca="1">敌人!C$307&amp;" (7+)"</f>
        <v>黑蝙蝠异种 (7+)</v>
      </c>
      <c r="D821" s="371"/>
      <c r="E821" s="10">
        <f>敌人!D$307</f>
        <v>2</v>
      </c>
      <c r="F821" s="10">
        <f>敌人!E$307</f>
        <v>0</v>
      </c>
      <c r="G821" s="10">
        <f>敌人!F$307</f>
        <v>0</v>
      </c>
      <c r="H821" s="10">
        <f>敌人!G$307</f>
        <v>0</v>
      </c>
      <c r="I821" s="10">
        <f>敌人!H$307</f>
        <v>0</v>
      </c>
      <c r="J821" s="10">
        <f>敌人!I$307</f>
        <v>0</v>
      </c>
      <c r="K821" s="378" t="str">
        <f ca="1">敌人!J$307</f>
        <v>神秘之花</v>
      </c>
      <c r="L821" s="371"/>
      <c r="M821" s="371"/>
      <c r="N821" s="7"/>
      <c r="O821" s="8" t="b">
        <v>0</v>
      </c>
      <c r="P821" s="378" t="str">
        <f ca="1">道具!$C$534</f>
        <v>超含毒的素材</v>
      </c>
      <c r="Q821" s="371"/>
      <c r="R821" s="371"/>
      <c r="S821" s="7"/>
      <c r="T821" s="7"/>
      <c r="U821" s="380"/>
      <c r="V821" s="371"/>
      <c r="W821" s="7"/>
      <c r="X821" s="7"/>
      <c r="Y821" s="7"/>
      <c r="Z821" s="7"/>
      <c r="AA821" s="7"/>
    </row>
    <row r="822" spans="1:27" ht="12.75" x14ac:dyDescent="0.2">
      <c r="A822" s="7"/>
      <c r="B822" s="8" t="b">
        <v>0</v>
      </c>
      <c r="C822" s="378" t="str">
        <f ca="1">敌人!C$272&amp;" (11)"</f>
        <v>沙罗曼达 (11)</v>
      </c>
      <c r="D822" s="371"/>
      <c r="E822" s="10">
        <f>敌人!D$272</f>
        <v>3</v>
      </c>
      <c r="F822" s="10">
        <f>敌人!E$272</f>
        <v>0</v>
      </c>
      <c r="G822" s="10">
        <f>敌人!F$272</f>
        <v>0</v>
      </c>
      <c r="H822" s="10">
        <f>敌人!G$272</f>
        <v>0</v>
      </c>
      <c r="I822" s="10">
        <f>敌人!H$272</f>
        <v>0</v>
      </c>
      <c r="J822" s="10">
        <f>敌人!I$272</f>
        <v>0</v>
      </c>
      <c r="K822" s="378" t="str">
        <f ca="1">敌人!J$272</f>
        <v>橄榄花</v>
      </c>
      <c r="L822" s="371"/>
      <c r="M822" s="371"/>
      <c r="N822" s="7"/>
      <c r="O822" s="8" t="b">
        <v>0</v>
      </c>
      <c r="P822" s="404">
        <v>500</v>
      </c>
      <c r="Q822" s="371"/>
      <c r="R822" s="371"/>
      <c r="S822" s="7"/>
      <c r="T822" s="7"/>
      <c r="U822" s="380"/>
      <c r="V822" s="371"/>
      <c r="W822" s="7"/>
      <c r="X822" s="7"/>
      <c r="Y822" s="7"/>
      <c r="Z822" s="7"/>
      <c r="AA822" s="7"/>
    </row>
    <row r="823" spans="1:27" ht="12.75" x14ac:dyDescent="0.2">
      <c r="A823" s="7"/>
      <c r="B823" s="383" t="str">
        <f ca="1">语言!$A$15</f>
        <v>Boss</v>
      </c>
      <c r="C823" s="371"/>
      <c r="D823" s="371"/>
      <c r="E823" s="371"/>
      <c r="F823" s="371"/>
      <c r="G823" s="371"/>
      <c r="H823" s="371"/>
      <c r="I823" s="371"/>
      <c r="J823" s="371"/>
      <c r="K823" s="371"/>
      <c r="L823" s="371"/>
      <c r="M823" s="371"/>
      <c r="N823" s="7"/>
      <c r="O823" s="8" t="b">
        <v>0</v>
      </c>
      <c r="P823" s="378" t="str">
        <f ca="1">道具!$C$533</f>
        <v>含毒的素材（扩散）</v>
      </c>
      <c r="Q823" s="371"/>
      <c r="R823" s="371"/>
      <c r="S823" s="7"/>
      <c r="T823" s="7"/>
      <c r="U823" s="380"/>
      <c r="V823" s="371"/>
      <c r="W823" s="7"/>
      <c r="X823" s="7"/>
      <c r="Y823" s="7"/>
      <c r="Z823" s="7"/>
      <c r="AA823" s="7"/>
    </row>
    <row r="824" spans="1:27" ht="12.75" x14ac:dyDescent="0.2">
      <c r="A824" s="7"/>
      <c r="B824" s="8" t="b">
        <v>0</v>
      </c>
      <c r="C824" s="378" t="str">
        <f ca="1">敌人!C$402</f>
        <v>赤链蛇</v>
      </c>
      <c r="D824" s="371"/>
      <c r="E824" s="10" t="str">
        <f>敌人!D$402</f>
        <v>4+</v>
      </c>
      <c r="F824" s="10">
        <f>敌人!E$402</f>
        <v>0</v>
      </c>
      <c r="G824" s="10">
        <f>敌人!F$402</f>
        <v>0</v>
      </c>
      <c r="H824" s="10">
        <f>敌人!G$402</f>
        <v>0</v>
      </c>
      <c r="I824" s="10">
        <f>敌人!H$402</f>
        <v>0</v>
      </c>
      <c r="J824" s="10">
        <f>敌人!I$402</f>
        <v>0</v>
      </c>
      <c r="K824" s="378" t="str">
        <f ca="1">敌人!J$402</f>
        <v>毒瓶</v>
      </c>
      <c r="L824" s="371"/>
      <c r="M824" s="371"/>
      <c r="N824" s="7"/>
      <c r="O824" s="8" t="b">
        <v>0</v>
      </c>
      <c r="P824" s="378" t="str">
        <f ca="1">道具!$C$529</f>
        <v>药的素材（扩散）</v>
      </c>
      <c r="Q824" s="371"/>
      <c r="R824" s="371"/>
      <c r="S824" s="7"/>
      <c r="T824" s="7"/>
      <c r="U824" s="380"/>
      <c r="V824" s="371"/>
      <c r="W824" s="7"/>
      <c r="X824" s="7"/>
      <c r="Y824" s="7"/>
      <c r="Z824" s="7"/>
      <c r="AA824" s="7"/>
    </row>
    <row r="825" spans="1:27" ht="12.75" x14ac:dyDescent="0.2">
      <c r="A825" s="7"/>
      <c r="B825" s="8" t="b">
        <v>0</v>
      </c>
      <c r="C825" s="378" t="str">
        <f ca="1">敌人!C$403</f>
        <v>曼陀罗蛇</v>
      </c>
      <c r="D825" s="371"/>
      <c r="E825" s="10" t="str">
        <f>敌人!D$403</f>
        <v>2+</v>
      </c>
      <c r="F825" s="10">
        <f>敌人!E$403</f>
        <v>0</v>
      </c>
      <c r="G825" s="10">
        <f>敌人!F$403</f>
        <v>0</v>
      </c>
      <c r="H825" s="10">
        <f>敌人!G$403</f>
        <v>0</v>
      </c>
      <c r="I825" s="10">
        <f>敌人!H$403</f>
        <v>0</v>
      </c>
      <c r="J825" s="10">
        <f>敌人!I$403</f>
        <v>0</v>
      </c>
      <c r="K825" s="378" t="str">
        <f ca="1">敌人!J$403</f>
        <v>毒治疗药草</v>
      </c>
      <c r="L825" s="371"/>
      <c r="M825" s="371"/>
      <c r="N825" s="7"/>
      <c r="O825" s="8" t="b">
        <v>0</v>
      </c>
      <c r="P825" s="378" t="str">
        <f ca="1">道具!$C$6</f>
        <v>ＳＰ恢复的李子</v>
      </c>
      <c r="Q825" s="371"/>
      <c r="R825" s="371"/>
      <c r="S825" s="7"/>
      <c r="T825" s="7"/>
      <c r="U825" s="380"/>
      <c r="V825" s="371"/>
      <c r="W825" s="7"/>
      <c r="X825" s="7"/>
      <c r="Y825" s="7"/>
      <c r="Z825" s="7"/>
      <c r="AA825" s="7"/>
    </row>
    <row r="826" spans="1:27" ht="12.75" x14ac:dyDescent="0.2">
      <c r="A826" s="7"/>
      <c r="B826" s="7"/>
      <c r="C826" s="380"/>
      <c r="D826" s="371"/>
      <c r="E826" s="7"/>
      <c r="F826" s="7"/>
      <c r="G826" s="7"/>
      <c r="H826" s="7"/>
      <c r="I826" s="7"/>
      <c r="J826" s="7"/>
      <c r="K826" s="380"/>
      <c r="L826" s="371"/>
      <c r="M826" s="371"/>
      <c r="N826" s="7"/>
      <c r="O826" s="8" t="b">
        <v>0</v>
      </c>
      <c r="P826" s="378" t="str">
        <f ca="1">道具!$C$52</f>
        <v>增强ＳＰ的坚果</v>
      </c>
      <c r="Q826" s="371"/>
      <c r="R826" s="371"/>
      <c r="S826" s="7"/>
      <c r="T826" s="7"/>
      <c r="U826" s="380"/>
      <c r="V826" s="371"/>
      <c r="W826" s="7"/>
      <c r="X826" s="7"/>
      <c r="Y826" s="7"/>
      <c r="Z826" s="7"/>
      <c r="AA826" s="7"/>
    </row>
    <row r="827" spans="1:27" ht="12.75" x14ac:dyDescent="0.2">
      <c r="A827" s="7"/>
      <c r="B827" s="7"/>
      <c r="C827" s="380"/>
      <c r="D827" s="371"/>
      <c r="E827" s="7"/>
      <c r="F827" s="7"/>
      <c r="G827" s="7"/>
      <c r="H827" s="7"/>
      <c r="I827" s="7"/>
      <c r="J827" s="7"/>
      <c r="K827" s="380"/>
      <c r="L827" s="371"/>
      <c r="M827" s="371"/>
      <c r="N827" s="7"/>
      <c r="O827" s="8" t="b">
        <v>0</v>
      </c>
      <c r="P827" s="378" t="str">
        <f ca="1">道具!$C$450</f>
        <v>青铜背心</v>
      </c>
      <c r="Q827" s="371"/>
      <c r="R827" s="371"/>
      <c r="S827" s="7"/>
      <c r="T827" s="7"/>
      <c r="U827" s="380"/>
      <c r="V827" s="371"/>
      <c r="W827" s="7"/>
      <c r="X827" s="7"/>
      <c r="Y827" s="7"/>
      <c r="Z827" s="7"/>
      <c r="AA827" s="7"/>
    </row>
    <row r="828" spans="1:27" ht="12.75" x14ac:dyDescent="0.2">
      <c r="A828" s="7"/>
      <c r="B828" s="7"/>
      <c r="C828" s="380"/>
      <c r="D828" s="371"/>
      <c r="E828" s="7"/>
      <c r="F828" s="7"/>
      <c r="G828" s="7"/>
      <c r="H828" s="7"/>
      <c r="I828" s="7"/>
      <c r="J828" s="7"/>
      <c r="K828" s="380"/>
      <c r="L828" s="371"/>
      <c r="M828" s="371"/>
      <c r="N828" s="7"/>
      <c r="O828" s="8" t="b">
        <v>0</v>
      </c>
      <c r="P828" s="378" t="str">
        <f ca="1">道具!$C$531</f>
        <v>秘药的素材（扩散）</v>
      </c>
      <c r="Q828" s="371"/>
      <c r="R828" s="371"/>
      <c r="S828" s="7"/>
      <c r="T828" s="7"/>
      <c r="U828" s="380"/>
      <c r="V828" s="371"/>
      <c r="W828" s="7"/>
      <c r="X828" s="7"/>
      <c r="Y828" s="7"/>
      <c r="Z828" s="7"/>
      <c r="AA828" s="7"/>
    </row>
    <row r="829" spans="1:27" ht="12.75" x14ac:dyDescent="0.2">
      <c r="A829" s="7"/>
      <c r="B829" s="7"/>
      <c r="C829" s="380"/>
      <c r="D829" s="371"/>
      <c r="E829" s="7"/>
      <c r="F829" s="7"/>
      <c r="G829" s="7"/>
      <c r="H829" s="7"/>
      <c r="I829" s="7"/>
      <c r="J829" s="7"/>
      <c r="K829" s="380"/>
      <c r="L829" s="371"/>
      <c r="M829" s="371"/>
      <c r="N829" s="7"/>
      <c r="O829" s="7"/>
      <c r="P829" s="380"/>
      <c r="Q829" s="371"/>
      <c r="R829" s="371"/>
      <c r="S829" s="7"/>
      <c r="T829" s="7"/>
      <c r="U829" s="380"/>
      <c r="V829" s="371"/>
      <c r="W829" s="7"/>
      <c r="X829" s="7"/>
      <c r="Y829" s="7"/>
      <c r="Z829" s="7"/>
      <c r="AA829" s="7"/>
    </row>
    <row r="830" spans="1:27" ht="18" x14ac:dyDescent="0.25">
      <c r="A830" s="384" t="str">
        <f ca="1">语言!$A$323&amp;" 2"</f>
        <v>Tier 2</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row>
    <row r="831" spans="1:27" ht="12.75" x14ac:dyDescent="0.2">
      <c r="A831" s="7"/>
      <c r="B831" s="8" t="b">
        <v>0</v>
      </c>
      <c r="C831" s="381" t="str">
        <f ca="1">敌人!C$69</f>
        <v>绅士凯特林</v>
      </c>
      <c r="D831" s="371"/>
      <c r="E831" s="8">
        <f>敌人!D$69</f>
        <v>4</v>
      </c>
      <c r="F831" s="8">
        <f>敌人!E$69</f>
        <v>0</v>
      </c>
      <c r="G831" s="8">
        <f>敌人!F$69</f>
        <v>0</v>
      </c>
      <c r="H831" s="8">
        <f>敌人!G$69</f>
        <v>0</v>
      </c>
      <c r="I831" s="8">
        <f>敌人!H$69</f>
        <v>0</v>
      </c>
      <c r="J831" s="8">
        <f>敌人!I$69</f>
        <v>0</v>
      </c>
      <c r="K831" s="381" t="str">
        <f ca="1">敌人!J$69</f>
        <v>ＨＰ／ＳＰ／ＢＰ恢复的果酱</v>
      </c>
      <c r="L831" s="371"/>
      <c r="M831" s="371"/>
      <c r="N831" s="7"/>
      <c r="O831" s="382" t="str">
        <f ca="1">语言!A$441&amp;" (6 "&amp;语言!$A$19&amp;")"</f>
        <v>圣特布里吉 (6 宝箱)</v>
      </c>
      <c r="P831" s="371"/>
      <c r="Q831" s="371"/>
      <c r="R831" s="371"/>
      <c r="S831" s="7"/>
      <c r="T831" s="382" t="str">
        <f ca="1">语言!A$441</f>
        <v>圣特布里吉</v>
      </c>
      <c r="U831" s="371"/>
      <c r="V831" s="371"/>
      <c r="W831" s="7"/>
      <c r="X831" s="382" t="str">
        <f ca="1">语言!A$441</f>
        <v>圣特布里吉</v>
      </c>
      <c r="Y831" s="371"/>
      <c r="Z831" s="371"/>
      <c r="AA831" s="7"/>
    </row>
    <row r="832" spans="1:27" ht="12.75" x14ac:dyDescent="0.2">
      <c r="A832" s="7"/>
      <c r="B832" s="382" t="str">
        <f ca="1">语言!A$444&amp;" ("&amp;语言!$A$12&amp;" 20 - 23 - 26 - 29)"</f>
        <v>东圣特布里吉川道 (危险度 20 - 23 - 26 - 29)</v>
      </c>
      <c r="C832" s="371"/>
      <c r="D832" s="371"/>
      <c r="E832" s="371"/>
      <c r="F832" s="371"/>
      <c r="G832" s="371"/>
      <c r="H832" s="371"/>
      <c r="I832" s="371"/>
      <c r="J832" s="371"/>
      <c r="K832" s="371"/>
      <c r="L832" s="371"/>
      <c r="M832" s="371"/>
      <c r="N832" s="7"/>
      <c r="O832" s="8" t="b">
        <v>0</v>
      </c>
      <c r="P832" s="378" t="str">
        <f ca="1">道具!$C$7</f>
        <v>ＳＰ恢复的李子（大）</v>
      </c>
      <c r="Q832" s="371"/>
      <c r="R832" s="371"/>
      <c r="S832" s="7"/>
      <c r="T832" s="8" t="b">
        <v>0</v>
      </c>
      <c r="U832" s="381" t="str">
        <f ca="1">道具!$C$6</f>
        <v>ＳＰ恢复的李子</v>
      </c>
      <c r="V832" s="371"/>
      <c r="W832" s="7"/>
      <c r="X832" s="379" t="b">
        <v>0</v>
      </c>
      <c r="Y832" s="401" t="str">
        <f ca="1">语言!$A$1845&amp;" (NPC)
Item:
"&amp;道具!$C$514</f>
        <v>达里尔 (NPC)
Item:
冰之避邪符</v>
      </c>
      <c r="Z832" s="402" t="str">
        <f ca="1">语言!$A$46&amp;" / "&amp;语言!$A$50&amp;" before completing "&amp;语言!$A$35&amp;" chapter 4. "&amp;道具!$C$514&amp;" is a Limited item. His inventory changes after that."</f>
        <v>购买 / 偷取 before completing 欧菲莉亚 chapter 4. 冰之避邪符 is a Limited item. His inventory changes after that.</v>
      </c>
      <c r="AA832" s="7"/>
    </row>
    <row r="833" spans="1:27" ht="12.75" x14ac:dyDescent="0.2">
      <c r="A833" s="7"/>
      <c r="B833" s="8" t="b">
        <v>0</v>
      </c>
      <c r="C833" s="378" t="str">
        <f ca="1">敌人!C$262</f>
        <v>河川巨蛙 IV</v>
      </c>
      <c r="D833" s="371"/>
      <c r="E833" s="10">
        <f>敌人!D$262</f>
        <v>2</v>
      </c>
      <c r="F833" s="10">
        <f>敌人!E$262</f>
        <v>0</v>
      </c>
      <c r="G833" s="10">
        <f>敌人!F$262</f>
        <v>0</v>
      </c>
      <c r="H833" s="10">
        <f>敌人!G$262</f>
        <v>0</v>
      </c>
      <c r="I833" s="10">
        <f>敌人!H$262</f>
        <v>0</v>
      </c>
      <c r="J833" s="10">
        <f>敌人!I$262</f>
        <v>0</v>
      </c>
      <c r="K833" s="378" t="str">
        <f ca="1">敌人!J$262</f>
        <v>ＳＰ恢复的李子</v>
      </c>
      <c r="L833" s="371"/>
      <c r="M833" s="371"/>
      <c r="N833" s="7"/>
      <c r="O833" s="8" t="b">
        <v>0</v>
      </c>
      <c r="P833" s="378" t="str">
        <f ca="1">道具!$C$10</f>
        <v>ＢＰ恢复的石榴（大）</v>
      </c>
      <c r="Q833" s="371"/>
      <c r="R833" s="371"/>
      <c r="S833" s="7"/>
      <c r="T833" s="8" t="b">
        <v>0</v>
      </c>
      <c r="U833" s="381" t="str">
        <f ca="1">道具!$C$12</f>
        <v>ＨＰ／ＳＰ恢复的果酱</v>
      </c>
      <c r="V833" s="371"/>
      <c r="W833" s="7"/>
      <c r="X833" s="371"/>
      <c r="Y833" s="371"/>
      <c r="Z833" s="371"/>
      <c r="AA833" s="7"/>
    </row>
    <row r="834" spans="1:27" ht="12.75" x14ac:dyDescent="0.2">
      <c r="A834" s="7"/>
      <c r="B834" s="8" t="b">
        <v>0</v>
      </c>
      <c r="C834" s="378" t="str">
        <f ca="1">敌人!C$263</f>
        <v>河川巨蛙 V</v>
      </c>
      <c r="D834" s="371"/>
      <c r="E834" s="10">
        <f>敌人!D$263</f>
        <v>3</v>
      </c>
      <c r="F834" s="10">
        <f>敌人!E$263</f>
        <v>0</v>
      </c>
      <c r="G834" s="10">
        <f>敌人!F$263</f>
        <v>0</v>
      </c>
      <c r="H834" s="10">
        <f>敌人!G$263</f>
        <v>0</v>
      </c>
      <c r="I834" s="10">
        <f>敌人!H$263</f>
        <v>0</v>
      </c>
      <c r="J834" s="10">
        <f>敌人!I$263</f>
        <v>0</v>
      </c>
      <c r="K834" s="378" t="str">
        <f ca="1">敌人!J$263</f>
        <v>毒利米树之叶</v>
      </c>
      <c r="L834" s="371"/>
      <c r="M834" s="371"/>
      <c r="N834" s="7"/>
      <c r="O834" s="8" t="b">
        <v>0</v>
      </c>
      <c r="P834" s="378" t="str">
        <f ca="1">道具!$C$29</f>
        <v>睡眠瓶</v>
      </c>
      <c r="Q834" s="371"/>
      <c r="R834" s="371"/>
      <c r="S834" s="7"/>
      <c r="T834" s="8" t="b">
        <v>0</v>
      </c>
      <c r="U834" s="381" t="str">
        <f ca="1">道具!$C$96</f>
        <v>装了破烂儿的小袋子</v>
      </c>
      <c r="V834" s="371"/>
      <c r="W834" s="7"/>
      <c r="X834" s="371"/>
      <c r="Y834" s="371"/>
      <c r="Z834" s="371"/>
      <c r="AA834" s="7"/>
    </row>
    <row r="835" spans="1:27" ht="12.75" x14ac:dyDescent="0.2">
      <c r="A835" s="7"/>
      <c r="B835" s="8" t="b">
        <v>0</v>
      </c>
      <c r="C835" s="378" t="str">
        <f ca="1">敌人!C$264&amp;" (26+)"</f>
        <v>河川巨蛙 VI (26+)</v>
      </c>
      <c r="D835" s="371"/>
      <c r="E835" s="10">
        <f>敌人!D$264</f>
        <v>1</v>
      </c>
      <c r="F835" s="10">
        <f>敌人!E$264</f>
        <v>0</v>
      </c>
      <c r="G835" s="10">
        <f>敌人!F$264</f>
        <v>0</v>
      </c>
      <c r="H835" s="10">
        <f>敌人!G$264</f>
        <v>0</v>
      </c>
      <c r="I835" s="10">
        <f>敌人!H$264</f>
        <v>0</v>
      </c>
      <c r="J835" s="10">
        <f>敌人!I$264</f>
        <v>0</v>
      </c>
      <c r="K835" s="378" t="str">
        <f ca="1">敌人!J$264</f>
        <v>ＨＰ恢复的葡萄（大）</v>
      </c>
      <c r="L835" s="371"/>
      <c r="M835" s="371"/>
      <c r="N835" s="7"/>
      <c r="O835" s="8" t="b">
        <v>0</v>
      </c>
      <c r="P835" s="378" t="str">
        <f ca="1">道具!$C$117</f>
        <v>鼓胀的钱包</v>
      </c>
      <c r="Q835" s="371"/>
      <c r="R835" s="371"/>
      <c r="S835" s="7"/>
      <c r="T835" s="8" t="b">
        <v>0</v>
      </c>
      <c r="U835" s="381" t="str">
        <f ca="1">道具!$C$4</f>
        <v>ＨＰ恢复的葡萄（大）</v>
      </c>
      <c r="V835" s="371"/>
      <c r="W835" s="7"/>
      <c r="X835" s="379" t="b">
        <v>0</v>
      </c>
      <c r="Y835" s="379" t="str">
        <f ca="1">语言!$A$1858&amp;" &amp; "&amp;语言!$A$1996&amp;" (NPC)"</f>
        <v>爱弥儿 &amp; 内特 (NPC)</v>
      </c>
      <c r="Z835" s="402" t="str">
        <f ca="1">语言!$A$46&amp;" / "&amp;语言!$A$50&amp;" both of them. Like "&amp;语言!$A$1845&amp;" their inventory changes after "&amp;语言!$A$35&amp;" chapter 4. They don't have Missable/Limited though."</f>
        <v>购买 / 偷取 both of them. Like 达里尔 their inventory changes after 欧菲莉亚 chapter 4. They don't have Missable/Limited though.</v>
      </c>
      <c r="AA835" s="7"/>
    </row>
    <row r="836" spans="1:27" ht="12.75" x14ac:dyDescent="0.2">
      <c r="A836" s="7"/>
      <c r="B836" s="8" t="b">
        <v>0</v>
      </c>
      <c r="C836" s="378" t="str">
        <f ca="1">敌人!C$265&amp;" (26+)"</f>
        <v>河川大巨蛙 I (26+)</v>
      </c>
      <c r="D836" s="371"/>
      <c r="E836" s="10">
        <f>敌人!D$265</f>
        <v>3</v>
      </c>
      <c r="F836" s="10">
        <f>敌人!E$265</f>
        <v>0</v>
      </c>
      <c r="G836" s="10">
        <f>敌人!F$265</f>
        <v>0</v>
      </c>
      <c r="H836" s="10">
        <f>敌人!G$265</f>
        <v>0</v>
      </c>
      <c r="I836" s="10">
        <f>敌人!H$265</f>
        <v>0</v>
      </c>
      <c r="J836" s="10">
        <f>敌人!I$265</f>
        <v>0</v>
      </c>
      <c r="K836" s="378" t="str">
        <f ca="1">敌人!J$265</f>
        <v>ＨＰ恢复的葡萄（大）</v>
      </c>
      <c r="L836" s="371"/>
      <c r="M836" s="371"/>
      <c r="N836" s="7"/>
      <c r="O836" s="8" t="b">
        <v>0</v>
      </c>
      <c r="P836" s="378" t="str">
        <f ca="1">道具!$C$14</f>
        <v>复活的橄榄</v>
      </c>
      <c r="Q836" s="371"/>
      <c r="R836" s="371"/>
      <c r="S836" s="7"/>
      <c r="T836" s="8" t="b">
        <v>0</v>
      </c>
      <c r="U836" s="381" t="s">
        <v>21</v>
      </c>
      <c r="V836" s="371"/>
      <c r="W836" s="7"/>
      <c r="X836" s="371"/>
      <c r="Y836" s="371"/>
      <c r="Z836" s="371"/>
      <c r="AA836" s="7"/>
    </row>
    <row r="837" spans="1:27" ht="12.75" x14ac:dyDescent="0.2">
      <c r="A837" s="7"/>
      <c r="B837" s="8" t="b">
        <v>0</v>
      </c>
      <c r="C837" s="378" t="str">
        <f ca="1">敌人!C$272&amp;" (23-)"</f>
        <v>沙罗曼达 (23-)</v>
      </c>
      <c r="D837" s="371"/>
      <c r="E837" s="10">
        <f>敌人!D$272</f>
        <v>3</v>
      </c>
      <c r="F837" s="10">
        <f>敌人!E$272</f>
        <v>0</v>
      </c>
      <c r="G837" s="10">
        <f>敌人!F$272</f>
        <v>0</v>
      </c>
      <c r="H837" s="10">
        <f>敌人!G$272</f>
        <v>0</v>
      </c>
      <c r="I837" s="10">
        <f>敌人!H$272</f>
        <v>0</v>
      </c>
      <c r="J837" s="10">
        <f>敌人!I$272</f>
        <v>0</v>
      </c>
      <c r="K837" s="378" t="str">
        <f ca="1">敌人!J$272</f>
        <v>橄榄花</v>
      </c>
      <c r="L837" s="371"/>
      <c r="M837" s="371"/>
      <c r="N837" s="7"/>
      <c r="O837" s="8" t="b">
        <v>0</v>
      </c>
      <c r="P837" s="378" t="str">
        <f ca="1">道具!$C$23</f>
        <v>恐怖治疗药草</v>
      </c>
      <c r="Q837" s="371"/>
      <c r="R837" s="371"/>
      <c r="S837" s="7"/>
      <c r="T837" s="8" t="b">
        <v>0</v>
      </c>
      <c r="U837" s="381" t="str">
        <f ca="1">道具!$C$7</f>
        <v>ＳＰ恢复的李子（大）</v>
      </c>
      <c r="V837" s="371"/>
      <c r="W837" s="7"/>
      <c r="X837" s="371"/>
      <c r="Y837" s="371"/>
      <c r="Z837" s="371"/>
      <c r="AA837" s="7"/>
    </row>
    <row r="838" spans="1:27" ht="12.75" x14ac:dyDescent="0.2">
      <c r="A838" s="7"/>
      <c r="B838" s="8" t="b">
        <v>0</v>
      </c>
      <c r="C838" s="378" t="str">
        <f ca="1">敌人!C$63&amp;" (26+)"</f>
        <v>沙罗曼达异种 (26+)</v>
      </c>
      <c r="D838" s="371"/>
      <c r="E838" s="10">
        <f>敌人!D$63</f>
        <v>4</v>
      </c>
      <c r="F838" s="10">
        <f>敌人!E$63</f>
        <v>0</v>
      </c>
      <c r="G838" s="10">
        <f>敌人!F$63</f>
        <v>0</v>
      </c>
      <c r="H838" s="10">
        <f>敌人!G$63</f>
        <v>0</v>
      </c>
      <c r="I838" s="10">
        <f>敌人!H$63</f>
        <v>0</v>
      </c>
      <c r="J838" s="10">
        <f>敌人!I$63</f>
        <v>0</v>
      </c>
      <c r="K838" s="378" t="str">
        <f ca="1">敌人!J$63</f>
        <v>橄榄花</v>
      </c>
      <c r="L838" s="371"/>
      <c r="M838" s="371"/>
      <c r="N838" s="7"/>
      <c r="O838" s="382" t="str">
        <f ca="1">语言!A$444&amp;" (3 "&amp;语言!$A$19&amp;")"</f>
        <v>东圣特布里吉川道 (3 宝箱)</v>
      </c>
      <c r="P838" s="371"/>
      <c r="Q838" s="371"/>
      <c r="R838" s="371"/>
      <c r="S838" s="7"/>
      <c r="T838" s="8" t="b">
        <v>0</v>
      </c>
      <c r="U838" s="381" t="str">
        <f ca="1">道具!$C$127</f>
        <v>放了铜块的麻袋</v>
      </c>
      <c r="V838" s="371"/>
      <c r="W838" s="7"/>
      <c r="X838" s="379" t="b">
        <v>0</v>
      </c>
      <c r="Y838" s="379" t="str">
        <f ca="1">语言!$A$1766&amp;" (NPC)
Item:
"&amp;道具!$C$137</f>
        <v>阿尔法丝 (NPC)
Item:
魔力之剑</v>
      </c>
      <c r="Z838" s="402" t="str">
        <f ca="1">"* This is not required for your collector achievement, the following is useful only if you want to increase your maximum count before this method is not available anymore otherwise you'll get only 1 in a chest.
There are multiple location where "&amp;语言!$A$1766&amp;" can be, I find the one when he is on the bridge near "&amp;语言!$A$448&amp;" entrance to be the best for farming "&amp;道具!$C$137&amp;". Even though he is 8* compared to only 5* when he was in "&amp;语言!$A$457&amp;", there are still ways to setup Olberic to be able to one-shot him, so being near a town's exit to raise him back up is more significant in saving time when grinding him, unfortunatly when he is in "&amp;语言!$A$457&amp;" zoning in/out of the "&amp;语言!$A$463&amp;" is glitched with this NPC. Be sure you don't complete quest: Daughter of the Dark God (II) until you have enough Enchanted Sword to your liking otherwise you can still do it but it will be a longer process if you want multiple copies of that item. Do not"&amp;"e also the drop rate is quite low for this one."</f>
        <v>* This is not required for your collector achievement, the following is useful only if you want to increase your maximum count before this method is not available anymore otherwise you'll get only 1 in a chest.
There are multiple location where 阿尔法丝 can be, I find the one when he is on the bridge near 利维耶拉之森 entrance to be the best for farming 魔力之剑. Even though he is 8* compared to only 5* when he was in 柏达弗尔, there are still ways to setup Olberic to be able to one-shot him, so being near a town's exit to raise him back up is more significant in saving time when grinding him, unfortunatly when he is in 柏达弗尔 zoning in/out of the 瑞布斯的宅邸 is glitched with this NPC. Be sure you don't complete quest: Daughter of the Dark God (II) until you have enough Enchanted Sword to your liking otherwise you can still do it but it will be a longer process if you want multiple copies of that item. Do note also the drop rate is quite low for this one.</v>
      </c>
      <c r="AA838" s="7"/>
    </row>
    <row r="839" spans="1:27" ht="12.75" x14ac:dyDescent="0.2">
      <c r="A839" s="7"/>
      <c r="B839" s="8" t="b">
        <v>0</v>
      </c>
      <c r="C839" s="378" t="str">
        <f ca="1">敌人!C$257</f>
        <v>腐臭虫</v>
      </c>
      <c r="D839" s="371"/>
      <c r="E839" s="10">
        <f>敌人!D$257</f>
        <v>3</v>
      </c>
      <c r="F839" s="10">
        <f>敌人!E$257</f>
        <v>0</v>
      </c>
      <c r="G839" s="10">
        <f>敌人!F$257</f>
        <v>0</v>
      </c>
      <c r="H839" s="10">
        <f>敌人!G$257</f>
        <v>0</v>
      </c>
      <c r="I839" s="10">
        <f>敌人!H$257</f>
        <v>0</v>
      </c>
      <c r="J839" s="10">
        <f>敌人!I$257</f>
        <v>0</v>
      </c>
      <c r="K839" s="378" t="str">
        <f ca="1">敌人!J$257</f>
        <v>毒利米树之叶</v>
      </c>
      <c r="L839" s="371"/>
      <c r="M839" s="371"/>
      <c r="N839" s="7"/>
      <c r="O839" s="8" t="b">
        <v>0</v>
      </c>
      <c r="P839" s="378" t="str">
        <f ca="1">道具!$C$18</f>
        <v>毒治疗药草</v>
      </c>
      <c r="Q839" s="371"/>
      <c r="R839" s="371"/>
      <c r="S839" s="7"/>
      <c r="T839" s="8" t="b">
        <v>0</v>
      </c>
      <c r="U839" s="381" t="str">
        <f ca="1">道具!$C$34</f>
        <v>冰之精灵石（大）</v>
      </c>
      <c r="V839" s="371"/>
      <c r="W839" s="7"/>
      <c r="X839" s="371"/>
      <c r="Y839" s="371"/>
      <c r="Z839" s="371"/>
      <c r="AA839" s="7"/>
    </row>
    <row r="840" spans="1:27" ht="12.75" x14ac:dyDescent="0.2">
      <c r="A840" s="7"/>
      <c r="B840" s="8" t="b">
        <v>0</v>
      </c>
      <c r="C840" s="378" t="str">
        <f ca="1">敌人!C$251&amp;" (26+)"</f>
        <v>雷普塔利翁 (26+)</v>
      </c>
      <c r="D840" s="371"/>
      <c r="E840" s="10">
        <f>敌人!D$251</f>
        <v>3</v>
      </c>
      <c r="F840" s="10">
        <f>敌人!E$251</f>
        <v>0</v>
      </c>
      <c r="G840" s="10">
        <f>敌人!F$251</f>
        <v>0</v>
      </c>
      <c r="H840" s="10">
        <f>敌人!G$251</f>
        <v>0</v>
      </c>
      <c r="I840" s="10">
        <f>敌人!H$251</f>
        <v>0</v>
      </c>
      <c r="J840" s="10">
        <f>敌人!I$251</f>
        <v>0</v>
      </c>
      <c r="K840" s="378" t="str">
        <f ca="1">敌人!J$251</f>
        <v>ＨＰ恢复的葡萄（大）</v>
      </c>
      <c r="L840" s="371"/>
      <c r="M840" s="371"/>
      <c r="N840" s="7"/>
      <c r="O840" s="8" t="b">
        <v>0</v>
      </c>
      <c r="P840" s="378" t="str">
        <f ca="1">道具!$C$4</f>
        <v>ＨＰ恢复的葡萄（大）</v>
      </c>
      <c r="Q840" s="371"/>
      <c r="R840" s="371"/>
      <c r="S840" s="7"/>
      <c r="T840" s="7"/>
      <c r="U840" s="380"/>
      <c r="V840" s="371"/>
      <c r="W840" s="7"/>
      <c r="X840" s="371"/>
      <c r="Y840" s="371"/>
      <c r="Z840" s="371"/>
      <c r="AA840" s="7"/>
    </row>
    <row r="841" spans="1:27" ht="12.75" x14ac:dyDescent="0.2">
      <c r="A841" s="7"/>
      <c r="B841" s="8" t="b">
        <v>0</v>
      </c>
      <c r="C841" s="378" t="str">
        <f ca="1">敌人!C$258&amp;" (23-)"</f>
        <v>河川苍蝇 (23-)</v>
      </c>
      <c r="D841" s="371"/>
      <c r="E841" s="10">
        <f>敌人!D$258</f>
        <v>1</v>
      </c>
      <c r="F841" s="10">
        <f>敌人!E$258</f>
        <v>0</v>
      </c>
      <c r="G841" s="10">
        <f>敌人!F$258</f>
        <v>0</v>
      </c>
      <c r="H841" s="10">
        <f>敌人!G$258</f>
        <v>0</v>
      </c>
      <c r="I841" s="10">
        <f>敌人!H$258</f>
        <v>0</v>
      </c>
      <c r="J841" s="10">
        <f>敌人!I$258</f>
        <v>0</v>
      </c>
      <c r="K841" s="378" t="str">
        <f ca="1">敌人!J$258</f>
        <v>混乱多之叶</v>
      </c>
      <c r="L841" s="371"/>
      <c r="M841" s="371"/>
      <c r="N841" s="7"/>
      <c r="O841" s="8" t="b">
        <v>0</v>
      </c>
      <c r="P841" s="378" t="str">
        <f ca="1">道具!$C$116</f>
        <v>稀奇的石头</v>
      </c>
      <c r="Q841" s="371"/>
      <c r="R841" s="371"/>
      <c r="S841" s="7"/>
      <c r="T841" s="7"/>
      <c r="U841" s="380"/>
      <c r="V841" s="371"/>
      <c r="W841" s="7"/>
      <c r="X841" s="371"/>
      <c r="Y841" s="371"/>
      <c r="Z841" s="371"/>
      <c r="AA841" s="7"/>
    </row>
    <row r="842" spans="1:27" ht="12.75" x14ac:dyDescent="0.2">
      <c r="A842" s="7"/>
      <c r="B842" s="8" t="b">
        <v>0</v>
      </c>
      <c r="C842" s="378" t="str">
        <f ca="1">敌人!C$167&amp;" (26+)"</f>
        <v>河川苍蝇异种 (26+)</v>
      </c>
      <c r="D842" s="371"/>
      <c r="E842" s="10">
        <f>敌人!D$167</f>
        <v>2</v>
      </c>
      <c r="F842" s="10">
        <f>敌人!E$167</f>
        <v>0</v>
      </c>
      <c r="G842" s="10">
        <f>敌人!F$167</f>
        <v>0</v>
      </c>
      <c r="H842" s="10">
        <f>敌人!G$167</f>
        <v>0</v>
      </c>
      <c r="I842" s="10">
        <f>敌人!H$167</f>
        <v>0</v>
      </c>
      <c r="J842" s="10">
        <f>敌人!I$167</f>
        <v>0</v>
      </c>
      <c r="K842" s="378" t="str">
        <f ca="1">敌人!J$167</f>
        <v>混乱多之叶</v>
      </c>
      <c r="L842" s="371"/>
      <c r="M842" s="371"/>
      <c r="N842" s="7"/>
      <c r="O842" s="382" t="str">
        <f ca="1">语言!A$445&amp;" (7 "&amp;语言!$A$19&amp;")"</f>
        <v>边境河岸 (7 宝箱)</v>
      </c>
      <c r="P842" s="371"/>
      <c r="Q842" s="371"/>
      <c r="R842" s="371"/>
      <c r="S842" s="7"/>
      <c r="T842" s="7"/>
      <c r="U842" s="380"/>
      <c r="V842" s="371"/>
      <c r="W842" s="7"/>
      <c r="X842" s="371"/>
      <c r="Y842" s="371"/>
      <c r="Z842" s="371"/>
      <c r="AA842" s="7"/>
    </row>
    <row r="843" spans="1:27" ht="12.75" x14ac:dyDescent="0.2">
      <c r="A843" s="7"/>
      <c r="B843" s="382" t="str">
        <f ca="1">语言!A$445&amp;" ("&amp;语言!$A$12&amp;" 30)"</f>
        <v>边境河岸 (危险度 30)</v>
      </c>
      <c r="C843" s="371"/>
      <c r="D843" s="371"/>
      <c r="E843" s="371"/>
      <c r="F843" s="371"/>
      <c r="G843" s="371"/>
      <c r="H843" s="371"/>
      <c r="I843" s="371"/>
      <c r="J843" s="371"/>
      <c r="K843" s="371"/>
      <c r="L843" s="371"/>
      <c r="M843" s="371"/>
      <c r="N843" s="7"/>
      <c r="O843" s="8" t="b">
        <v>0</v>
      </c>
      <c r="P843" s="378" t="str">
        <f ca="1">道具!$C$8</f>
        <v>ＳＰ全体恢复的李子</v>
      </c>
      <c r="Q843" s="371"/>
      <c r="R843" s="371"/>
      <c r="S843" s="7"/>
      <c r="T843" s="7"/>
      <c r="U843" s="380"/>
      <c r="V843" s="371"/>
      <c r="W843" s="7"/>
      <c r="X843" s="371"/>
      <c r="Y843" s="371"/>
      <c r="Z843" s="371"/>
      <c r="AA843" s="7"/>
    </row>
    <row r="844" spans="1:27" ht="12.75" x14ac:dyDescent="0.2">
      <c r="A844" s="7"/>
      <c r="B844" s="8" t="b">
        <v>0</v>
      </c>
      <c r="C844" s="378" t="str">
        <f ca="1">敌人!C$8</f>
        <v>行走骷髅</v>
      </c>
      <c r="D844" s="371"/>
      <c r="E844" s="10">
        <f>敌人!D$8</f>
        <v>2</v>
      </c>
      <c r="F844" s="10">
        <f>敌人!E$8</f>
        <v>0</v>
      </c>
      <c r="G844" s="10">
        <f>敌人!F$8</f>
        <v>0</v>
      </c>
      <c r="H844" s="10">
        <f>敌人!G$8</f>
        <v>0</v>
      </c>
      <c r="I844" s="10">
        <f>敌人!H$8</f>
        <v>0</v>
      </c>
      <c r="J844" s="10">
        <f>敌人!I$8</f>
        <v>0</v>
      </c>
      <c r="K844" s="378" t="str">
        <f ca="1">敌人!J$8</f>
        <v>ＨＰ恢复的葡萄</v>
      </c>
      <c r="L844" s="371"/>
      <c r="M844" s="371"/>
      <c r="N844" s="7"/>
      <c r="O844" s="8" t="b">
        <v>0</v>
      </c>
      <c r="P844" s="378" t="str">
        <f ca="1">道具!$C$16</f>
        <v>复活的橄榄（大）</v>
      </c>
      <c r="Q844" s="371"/>
      <c r="R844" s="371"/>
      <c r="S844" s="7"/>
      <c r="T844" s="7"/>
      <c r="U844" s="380"/>
      <c r="V844" s="371"/>
      <c r="W844" s="7"/>
      <c r="X844" s="371"/>
      <c r="Y844" s="371"/>
      <c r="Z844" s="371"/>
      <c r="AA844" s="7"/>
    </row>
    <row r="845" spans="1:27" ht="12.75" x14ac:dyDescent="0.2">
      <c r="A845" s="7"/>
      <c r="B845" s="8" t="b">
        <v>0</v>
      </c>
      <c r="C845" s="378" t="str">
        <f ca="1">敌人!C$17</f>
        <v>山贼骷髅</v>
      </c>
      <c r="D845" s="371"/>
      <c r="E845" s="10">
        <f>敌人!D$17</f>
        <v>2</v>
      </c>
      <c r="F845" s="10">
        <f>敌人!E$17</f>
        <v>0</v>
      </c>
      <c r="G845" s="10">
        <f>敌人!F$17</f>
        <v>0</v>
      </c>
      <c r="H845" s="10">
        <f>敌人!G$17</f>
        <v>0</v>
      </c>
      <c r="I845" s="10">
        <f>敌人!H$17</f>
        <v>0</v>
      </c>
      <c r="J845" s="10">
        <f>敌人!I$17</f>
        <v>0</v>
      </c>
      <c r="K845" s="378" t="str">
        <f ca="1">敌人!J$17</f>
        <v>装了破烂儿的小袋子</v>
      </c>
      <c r="L845" s="371"/>
      <c r="M845" s="371"/>
      <c r="N845" s="7"/>
      <c r="O845" s="8" t="b">
        <v>0</v>
      </c>
      <c r="P845" s="378" t="str">
        <f ca="1">道具!$C$10</f>
        <v>ＢＰ恢复的石榴（大）</v>
      </c>
      <c r="Q845" s="371"/>
      <c r="R845" s="371"/>
      <c r="S845" s="7"/>
      <c r="T845" s="7"/>
      <c r="U845" s="380"/>
      <c r="V845" s="371"/>
      <c r="W845" s="7"/>
      <c r="X845" s="371"/>
      <c r="Y845" s="371"/>
      <c r="Z845" s="371"/>
      <c r="AA845" s="7"/>
    </row>
    <row r="846" spans="1:27" ht="12.75" x14ac:dyDescent="0.2">
      <c r="A846" s="7"/>
      <c r="B846" s="8" t="b">
        <v>0</v>
      </c>
      <c r="C846" s="378" t="str">
        <f ca="1">敌人!C$38</f>
        <v>山贼骷髅异种</v>
      </c>
      <c r="D846" s="371"/>
      <c r="E846" s="10">
        <f>敌人!D$38</f>
        <v>1</v>
      </c>
      <c r="F846" s="10">
        <f>敌人!E$38</f>
        <v>0</v>
      </c>
      <c r="G846" s="10">
        <f>敌人!F$38</f>
        <v>0</v>
      </c>
      <c r="H846" s="10">
        <f>敌人!G$38</f>
        <v>0</v>
      </c>
      <c r="I846" s="10">
        <f>敌人!H$38</f>
        <v>0</v>
      </c>
      <c r="J846" s="10">
        <f>敌人!I$38</f>
        <v>0</v>
      </c>
      <c r="K846" s="378" t="str">
        <f ca="1">敌人!J$38</f>
        <v>恐怖治疗药草</v>
      </c>
      <c r="L846" s="371"/>
      <c r="M846" s="371"/>
      <c r="N846" s="7"/>
      <c r="O846" s="8" t="b">
        <v>0</v>
      </c>
      <c r="P846" s="378" t="str">
        <f ca="1">道具!$C$5</f>
        <v>ＨＰ全体恢复的葡萄</v>
      </c>
      <c r="Q846" s="371"/>
      <c r="R846" s="371"/>
      <c r="S846" s="7"/>
      <c r="T846" s="7"/>
      <c r="U846" s="380"/>
      <c r="V846" s="371"/>
      <c r="W846" s="7"/>
      <c r="X846" s="371"/>
      <c r="Y846" s="371"/>
      <c r="Z846" s="371"/>
      <c r="AA846" s="7"/>
    </row>
    <row r="847" spans="1:27" ht="12.75" x14ac:dyDescent="0.2">
      <c r="A847" s="7"/>
      <c r="B847" s="8" t="b">
        <v>0</v>
      </c>
      <c r="C847" s="378" t="str">
        <f ca="1">敌人!C$46</f>
        <v>海盗骷髅</v>
      </c>
      <c r="D847" s="371"/>
      <c r="E847" s="10">
        <f>敌人!D$46</f>
        <v>1</v>
      </c>
      <c r="F847" s="10">
        <f>敌人!E$46</f>
        <v>0</v>
      </c>
      <c r="G847" s="10">
        <f>敌人!F$46</f>
        <v>0</v>
      </c>
      <c r="H847" s="10">
        <f>敌人!G$46</f>
        <v>0</v>
      </c>
      <c r="I847" s="10">
        <f>敌人!H$46</f>
        <v>0</v>
      </c>
      <c r="J847" s="10">
        <f>敌人!I$46</f>
        <v>0</v>
      </c>
      <c r="K847" s="378" t="str">
        <f ca="1">敌人!J$46</f>
        <v>发梳</v>
      </c>
      <c r="L847" s="371"/>
      <c r="M847" s="371"/>
      <c r="N847" s="7"/>
      <c r="O847" s="8" t="b">
        <v>0</v>
      </c>
      <c r="P847" s="378" t="str">
        <f ca="1">道具!$C$35</f>
        <v>冰之精灵石（特大）</v>
      </c>
      <c r="Q847" s="371"/>
      <c r="R847" s="371"/>
      <c r="S847" s="7"/>
      <c r="T847" s="7"/>
      <c r="U847" s="380"/>
      <c r="V847" s="371"/>
      <c r="W847" s="7"/>
      <c r="X847" s="371"/>
      <c r="Y847" s="371"/>
      <c r="Z847" s="371"/>
      <c r="AA847" s="7"/>
    </row>
    <row r="848" spans="1:27" ht="12.75" x14ac:dyDescent="0.2">
      <c r="A848" s="7"/>
      <c r="B848" s="8" t="b">
        <v>0</v>
      </c>
      <c r="C848" s="378" t="str">
        <f ca="1">敌人!C$82</f>
        <v>海盗骷髅异种</v>
      </c>
      <c r="D848" s="371"/>
      <c r="E848" s="10">
        <f>敌人!D$82</f>
        <v>3</v>
      </c>
      <c r="F848" s="10">
        <f>敌人!E$82</f>
        <v>0</v>
      </c>
      <c r="G848" s="10">
        <f>敌人!F$82</f>
        <v>0</v>
      </c>
      <c r="H848" s="10">
        <f>敌人!G$82</f>
        <v>0</v>
      </c>
      <c r="I848" s="10">
        <f>敌人!H$82</f>
        <v>0</v>
      </c>
      <c r="J848" s="10">
        <f>敌人!I$82</f>
        <v>0</v>
      </c>
      <c r="K848" s="378" t="str">
        <f ca="1">敌人!J$82</f>
        <v>铜制提灯</v>
      </c>
      <c r="L848" s="371"/>
      <c r="M848" s="371"/>
      <c r="N848" s="7"/>
      <c r="O848" s="8" t="b">
        <v>0</v>
      </c>
      <c r="P848" s="378" t="str">
        <f ca="1">"30 000$ ("&amp;语言!$A$20&amp;")"</f>
        <v>30 000$ (上锁宝箱)</v>
      </c>
      <c r="Q848" s="371"/>
      <c r="R848" s="371"/>
      <c r="S848" s="7"/>
      <c r="T848" s="7"/>
      <c r="U848" s="380"/>
      <c r="V848" s="371"/>
      <c r="W848" s="7"/>
      <c r="X848" s="371"/>
      <c r="Y848" s="371"/>
      <c r="Z848" s="371"/>
      <c r="AA848" s="7"/>
    </row>
    <row r="849" spans="1:27" ht="12.75" x14ac:dyDescent="0.2">
      <c r="A849" s="7"/>
      <c r="B849" s="8" t="b">
        <v>0</v>
      </c>
      <c r="C849" s="378" t="str">
        <f ca="1">敌人!C$216</f>
        <v>傀儡骷髅</v>
      </c>
      <c r="D849" s="371"/>
      <c r="E849" s="10">
        <f>敌人!D$216</f>
        <v>1</v>
      </c>
      <c r="F849" s="10">
        <f>敌人!E$216</f>
        <v>0</v>
      </c>
      <c r="G849" s="10">
        <f>敌人!F$216</f>
        <v>0</v>
      </c>
      <c r="H849" s="10">
        <f>敌人!G$216</f>
        <v>0</v>
      </c>
      <c r="I849" s="10">
        <f>敌人!H$216</f>
        <v>0</v>
      </c>
      <c r="J849" s="10">
        <f>敌人!I$216</f>
        <v>0</v>
      </c>
      <c r="K849" s="378" t="str">
        <f ca="1">敌人!J$216</f>
        <v>混乱治疗药草</v>
      </c>
      <c r="L849" s="371"/>
      <c r="M849" s="371"/>
      <c r="N849" s="7"/>
      <c r="O849" s="8" t="b">
        <v>0</v>
      </c>
      <c r="P849" s="378" t="str">
        <f ca="1">道具!$C$525&amp;" ("&amp;语言!$A$20&amp;")"</f>
        <v>混乱耐性石 (上锁宝箱)</v>
      </c>
      <c r="Q849" s="371"/>
      <c r="R849" s="371"/>
      <c r="S849" s="7"/>
      <c r="T849" s="7"/>
      <c r="U849" s="380"/>
      <c r="V849" s="371"/>
      <c r="W849" s="7"/>
      <c r="X849" s="371"/>
      <c r="Y849" s="371"/>
      <c r="Z849" s="371"/>
      <c r="AA849" s="7"/>
    </row>
    <row r="850" spans="1:27" ht="12.75" x14ac:dyDescent="0.2">
      <c r="A850" s="7"/>
      <c r="B850" s="8" t="b">
        <v>0</v>
      </c>
      <c r="C850" s="378" t="str">
        <f ca="1">敌人!C$239</f>
        <v>傀儡骷髅异种</v>
      </c>
      <c r="D850" s="371"/>
      <c r="E850" s="10">
        <f>敌人!D$239</f>
        <v>2</v>
      </c>
      <c r="F850" s="10">
        <f>敌人!E$239</f>
        <v>0</v>
      </c>
      <c r="G850" s="10">
        <f>敌人!F$239</f>
        <v>0</v>
      </c>
      <c r="H850" s="10">
        <f>敌人!G$239</f>
        <v>0</v>
      </c>
      <c r="I850" s="10">
        <f>敌人!H$239</f>
        <v>0</v>
      </c>
      <c r="J850" s="10">
        <f>敌人!I$239</f>
        <v>0</v>
      </c>
      <c r="K850" s="378" t="str">
        <f ca="1">敌人!J$239</f>
        <v>混乱治疗药草</v>
      </c>
      <c r="L850" s="371"/>
      <c r="M850" s="371"/>
      <c r="N850" s="7"/>
      <c r="O850" s="7"/>
      <c r="P850" s="380"/>
      <c r="Q850" s="371"/>
      <c r="R850" s="371"/>
      <c r="S850" s="7"/>
      <c r="T850" s="7"/>
      <c r="U850" s="380"/>
      <c r="V850" s="371"/>
      <c r="W850" s="7"/>
      <c r="X850" s="371"/>
      <c r="Y850" s="371"/>
      <c r="Z850" s="371"/>
      <c r="AA850" s="7"/>
    </row>
    <row r="851" spans="1:27" ht="12.75" x14ac:dyDescent="0.2">
      <c r="A851" s="7"/>
      <c r="B851" s="8" t="b">
        <v>0</v>
      </c>
      <c r="C851" s="378" t="str">
        <f ca="1">敌人!C$350</f>
        <v>战士骷髅</v>
      </c>
      <c r="D851" s="371"/>
      <c r="E851" s="10">
        <f>敌人!D$350</f>
        <v>2</v>
      </c>
      <c r="F851" s="10">
        <f>敌人!E$350</f>
        <v>0</v>
      </c>
      <c r="G851" s="10">
        <f>敌人!F$350</f>
        <v>0</v>
      </c>
      <c r="H851" s="10">
        <f>敌人!G$350</f>
        <v>0</v>
      </c>
      <c r="I851" s="10">
        <f>敌人!H$350</f>
        <v>0</v>
      </c>
      <c r="J851" s="10">
        <f>敌人!I$350</f>
        <v>0</v>
      </c>
      <c r="K851" s="378" t="str">
        <f ca="1">敌人!J$350</f>
        <v>混乱瓶</v>
      </c>
      <c r="L851" s="371"/>
      <c r="M851" s="371"/>
      <c r="N851" s="7"/>
      <c r="O851" s="7"/>
      <c r="P851" s="380"/>
      <c r="Q851" s="371"/>
      <c r="R851" s="371"/>
      <c r="S851" s="7"/>
      <c r="T851" s="7"/>
      <c r="U851" s="380"/>
      <c r="V851" s="371"/>
      <c r="W851" s="7"/>
      <c r="X851" s="371"/>
      <c r="Y851" s="371"/>
      <c r="Z851" s="371"/>
      <c r="AA851" s="7"/>
    </row>
    <row r="852" spans="1:27" ht="12.75" x14ac:dyDescent="0.2">
      <c r="A852" s="7"/>
      <c r="B852" s="8" t="b">
        <v>0</v>
      </c>
      <c r="C852" s="378" t="str">
        <f ca="1">敌人!C$360</f>
        <v>风元素</v>
      </c>
      <c r="D852" s="371"/>
      <c r="E852" s="10">
        <f>敌人!D$360</f>
        <v>4</v>
      </c>
      <c r="F852" s="10">
        <f>敌人!E$360</f>
        <v>0</v>
      </c>
      <c r="G852" s="10">
        <f>敌人!F$360</f>
        <v>0</v>
      </c>
      <c r="H852" s="10">
        <f>敌人!G$360</f>
        <v>0</v>
      </c>
      <c r="I852" s="10">
        <f>敌人!H$360</f>
        <v>0</v>
      </c>
      <c r="J852" s="10">
        <f>敌人!I$360</f>
        <v>0</v>
      </c>
      <c r="K852" s="378" t="str">
        <f ca="1">敌人!J$360</f>
        <v>风之精灵石（特大）</v>
      </c>
      <c r="L852" s="371"/>
      <c r="M852" s="371"/>
      <c r="N852" s="7"/>
      <c r="O852" s="7"/>
      <c r="P852" s="380"/>
      <c r="Q852" s="371"/>
      <c r="R852" s="371"/>
      <c r="S852" s="7"/>
      <c r="T852" s="7"/>
      <c r="U852" s="380"/>
      <c r="V852" s="371"/>
      <c r="W852" s="7"/>
      <c r="X852" s="371"/>
      <c r="Y852" s="371"/>
      <c r="Z852" s="371"/>
      <c r="AA852" s="7"/>
    </row>
    <row r="853" spans="1:27" ht="12.75" x14ac:dyDescent="0.2">
      <c r="A853" s="7"/>
      <c r="B853" s="8" t="b">
        <v>0</v>
      </c>
      <c r="C853" s="378" t="str">
        <f ca="1">敌人!C$198</f>
        <v>光元素</v>
      </c>
      <c r="D853" s="371"/>
      <c r="E853" s="10">
        <f>敌人!D$198</f>
        <v>4</v>
      </c>
      <c r="F853" s="10">
        <f>敌人!E$198</f>
        <v>0</v>
      </c>
      <c r="G853" s="10">
        <f>敌人!F$198</f>
        <v>0</v>
      </c>
      <c r="H853" s="10">
        <f>敌人!G$198</f>
        <v>0</v>
      </c>
      <c r="I853" s="10">
        <f>敌人!H$198</f>
        <v>0</v>
      </c>
      <c r="J853" s="10">
        <f>敌人!I$198</f>
        <v>0</v>
      </c>
      <c r="K853" s="378" t="str">
        <f ca="1">敌人!J$198</f>
        <v>光之精灵石（特大）</v>
      </c>
      <c r="L853" s="371"/>
      <c r="M853" s="371"/>
      <c r="N853" s="7"/>
      <c r="O853" s="7"/>
      <c r="P853" s="405"/>
      <c r="Q853" s="371"/>
      <c r="R853" s="371"/>
      <c r="S853" s="7"/>
      <c r="T853" s="7"/>
      <c r="U853" s="380"/>
      <c r="V853" s="371"/>
      <c r="W853" s="7"/>
      <c r="X853" s="7"/>
      <c r="Y853" s="7"/>
      <c r="Z853" s="7"/>
      <c r="AA853" s="7"/>
    </row>
    <row r="854" spans="1:27" ht="12.75" x14ac:dyDescent="0.2">
      <c r="A854" s="7"/>
      <c r="B854" s="7"/>
      <c r="C854" s="380"/>
      <c r="D854" s="371"/>
      <c r="E854" s="7"/>
      <c r="F854" s="7"/>
      <c r="G854" s="7"/>
      <c r="H854" s="7"/>
      <c r="I854" s="7"/>
      <c r="J854" s="7"/>
      <c r="K854" s="380"/>
      <c r="L854" s="371"/>
      <c r="M854" s="371"/>
      <c r="N854" s="7"/>
      <c r="O854" s="7"/>
      <c r="P854" s="405"/>
      <c r="Q854" s="371"/>
      <c r="R854" s="371"/>
      <c r="S854" s="7"/>
      <c r="T854" s="7"/>
      <c r="U854" s="380"/>
      <c r="V854" s="371"/>
      <c r="W854" s="7"/>
      <c r="X854" s="7"/>
      <c r="Y854" s="7"/>
      <c r="Z854" s="7"/>
      <c r="AA854" s="7"/>
    </row>
    <row r="855" spans="1:27" ht="12.75" x14ac:dyDescent="0.2">
      <c r="A855" s="7"/>
      <c r="B855" s="385" t="str">
        <f ca="1">语言!$A$35&amp;" "&amp;语言!$A$14&amp;" 2"</f>
        <v>欧菲莉亚 章节 2</v>
      </c>
      <c r="C855" s="371"/>
      <c r="D855" s="371"/>
      <c r="E855" s="371"/>
      <c r="F855" s="371"/>
      <c r="G855" s="371"/>
      <c r="H855" s="371"/>
      <c r="I855" s="371"/>
      <c r="J855" s="371"/>
      <c r="K855" s="371"/>
      <c r="L855" s="371"/>
      <c r="M855" s="371"/>
      <c r="N855" s="7"/>
      <c r="O855" s="385" t="str">
        <f ca="1">语言!$A$35&amp;" "&amp;语言!$A$14&amp;" 2"</f>
        <v>欧菲莉亚 章节 2</v>
      </c>
      <c r="P855" s="371"/>
      <c r="Q855" s="371"/>
      <c r="R855" s="371"/>
      <c r="S855" s="7"/>
      <c r="T855" s="7"/>
      <c r="U855" s="380"/>
      <c r="V855" s="371"/>
      <c r="W855" s="7"/>
      <c r="X855" s="7"/>
      <c r="Y855" s="7"/>
      <c r="Z855" s="7"/>
      <c r="AA855" s="7"/>
    </row>
    <row r="856" spans="1:27" ht="12.75" x14ac:dyDescent="0.2">
      <c r="A856" s="7"/>
      <c r="B856" s="382" t="str">
        <f ca="1">语言!A$446&amp;" ("&amp;语言!$A$12&amp;" 20)"</f>
        <v>通往黑暗之森的道路 (危险度 20)</v>
      </c>
      <c r="C856" s="371"/>
      <c r="D856" s="371"/>
      <c r="E856" s="371"/>
      <c r="F856" s="371"/>
      <c r="G856" s="371"/>
      <c r="H856" s="371"/>
      <c r="I856" s="371"/>
      <c r="J856" s="371"/>
      <c r="K856" s="371"/>
      <c r="L856" s="371"/>
      <c r="M856" s="371"/>
      <c r="N856" s="7"/>
      <c r="O856" s="382" t="str">
        <f ca="1">语言!A$446&amp;" (3 "&amp;语言!$A$19&amp;")"</f>
        <v>通往黑暗之森的道路 (3 宝箱)</v>
      </c>
      <c r="P856" s="371"/>
      <c r="Q856" s="371"/>
      <c r="R856" s="371"/>
      <c r="S856" s="7"/>
      <c r="T856" s="7"/>
      <c r="U856" s="380"/>
      <c r="V856" s="371"/>
      <c r="W856" s="7"/>
      <c r="X856" s="7"/>
      <c r="Y856" s="7"/>
      <c r="Z856" s="7"/>
      <c r="AA856" s="7"/>
    </row>
    <row r="857" spans="1:27" ht="12.75" x14ac:dyDescent="0.2">
      <c r="A857" s="7"/>
      <c r="B857" s="8" t="b">
        <v>0</v>
      </c>
      <c r="C857" s="378" t="str">
        <f ca="1">敌人!C$272</f>
        <v>沙罗曼达</v>
      </c>
      <c r="D857" s="371"/>
      <c r="E857" s="10">
        <f>敌人!D$272</f>
        <v>3</v>
      </c>
      <c r="F857" s="10">
        <f>敌人!E$272</f>
        <v>0</v>
      </c>
      <c r="G857" s="10">
        <f>敌人!F$272</f>
        <v>0</v>
      </c>
      <c r="H857" s="10">
        <f>敌人!G$272</f>
        <v>0</v>
      </c>
      <c r="I857" s="10">
        <f>敌人!H$272</f>
        <v>0</v>
      </c>
      <c r="J857" s="10">
        <f>敌人!I$272</f>
        <v>0</v>
      </c>
      <c r="K857" s="378" t="str">
        <f ca="1">敌人!J$272</f>
        <v>橄榄花</v>
      </c>
      <c r="L857" s="371"/>
      <c r="M857" s="371"/>
      <c r="N857" s="7"/>
      <c r="O857" s="8" t="b">
        <v>0</v>
      </c>
      <c r="P857" s="378" t="str">
        <f ca="1">道具!$C$22</f>
        <v>睡眠治疗药草</v>
      </c>
      <c r="Q857" s="371"/>
      <c r="R857" s="371"/>
      <c r="S857" s="7"/>
      <c r="T857" s="7"/>
      <c r="U857" s="380"/>
      <c r="V857" s="371"/>
      <c r="W857" s="7"/>
      <c r="X857" s="7"/>
      <c r="Y857" s="7"/>
      <c r="Z857" s="7"/>
      <c r="AA857" s="7"/>
    </row>
    <row r="858" spans="1:27" ht="12.75" x14ac:dyDescent="0.2">
      <c r="A858" s="7"/>
      <c r="B858" s="8" t="b">
        <v>0</v>
      </c>
      <c r="C858" s="378" t="str">
        <f ca="1">敌人!C$251</f>
        <v>雷普塔利翁</v>
      </c>
      <c r="D858" s="371"/>
      <c r="E858" s="10">
        <f>敌人!D$251</f>
        <v>3</v>
      </c>
      <c r="F858" s="10">
        <f>敌人!E$251</f>
        <v>0</v>
      </c>
      <c r="G858" s="10">
        <f>敌人!F$251</f>
        <v>0</v>
      </c>
      <c r="H858" s="10">
        <f>敌人!G$251</f>
        <v>0</v>
      </c>
      <c r="I858" s="10">
        <f>敌人!H$251</f>
        <v>0</v>
      </c>
      <c r="J858" s="10">
        <f>敌人!I$251</f>
        <v>0</v>
      </c>
      <c r="K858" s="378" t="str">
        <f ca="1">敌人!J$251</f>
        <v>ＨＰ恢复的葡萄（大）</v>
      </c>
      <c r="L858" s="371"/>
      <c r="M858" s="371"/>
      <c r="N858" s="7"/>
      <c r="O858" s="8" t="b">
        <v>0</v>
      </c>
      <c r="P858" s="378" t="str">
        <f ca="1">道具!$C$8</f>
        <v>ＳＰ全体恢复的李子</v>
      </c>
      <c r="Q858" s="371"/>
      <c r="R858" s="371"/>
      <c r="S858" s="7"/>
      <c r="T858" s="7"/>
      <c r="U858" s="380"/>
      <c r="V858" s="371"/>
      <c r="W858" s="7"/>
      <c r="X858" s="7"/>
      <c r="Y858" s="7"/>
      <c r="Z858" s="7"/>
      <c r="AA858" s="7"/>
    </row>
    <row r="859" spans="1:27" ht="12.75" x14ac:dyDescent="0.2">
      <c r="A859" s="7"/>
      <c r="B859" s="8" t="b">
        <v>0</v>
      </c>
      <c r="C859" s="378" t="str">
        <f ca="1">敌人!C$257</f>
        <v>腐臭虫</v>
      </c>
      <c r="D859" s="371"/>
      <c r="E859" s="10">
        <f>敌人!D$257</f>
        <v>3</v>
      </c>
      <c r="F859" s="10">
        <f>敌人!E$257</f>
        <v>0</v>
      </c>
      <c r="G859" s="10">
        <f>敌人!F$257</f>
        <v>0</v>
      </c>
      <c r="H859" s="10">
        <f>敌人!G$257</f>
        <v>0</v>
      </c>
      <c r="I859" s="10">
        <f>敌人!H$257</f>
        <v>0</v>
      </c>
      <c r="J859" s="10">
        <f>敌人!I$257</f>
        <v>0</v>
      </c>
      <c r="K859" s="378" t="str">
        <f ca="1">敌人!J$257</f>
        <v>毒利米树之叶</v>
      </c>
      <c r="L859" s="371"/>
      <c r="M859" s="371"/>
      <c r="N859" s="7"/>
      <c r="O859" s="8" t="b">
        <v>0</v>
      </c>
      <c r="P859" s="378" t="s">
        <v>36</v>
      </c>
      <c r="Q859" s="371"/>
      <c r="R859" s="371"/>
      <c r="S859" s="7"/>
      <c r="T859" s="7"/>
      <c r="U859" s="380"/>
      <c r="V859" s="371"/>
      <c r="W859" s="7"/>
      <c r="X859" s="7"/>
      <c r="Y859" s="7"/>
      <c r="Z859" s="7"/>
      <c r="AA859" s="7"/>
    </row>
    <row r="860" spans="1:27" ht="12.75" x14ac:dyDescent="0.2">
      <c r="A860" s="7"/>
      <c r="B860" s="8" t="b">
        <v>0</v>
      </c>
      <c r="C860" s="378" t="str">
        <f ca="1">敌人!C$258</f>
        <v>河川苍蝇</v>
      </c>
      <c r="D860" s="371"/>
      <c r="E860" s="10">
        <f>敌人!D$258</f>
        <v>1</v>
      </c>
      <c r="F860" s="10">
        <f>敌人!E$258</f>
        <v>0</v>
      </c>
      <c r="G860" s="10">
        <f>敌人!F$258</f>
        <v>0</v>
      </c>
      <c r="H860" s="10">
        <f>敌人!G$258</f>
        <v>0</v>
      </c>
      <c r="I860" s="10">
        <f>敌人!H$258</f>
        <v>0</v>
      </c>
      <c r="J860" s="10">
        <f>敌人!I$258</f>
        <v>0</v>
      </c>
      <c r="K860" s="378" t="str">
        <f ca="1">敌人!J$258</f>
        <v>混乱多之叶</v>
      </c>
      <c r="L860" s="371"/>
      <c r="M860" s="371"/>
      <c r="N860" s="7"/>
      <c r="O860" s="382" t="str">
        <f ca="1">语言!A$447&amp;" (9 "&amp;语言!$A$19&amp;")"</f>
        <v>黑暗之森 (9 宝箱)</v>
      </c>
      <c r="P860" s="371"/>
      <c r="Q860" s="371"/>
      <c r="R860" s="371"/>
      <c r="S860" s="7"/>
      <c r="T860" s="7"/>
      <c r="U860" s="380"/>
      <c r="V860" s="371"/>
      <c r="W860" s="7"/>
      <c r="X860" s="7"/>
      <c r="Y860" s="7"/>
      <c r="Z860" s="7"/>
      <c r="AA860" s="7"/>
    </row>
    <row r="861" spans="1:27" ht="12.75" x14ac:dyDescent="0.2">
      <c r="A861" s="7"/>
      <c r="B861" s="382" t="str">
        <f ca="1">语言!A$447&amp;" ("&amp;语言!$A$12&amp;" 23)"</f>
        <v>黑暗之森 (危险度 23)</v>
      </c>
      <c r="C861" s="371"/>
      <c r="D861" s="371"/>
      <c r="E861" s="371"/>
      <c r="F861" s="371"/>
      <c r="G861" s="371"/>
      <c r="H861" s="371"/>
      <c r="I861" s="371"/>
      <c r="J861" s="371"/>
      <c r="K861" s="371"/>
      <c r="L861" s="371"/>
      <c r="M861" s="371"/>
      <c r="N861" s="7"/>
      <c r="O861" s="8" t="b">
        <v>0</v>
      </c>
      <c r="P861" s="378" t="str">
        <f ca="1">道具!$C$16</f>
        <v>复活的橄榄（大）</v>
      </c>
      <c r="Q861" s="371"/>
      <c r="R861" s="371"/>
      <c r="S861" s="7"/>
      <c r="T861" s="7"/>
      <c r="U861" s="380"/>
      <c r="V861" s="371"/>
      <c r="W861" s="7"/>
      <c r="X861" s="7"/>
      <c r="Y861" s="7"/>
      <c r="Z861" s="7"/>
      <c r="AA861" s="7"/>
    </row>
    <row r="862" spans="1:27" ht="12.75" x14ac:dyDescent="0.2">
      <c r="A862" s="7"/>
      <c r="B862" s="8" t="b">
        <v>0</v>
      </c>
      <c r="C862" s="378" t="str">
        <f ca="1">敌人!C$67</f>
        <v>蠢动的树木</v>
      </c>
      <c r="D862" s="371"/>
      <c r="E862" s="10">
        <f>敌人!D$67</f>
        <v>3</v>
      </c>
      <c r="F862" s="10">
        <f>敌人!E$67</f>
        <v>0</v>
      </c>
      <c r="G862" s="10">
        <f>敌人!F$67</f>
        <v>0</v>
      </c>
      <c r="H862" s="10">
        <f>敌人!G$67</f>
        <v>0</v>
      </c>
      <c r="I862" s="10">
        <f>敌人!H$67</f>
        <v>0</v>
      </c>
      <c r="J862" s="10">
        <f>敌人!I$67</f>
        <v>0</v>
      </c>
      <c r="K862" s="378" t="str">
        <f ca="1">敌人!J$67</f>
        <v>石榴树液</v>
      </c>
      <c r="L862" s="371"/>
      <c r="M862" s="371"/>
      <c r="N862" s="7"/>
      <c r="O862" s="8" t="b">
        <v>0</v>
      </c>
      <c r="P862" s="378" t="str">
        <f ca="1">道具!$C$6</f>
        <v>ＳＰ恢复的李子</v>
      </c>
      <c r="Q862" s="371"/>
      <c r="R862" s="371"/>
      <c r="S862" s="7"/>
      <c r="T862" s="7"/>
      <c r="U862" s="380"/>
      <c r="V862" s="371"/>
      <c r="W862" s="7"/>
      <c r="X862" s="7"/>
      <c r="Y862" s="7"/>
      <c r="Z862" s="7"/>
      <c r="AA862" s="7"/>
    </row>
    <row r="863" spans="1:27" ht="12.75" x14ac:dyDescent="0.2">
      <c r="A863" s="7"/>
      <c r="B863" s="8" t="b">
        <v>0</v>
      </c>
      <c r="C863" s="378" t="str">
        <f ca="1">敌人!C$315</f>
        <v>蠢动的植物</v>
      </c>
      <c r="D863" s="371"/>
      <c r="E863" s="10">
        <f>敌人!D$315</f>
        <v>1</v>
      </c>
      <c r="F863" s="10">
        <f>敌人!E$315</f>
        <v>0</v>
      </c>
      <c r="G863" s="10">
        <f>敌人!F$315</f>
        <v>0</v>
      </c>
      <c r="H863" s="10">
        <f>敌人!G$315</f>
        <v>0</v>
      </c>
      <c r="I863" s="10">
        <f>敌人!H$315</f>
        <v>0</v>
      </c>
      <c r="J863" s="10">
        <f>敌人!I$315</f>
        <v>0</v>
      </c>
      <c r="K863" s="378" t="str">
        <f ca="1">敌人!J$315</f>
        <v>石榴树液</v>
      </c>
      <c r="L863" s="371"/>
      <c r="M863" s="371"/>
      <c r="N863" s="7"/>
      <c r="O863" s="8" t="b">
        <v>0</v>
      </c>
      <c r="P863" s="378" t="str">
        <f ca="1">道具!$C$10</f>
        <v>ＢＰ恢复的石榴（大）</v>
      </c>
      <c r="Q863" s="371"/>
      <c r="R863" s="371"/>
      <c r="S863" s="7"/>
      <c r="T863" s="7"/>
      <c r="U863" s="380"/>
      <c r="V863" s="371"/>
      <c r="W863" s="7"/>
      <c r="X863" s="7"/>
      <c r="Y863" s="7"/>
      <c r="Z863" s="7"/>
      <c r="AA863" s="7"/>
    </row>
    <row r="864" spans="1:27" ht="12.75" x14ac:dyDescent="0.2">
      <c r="A864" s="7"/>
      <c r="B864" s="8" t="b">
        <v>0</v>
      </c>
      <c r="C864" s="378" t="str">
        <f ca="1">敌人!C$347</f>
        <v>风来草</v>
      </c>
      <c r="D864" s="371"/>
      <c r="E864" s="10">
        <f>敌人!D$347</f>
        <v>3</v>
      </c>
      <c r="F864" s="10">
        <f>敌人!E$347</f>
        <v>0</v>
      </c>
      <c r="G864" s="10">
        <f>敌人!F$347</f>
        <v>0</v>
      </c>
      <c r="H864" s="10">
        <f>敌人!G$347</f>
        <v>0</v>
      </c>
      <c r="I864" s="10">
        <f>敌人!H$347</f>
        <v>0</v>
      </c>
      <c r="J864" s="10">
        <f>敌人!I$347</f>
        <v>0</v>
      </c>
      <c r="K864" s="378" t="str">
        <f ca="1">敌人!J$347</f>
        <v>混乱多之叶</v>
      </c>
      <c r="L864" s="371"/>
      <c r="M864" s="371"/>
      <c r="N864" s="7"/>
      <c r="O864" s="8" t="b">
        <v>0</v>
      </c>
      <c r="P864" s="378" t="str">
        <f ca="1">道具!$C$351</f>
        <v>鸢形盾</v>
      </c>
      <c r="Q864" s="371"/>
      <c r="R864" s="371"/>
      <c r="S864" s="7"/>
      <c r="T864" s="7"/>
      <c r="U864" s="380"/>
      <c r="V864" s="371"/>
      <c r="W864" s="7"/>
      <c r="X864" s="7"/>
      <c r="Y864" s="7"/>
      <c r="Z864" s="7"/>
      <c r="AA864" s="7"/>
    </row>
    <row r="865" spans="1:27" ht="12.75" x14ac:dyDescent="0.2">
      <c r="A865" s="7"/>
      <c r="B865" s="8" t="b">
        <v>0</v>
      </c>
      <c r="C865" s="378" t="str">
        <f ca="1">敌人!C$168</f>
        <v>咆哮者</v>
      </c>
      <c r="D865" s="371"/>
      <c r="E865" s="10">
        <f>敌人!D$168</f>
        <v>1</v>
      </c>
      <c r="F865" s="10">
        <f>敌人!E$168</f>
        <v>0</v>
      </c>
      <c r="G865" s="10">
        <f>敌人!F$168</f>
        <v>0</v>
      </c>
      <c r="H865" s="10">
        <f>敌人!G$168</f>
        <v>0</v>
      </c>
      <c r="I865" s="10">
        <f>敌人!H$168</f>
        <v>0</v>
      </c>
      <c r="J865" s="10">
        <f>敌人!I$168</f>
        <v>0</v>
      </c>
      <c r="K865" s="378" t="str">
        <f ca="1">敌人!J$168</f>
        <v>石榴树液</v>
      </c>
      <c r="L865" s="371"/>
      <c r="M865" s="371"/>
      <c r="N865" s="7"/>
      <c r="O865" s="8" t="b">
        <v>0</v>
      </c>
      <c r="P865" s="378" t="str">
        <f ca="1">道具!$C$4</f>
        <v>ＨＰ恢复的葡萄（大）</v>
      </c>
      <c r="Q865" s="371"/>
      <c r="R865" s="371"/>
      <c r="S865" s="7"/>
      <c r="T865" s="7"/>
      <c r="U865" s="380"/>
      <c r="V865" s="371"/>
      <c r="W865" s="7"/>
      <c r="X865" s="7"/>
      <c r="Y865" s="7"/>
      <c r="Z865" s="7"/>
      <c r="AA865" s="7"/>
    </row>
    <row r="866" spans="1:27" ht="12.75" x14ac:dyDescent="0.2">
      <c r="A866" s="7"/>
      <c r="B866" s="383" t="str">
        <f ca="1">语言!$A$15</f>
        <v>Boss</v>
      </c>
      <c r="C866" s="371"/>
      <c r="D866" s="371"/>
      <c r="E866" s="371"/>
      <c r="F866" s="371"/>
      <c r="G866" s="371"/>
      <c r="H866" s="371"/>
      <c r="I866" s="371"/>
      <c r="J866" s="371"/>
      <c r="K866" s="371"/>
      <c r="L866" s="371"/>
      <c r="M866" s="371"/>
      <c r="N866" s="7"/>
      <c r="O866" s="8" t="b">
        <v>0</v>
      </c>
      <c r="P866" s="378" t="str">
        <f ca="1">道具!$C$525&amp;" ("&amp;语言!$A$20&amp;")"</f>
        <v>混乱耐性石 (上锁宝箱)</v>
      </c>
      <c r="Q866" s="371"/>
      <c r="R866" s="371"/>
      <c r="S866" s="7"/>
      <c r="T866" s="7"/>
      <c r="U866" s="380"/>
      <c r="V866" s="371"/>
      <c r="W866" s="7"/>
      <c r="X866" s="7"/>
      <c r="Y866" s="7"/>
      <c r="Z866" s="7"/>
      <c r="AA866" s="7"/>
    </row>
    <row r="867" spans="1:27" ht="12.75" x14ac:dyDescent="0.2">
      <c r="A867" s="7"/>
      <c r="B867" s="8" t="b">
        <v>0</v>
      </c>
      <c r="C867" s="381" t="str">
        <f ca="1">敌人!C$407</f>
        <v>赫罗威涅</v>
      </c>
      <c r="D867" s="371"/>
      <c r="E867" s="8">
        <f>敌人!D$407</f>
        <v>5</v>
      </c>
      <c r="F867" s="8">
        <f>敌人!E$407</f>
        <v>0</v>
      </c>
      <c r="G867" s="8">
        <f>敌人!F$407</f>
        <v>0</v>
      </c>
      <c r="H867" s="8">
        <f>敌人!G$407</f>
        <v>0</v>
      </c>
      <c r="I867" s="8">
        <f>敌人!H$407</f>
        <v>0</v>
      </c>
      <c r="J867" s="8">
        <f>敌人!I$407</f>
        <v>0</v>
      </c>
      <c r="K867" s="381" t="str">
        <f ca="1">敌人!J$407</f>
        <v>ＨＰ全体恢复的葡萄</v>
      </c>
      <c r="L867" s="371"/>
      <c r="M867" s="371"/>
      <c r="N867" s="7"/>
      <c r="O867" s="8" t="b">
        <v>0</v>
      </c>
      <c r="P867" s="378" t="str">
        <f ca="1">道具!$C$5</f>
        <v>ＨＰ全体恢复的葡萄</v>
      </c>
      <c r="Q867" s="371"/>
      <c r="R867" s="371"/>
      <c r="S867" s="7"/>
      <c r="T867" s="7"/>
      <c r="U867" s="380"/>
      <c r="V867" s="371"/>
      <c r="W867" s="7"/>
      <c r="X867" s="7"/>
      <c r="Y867" s="7"/>
      <c r="Z867" s="7"/>
      <c r="AA867" s="7"/>
    </row>
    <row r="868" spans="1:27" ht="12.75" x14ac:dyDescent="0.2">
      <c r="A868" s="7"/>
      <c r="B868" s="7"/>
      <c r="C868" s="380"/>
      <c r="D868" s="371"/>
      <c r="E868" s="7"/>
      <c r="F868" s="7"/>
      <c r="G868" s="7"/>
      <c r="H868" s="7"/>
      <c r="I868" s="7"/>
      <c r="J868" s="7"/>
      <c r="K868" s="380"/>
      <c r="L868" s="371"/>
      <c r="M868" s="371"/>
      <c r="N868" s="7"/>
      <c r="O868" s="8" t="b">
        <v>0</v>
      </c>
      <c r="P868" s="378" t="s">
        <v>19</v>
      </c>
      <c r="Q868" s="371"/>
      <c r="R868" s="371"/>
      <c r="S868" s="7"/>
      <c r="T868" s="7"/>
      <c r="U868" s="380"/>
      <c r="V868" s="371"/>
      <c r="W868" s="7"/>
      <c r="X868" s="7"/>
      <c r="Y868" s="7"/>
      <c r="Z868" s="7"/>
      <c r="AA868" s="7"/>
    </row>
    <row r="869" spans="1:27" ht="12.75" x14ac:dyDescent="0.2">
      <c r="A869" s="7"/>
      <c r="B869" s="7"/>
      <c r="C869" s="380"/>
      <c r="D869" s="371"/>
      <c r="E869" s="7"/>
      <c r="F869" s="7"/>
      <c r="G869" s="7"/>
      <c r="H869" s="7"/>
      <c r="I869" s="7"/>
      <c r="J869" s="7"/>
      <c r="K869" s="380"/>
      <c r="L869" s="371"/>
      <c r="M869" s="371"/>
      <c r="N869" s="7"/>
      <c r="O869" s="8" t="b">
        <v>0</v>
      </c>
      <c r="P869" s="378" t="str">
        <f ca="1">道具!$C$328</f>
        <v>理力之杖</v>
      </c>
      <c r="Q869" s="371"/>
      <c r="R869" s="371"/>
      <c r="S869" s="7"/>
      <c r="T869" s="7"/>
      <c r="U869" s="380"/>
      <c r="V869" s="371"/>
      <c r="W869" s="7"/>
      <c r="X869" s="7"/>
      <c r="Y869" s="7"/>
      <c r="Z869" s="7"/>
      <c r="AA869" s="7"/>
    </row>
    <row r="870" spans="1:27" ht="12.75" x14ac:dyDescent="0.2">
      <c r="A870" s="7"/>
      <c r="B870" s="7"/>
      <c r="C870" s="380"/>
      <c r="D870" s="371"/>
      <c r="E870" s="7"/>
      <c r="F870" s="7"/>
      <c r="G870" s="7"/>
      <c r="H870" s="7"/>
      <c r="I870" s="7"/>
      <c r="J870" s="7"/>
      <c r="K870" s="380"/>
      <c r="L870" s="371"/>
      <c r="M870" s="371"/>
      <c r="N870" s="7"/>
      <c r="O870" s="7"/>
      <c r="P870" s="380"/>
      <c r="Q870" s="371"/>
      <c r="R870" s="371"/>
      <c r="S870" s="7"/>
      <c r="T870" s="7"/>
      <c r="U870" s="380"/>
      <c r="V870" s="371"/>
      <c r="W870" s="7"/>
      <c r="X870" s="7"/>
      <c r="Y870" s="7"/>
      <c r="Z870" s="7"/>
      <c r="AA870" s="7"/>
    </row>
    <row r="871" spans="1:27" ht="12.75" x14ac:dyDescent="0.2">
      <c r="A871" s="7"/>
      <c r="B871" s="385" t="str">
        <f ca="1">语言!$A$40&amp;" "&amp;语言!$A$14&amp;" 3"</f>
        <v>亚芬 章节 3</v>
      </c>
      <c r="C871" s="371"/>
      <c r="D871" s="371"/>
      <c r="E871" s="371"/>
      <c r="F871" s="371"/>
      <c r="G871" s="371"/>
      <c r="H871" s="371"/>
      <c r="I871" s="371"/>
      <c r="J871" s="371"/>
      <c r="K871" s="371"/>
      <c r="L871" s="371"/>
      <c r="M871" s="371"/>
      <c r="N871" s="7"/>
      <c r="O871" s="385" t="str">
        <f ca="1">语言!$A$40&amp;" "&amp;语言!$A$14&amp;" 3"</f>
        <v>亚芬 章节 3</v>
      </c>
      <c r="P871" s="371"/>
      <c r="Q871" s="371"/>
      <c r="R871" s="371"/>
      <c r="S871" s="7"/>
      <c r="T871" s="7"/>
      <c r="U871" s="380"/>
      <c r="V871" s="371"/>
      <c r="W871" s="7"/>
      <c r="X871" s="385" t="str">
        <f ca="1">语言!$A$40&amp;" "&amp;语言!$A$14&amp;" 3"</f>
        <v>亚芬 章节 3</v>
      </c>
      <c r="Y871" s="371"/>
      <c r="Z871" s="371"/>
      <c r="AA871" s="7"/>
    </row>
    <row r="872" spans="1:27" ht="12.75" x14ac:dyDescent="0.2">
      <c r="A872" s="7"/>
      <c r="B872" s="382" t="str">
        <f ca="1">语言!A$448&amp;" ("&amp;语言!$A$12&amp;" 32)"</f>
        <v>利维耶拉之森 (危险度 32)</v>
      </c>
      <c r="C872" s="371"/>
      <c r="D872" s="371"/>
      <c r="E872" s="371"/>
      <c r="F872" s="371"/>
      <c r="G872" s="371"/>
      <c r="H872" s="371"/>
      <c r="I872" s="371"/>
      <c r="J872" s="371"/>
      <c r="K872" s="371"/>
      <c r="L872" s="371"/>
      <c r="M872" s="371"/>
      <c r="N872" s="7"/>
      <c r="O872" s="382" t="str">
        <f ca="1">语言!A$448&amp;" (8 "&amp;语言!$A$19&amp;")"</f>
        <v>利维耶拉之森 (8 宝箱)</v>
      </c>
      <c r="P872" s="371"/>
      <c r="Q872" s="371"/>
      <c r="R872" s="371"/>
      <c r="S872" s="7"/>
      <c r="T872" s="7"/>
      <c r="U872" s="380"/>
      <c r="V872" s="371"/>
      <c r="W872" s="7"/>
      <c r="X872" s="382" t="str">
        <f ca="1">语言!A$441</f>
        <v>圣特布里吉</v>
      </c>
      <c r="Y872" s="371"/>
      <c r="Z872" s="371"/>
      <c r="AA872" s="7"/>
    </row>
    <row r="873" spans="1:27" ht="12.75" x14ac:dyDescent="0.2">
      <c r="A873" s="7"/>
      <c r="B873" s="8" t="b">
        <v>0</v>
      </c>
      <c r="C873" s="378" t="str">
        <f ca="1">敌人!C$135</f>
        <v>大牙野猪异种</v>
      </c>
      <c r="D873" s="371"/>
      <c r="E873" s="10">
        <f>敌人!D$135</f>
        <v>3</v>
      </c>
      <c r="F873" s="10">
        <f>敌人!E$135</f>
        <v>0</v>
      </c>
      <c r="G873" s="10">
        <f>敌人!F$135</f>
        <v>0</v>
      </c>
      <c r="H873" s="10">
        <f>敌人!G$135</f>
        <v>0</v>
      </c>
      <c r="I873" s="10">
        <f>敌人!H$135</f>
        <v>0</v>
      </c>
      <c r="J873" s="10">
        <f>敌人!I$135</f>
        <v>0</v>
      </c>
      <c r="K873" s="378" t="str">
        <f ca="1">敌人!J$135</f>
        <v>橄榄花</v>
      </c>
      <c r="L873" s="371"/>
      <c r="M873" s="371"/>
      <c r="N873" s="7"/>
      <c r="O873" s="8" t="b">
        <v>0</v>
      </c>
      <c r="P873" s="378" t="str">
        <f ca="1">道具!$C$533</f>
        <v>含毒的素材（扩散）</v>
      </c>
      <c r="Q873" s="371"/>
      <c r="R873" s="371"/>
      <c r="S873" s="7"/>
      <c r="T873" s="7"/>
      <c r="U873" s="380"/>
      <c r="V873" s="371"/>
      <c r="W873" s="7"/>
      <c r="X873" s="379" t="b">
        <v>0</v>
      </c>
      <c r="Y873" s="401" t="str">
        <f ca="1">语言!$A$2102&amp;" (NPC)
Knowledge:
"&amp;道具!$I$55</f>
        <v>市民 (NPC)
Knowledge:
感情很好的老婆婆们</v>
      </c>
      <c r="Z873" s="402" t="str">
        <f ca="1">"Just make sure you inquire "&amp;语言!$A$2102&amp;" before meeting with "&amp;语言!$A$1844&amp;" in order to get "&amp;道具!$I$55&amp;" ("&amp;语言!$A$1088&amp;"). It's hard to miss but some people did. (Not required for your "&amp;语言!$A$9&amp;" achievement)"</f>
        <v>Just make sure you inquire 市民 before meeting with 温婉的老婆婆 in order to get 感情很好的老婆婆们 (资讯). It's hard to miss but some people did. (Not required for your 收藏家 achievement)</v>
      </c>
      <c r="AA873" s="7"/>
    </row>
    <row r="874" spans="1:27" ht="12.75" x14ac:dyDescent="0.2">
      <c r="A874" s="7"/>
      <c r="B874" s="8" t="b">
        <v>0</v>
      </c>
      <c r="C874" s="378" t="str">
        <f ca="1">敌人!C$214</f>
        <v>大绵羊异种</v>
      </c>
      <c r="D874" s="371"/>
      <c r="E874" s="10">
        <f>敌人!D$214</f>
        <v>2</v>
      </c>
      <c r="F874" s="10">
        <f>敌人!E$214</f>
        <v>0</v>
      </c>
      <c r="G874" s="10">
        <f>敌人!F$214</f>
        <v>0</v>
      </c>
      <c r="H874" s="10">
        <f>敌人!G$214</f>
        <v>0</v>
      </c>
      <c r="I874" s="10">
        <f>敌人!H$214</f>
        <v>0</v>
      </c>
      <c r="J874" s="10">
        <f>敌人!I$214</f>
        <v>0</v>
      </c>
      <c r="K874" s="378" t="str">
        <f ca="1">敌人!J$214</f>
        <v>橄榄花</v>
      </c>
      <c r="L874" s="371"/>
      <c r="M874" s="371"/>
      <c r="N874" s="7"/>
      <c r="O874" s="8" t="b">
        <v>0</v>
      </c>
      <c r="P874" s="378" t="str">
        <f ca="1">道具!$C$120</f>
        <v>放了银块的皮袋</v>
      </c>
      <c r="Q874" s="371"/>
      <c r="R874" s="371"/>
      <c r="S874" s="7"/>
      <c r="T874" s="7"/>
      <c r="U874" s="380"/>
      <c r="V874" s="371"/>
      <c r="W874" s="7"/>
      <c r="X874" s="371"/>
      <c r="Y874" s="371"/>
      <c r="Z874" s="371"/>
      <c r="AA874" s="7"/>
    </row>
    <row r="875" spans="1:27" ht="12.75" x14ac:dyDescent="0.2">
      <c r="A875" s="7"/>
      <c r="B875" s="8" t="b">
        <v>0</v>
      </c>
      <c r="C875" s="378" t="str">
        <f ca="1">敌人!C$251</f>
        <v>雷普塔利翁</v>
      </c>
      <c r="D875" s="371"/>
      <c r="E875" s="10">
        <f>敌人!D$251</f>
        <v>3</v>
      </c>
      <c r="F875" s="10">
        <f>敌人!E$251</f>
        <v>0</v>
      </c>
      <c r="G875" s="10">
        <f>敌人!F$251</f>
        <v>0</v>
      </c>
      <c r="H875" s="10">
        <f>敌人!G$251</f>
        <v>0</v>
      </c>
      <c r="I875" s="10">
        <f>敌人!H$251</f>
        <v>0</v>
      </c>
      <c r="J875" s="10">
        <f>敌人!I$251</f>
        <v>0</v>
      </c>
      <c r="K875" s="378" t="str">
        <f ca="1">敌人!J$251</f>
        <v>ＨＰ恢复的葡萄（大）</v>
      </c>
      <c r="L875" s="371"/>
      <c r="M875" s="371"/>
      <c r="N875" s="7"/>
      <c r="O875" s="8" t="b">
        <v>0</v>
      </c>
      <c r="P875" s="378" t="str">
        <f ca="1">道具!$C$530</f>
        <v>秘药的素材</v>
      </c>
      <c r="Q875" s="371"/>
      <c r="R875" s="371"/>
      <c r="S875" s="7"/>
      <c r="T875" s="7"/>
      <c r="U875" s="380"/>
      <c r="V875" s="371"/>
      <c r="W875" s="7"/>
      <c r="X875" s="371"/>
      <c r="Y875" s="371"/>
      <c r="Z875" s="371"/>
      <c r="AA875" s="7"/>
    </row>
    <row r="876" spans="1:27" ht="12.75" x14ac:dyDescent="0.2">
      <c r="A876" s="7"/>
      <c r="B876" s="8" t="b">
        <v>0</v>
      </c>
      <c r="C876" s="378" t="str">
        <f ca="1">敌人!C$166</f>
        <v>咆啸者异种</v>
      </c>
      <c r="D876" s="371"/>
      <c r="E876" s="10">
        <f>敌人!D$166</f>
        <v>3</v>
      </c>
      <c r="F876" s="10">
        <f>敌人!E$166</f>
        <v>0</v>
      </c>
      <c r="G876" s="10">
        <f>敌人!F$166</f>
        <v>0</v>
      </c>
      <c r="H876" s="10">
        <f>敌人!G$166</f>
        <v>0</v>
      </c>
      <c r="I876" s="10">
        <f>敌人!H$166</f>
        <v>0</v>
      </c>
      <c r="J876" s="10">
        <f>敌人!I$166</f>
        <v>0</v>
      </c>
      <c r="K876" s="378" t="str">
        <f ca="1">敌人!J$166</f>
        <v>石榴树液</v>
      </c>
      <c r="L876" s="371"/>
      <c r="M876" s="371"/>
      <c r="N876" s="7"/>
      <c r="O876" s="8" t="b">
        <v>0</v>
      </c>
      <c r="P876" s="378" t="str">
        <f ca="1">道具!$C$531</f>
        <v>秘药的素材（扩散）</v>
      </c>
      <c r="Q876" s="371"/>
      <c r="R876" s="371"/>
      <c r="S876" s="7"/>
      <c r="T876" s="7"/>
      <c r="U876" s="380"/>
      <c r="V876" s="371"/>
      <c r="W876" s="7"/>
      <c r="X876" s="371"/>
      <c r="Y876" s="371"/>
      <c r="Z876" s="371"/>
      <c r="AA876" s="7"/>
    </row>
    <row r="877" spans="1:27" ht="12.75" x14ac:dyDescent="0.2">
      <c r="A877" s="7"/>
      <c r="B877" s="8" t="b">
        <v>0</v>
      </c>
      <c r="C877" s="378" t="str">
        <f ca="1">敌人!C$360</f>
        <v>风元素</v>
      </c>
      <c r="D877" s="371"/>
      <c r="E877" s="10">
        <f>敌人!D$360</f>
        <v>4</v>
      </c>
      <c r="F877" s="10">
        <f>敌人!E$360</f>
        <v>0</v>
      </c>
      <c r="G877" s="10">
        <f>敌人!F$360</f>
        <v>0</v>
      </c>
      <c r="H877" s="10">
        <f>敌人!G$360</f>
        <v>0</v>
      </c>
      <c r="I877" s="10">
        <f>敌人!H$360</f>
        <v>0</v>
      </c>
      <c r="J877" s="10">
        <f>敌人!I$360</f>
        <v>0</v>
      </c>
      <c r="K877" s="378" t="str">
        <f ca="1">敌人!J$360</f>
        <v>风之精灵石（特大）</v>
      </c>
      <c r="L877" s="371"/>
      <c r="M877" s="371"/>
      <c r="N877" s="7"/>
      <c r="O877" s="8" t="b">
        <v>0</v>
      </c>
      <c r="P877" s="378" t="str">
        <f ca="1">道具!$C$218&amp;" ("&amp;语言!$A$20&amp;")"</f>
        <v>越狱者 (上锁宝箱)</v>
      </c>
      <c r="Q877" s="371"/>
      <c r="R877" s="371"/>
      <c r="S877" s="7"/>
      <c r="T877" s="7"/>
      <c r="U877" s="380"/>
      <c r="V877" s="371"/>
      <c r="W877" s="7"/>
      <c r="X877" s="7"/>
      <c r="Y877" s="7"/>
      <c r="Z877" s="7"/>
      <c r="AA877" s="7"/>
    </row>
    <row r="878" spans="1:27" ht="12.75" x14ac:dyDescent="0.2">
      <c r="A878" s="7"/>
      <c r="B878" s="383" t="str">
        <f ca="1">语言!$A$15</f>
        <v>Boss</v>
      </c>
      <c r="C878" s="371"/>
      <c r="D878" s="371"/>
      <c r="E878" s="371"/>
      <c r="F878" s="371"/>
      <c r="G878" s="371"/>
      <c r="H878" s="371"/>
      <c r="I878" s="371"/>
      <c r="J878" s="371"/>
      <c r="K878" s="371"/>
      <c r="L878" s="371"/>
      <c r="M878" s="371"/>
      <c r="N878" s="7"/>
      <c r="O878" s="8" t="b">
        <v>0</v>
      </c>
      <c r="P878" s="378" t="str">
        <f ca="1">道具!$C$12</f>
        <v>ＨＰ／ＳＰ恢复的果酱</v>
      </c>
      <c r="Q878" s="371"/>
      <c r="R878" s="371"/>
      <c r="S878" s="7"/>
      <c r="T878" s="7"/>
      <c r="U878" s="380"/>
      <c r="V878" s="371"/>
      <c r="W878" s="7"/>
      <c r="X878" s="7"/>
      <c r="Y878" s="7"/>
      <c r="Z878" s="7"/>
      <c r="AA878" s="7"/>
    </row>
    <row r="879" spans="1:27" ht="12.75" x14ac:dyDescent="0.2">
      <c r="A879" s="7"/>
      <c r="B879" s="381" t="b">
        <v>0</v>
      </c>
      <c r="C879" s="379" t="str">
        <f ca="1">敌人!C$449</f>
        <v>米格尔</v>
      </c>
      <c r="D879" s="371"/>
      <c r="E879" s="379">
        <f>敌人!D$449</f>
        <v>7</v>
      </c>
      <c r="F879" s="8">
        <f>敌人!E$449</f>
        <v>0</v>
      </c>
      <c r="G879" s="8">
        <f>敌人!F$449</f>
        <v>0</v>
      </c>
      <c r="H879" s="8">
        <f>敌人!G$449</f>
        <v>0</v>
      </c>
      <c r="I879" s="8">
        <f>敌人!H$449</f>
        <v>0</v>
      </c>
      <c r="J879" s="8">
        <f>敌人!I$449</f>
        <v>0</v>
      </c>
      <c r="K879" s="379" t="str">
        <f ca="1">敌人!J$449</f>
        <v>米格尔之枪 (can't steal)</v>
      </c>
      <c r="L879" s="371"/>
      <c r="M879" s="371"/>
      <c r="N879" s="7"/>
      <c r="O879" s="8" t="b">
        <v>0</v>
      </c>
      <c r="P879" s="378" t="str">
        <f ca="1">道具!$C$514&amp;" ("&amp;语言!$A$20&amp;")"</f>
        <v>冰之避邪符 (上锁宝箱)</v>
      </c>
      <c r="Q879" s="371"/>
      <c r="R879" s="371"/>
      <c r="S879" s="7"/>
      <c r="T879" s="7"/>
      <c r="U879" s="380"/>
      <c r="V879" s="371"/>
      <c r="W879" s="7"/>
      <c r="X879" s="7"/>
      <c r="Y879" s="7"/>
      <c r="Z879" s="7"/>
      <c r="AA879" s="7"/>
    </row>
    <row r="880" spans="1:27" ht="12.75" x14ac:dyDescent="0.2">
      <c r="A880" s="7"/>
      <c r="B880" s="371"/>
      <c r="C880" s="371"/>
      <c r="D880" s="371"/>
      <c r="E880" s="371"/>
      <c r="F880" s="8">
        <f>敌人!E$450</f>
        <v>0</v>
      </c>
      <c r="G880" s="8">
        <f>敌人!F$450</f>
        <v>0</v>
      </c>
      <c r="H880" s="8">
        <f>敌人!G$450</f>
        <v>0</v>
      </c>
      <c r="I880" s="8">
        <f>敌人!H$450</f>
        <v>0</v>
      </c>
      <c r="J880" s="8">
        <f>敌人!I$450</f>
        <v>0</v>
      </c>
      <c r="K880" s="371"/>
      <c r="L880" s="371"/>
      <c r="M880" s="371"/>
      <c r="N880" s="7"/>
      <c r="O880" s="8" t="b">
        <v>0</v>
      </c>
      <c r="P880" s="378" t="str">
        <f ca="1">道具!$C$11</f>
        <v>ＢＰ恢复的石榴（特大）</v>
      </c>
      <c r="Q880" s="371"/>
      <c r="R880" s="371"/>
      <c r="S880" s="7"/>
      <c r="T880" s="7"/>
      <c r="U880" s="380"/>
      <c r="V880" s="371"/>
      <c r="W880" s="7"/>
      <c r="X880" s="7"/>
      <c r="Y880" s="7"/>
      <c r="Z880" s="7"/>
      <c r="AA880" s="7"/>
    </row>
    <row r="881" spans="1:27" ht="12.75" x14ac:dyDescent="0.2">
      <c r="A881" s="7"/>
      <c r="B881" s="371"/>
      <c r="C881" s="371"/>
      <c r="D881" s="371"/>
      <c r="E881" s="371"/>
      <c r="F881" s="8">
        <f>敌人!E$451</f>
        <v>0</v>
      </c>
      <c r="G881" s="8">
        <f>敌人!F$451</f>
        <v>0</v>
      </c>
      <c r="H881" s="8">
        <f>敌人!G$451</f>
        <v>0</v>
      </c>
      <c r="I881" s="8">
        <f>敌人!H$451</f>
        <v>0</v>
      </c>
      <c r="J881" s="8">
        <f>敌人!I$451</f>
        <v>0</v>
      </c>
      <c r="K881" s="371"/>
      <c r="L881" s="371"/>
      <c r="M881" s="371"/>
      <c r="N881" s="7"/>
      <c r="O881" s="7"/>
      <c r="P881" s="380"/>
      <c r="Q881" s="371"/>
      <c r="R881" s="371"/>
      <c r="S881" s="7"/>
      <c r="T881" s="7"/>
      <c r="U881" s="380"/>
      <c r="V881" s="371"/>
      <c r="W881" s="7"/>
      <c r="X881" s="7"/>
      <c r="Y881" s="7"/>
      <c r="Z881" s="7"/>
      <c r="AA881" s="7"/>
    </row>
    <row r="882" spans="1:27" ht="12.75" x14ac:dyDescent="0.2">
      <c r="A882" s="7"/>
      <c r="B882" s="371"/>
      <c r="C882" s="371"/>
      <c r="D882" s="371"/>
      <c r="E882" s="371"/>
      <c r="F882" s="8">
        <f>敌人!E$452</f>
        <v>0</v>
      </c>
      <c r="G882" s="8">
        <f>敌人!F$452</f>
        <v>0</v>
      </c>
      <c r="H882" s="8">
        <f>敌人!G$452</f>
        <v>0</v>
      </c>
      <c r="I882" s="8">
        <f>敌人!H$452</f>
        <v>0</v>
      </c>
      <c r="J882" s="8">
        <f>敌人!I$452</f>
        <v>0</v>
      </c>
      <c r="K882" s="371"/>
      <c r="L882" s="371"/>
      <c r="M882" s="371"/>
      <c r="N882" s="7"/>
      <c r="O882" s="7"/>
      <c r="P882" s="380"/>
      <c r="Q882" s="371"/>
      <c r="R882" s="371"/>
      <c r="S882" s="7"/>
      <c r="T882" s="7"/>
      <c r="U882" s="380"/>
      <c r="V882" s="371"/>
      <c r="W882" s="7"/>
      <c r="X882" s="7"/>
      <c r="Y882" s="7"/>
      <c r="Z882" s="7"/>
      <c r="AA882" s="7"/>
    </row>
    <row r="883" spans="1:27" ht="12.75" x14ac:dyDescent="0.2">
      <c r="A883" s="7"/>
      <c r="B883" s="7"/>
      <c r="C883" s="380"/>
      <c r="D883" s="371"/>
      <c r="E883" s="7"/>
      <c r="F883" s="7"/>
      <c r="G883" s="7"/>
      <c r="H883" s="7"/>
      <c r="I883" s="7"/>
      <c r="J883" s="7"/>
      <c r="K883" s="380"/>
      <c r="L883" s="371"/>
      <c r="M883" s="371"/>
      <c r="N883" s="7"/>
      <c r="O883" s="7"/>
      <c r="P883" s="380"/>
      <c r="Q883" s="371"/>
      <c r="R883" s="371"/>
      <c r="S883" s="7"/>
      <c r="T883" s="7"/>
      <c r="U883" s="380"/>
      <c r="V883" s="371"/>
      <c r="W883" s="7"/>
      <c r="X883" s="7"/>
      <c r="Y883" s="7"/>
      <c r="Z883" s="7"/>
      <c r="AA883" s="7"/>
    </row>
    <row r="884" spans="1:27" ht="18" x14ac:dyDescent="0.25">
      <c r="A884" s="384" t="str">
        <f ca="1">语言!$A$323&amp;" 3"</f>
        <v>Tier 3</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row>
    <row r="885" spans="1:27" ht="12.75" x14ac:dyDescent="0.2">
      <c r="A885" s="7"/>
      <c r="B885" s="8" t="b">
        <v>0</v>
      </c>
      <c r="C885" s="381" t="str">
        <f ca="1">敌人!C$53</f>
        <v>布尔乔亚凯特林</v>
      </c>
      <c r="D885" s="371"/>
      <c r="E885" s="8">
        <f>敌人!D$53</f>
        <v>4</v>
      </c>
      <c r="F885" s="8">
        <f>敌人!E$53</f>
        <v>0</v>
      </c>
      <c r="G885" s="8">
        <f>敌人!F$53</f>
        <v>0</v>
      </c>
      <c r="H885" s="8">
        <f>敌人!G$53</f>
        <v>0</v>
      </c>
      <c r="I885" s="8">
        <f>敌人!H$53</f>
        <v>0</v>
      </c>
      <c r="J885" s="8">
        <f>敌人!I$53</f>
        <v>0</v>
      </c>
      <c r="K885" s="381" t="str">
        <f ca="1">敌人!J$53</f>
        <v>ＨＰ／ＳＰ／ＢＰ恢复的果酱</v>
      </c>
      <c r="L885" s="371"/>
      <c r="M885" s="371"/>
      <c r="N885" s="7"/>
      <c r="O885" s="382" t="str">
        <f ca="1">语言!A$449&amp;" (3 "&amp;语言!$A$19&amp;")"</f>
        <v>利维福德 (3 宝箱)</v>
      </c>
      <c r="P885" s="371"/>
      <c r="Q885" s="371"/>
      <c r="R885" s="371"/>
      <c r="S885" s="7"/>
      <c r="T885" s="382" t="str">
        <f ca="1">语言!A$449</f>
        <v>利维福德</v>
      </c>
      <c r="U885" s="371"/>
      <c r="V885" s="371"/>
      <c r="W885" s="7"/>
      <c r="X885" s="7"/>
      <c r="Y885" s="7"/>
      <c r="Z885" s="7"/>
      <c r="AA885" s="7"/>
    </row>
    <row r="886" spans="1:27" ht="12.75" x14ac:dyDescent="0.2">
      <c r="A886" s="7"/>
      <c r="B886" s="382" t="str">
        <f ca="1">语言!A$451&amp;" ("&amp;语言!$A$12&amp;" 45)"</f>
        <v>北利维福德川道 (危险度 45)</v>
      </c>
      <c r="C886" s="371"/>
      <c r="D886" s="371"/>
      <c r="E886" s="371"/>
      <c r="F886" s="371"/>
      <c r="G886" s="371"/>
      <c r="H886" s="371"/>
      <c r="I886" s="371"/>
      <c r="J886" s="371"/>
      <c r="K886" s="371"/>
      <c r="L886" s="371"/>
      <c r="M886" s="371"/>
      <c r="N886" s="7"/>
      <c r="O886" s="8" t="b">
        <v>0</v>
      </c>
      <c r="P886" s="378" t="str">
        <f ca="1">道具!$C$23</f>
        <v>恐怖治疗药草</v>
      </c>
      <c r="Q886" s="371"/>
      <c r="R886" s="371"/>
      <c r="S886" s="7"/>
      <c r="T886" s="8" t="b">
        <v>0</v>
      </c>
      <c r="U886" s="381" t="str">
        <f ca="1">道具!$C$32</f>
        <v>火之精灵石（特大）</v>
      </c>
      <c r="V886" s="371"/>
      <c r="W886" s="7"/>
      <c r="X886" s="7"/>
      <c r="Y886" s="7"/>
      <c r="Z886" s="7"/>
      <c r="AA886" s="7"/>
    </row>
    <row r="887" spans="1:27" ht="12.75" x14ac:dyDescent="0.2">
      <c r="A887" s="7"/>
      <c r="B887" s="8" t="b">
        <v>0</v>
      </c>
      <c r="C887" s="378" t="str">
        <f ca="1">敌人!C$265</f>
        <v>河川大巨蛙 I</v>
      </c>
      <c r="D887" s="371"/>
      <c r="E887" s="10">
        <f>敌人!D$265</f>
        <v>3</v>
      </c>
      <c r="F887" s="10">
        <f>敌人!E$265</f>
        <v>0</v>
      </c>
      <c r="G887" s="10">
        <f>敌人!F$265</f>
        <v>0</v>
      </c>
      <c r="H887" s="10">
        <f>敌人!G$265</f>
        <v>0</v>
      </c>
      <c r="I887" s="10">
        <f>敌人!H$265</f>
        <v>0</v>
      </c>
      <c r="J887" s="10">
        <f>敌人!I$265</f>
        <v>0</v>
      </c>
      <c r="K887" s="378" t="str">
        <f ca="1">敌人!J$265</f>
        <v>ＨＰ恢复的葡萄（大）</v>
      </c>
      <c r="L887" s="371"/>
      <c r="M887" s="371"/>
      <c r="N887" s="7"/>
      <c r="O887" s="8" t="b">
        <v>0</v>
      </c>
      <c r="P887" s="378" t="str">
        <f ca="1">道具!$C$13</f>
        <v>ＨＰ／ＳＰ／ＢＰ恢复的果酱</v>
      </c>
      <c r="Q887" s="371"/>
      <c r="R887" s="371"/>
      <c r="S887" s="7"/>
      <c r="T887" s="8" t="b">
        <v>0</v>
      </c>
      <c r="U887" s="381" t="str">
        <f ca="1">道具!$C$120</f>
        <v>放了银块的皮袋</v>
      </c>
      <c r="V887" s="371"/>
      <c r="W887" s="7"/>
      <c r="X887" s="7"/>
      <c r="Y887" s="7"/>
      <c r="Z887" s="7"/>
      <c r="AA887" s="7"/>
    </row>
    <row r="888" spans="1:27" ht="12.75" x14ac:dyDescent="0.2">
      <c r="A888" s="7"/>
      <c r="B888" s="8" t="b">
        <v>0</v>
      </c>
      <c r="C888" s="378" t="str">
        <f ca="1">敌人!C$266</f>
        <v>河川大巨蛙 II</v>
      </c>
      <c r="D888" s="371"/>
      <c r="E888" s="10">
        <f>敌人!D$266</f>
        <v>2</v>
      </c>
      <c r="F888" s="10">
        <f>敌人!E$266</f>
        <v>0</v>
      </c>
      <c r="G888" s="10">
        <f>敌人!F$266</f>
        <v>0</v>
      </c>
      <c r="H888" s="10">
        <f>敌人!G$266</f>
        <v>0</v>
      </c>
      <c r="I888" s="10">
        <f>敌人!H$266</f>
        <v>0</v>
      </c>
      <c r="J888" s="10">
        <f>敌人!I$266</f>
        <v>0</v>
      </c>
      <c r="K888" s="378" t="str">
        <f ca="1">敌人!J$266</f>
        <v>毒利米树之叶</v>
      </c>
      <c r="L888" s="371"/>
      <c r="M888" s="371"/>
      <c r="N888" s="7"/>
      <c r="O888" s="8" t="b">
        <v>0</v>
      </c>
      <c r="P888" s="378" t="str">
        <f ca="1">道具!$C$345</f>
        <v>金钢合金盾</v>
      </c>
      <c r="Q888" s="371"/>
      <c r="R888" s="371"/>
      <c r="S888" s="7"/>
      <c r="T888" s="8" t="b">
        <v>0</v>
      </c>
      <c r="U888" s="381" t="str">
        <f ca="1">道具!$C$4</f>
        <v>ＨＰ恢复的葡萄（大）</v>
      </c>
      <c r="V888" s="371"/>
      <c r="W888" s="7"/>
      <c r="X888" s="7"/>
      <c r="Y888" s="7"/>
      <c r="Z888" s="7"/>
      <c r="AA888" s="7"/>
    </row>
    <row r="889" spans="1:27" ht="12.75" x14ac:dyDescent="0.2">
      <c r="A889" s="7"/>
      <c r="B889" s="8" t="b">
        <v>0</v>
      </c>
      <c r="C889" s="378" t="str">
        <f ca="1">敌人!C$267</f>
        <v>河川大巨蛙 III</v>
      </c>
      <c r="D889" s="371"/>
      <c r="E889" s="10">
        <f>敌人!D$267</f>
        <v>5</v>
      </c>
      <c r="F889" s="10">
        <f>敌人!E$267</f>
        <v>0</v>
      </c>
      <c r="G889" s="10">
        <f>敌人!F$267</f>
        <v>0</v>
      </c>
      <c r="H889" s="10">
        <f>敌人!G$267</f>
        <v>0</v>
      </c>
      <c r="I889" s="10">
        <f>敌人!H$267</f>
        <v>0</v>
      </c>
      <c r="J889" s="10">
        <f>敌人!I$267</f>
        <v>0</v>
      </c>
      <c r="K889" s="378" t="str">
        <f ca="1">敌人!J$267</f>
        <v>ＨＰ全体恢复的葡萄</v>
      </c>
      <c r="L889" s="371"/>
      <c r="M889" s="371"/>
      <c r="N889" s="7"/>
      <c r="O889" s="382" t="str">
        <f ca="1">语言!A$451&amp;" (3 "&amp;语言!$A$19&amp;")"</f>
        <v>北利维福德川道 (3 宝箱)</v>
      </c>
      <c r="P889" s="371"/>
      <c r="Q889" s="371"/>
      <c r="R889" s="371"/>
      <c r="S889" s="7"/>
      <c r="T889" s="8" t="b">
        <v>0</v>
      </c>
      <c r="U889" s="381" t="str">
        <f ca="1">道具!$C$113</f>
        <v>擦得亮晶晶的银手表</v>
      </c>
      <c r="V889" s="371"/>
      <c r="W889" s="7"/>
      <c r="X889" s="7"/>
      <c r="Y889" s="7"/>
      <c r="Z889" s="7"/>
      <c r="AA889" s="7"/>
    </row>
    <row r="890" spans="1:27" ht="12.75" x14ac:dyDescent="0.2">
      <c r="A890" s="7"/>
      <c r="B890" s="8" t="b">
        <v>0</v>
      </c>
      <c r="C890" s="378" t="str">
        <f ca="1">敌人!C$31</f>
        <v>蓝猛牛</v>
      </c>
      <c r="D890" s="371"/>
      <c r="E890" s="10">
        <f>敌人!D$31</f>
        <v>1</v>
      </c>
      <c r="F890" s="10">
        <f>敌人!E$31</f>
        <v>0</v>
      </c>
      <c r="G890" s="10">
        <f>敌人!F$31</f>
        <v>0</v>
      </c>
      <c r="H890" s="10">
        <f>敌人!G$31</f>
        <v>0</v>
      </c>
      <c r="I890" s="10">
        <f>敌人!H$31</f>
        <v>0</v>
      </c>
      <c r="J890" s="10">
        <f>敌人!I$31</f>
        <v>0</v>
      </c>
      <c r="K890" s="378" t="str">
        <f ca="1">敌人!J$31</f>
        <v>复活的橄榄</v>
      </c>
      <c r="L890" s="371"/>
      <c r="M890" s="371"/>
      <c r="N890" s="7"/>
      <c r="O890" s="8" t="b">
        <v>0</v>
      </c>
      <c r="P890" s="378" t="str">
        <f ca="1">道具!$C$24</f>
        <v>昏迷治疗药草</v>
      </c>
      <c r="Q890" s="371"/>
      <c r="R890" s="371"/>
      <c r="S890" s="7"/>
      <c r="T890" s="8" t="b">
        <v>0</v>
      </c>
      <c r="U890" s="381" t="str">
        <f ca="1">道具!$C$10</f>
        <v>ＢＰ恢复的石榴（大）</v>
      </c>
      <c r="V890" s="371"/>
      <c r="W890" s="7"/>
      <c r="X890" s="7"/>
      <c r="Y890" s="7"/>
      <c r="Z890" s="7"/>
      <c r="AA890" s="7"/>
    </row>
    <row r="891" spans="1:27" ht="12.75" x14ac:dyDescent="0.2">
      <c r="A891" s="7"/>
      <c r="B891" s="8" t="b">
        <v>0</v>
      </c>
      <c r="C891" s="378" t="str">
        <f ca="1">敌人!C$96</f>
        <v>双子蛇</v>
      </c>
      <c r="D891" s="371"/>
      <c r="E891" s="10">
        <f>敌人!D$96</f>
        <v>3</v>
      </c>
      <c r="F891" s="10">
        <f>敌人!E$96</f>
        <v>0</v>
      </c>
      <c r="G891" s="10">
        <f>敌人!F$96</f>
        <v>0</v>
      </c>
      <c r="H891" s="10">
        <f>敌人!G$96</f>
        <v>0</v>
      </c>
      <c r="I891" s="10">
        <f>敌人!H$96</f>
        <v>0</v>
      </c>
      <c r="J891" s="10">
        <f>敌人!I$96</f>
        <v>0</v>
      </c>
      <c r="K891" s="378" t="str">
        <f ca="1">敌人!J$96</f>
        <v>毒瓶</v>
      </c>
      <c r="L891" s="371"/>
      <c r="M891" s="371"/>
      <c r="N891" s="7"/>
      <c r="O891" s="8" t="b">
        <v>0</v>
      </c>
      <c r="P891" s="378" t="str">
        <f ca="1">道具!$C$120</f>
        <v>放了银块的皮袋</v>
      </c>
      <c r="Q891" s="371"/>
      <c r="R891" s="371"/>
      <c r="S891" s="7"/>
      <c r="T891" s="7"/>
      <c r="U891" s="380"/>
      <c r="V891" s="371"/>
      <c r="W891" s="7"/>
      <c r="X891" s="7"/>
      <c r="Y891" s="7"/>
      <c r="Z891" s="7"/>
      <c r="AA891" s="7"/>
    </row>
    <row r="892" spans="1:27" ht="12.75" x14ac:dyDescent="0.2">
      <c r="A892" s="7"/>
      <c r="B892" s="8" t="b">
        <v>0</v>
      </c>
      <c r="C892" s="378" t="str">
        <f ca="1">敌人!C$165</f>
        <v>咬断蝇</v>
      </c>
      <c r="D892" s="371"/>
      <c r="E892" s="10">
        <f>敌人!D$165</f>
        <v>2</v>
      </c>
      <c r="F892" s="10">
        <f>敌人!E$165</f>
        <v>0</v>
      </c>
      <c r="G892" s="10">
        <f>敌人!F$165</f>
        <v>0</v>
      </c>
      <c r="H892" s="10">
        <f>敌人!G$165</f>
        <v>0</v>
      </c>
      <c r="I892" s="10">
        <f>敌人!H$165</f>
        <v>0</v>
      </c>
      <c r="J892" s="10">
        <f>敌人!I$165</f>
        <v>0</v>
      </c>
      <c r="K892" s="378" t="str">
        <f ca="1">敌人!J$165</f>
        <v>混乱多之叶</v>
      </c>
      <c r="L892" s="371"/>
      <c r="M892" s="371"/>
      <c r="N892" s="7"/>
      <c r="O892" s="8" t="b">
        <v>0</v>
      </c>
      <c r="P892" s="378" t="str">
        <f ca="1">道具!$C$42</f>
        <v>风之精灵石（特大）</v>
      </c>
      <c r="Q892" s="371"/>
      <c r="R892" s="371"/>
      <c r="S892" s="7"/>
      <c r="T892" s="7"/>
      <c r="U892" s="380"/>
      <c r="V892" s="371"/>
      <c r="W892" s="7"/>
      <c r="X892" s="7"/>
      <c r="Y892" s="7"/>
      <c r="Z892" s="7"/>
      <c r="AA892" s="7"/>
    </row>
    <row r="893" spans="1:27" ht="12.75" x14ac:dyDescent="0.2">
      <c r="A893" s="7"/>
      <c r="B893" s="8" t="b">
        <v>0</v>
      </c>
      <c r="C893" s="378" t="str">
        <f ca="1">敌人!C$210</f>
        <v>巨大黑死苍蝇</v>
      </c>
      <c r="D893" s="371"/>
      <c r="E893" s="10">
        <f>敌人!D$210</f>
        <v>4</v>
      </c>
      <c r="F893" s="10">
        <f>敌人!E$210</f>
        <v>0</v>
      </c>
      <c r="G893" s="10">
        <f>敌人!F$210</f>
        <v>0</v>
      </c>
      <c r="H893" s="10">
        <f>敌人!G$210</f>
        <v>0</v>
      </c>
      <c r="I893" s="10">
        <f>敌人!H$210</f>
        <v>0</v>
      </c>
      <c r="J893" s="10">
        <f>敌人!I$210</f>
        <v>0</v>
      </c>
      <c r="K893" s="378" t="str">
        <f ca="1">敌人!J$210</f>
        <v>混乱多之叶</v>
      </c>
      <c r="L893" s="371"/>
      <c r="M893" s="371"/>
      <c r="N893" s="7"/>
      <c r="O893" s="382" t="str">
        <f ca="1">语言!A$452&amp;" (14 "&amp;语言!$A$19&amp;")"</f>
        <v>贵族的藏身处遗迹 (14 宝箱)</v>
      </c>
      <c r="P893" s="371"/>
      <c r="Q893" s="371"/>
      <c r="R893" s="371"/>
      <c r="S893" s="7"/>
      <c r="T893" s="7"/>
      <c r="U893" s="380"/>
      <c r="V893" s="371"/>
      <c r="W893" s="7"/>
      <c r="X893" s="7"/>
      <c r="Y893" s="7"/>
      <c r="Z893" s="7"/>
      <c r="AA893" s="7"/>
    </row>
    <row r="894" spans="1:27" ht="12.75" x14ac:dyDescent="0.2">
      <c r="A894" s="7"/>
      <c r="B894" s="382" t="str">
        <f ca="1">语言!A$452&amp;" ("&amp;语言!$A$12&amp;" 50)"</f>
        <v>贵族的藏身处遗迹 (危险度 50)</v>
      </c>
      <c r="C894" s="371"/>
      <c r="D894" s="371"/>
      <c r="E894" s="371"/>
      <c r="F894" s="371"/>
      <c r="G894" s="371"/>
      <c r="H894" s="371"/>
      <c r="I894" s="371"/>
      <c r="J894" s="371"/>
      <c r="K894" s="371"/>
      <c r="L894" s="371"/>
      <c r="M894" s="371"/>
      <c r="N894" s="7"/>
      <c r="O894" s="8" t="b">
        <v>0</v>
      </c>
      <c r="P894" s="378" t="str">
        <f ca="1">道具!$C$4</f>
        <v>ＨＰ恢复的葡萄（大）</v>
      </c>
      <c r="Q894" s="371"/>
      <c r="R894" s="371"/>
      <c r="S894" s="7"/>
      <c r="T894" s="7"/>
      <c r="U894" s="380"/>
      <c r="V894" s="371"/>
      <c r="W894" s="7"/>
      <c r="X894" s="7"/>
      <c r="Y894" s="7"/>
      <c r="Z894" s="7"/>
      <c r="AA894" s="7"/>
    </row>
    <row r="895" spans="1:27" ht="12.75" x14ac:dyDescent="0.2">
      <c r="A895" s="7"/>
      <c r="B895" s="8" t="b">
        <v>0</v>
      </c>
      <c r="C895" s="378" t="str">
        <f ca="1">敌人!C$265</f>
        <v>河川大巨蛙 I</v>
      </c>
      <c r="D895" s="371"/>
      <c r="E895" s="10">
        <f>敌人!D$265</f>
        <v>3</v>
      </c>
      <c r="F895" s="10">
        <f>敌人!E$265</f>
        <v>0</v>
      </c>
      <c r="G895" s="10">
        <f>敌人!F$265</f>
        <v>0</v>
      </c>
      <c r="H895" s="10">
        <f>敌人!G$265</f>
        <v>0</v>
      </c>
      <c r="I895" s="10">
        <f>敌人!H$265</f>
        <v>0</v>
      </c>
      <c r="J895" s="10">
        <f>敌人!I$265</f>
        <v>0</v>
      </c>
      <c r="K895" s="378" t="str">
        <f ca="1">敌人!J$265</f>
        <v>ＨＰ恢复的葡萄（大）</v>
      </c>
      <c r="L895" s="371"/>
      <c r="M895" s="371"/>
      <c r="N895" s="7"/>
      <c r="O895" s="8" t="b">
        <v>0</v>
      </c>
      <c r="P895" s="378" t="str">
        <f ca="1">道具!$C$12</f>
        <v>ＨＰ／ＳＰ恢复的果酱</v>
      </c>
      <c r="Q895" s="371"/>
      <c r="R895" s="371"/>
      <c r="S895" s="7"/>
      <c r="T895" s="7"/>
      <c r="U895" s="380"/>
      <c r="V895" s="371"/>
      <c r="W895" s="7"/>
      <c r="X895" s="7"/>
      <c r="Y895" s="7"/>
      <c r="Z895" s="7"/>
      <c r="AA895" s="7"/>
    </row>
    <row r="896" spans="1:27" ht="12.75" x14ac:dyDescent="0.2">
      <c r="A896" s="7"/>
      <c r="B896" s="8" t="b">
        <v>0</v>
      </c>
      <c r="C896" s="378" t="str">
        <f ca="1">敌人!C$266</f>
        <v>河川大巨蛙 II</v>
      </c>
      <c r="D896" s="371"/>
      <c r="E896" s="10">
        <f>敌人!D$266</f>
        <v>2</v>
      </c>
      <c r="F896" s="10">
        <f>敌人!E$266</f>
        <v>0</v>
      </c>
      <c r="G896" s="10">
        <f>敌人!F$266</f>
        <v>0</v>
      </c>
      <c r="H896" s="10">
        <f>敌人!G$266</f>
        <v>0</v>
      </c>
      <c r="I896" s="10">
        <f>敌人!H$266</f>
        <v>0</v>
      </c>
      <c r="J896" s="10">
        <f>敌人!I$266</f>
        <v>0</v>
      </c>
      <c r="K896" s="378" t="str">
        <f ca="1">敌人!J$266</f>
        <v>毒利米树之叶</v>
      </c>
      <c r="L896" s="371"/>
      <c r="M896" s="371"/>
      <c r="N896" s="7"/>
      <c r="O896" s="8" t="b">
        <v>0</v>
      </c>
      <c r="P896" s="378" t="str">
        <f ca="1">道具!$C$138&amp;" ("&amp;语言!$A$20&amp;")"</f>
        <v>禁忌之剑 (上锁宝箱)</v>
      </c>
      <c r="Q896" s="371"/>
      <c r="R896" s="371"/>
      <c r="S896" s="7"/>
      <c r="T896" s="7"/>
      <c r="U896" s="380"/>
      <c r="V896" s="371"/>
      <c r="W896" s="7"/>
      <c r="X896" s="7"/>
      <c r="Y896" s="7"/>
      <c r="Z896" s="7"/>
      <c r="AA896" s="7"/>
    </row>
    <row r="897" spans="1:27" ht="12.75" x14ac:dyDescent="0.2">
      <c r="A897" s="7"/>
      <c r="B897" s="8" t="b">
        <v>0</v>
      </c>
      <c r="C897" s="378" t="str">
        <f ca="1">敌人!C$267</f>
        <v>河川大巨蛙 III</v>
      </c>
      <c r="D897" s="371"/>
      <c r="E897" s="10">
        <f>敌人!D$267</f>
        <v>5</v>
      </c>
      <c r="F897" s="10">
        <f>敌人!E$267</f>
        <v>0</v>
      </c>
      <c r="G897" s="10">
        <f>敌人!F$267</f>
        <v>0</v>
      </c>
      <c r="H897" s="10">
        <f>敌人!G$267</f>
        <v>0</v>
      </c>
      <c r="I897" s="10">
        <f>敌人!H$267</f>
        <v>0</v>
      </c>
      <c r="J897" s="10">
        <f>敌人!I$267</f>
        <v>0</v>
      </c>
      <c r="K897" s="378" t="str">
        <f ca="1">敌人!J$267</f>
        <v>ＨＰ全体恢复的葡萄</v>
      </c>
      <c r="L897" s="371"/>
      <c r="M897" s="371"/>
      <c r="N897" s="7"/>
      <c r="O897" s="8" t="b">
        <v>0</v>
      </c>
      <c r="P897" s="378" t="str">
        <f ca="1">道具!$C$310</f>
        <v>魔法之杖</v>
      </c>
      <c r="Q897" s="371"/>
      <c r="R897" s="371"/>
      <c r="S897" s="7"/>
      <c r="T897" s="7"/>
      <c r="U897" s="380"/>
      <c r="V897" s="371"/>
      <c r="W897" s="7"/>
      <c r="X897" s="7"/>
      <c r="Y897" s="7"/>
      <c r="Z897" s="7"/>
      <c r="AA897" s="7"/>
    </row>
    <row r="898" spans="1:27" ht="12.75" x14ac:dyDescent="0.2">
      <c r="A898" s="7"/>
      <c r="B898" s="8" t="b">
        <v>0</v>
      </c>
      <c r="C898" s="378" t="str">
        <f ca="1">敌人!C$139</f>
        <v>巨大短鼻鳄</v>
      </c>
      <c r="D898" s="371"/>
      <c r="E898" s="10">
        <f>敌人!D$139</f>
        <v>2</v>
      </c>
      <c r="F898" s="10">
        <f>敌人!E$139</f>
        <v>0</v>
      </c>
      <c r="G898" s="10">
        <f>敌人!F$139</f>
        <v>0</v>
      </c>
      <c r="H898" s="10">
        <f>敌人!G$139</f>
        <v>0</v>
      </c>
      <c r="I898" s="10">
        <f>敌人!H$139</f>
        <v>0</v>
      </c>
      <c r="J898" s="10">
        <f>敌人!I$139</f>
        <v>0</v>
      </c>
      <c r="K898" s="378" t="str">
        <f ca="1">敌人!J$139</f>
        <v>复活的橄榄（大）</v>
      </c>
      <c r="L898" s="371"/>
      <c r="M898" s="371"/>
      <c r="N898" s="7"/>
      <c r="O898" s="8" t="b">
        <v>0</v>
      </c>
      <c r="P898" s="378" t="str">
        <f ca="1">道具!$C$10</f>
        <v>ＢＰ恢复的石榴（大）</v>
      </c>
      <c r="Q898" s="371"/>
      <c r="R898" s="371"/>
      <c r="S898" s="7"/>
      <c r="T898" s="7"/>
      <c r="U898" s="380"/>
      <c r="V898" s="371"/>
      <c r="W898" s="7"/>
      <c r="X898" s="7"/>
      <c r="Y898" s="7"/>
      <c r="Z898" s="7"/>
      <c r="AA898" s="7"/>
    </row>
    <row r="899" spans="1:27" ht="12.75" x14ac:dyDescent="0.2">
      <c r="A899" s="7"/>
      <c r="B899" s="8" t="b">
        <v>0</v>
      </c>
      <c r="C899" s="378" t="str">
        <f ca="1">敌人!C$63</f>
        <v>沙罗曼达异种</v>
      </c>
      <c r="D899" s="371"/>
      <c r="E899" s="10">
        <f>敌人!D$63</f>
        <v>4</v>
      </c>
      <c r="F899" s="10">
        <f>敌人!E$63</f>
        <v>0</v>
      </c>
      <c r="G899" s="10">
        <f>敌人!F$63</f>
        <v>0</v>
      </c>
      <c r="H899" s="10">
        <f>敌人!G$63</f>
        <v>0</v>
      </c>
      <c r="I899" s="10">
        <f>敌人!H$63</f>
        <v>0</v>
      </c>
      <c r="J899" s="10">
        <f>敌人!I$63</f>
        <v>0</v>
      </c>
      <c r="K899" s="378" t="str">
        <f ca="1">敌人!J$63</f>
        <v>橄榄花</v>
      </c>
      <c r="L899" s="371"/>
      <c r="M899" s="371"/>
      <c r="N899" s="7"/>
      <c r="O899" s="8" t="b">
        <v>0</v>
      </c>
      <c r="P899" s="378" t="str">
        <f ca="1">道具!$C$11</f>
        <v>ＢＰ恢复的石榴（特大）</v>
      </c>
      <c r="Q899" s="371"/>
      <c r="R899" s="371"/>
      <c r="S899" s="7"/>
      <c r="T899" s="7"/>
      <c r="U899" s="380"/>
      <c r="V899" s="371"/>
      <c r="W899" s="7"/>
      <c r="X899" s="7"/>
      <c r="Y899" s="7"/>
      <c r="Z899" s="7"/>
      <c r="AA899" s="7"/>
    </row>
    <row r="900" spans="1:27" ht="12.75" x14ac:dyDescent="0.2">
      <c r="A900" s="7"/>
      <c r="B900" s="383" t="str">
        <f ca="1">语言!$A$16</f>
        <v>小Boss</v>
      </c>
      <c r="C900" s="371"/>
      <c r="D900" s="371"/>
      <c r="E900" s="371"/>
      <c r="F900" s="371"/>
      <c r="G900" s="371"/>
      <c r="H900" s="371"/>
      <c r="I900" s="371"/>
      <c r="J900" s="371"/>
      <c r="K900" s="371"/>
      <c r="L900" s="371"/>
      <c r="M900" s="371"/>
      <c r="N900" s="7"/>
      <c r="O900" s="8" t="b">
        <v>0</v>
      </c>
      <c r="P900" s="378" t="str">
        <f ca="1">道具!$C$16</f>
        <v>复活的橄榄（大）</v>
      </c>
      <c r="Q900" s="371"/>
      <c r="R900" s="371"/>
      <c r="S900" s="7"/>
      <c r="T900" s="7"/>
      <c r="U900" s="380"/>
      <c r="V900" s="371"/>
      <c r="W900" s="7"/>
      <c r="X900" s="7"/>
      <c r="Y900" s="7"/>
      <c r="Z900" s="7"/>
      <c r="AA900" s="7"/>
    </row>
    <row r="901" spans="1:27" ht="12.75" x14ac:dyDescent="0.2">
      <c r="A901" s="7"/>
      <c r="B901" s="8" t="b">
        <v>0</v>
      </c>
      <c r="C901" s="381" t="str">
        <f ca="1">敌人!C$381</f>
        <v>基加提亚斯</v>
      </c>
      <c r="D901" s="371"/>
      <c r="E901" s="8">
        <f>敌人!D$381</f>
        <v>10</v>
      </c>
      <c r="F901" s="8">
        <f>敌人!E$381</f>
        <v>0</v>
      </c>
      <c r="G901" s="8">
        <f>敌人!F$381</f>
        <v>0</v>
      </c>
      <c r="H901" s="8">
        <f>敌人!G$381</f>
        <v>0</v>
      </c>
      <c r="I901" s="8">
        <f>敌人!H$381</f>
        <v>0</v>
      </c>
      <c r="J901" s="8">
        <f>敌人!I$381</f>
        <v>0</v>
      </c>
      <c r="K901" s="381" t="str">
        <f ca="1">敌人!J$381</f>
        <v>ＨＰ／ＳＰ／ＢＰ恢复的果酱</v>
      </c>
      <c r="L901" s="371"/>
      <c r="M901" s="371"/>
      <c r="N901" s="7"/>
      <c r="O901" s="8" t="b">
        <v>0</v>
      </c>
      <c r="P901" s="378" t="str">
        <f ca="1">道具!$C$525</f>
        <v>混乱耐性石</v>
      </c>
      <c r="Q901" s="371"/>
      <c r="R901" s="371"/>
      <c r="S901" s="7"/>
      <c r="T901" s="7"/>
      <c r="U901" s="380"/>
      <c r="V901" s="371"/>
      <c r="W901" s="7"/>
      <c r="X901" s="7"/>
      <c r="Y901" s="7"/>
      <c r="Z901" s="7"/>
      <c r="AA901" s="7"/>
    </row>
    <row r="902" spans="1:27" ht="12.75" x14ac:dyDescent="0.2">
      <c r="A902" s="7"/>
      <c r="B902" s="382" t="str">
        <f ca="1">语言!A$453&amp;" ("&amp;语言!$A$12&amp;" 50)"</f>
        <v>豪武匠的祠堂 (危险度 50)</v>
      </c>
      <c r="C902" s="371"/>
      <c r="D902" s="371"/>
      <c r="E902" s="371"/>
      <c r="F902" s="371"/>
      <c r="G902" s="371"/>
      <c r="H902" s="371"/>
      <c r="I902" s="371"/>
      <c r="J902" s="371"/>
      <c r="K902" s="371"/>
      <c r="L902" s="371"/>
      <c r="M902" s="371"/>
      <c r="N902" s="7"/>
      <c r="O902" s="8" t="b">
        <v>0</v>
      </c>
      <c r="P902" s="378" t="str">
        <f ca="1">道具!$C$134</f>
        <v>画了地图的布片</v>
      </c>
      <c r="Q902" s="371"/>
      <c r="R902" s="371"/>
      <c r="S902" s="7"/>
      <c r="T902" s="7"/>
      <c r="U902" s="380"/>
      <c r="V902" s="371"/>
      <c r="W902" s="7"/>
      <c r="X902" s="7"/>
      <c r="Y902" s="7"/>
      <c r="Z902" s="7"/>
      <c r="AA902" s="7"/>
    </row>
    <row r="903" spans="1:27" ht="12.75" x14ac:dyDescent="0.2">
      <c r="A903" s="7"/>
      <c r="B903" s="8" t="b">
        <v>0</v>
      </c>
      <c r="C903" s="378" t="str">
        <f ca="1">敌人!C$107</f>
        <v>古代遗物（火兽）・异型</v>
      </c>
      <c r="D903" s="371"/>
      <c r="E903" s="10">
        <f>敌人!D$107</f>
        <v>3</v>
      </c>
      <c r="F903" s="10">
        <f>敌人!E$107</f>
        <v>0</v>
      </c>
      <c r="G903" s="10">
        <f>敌人!F$107</f>
        <v>0</v>
      </c>
      <c r="H903" s="10">
        <f>敌人!G$107</f>
        <v>0</v>
      </c>
      <c r="I903" s="10">
        <f>敌人!H$107</f>
        <v>0</v>
      </c>
      <c r="J903" s="10">
        <f>敌人!I$107</f>
        <v>0</v>
      </c>
      <c r="K903" s="378" t="str">
        <f ca="1">敌人!J$107</f>
        <v>火之精灵石（特大）</v>
      </c>
      <c r="L903" s="371"/>
      <c r="M903" s="371"/>
      <c r="N903" s="7"/>
      <c r="O903" s="8" t="b">
        <v>0</v>
      </c>
      <c r="P903" s="378" t="str">
        <f ca="1">道具!$C$103</f>
        <v>磨损的鞋子</v>
      </c>
      <c r="Q903" s="371"/>
      <c r="R903" s="371"/>
      <c r="S903" s="7"/>
      <c r="T903" s="7"/>
      <c r="U903" s="380"/>
      <c r="V903" s="371"/>
      <c r="W903" s="7"/>
      <c r="X903" s="7"/>
      <c r="Y903" s="7"/>
      <c r="Z903" s="7"/>
      <c r="AA903" s="7"/>
    </row>
    <row r="904" spans="1:27" ht="12.75" x14ac:dyDescent="0.2">
      <c r="A904" s="7"/>
      <c r="B904" s="8" t="b">
        <v>0</v>
      </c>
      <c r="C904" s="378" t="str">
        <f ca="1">敌人!C$108</f>
        <v>古代遗物・火兵</v>
      </c>
      <c r="D904" s="371"/>
      <c r="E904" s="10">
        <f>敌人!D$108</f>
        <v>8</v>
      </c>
      <c r="F904" s="10">
        <f>敌人!E$108</f>
        <v>0</v>
      </c>
      <c r="G904" s="10">
        <f>敌人!F$108</f>
        <v>0</v>
      </c>
      <c r="H904" s="10">
        <f>敌人!G$108</f>
        <v>0</v>
      </c>
      <c r="I904" s="10">
        <f>敌人!H$108</f>
        <v>0</v>
      </c>
      <c r="J904" s="10">
        <f>敌人!I$108</f>
        <v>0</v>
      </c>
      <c r="K904" s="378" t="str">
        <f ca="1">敌人!J$108</f>
        <v>ＳＰ全体恢复的李子</v>
      </c>
      <c r="L904" s="371"/>
      <c r="M904" s="371"/>
      <c r="N904" s="7"/>
      <c r="O904" s="8" t="b">
        <v>0</v>
      </c>
      <c r="P904" s="378" t="str">
        <f ca="1">道具!$C$131</f>
        <v>锈蚀腐朽的杯子</v>
      </c>
      <c r="Q904" s="371"/>
      <c r="R904" s="371"/>
      <c r="S904" s="7"/>
      <c r="T904" s="7"/>
      <c r="U904" s="380"/>
      <c r="V904" s="371"/>
      <c r="W904" s="7"/>
      <c r="X904" s="7"/>
      <c r="Y904" s="7"/>
      <c r="Z904" s="7"/>
      <c r="AA904" s="7"/>
    </row>
    <row r="905" spans="1:27" ht="12.75" x14ac:dyDescent="0.2">
      <c r="A905" s="7"/>
      <c r="B905" s="8" t="b">
        <v>0</v>
      </c>
      <c r="C905" s="378" t="str">
        <f ca="1">敌人!C$339</f>
        <v>古代遗物（雷兽）・异型</v>
      </c>
      <c r="D905" s="371"/>
      <c r="E905" s="10">
        <f>敌人!D$339</f>
        <v>2</v>
      </c>
      <c r="F905" s="10">
        <f>敌人!E$339</f>
        <v>0</v>
      </c>
      <c r="G905" s="10">
        <f>敌人!F$339</f>
        <v>0</v>
      </c>
      <c r="H905" s="10">
        <f>敌人!G$339</f>
        <v>0</v>
      </c>
      <c r="I905" s="10">
        <f>敌人!H$339</f>
        <v>0</v>
      </c>
      <c r="J905" s="10">
        <f>敌人!I$339</f>
        <v>0</v>
      </c>
      <c r="K905" s="378" t="str">
        <f ca="1">敌人!J$339</f>
        <v>雷之精灵石（特大）</v>
      </c>
      <c r="L905" s="371"/>
      <c r="M905" s="371"/>
      <c r="N905" s="7"/>
      <c r="O905" s="8" t="b">
        <v>0</v>
      </c>
      <c r="P905" s="378" t="str">
        <f ca="1">道具!$C$339</f>
        <v>力之盾</v>
      </c>
      <c r="Q905" s="371"/>
      <c r="R905" s="371"/>
      <c r="S905" s="7"/>
      <c r="T905" s="7"/>
      <c r="U905" s="380"/>
      <c r="V905" s="371"/>
      <c r="W905" s="7"/>
      <c r="X905" s="7"/>
      <c r="Y905" s="7"/>
      <c r="Z905" s="7"/>
      <c r="AA905" s="7"/>
    </row>
    <row r="906" spans="1:27" ht="12.75" x14ac:dyDescent="0.2">
      <c r="A906" s="7"/>
      <c r="B906" s="8" t="b">
        <v>0</v>
      </c>
      <c r="C906" s="378" t="str">
        <f ca="1">敌人!C$340</f>
        <v>古代遗物。雷兵</v>
      </c>
      <c r="D906" s="371"/>
      <c r="E906" s="10">
        <f>敌人!D$340</f>
        <v>7</v>
      </c>
      <c r="F906" s="10">
        <f>敌人!E$340</f>
        <v>0</v>
      </c>
      <c r="G906" s="10">
        <f>敌人!F$340</f>
        <v>0</v>
      </c>
      <c r="H906" s="10">
        <f>敌人!G$340</f>
        <v>0</v>
      </c>
      <c r="I906" s="10">
        <f>敌人!H$340</f>
        <v>0</v>
      </c>
      <c r="J906" s="10">
        <f>敌人!I$340</f>
        <v>0</v>
      </c>
      <c r="K906" s="378" t="str">
        <f ca="1">敌人!J$340</f>
        <v>ＳＰ全体恢复的李子</v>
      </c>
      <c r="L906" s="371"/>
      <c r="M906" s="371"/>
      <c r="N906" s="7"/>
      <c r="O906" s="8" t="b">
        <v>0</v>
      </c>
      <c r="P906" s="378" t="str">
        <f ca="1">道具!$C$82</f>
        <v>一段麻绳</v>
      </c>
      <c r="Q906" s="371"/>
      <c r="R906" s="371"/>
      <c r="S906" s="7"/>
      <c r="T906" s="7"/>
      <c r="U906" s="380"/>
      <c r="V906" s="371"/>
      <c r="W906" s="7"/>
      <c r="X906" s="7"/>
      <c r="Y906" s="7"/>
      <c r="Z906" s="7"/>
      <c r="AA906" s="7"/>
    </row>
    <row r="907" spans="1:27" ht="12.75" x14ac:dyDescent="0.2">
      <c r="A907" s="7"/>
      <c r="B907" s="8" t="b">
        <v>0</v>
      </c>
      <c r="C907" s="378" t="str">
        <f ca="1">敌人!C$309</f>
        <v>古代遗物（暗兽）・异型</v>
      </c>
      <c r="D907" s="371"/>
      <c r="E907" s="10">
        <f>敌人!D$309</f>
        <v>4</v>
      </c>
      <c r="F907" s="10">
        <f>敌人!E$309</f>
        <v>0</v>
      </c>
      <c r="G907" s="10">
        <f>敌人!F$309</f>
        <v>0</v>
      </c>
      <c r="H907" s="10">
        <f>敌人!G$309</f>
        <v>0</v>
      </c>
      <c r="I907" s="10">
        <f>敌人!H$309</f>
        <v>0</v>
      </c>
      <c r="J907" s="10">
        <f>敌人!I$309</f>
        <v>0</v>
      </c>
      <c r="K907" s="378" t="str">
        <f ca="1">敌人!J$309</f>
        <v>暗之精灵石（特大）</v>
      </c>
      <c r="L907" s="371"/>
      <c r="M907" s="371"/>
      <c r="N907" s="7"/>
      <c r="O907" s="8" t="b">
        <v>0</v>
      </c>
      <c r="P907" s="378" t="str">
        <f ca="1">道具!$C$133</f>
        <v>光泽不自然的金币</v>
      </c>
      <c r="Q907" s="371"/>
      <c r="R907" s="371"/>
      <c r="S907" s="7"/>
      <c r="T907" s="7"/>
      <c r="U907" s="380"/>
      <c r="V907" s="371"/>
      <c r="W907" s="7"/>
      <c r="X907" s="7"/>
      <c r="Y907" s="7"/>
      <c r="Z907" s="7"/>
      <c r="AA907" s="7"/>
    </row>
    <row r="908" spans="1:27" ht="12.75" x14ac:dyDescent="0.2">
      <c r="A908" s="7"/>
      <c r="B908" s="8" t="b">
        <v>0</v>
      </c>
      <c r="C908" s="378" t="str">
        <f ca="1">敌人!C$310</f>
        <v>古代遗物・暗兵</v>
      </c>
      <c r="D908" s="371"/>
      <c r="E908" s="10">
        <f>敌人!D$310</f>
        <v>9</v>
      </c>
      <c r="F908" s="10">
        <f>敌人!E$310</f>
        <v>0</v>
      </c>
      <c r="G908" s="10">
        <f>敌人!F$310</f>
        <v>0</v>
      </c>
      <c r="H908" s="10">
        <f>敌人!G$310</f>
        <v>0</v>
      </c>
      <c r="I908" s="10">
        <f>敌人!H$310</f>
        <v>0</v>
      </c>
      <c r="J908" s="10">
        <f>敌人!I$310</f>
        <v>0</v>
      </c>
      <c r="K908" s="378" t="str">
        <f ca="1">敌人!J$310</f>
        <v>ＳＰ全体恢复的李子</v>
      </c>
      <c r="L908" s="371"/>
      <c r="M908" s="371"/>
      <c r="N908" s="7"/>
      <c r="O908" s="382" t="str">
        <f ca="1">语言!A$453&amp;" (5 "&amp;语言!$A$19&amp;")"</f>
        <v>豪武匠的祠堂 (5 宝箱)</v>
      </c>
      <c r="P908" s="371"/>
      <c r="Q908" s="371"/>
      <c r="R908" s="371"/>
      <c r="S908" s="7"/>
      <c r="T908" s="7"/>
      <c r="U908" s="380"/>
      <c r="V908" s="371"/>
      <c r="W908" s="7"/>
      <c r="X908" s="7"/>
      <c r="Y908" s="7"/>
      <c r="Z908" s="7"/>
      <c r="AA908" s="7"/>
    </row>
    <row r="909" spans="1:27" ht="12.75" x14ac:dyDescent="0.2">
      <c r="A909" s="7"/>
      <c r="B909" s="8" t="b">
        <v>0</v>
      </c>
      <c r="C909" s="378" t="str">
        <f ca="1">敌人!C$9</f>
        <v>腐朽的盔甲</v>
      </c>
      <c r="D909" s="371"/>
      <c r="E909" s="10">
        <f>敌人!D$9</f>
        <v>6</v>
      </c>
      <c r="F909" s="10">
        <f>敌人!E$9</f>
        <v>0</v>
      </c>
      <c r="G909" s="10">
        <f>敌人!F$9</f>
        <v>0</v>
      </c>
      <c r="H909" s="10">
        <f>敌人!G$9</f>
        <v>0</v>
      </c>
      <c r="I909" s="10">
        <f>敌人!H$9</f>
        <v>0</v>
      </c>
      <c r="J909" s="10">
        <f>敌人!I$9</f>
        <v>0</v>
      </c>
      <c r="K909" s="378" t="str">
        <f ca="1">敌人!J$9</f>
        <v>ＨＰ／ＳＰ恢复的果酱</v>
      </c>
      <c r="L909" s="371"/>
      <c r="M909" s="371"/>
      <c r="N909" s="7"/>
      <c r="O909" s="8" t="b">
        <v>0</v>
      </c>
      <c r="P909" s="378" t="str">
        <f ca="1">道具!$C$8</f>
        <v>ＳＰ全体恢复的李子</v>
      </c>
      <c r="Q909" s="371"/>
      <c r="R909" s="371"/>
      <c r="S909" s="7"/>
      <c r="T909" s="7"/>
      <c r="U909" s="380"/>
      <c r="V909" s="371"/>
      <c r="W909" s="7"/>
      <c r="X909" s="7"/>
      <c r="Y909" s="7"/>
      <c r="Z909" s="7"/>
      <c r="AA909" s="7"/>
    </row>
    <row r="910" spans="1:27" ht="12.75" x14ac:dyDescent="0.2">
      <c r="A910" s="7"/>
      <c r="B910" s="383" t="str">
        <f ca="1">语言!$A$15</f>
        <v>Boss</v>
      </c>
      <c r="C910" s="371"/>
      <c r="D910" s="371"/>
      <c r="E910" s="371"/>
      <c r="F910" s="371"/>
      <c r="G910" s="371"/>
      <c r="H910" s="371"/>
      <c r="I910" s="371"/>
      <c r="J910" s="371"/>
      <c r="K910" s="371"/>
      <c r="L910" s="371"/>
      <c r="M910" s="371"/>
      <c r="N910" s="7"/>
      <c r="O910" s="8" t="b">
        <v>0</v>
      </c>
      <c r="P910" s="378" t="str">
        <f ca="1">道具!$C$24</f>
        <v>昏迷治疗药草</v>
      </c>
      <c r="Q910" s="371"/>
      <c r="R910" s="371"/>
      <c r="S910" s="7"/>
      <c r="T910" s="7"/>
      <c r="U910" s="380"/>
      <c r="V910" s="371"/>
      <c r="W910" s="7"/>
      <c r="X910" s="7"/>
      <c r="Y910" s="7"/>
      <c r="Z910" s="7"/>
      <c r="AA910" s="7"/>
    </row>
    <row r="911" spans="1:27" ht="12.75" x14ac:dyDescent="0.2">
      <c r="A911" s="7"/>
      <c r="B911" s="381" t="b">
        <v>0</v>
      </c>
      <c r="C911" s="379" t="str">
        <f ca="1">敌人!C$490</f>
        <v>豪武匠温希德</v>
      </c>
      <c r="D911" s="371"/>
      <c r="E911" s="379">
        <f>敌人!D$490</f>
        <v>5</v>
      </c>
      <c r="F911" s="8">
        <f>敌人!E$490</f>
        <v>0</v>
      </c>
      <c r="G911" s="8">
        <f>敌人!F$490</f>
        <v>0</v>
      </c>
      <c r="H911" s="8">
        <f>敌人!G$490</f>
        <v>0</v>
      </c>
      <c r="I911" s="8">
        <f>敌人!H$490</f>
        <v>0</v>
      </c>
      <c r="J911" s="8">
        <f>敌人!I$490</f>
        <v>0</v>
      </c>
      <c r="K911" s="379" t="str">
        <f ca="1">敌人!J$490</f>
        <v>ＨＰ／ＳＰ恢复的果酱</v>
      </c>
      <c r="L911" s="371"/>
      <c r="M911" s="371"/>
      <c r="N911" s="7"/>
      <c r="O911" s="8" t="b">
        <v>0</v>
      </c>
      <c r="P911" s="378" t="str">
        <f ca="1">道具!$C$12</f>
        <v>ＨＰ／ＳＰ恢复的果酱</v>
      </c>
      <c r="Q911" s="371"/>
      <c r="R911" s="371"/>
      <c r="S911" s="7"/>
      <c r="T911" s="7"/>
      <c r="U911" s="380"/>
      <c r="V911" s="371"/>
      <c r="W911" s="7"/>
      <c r="X911" s="7"/>
      <c r="Y911" s="7"/>
      <c r="Z911" s="7"/>
      <c r="AA911" s="7"/>
    </row>
    <row r="912" spans="1:27" ht="12.75" x14ac:dyDescent="0.2">
      <c r="A912" s="7"/>
      <c r="B912" s="371"/>
      <c r="C912" s="371"/>
      <c r="D912" s="371"/>
      <c r="E912" s="371"/>
      <c r="F912" s="8">
        <f>敌人!E$491</f>
        <v>0</v>
      </c>
      <c r="G912" s="8">
        <f>敌人!F$491</f>
        <v>0</v>
      </c>
      <c r="H912" s="8">
        <f>敌人!G$491</f>
        <v>0</v>
      </c>
      <c r="I912" s="8">
        <f>敌人!H$491</f>
        <v>0</v>
      </c>
      <c r="J912" s="8">
        <f>敌人!I$491</f>
        <v>0</v>
      </c>
      <c r="K912" s="371"/>
      <c r="L912" s="371"/>
      <c r="M912" s="371"/>
      <c r="N912" s="7"/>
      <c r="O912" s="8" t="b">
        <v>0</v>
      </c>
      <c r="P912" s="378" t="str">
        <f ca="1">"30 000$ ("&amp;语言!$A$20&amp;")"</f>
        <v>30 000$ (上锁宝箱)</v>
      </c>
      <c r="Q912" s="371"/>
      <c r="R912" s="371"/>
      <c r="S912" s="7"/>
      <c r="T912" s="7"/>
      <c r="U912" s="380"/>
      <c r="V912" s="371"/>
      <c r="W912" s="7"/>
      <c r="X912" s="7"/>
      <c r="Y912" s="7"/>
      <c r="Z912" s="7"/>
      <c r="AA912" s="7"/>
    </row>
    <row r="913" spans="1:27" ht="12.75" x14ac:dyDescent="0.2">
      <c r="A913" s="7"/>
      <c r="B913" s="380"/>
      <c r="C913" s="371"/>
      <c r="D913" s="371"/>
      <c r="E913" s="7"/>
      <c r="F913" s="7"/>
      <c r="G913" s="7"/>
      <c r="H913" s="7"/>
      <c r="I913" s="7"/>
      <c r="J913" s="7"/>
      <c r="K913" s="380"/>
      <c r="L913" s="371"/>
      <c r="M913" s="371"/>
      <c r="N913" s="7"/>
      <c r="O913" s="8" t="b">
        <v>0</v>
      </c>
      <c r="P913" s="378" t="str">
        <f ca="1">道具!$C$13</f>
        <v>ＨＰ／ＳＰ／ＢＰ恢复的果酱</v>
      </c>
      <c r="Q913" s="371"/>
      <c r="R913" s="371"/>
      <c r="S913" s="7"/>
      <c r="T913" s="7"/>
      <c r="U913" s="380"/>
      <c r="V913" s="371"/>
      <c r="W913" s="7"/>
      <c r="X913" s="7"/>
      <c r="Y913" s="7"/>
      <c r="Z913" s="7"/>
      <c r="AA913" s="7"/>
    </row>
    <row r="914" spans="1:27" ht="12.75" x14ac:dyDescent="0.2">
      <c r="A914" s="7"/>
      <c r="B914" s="7"/>
      <c r="C914" s="380"/>
      <c r="D914" s="371"/>
      <c r="E914" s="7"/>
      <c r="F914" s="7"/>
      <c r="G914" s="7"/>
      <c r="H914" s="7"/>
      <c r="I914" s="7"/>
      <c r="J914" s="7"/>
      <c r="K914" s="380"/>
      <c r="L914" s="371"/>
      <c r="M914" s="371"/>
      <c r="N914" s="7"/>
      <c r="O914" s="7"/>
      <c r="P914" s="380"/>
      <c r="Q914" s="371"/>
      <c r="R914" s="371"/>
      <c r="S914" s="7"/>
      <c r="T914" s="7"/>
      <c r="U914" s="380"/>
      <c r="V914" s="371"/>
      <c r="W914" s="7"/>
      <c r="X914" s="7"/>
      <c r="Y914" s="7"/>
      <c r="Z914" s="7"/>
      <c r="AA914" s="7"/>
    </row>
    <row r="915" spans="1:27" ht="12.75" x14ac:dyDescent="0.2">
      <c r="A915" s="7"/>
      <c r="B915" s="385" t="str">
        <f ca="1">语言!$A$38&amp;" "&amp;语言!$A$14&amp;" 4"</f>
        <v>欧尔贝克 章节 4</v>
      </c>
      <c r="C915" s="371"/>
      <c r="D915" s="371"/>
      <c r="E915" s="371"/>
      <c r="F915" s="371"/>
      <c r="G915" s="371"/>
      <c r="H915" s="371"/>
      <c r="I915" s="371"/>
      <c r="J915" s="371"/>
      <c r="K915" s="371"/>
      <c r="L915" s="371"/>
      <c r="M915" s="371"/>
      <c r="N915" s="7"/>
      <c r="O915" s="385" t="str">
        <f ca="1">语言!$A$38&amp;" "&amp;语言!$A$14&amp;" 4"</f>
        <v>欧尔贝克 章节 4</v>
      </c>
      <c r="P915" s="371"/>
      <c r="Q915" s="371"/>
      <c r="R915" s="371"/>
      <c r="S915" s="7"/>
      <c r="T915" s="7"/>
      <c r="U915" s="380"/>
      <c r="V915" s="371"/>
      <c r="W915" s="7"/>
      <c r="X915" s="7"/>
      <c r="Y915" s="7"/>
      <c r="Z915" s="7"/>
      <c r="AA915" s="7"/>
    </row>
    <row r="916" spans="1:27" ht="12.75" x14ac:dyDescent="0.2">
      <c r="A916" s="7"/>
      <c r="B916" s="406" t="str">
        <f ca="1">语言!A$454&amp;" ("&amp;语言!$A$12&amp;" 45)"</f>
        <v>通往领主宅邸的密道 (危险度 45)</v>
      </c>
      <c r="C916" s="371"/>
      <c r="D916" s="371"/>
      <c r="E916" s="371"/>
      <c r="F916" s="371"/>
      <c r="G916" s="371"/>
      <c r="H916" s="371"/>
      <c r="I916" s="371"/>
      <c r="J916" s="371"/>
      <c r="K916" s="371"/>
      <c r="L916" s="371"/>
      <c r="M916" s="371"/>
      <c r="N916" s="7"/>
      <c r="O916" s="382" t="str">
        <f ca="1">语言!A$454&amp;" (7 "&amp;语言!$A$19&amp;")"</f>
        <v>通往领主宅邸的密道 (7 宝箱)</v>
      </c>
      <c r="P916" s="371"/>
      <c r="Q916" s="371"/>
      <c r="R916" s="371"/>
      <c r="S916" s="7"/>
      <c r="T916" s="7"/>
      <c r="U916" s="380"/>
      <c r="V916" s="371"/>
      <c r="W916" s="7"/>
      <c r="X916" s="7"/>
      <c r="Y916" s="7"/>
      <c r="Z916" s="7"/>
      <c r="AA916" s="7"/>
    </row>
    <row r="917" spans="1:27" ht="12.75" x14ac:dyDescent="0.2">
      <c r="A917" s="7"/>
      <c r="B917" s="8" t="b">
        <v>0</v>
      </c>
      <c r="C917" s="378" t="str">
        <f ca="1">敌人!C$211</f>
        <v>狰狞的鼠人</v>
      </c>
      <c r="D917" s="371"/>
      <c r="E917" s="10">
        <f>敌人!D$211</f>
        <v>3</v>
      </c>
      <c r="F917" s="10">
        <f>敌人!E$211</f>
        <v>0</v>
      </c>
      <c r="G917" s="10">
        <f>敌人!F$211</f>
        <v>0</v>
      </c>
      <c r="H917" s="10">
        <f>敌人!G$211</f>
        <v>0</v>
      </c>
      <c r="I917" s="10">
        <f>敌人!H$211</f>
        <v>0</v>
      </c>
      <c r="J917" s="10">
        <f>敌人!I$211</f>
        <v>0</v>
      </c>
      <c r="K917" s="378" t="str">
        <f ca="1">敌人!J$211</f>
        <v>ＨＰ全体恢复的葡萄</v>
      </c>
      <c r="L917" s="371"/>
      <c r="M917" s="371"/>
      <c r="N917" s="7"/>
      <c r="O917" s="8" t="b">
        <v>0</v>
      </c>
      <c r="P917" s="378" t="str">
        <f ca="1">道具!$C$23</f>
        <v>恐怖治疗药草</v>
      </c>
      <c r="Q917" s="371"/>
      <c r="R917" s="371"/>
      <c r="S917" s="7"/>
      <c r="T917" s="7"/>
      <c r="U917" s="380"/>
      <c r="V917" s="371"/>
      <c r="W917" s="7"/>
      <c r="X917" s="7"/>
      <c r="Y917" s="7"/>
      <c r="Z917" s="7"/>
      <c r="AA917" s="7"/>
    </row>
    <row r="918" spans="1:27" ht="12.75" x14ac:dyDescent="0.2">
      <c r="A918" s="7"/>
      <c r="B918" s="8" t="b">
        <v>0</v>
      </c>
      <c r="C918" s="378" t="str">
        <f ca="1">敌人!C$139</f>
        <v>巨大短鼻鳄</v>
      </c>
      <c r="D918" s="371"/>
      <c r="E918" s="10">
        <f>敌人!D$139</f>
        <v>2</v>
      </c>
      <c r="F918" s="10">
        <f>敌人!E$139</f>
        <v>0</v>
      </c>
      <c r="G918" s="10">
        <f>敌人!F$139</f>
        <v>0</v>
      </c>
      <c r="H918" s="10">
        <f>敌人!G$139</f>
        <v>0</v>
      </c>
      <c r="I918" s="10">
        <f>敌人!H$139</f>
        <v>0</v>
      </c>
      <c r="J918" s="10">
        <f>敌人!I$139</f>
        <v>0</v>
      </c>
      <c r="K918" s="378" t="str">
        <f ca="1">敌人!J$139</f>
        <v>复活的橄榄（大）</v>
      </c>
      <c r="L918" s="371"/>
      <c r="M918" s="371"/>
      <c r="N918" s="7"/>
      <c r="O918" s="8" t="b">
        <v>0</v>
      </c>
      <c r="P918" s="378" t="str">
        <f ca="1">道具!$C$368&amp;" ("&amp;语言!$A$20&amp;")"</f>
        <v>帝国头盔 (上锁宝箱)</v>
      </c>
      <c r="Q918" s="371"/>
      <c r="R918" s="371"/>
      <c r="S918" s="7"/>
      <c r="T918" s="7"/>
      <c r="U918" s="380"/>
      <c r="V918" s="371"/>
      <c r="W918" s="7"/>
      <c r="X918" s="7"/>
      <c r="Y918" s="7"/>
      <c r="Z918" s="7"/>
      <c r="AA918" s="7"/>
    </row>
    <row r="919" spans="1:27" ht="12.75" x14ac:dyDescent="0.2">
      <c r="A919" s="7"/>
      <c r="B919" s="8" t="b">
        <v>0</v>
      </c>
      <c r="C919" s="378" t="str">
        <f ca="1">敌人!C$143</f>
        <v>蛞蝓怪异种</v>
      </c>
      <c r="D919" s="371"/>
      <c r="E919" s="10">
        <f>敌人!D$143</f>
        <v>4</v>
      </c>
      <c r="F919" s="10">
        <f>敌人!E$143</f>
        <v>0</v>
      </c>
      <c r="G919" s="10">
        <f>敌人!F$143</f>
        <v>0</v>
      </c>
      <c r="H919" s="10">
        <f>敌人!G$143</f>
        <v>0</v>
      </c>
      <c r="I919" s="10">
        <f>敌人!H$143</f>
        <v>0</v>
      </c>
      <c r="J919" s="10">
        <f>敌人!I$143</f>
        <v>0</v>
      </c>
      <c r="K919" s="378" t="str">
        <f ca="1">敌人!J$143</f>
        <v>ＳＰ恢复的李子（大）</v>
      </c>
      <c r="L919" s="371"/>
      <c r="M919" s="371"/>
      <c r="N919" s="7"/>
      <c r="O919" s="8" t="b">
        <v>0</v>
      </c>
      <c r="P919" s="378" t="str">
        <f ca="1">道具!$C$16</f>
        <v>复活的橄榄（大）</v>
      </c>
      <c r="Q919" s="371"/>
      <c r="R919" s="371"/>
      <c r="S919" s="7"/>
      <c r="T919" s="7"/>
      <c r="U919" s="380"/>
      <c r="V919" s="371"/>
      <c r="W919" s="7"/>
      <c r="X919" s="7"/>
      <c r="Y919" s="7"/>
      <c r="Z919" s="7"/>
      <c r="AA919" s="7"/>
    </row>
    <row r="920" spans="1:27" ht="12.75" x14ac:dyDescent="0.2">
      <c r="A920" s="7"/>
      <c r="B920" s="8" t="b">
        <v>0</v>
      </c>
      <c r="C920" s="378" t="str">
        <f ca="1">敌人!C$165</f>
        <v>咬断蝇</v>
      </c>
      <c r="D920" s="371"/>
      <c r="E920" s="10">
        <f>敌人!D$165</f>
        <v>2</v>
      </c>
      <c r="F920" s="10">
        <f>敌人!E$165</f>
        <v>0</v>
      </c>
      <c r="G920" s="10">
        <f>敌人!F$165</f>
        <v>0</v>
      </c>
      <c r="H920" s="10">
        <f>敌人!G$165</f>
        <v>0</v>
      </c>
      <c r="I920" s="10">
        <f>敌人!H$165</f>
        <v>0</v>
      </c>
      <c r="J920" s="10">
        <f>敌人!I$165</f>
        <v>0</v>
      </c>
      <c r="K920" s="378" t="str">
        <f ca="1">敌人!J$165</f>
        <v>混乱多之叶</v>
      </c>
      <c r="L920" s="371"/>
      <c r="M920" s="371"/>
      <c r="N920" s="7"/>
      <c r="O920" s="8" t="b">
        <v>0</v>
      </c>
      <c r="P920" s="378" t="str">
        <f ca="1">道具!$C$35</f>
        <v>冰之精灵石（特大）</v>
      </c>
      <c r="Q920" s="371"/>
      <c r="R920" s="371"/>
      <c r="S920" s="7"/>
      <c r="T920" s="7"/>
      <c r="U920" s="380"/>
      <c r="V920" s="371"/>
      <c r="W920" s="7"/>
      <c r="X920" s="7"/>
      <c r="Y920" s="7"/>
      <c r="Z920" s="7"/>
      <c r="AA920" s="7"/>
    </row>
    <row r="921" spans="1:27" ht="12.75" x14ac:dyDescent="0.2">
      <c r="A921" s="7"/>
      <c r="B921" s="8" t="b">
        <v>0</v>
      </c>
      <c r="C921" s="378" t="str">
        <f ca="1">敌人!C$210</f>
        <v>巨大黑死苍蝇</v>
      </c>
      <c r="D921" s="371"/>
      <c r="E921" s="10">
        <f>敌人!D$210</f>
        <v>4</v>
      </c>
      <c r="F921" s="10">
        <f>敌人!E$210</f>
        <v>0</v>
      </c>
      <c r="G921" s="10">
        <f>敌人!F$210</f>
        <v>0</v>
      </c>
      <c r="H921" s="10">
        <f>敌人!G$210</f>
        <v>0</v>
      </c>
      <c r="I921" s="10">
        <f>敌人!H$210</f>
        <v>0</v>
      </c>
      <c r="J921" s="10">
        <f>敌人!I$210</f>
        <v>0</v>
      </c>
      <c r="K921" s="378" t="str">
        <f ca="1">敌人!J$210</f>
        <v>混乱多之叶</v>
      </c>
      <c r="L921" s="371"/>
      <c r="M921" s="371"/>
      <c r="N921" s="7"/>
      <c r="O921" s="8" t="b">
        <v>0</v>
      </c>
      <c r="P921" s="378" t="str">
        <f ca="1">道具!$C$120</f>
        <v>放了银块的皮袋</v>
      </c>
      <c r="Q921" s="371"/>
      <c r="R921" s="371"/>
      <c r="S921" s="7"/>
      <c r="T921" s="7"/>
      <c r="U921" s="380"/>
      <c r="V921" s="371"/>
      <c r="W921" s="7"/>
      <c r="X921" s="7"/>
      <c r="Y921" s="7"/>
      <c r="Z921" s="7"/>
      <c r="AA921" s="7"/>
    </row>
    <row r="922" spans="1:27" ht="12.75" x14ac:dyDescent="0.2">
      <c r="A922" s="7"/>
      <c r="B922" s="8" t="b">
        <v>0</v>
      </c>
      <c r="C922" s="378" t="str">
        <f ca="1">敌人!C$345</f>
        <v>食人蝙蝠</v>
      </c>
      <c r="D922" s="371"/>
      <c r="E922" s="10">
        <f>敌人!D$345</f>
        <v>1</v>
      </c>
      <c r="F922" s="10">
        <f>敌人!E$345</f>
        <v>0</v>
      </c>
      <c r="G922" s="10">
        <f>敌人!F$345</f>
        <v>0</v>
      </c>
      <c r="H922" s="10">
        <f>敌人!G$345</f>
        <v>0</v>
      </c>
      <c r="I922" s="10">
        <f>敌人!H$345</f>
        <v>0</v>
      </c>
      <c r="J922" s="10">
        <f>敌人!I$345</f>
        <v>0</v>
      </c>
      <c r="K922" s="378" t="str">
        <f ca="1">敌人!J$345</f>
        <v>神秘之花</v>
      </c>
      <c r="L922" s="371"/>
      <c r="M922" s="371"/>
      <c r="N922" s="7"/>
      <c r="O922" s="8" t="b">
        <v>0</v>
      </c>
      <c r="P922" s="378" t="str">
        <f ca="1">道具!$C$8</f>
        <v>ＳＰ全体恢复的李子</v>
      </c>
      <c r="Q922" s="371"/>
      <c r="R922" s="371"/>
      <c r="S922" s="7"/>
      <c r="T922" s="7"/>
      <c r="U922" s="380"/>
      <c r="V922" s="371"/>
      <c r="W922" s="7"/>
      <c r="X922" s="7"/>
      <c r="Y922" s="7"/>
      <c r="Z922" s="7"/>
      <c r="AA922" s="7"/>
    </row>
    <row r="923" spans="1:27" ht="12.75" x14ac:dyDescent="0.2">
      <c r="A923" s="7"/>
      <c r="B923" s="382" t="str">
        <f ca="1">语言!A$455&amp;" ("&amp;语言!$A$12&amp;" 46)"</f>
        <v>领主的宅邸 (危险度 46)</v>
      </c>
      <c r="C923" s="371"/>
      <c r="D923" s="371"/>
      <c r="E923" s="371"/>
      <c r="F923" s="371"/>
      <c r="G923" s="371"/>
      <c r="H923" s="371"/>
      <c r="I923" s="371"/>
      <c r="J923" s="371"/>
      <c r="K923" s="371"/>
      <c r="L923" s="371"/>
      <c r="M923" s="371"/>
      <c r="N923" s="7"/>
      <c r="O923" s="8" t="b">
        <v>0</v>
      </c>
      <c r="P923" s="378" t="str">
        <f ca="1">道具!$C$4</f>
        <v>ＨＰ恢复的葡萄（大）</v>
      </c>
      <c r="Q923" s="371"/>
      <c r="R923" s="371"/>
      <c r="S923" s="7"/>
      <c r="T923" s="7"/>
      <c r="U923" s="380"/>
      <c r="V923" s="371"/>
      <c r="W923" s="7"/>
      <c r="X923" s="7"/>
      <c r="Y923" s="7"/>
      <c r="Z923" s="7"/>
      <c r="AA923" s="7"/>
    </row>
    <row r="924" spans="1:27" ht="12.75" x14ac:dyDescent="0.2">
      <c r="A924" s="7"/>
      <c r="B924" s="8" t="b">
        <v>0</v>
      </c>
      <c r="C924" s="378" t="str">
        <f ca="1">敌人!C$352</f>
        <v>维尔纳的士兵 I</v>
      </c>
      <c r="D924" s="371"/>
      <c r="E924" s="10">
        <f>敌人!D$352</f>
        <v>4</v>
      </c>
      <c r="F924" s="10">
        <f>敌人!E$352</f>
        <v>0</v>
      </c>
      <c r="G924" s="10">
        <f>敌人!F$352</f>
        <v>0</v>
      </c>
      <c r="H924" s="10">
        <f>敌人!G$352</f>
        <v>0</v>
      </c>
      <c r="I924" s="10">
        <f>敌人!H$352</f>
        <v>0</v>
      </c>
      <c r="J924" s="10">
        <f>敌人!I$352</f>
        <v>0</v>
      </c>
      <c r="K924" s="378" t="str">
        <f ca="1">敌人!J$352</f>
        <v>ＨＰ全体恢复的葡萄</v>
      </c>
      <c r="L924" s="371"/>
      <c r="M924" s="371"/>
      <c r="N924" s="7"/>
      <c r="O924" s="382" t="str">
        <f ca="1">语言!A$455&amp;" (10 "&amp;语言!$A$19&amp;")"</f>
        <v>领主的宅邸 (10 宝箱)</v>
      </c>
      <c r="P924" s="371"/>
      <c r="Q924" s="371"/>
      <c r="R924" s="371"/>
      <c r="S924" s="7"/>
      <c r="T924" s="7"/>
      <c r="U924" s="380"/>
      <c r="V924" s="371"/>
      <c r="W924" s="7"/>
      <c r="X924" s="7"/>
      <c r="Y924" s="7"/>
      <c r="Z924" s="7"/>
      <c r="AA924" s="7"/>
    </row>
    <row r="925" spans="1:27" ht="12.75" x14ac:dyDescent="0.2">
      <c r="A925" s="7"/>
      <c r="B925" s="8" t="b">
        <v>0</v>
      </c>
      <c r="C925" s="378" t="str">
        <f ca="1">敌人!C$353</f>
        <v>维尔纳的士兵 II</v>
      </c>
      <c r="D925" s="371"/>
      <c r="E925" s="10">
        <f>敌人!D$353</f>
        <v>2</v>
      </c>
      <c r="F925" s="10">
        <f>敌人!E$353</f>
        <v>0</v>
      </c>
      <c r="G925" s="10">
        <f>敌人!F$353</f>
        <v>0</v>
      </c>
      <c r="H925" s="10">
        <f>敌人!G$353</f>
        <v>0</v>
      </c>
      <c r="I925" s="10">
        <f>敌人!H$353</f>
        <v>0</v>
      </c>
      <c r="J925" s="10">
        <f>敌人!I$353</f>
        <v>0</v>
      </c>
      <c r="K925" s="378" t="str">
        <f ca="1">敌人!J$353</f>
        <v>ＨＰ全体恢复的葡萄</v>
      </c>
      <c r="L925" s="371"/>
      <c r="M925" s="371"/>
      <c r="N925" s="7"/>
      <c r="O925" s="8" t="b">
        <v>0</v>
      </c>
      <c r="P925" s="378" t="str">
        <f ca="1">道具!$C$4</f>
        <v>ＨＰ恢复的葡萄（大）</v>
      </c>
      <c r="Q925" s="371"/>
      <c r="R925" s="371"/>
      <c r="S925" s="7"/>
      <c r="T925" s="7"/>
      <c r="U925" s="380"/>
      <c r="V925" s="371"/>
      <c r="W925" s="7"/>
      <c r="X925" s="7"/>
      <c r="Y925" s="7"/>
      <c r="Z925" s="7"/>
      <c r="AA925" s="7"/>
    </row>
    <row r="926" spans="1:27" ht="12.75" x14ac:dyDescent="0.2">
      <c r="A926" s="7"/>
      <c r="B926" s="8" t="b">
        <v>0</v>
      </c>
      <c r="C926" s="378" t="str">
        <f ca="1">敌人!C$354</f>
        <v>维尔纳的士兵 III</v>
      </c>
      <c r="D926" s="371"/>
      <c r="E926" s="10">
        <f>敌人!D$354</f>
        <v>1</v>
      </c>
      <c r="F926" s="10">
        <f>敌人!E$354</f>
        <v>0</v>
      </c>
      <c r="G926" s="10">
        <f>敌人!F$354</f>
        <v>0</v>
      </c>
      <c r="H926" s="10">
        <f>敌人!G$354</f>
        <v>0</v>
      </c>
      <c r="I926" s="10">
        <f>敌人!H$354</f>
        <v>0</v>
      </c>
      <c r="J926" s="10">
        <f>敌人!I$354</f>
        <v>0</v>
      </c>
      <c r="K926" s="378" t="str">
        <f ca="1">敌人!J$354</f>
        <v>ＢＰ恢复的石榴（大）</v>
      </c>
      <c r="L926" s="371"/>
      <c r="M926" s="371"/>
      <c r="N926" s="7"/>
      <c r="O926" s="8" t="b">
        <v>0</v>
      </c>
      <c r="P926" s="378" t="str">
        <f ca="1">道具!$C$11</f>
        <v>ＢＰ恢复的石榴（特大）</v>
      </c>
      <c r="Q926" s="371"/>
      <c r="R926" s="371"/>
      <c r="S926" s="7"/>
      <c r="T926" s="7"/>
      <c r="U926" s="380"/>
      <c r="V926" s="371"/>
      <c r="W926" s="7"/>
      <c r="X926" s="7"/>
      <c r="Y926" s="7"/>
      <c r="Z926" s="7"/>
      <c r="AA926" s="7"/>
    </row>
    <row r="927" spans="1:27" ht="12.75" x14ac:dyDescent="0.2">
      <c r="A927" s="7"/>
      <c r="B927" s="8" t="b">
        <v>0</v>
      </c>
      <c r="C927" s="378" t="str">
        <f ca="1">敌人!C$101</f>
        <v>魔导机兵（火）・异型</v>
      </c>
      <c r="D927" s="371"/>
      <c r="E927" s="10">
        <f>敌人!D$101</f>
        <v>5</v>
      </c>
      <c r="F927" s="10">
        <f>敌人!E$101</f>
        <v>0</v>
      </c>
      <c r="G927" s="10">
        <f>敌人!F$101</f>
        <v>0</v>
      </c>
      <c r="H927" s="10">
        <f>敌人!G$101</f>
        <v>0</v>
      </c>
      <c r="I927" s="10">
        <f>敌人!H$101</f>
        <v>0</v>
      </c>
      <c r="J927" s="10">
        <f>敌人!I$101</f>
        <v>0</v>
      </c>
      <c r="K927" s="378" t="str">
        <f ca="1">敌人!J$101</f>
        <v>火之精灵石（大）</v>
      </c>
      <c r="L927" s="371"/>
      <c r="M927" s="371"/>
      <c r="N927" s="7"/>
      <c r="O927" s="8" t="b">
        <v>0</v>
      </c>
      <c r="P927" s="378" t="str">
        <f ca="1">道具!$C$120</f>
        <v>放了银块的皮袋</v>
      </c>
      <c r="Q927" s="371"/>
      <c r="R927" s="371"/>
      <c r="S927" s="7"/>
      <c r="T927" s="7"/>
      <c r="U927" s="380"/>
      <c r="V927" s="371"/>
      <c r="W927" s="7"/>
      <c r="X927" s="7"/>
      <c r="Y927" s="7"/>
      <c r="Z927" s="7"/>
      <c r="AA927" s="7"/>
    </row>
    <row r="928" spans="1:27" ht="12.75" x14ac:dyDescent="0.2">
      <c r="A928" s="7"/>
      <c r="B928" s="8" t="b">
        <v>0</v>
      </c>
      <c r="C928" s="378" t="str">
        <f ca="1">敌人!C$105</f>
        <v>魔导飞器（火）・异型</v>
      </c>
      <c r="D928" s="371"/>
      <c r="E928" s="10">
        <f>敌人!D$105</f>
        <v>3</v>
      </c>
      <c r="F928" s="10">
        <f>敌人!E$105</f>
        <v>0</v>
      </c>
      <c r="G928" s="10">
        <f>敌人!F$105</f>
        <v>0</v>
      </c>
      <c r="H928" s="10">
        <f>敌人!G$105</f>
        <v>0</v>
      </c>
      <c r="I928" s="10">
        <f>敌人!H$105</f>
        <v>0</v>
      </c>
      <c r="J928" s="10">
        <f>敌人!I$105</f>
        <v>0</v>
      </c>
      <c r="K928" s="378" t="str">
        <f ca="1">敌人!J$105</f>
        <v>火之精灵石（大）</v>
      </c>
      <c r="L928" s="371"/>
      <c r="M928" s="371"/>
      <c r="N928" s="7"/>
      <c r="O928" s="8" t="b">
        <v>0</v>
      </c>
      <c r="P928" s="378" t="str">
        <f ca="1">道具!$C$507</f>
        <v>冰冻避邪符</v>
      </c>
      <c r="Q928" s="371"/>
      <c r="R928" s="371"/>
      <c r="S928" s="7"/>
      <c r="T928" s="7"/>
      <c r="U928" s="380"/>
      <c r="V928" s="371"/>
      <c r="W928" s="7"/>
      <c r="X928" s="7"/>
      <c r="Y928" s="7"/>
      <c r="Z928" s="7"/>
      <c r="AA928" s="7"/>
    </row>
    <row r="929" spans="1:27" ht="12.75" x14ac:dyDescent="0.2">
      <c r="A929" s="7"/>
      <c r="B929" s="8" t="b">
        <v>0</v>
      </c>
      <c r="C929" s="378" t="str">
        <f ca="1">敌人!C$76</f>
        <v>魔导机兵（暗）・异型</v>
      </c>
      <c r="D929" s="371"/>
      <c r="E929" s="10">
        <f>敌人!D$76</f>
        <v>5</v>
      </c>
      <c r="F929" s="10">
        <f>敌人!E$76</f>
        <v>0</v>
      </c>
      <c r="G929" s="10">
        <f>敌人!F$76</f>
        <v>0</v>
      </c>
      <c r="H929" s="10">
        <f>敌人!G$76</f>
        <v>0</v>
      </c>
      <c r="I929" s="10">
        <f>敌人!H$76</f>
        <v>0</v>
      </c>
      <c r="J929" s="10">
        <f>敌人!I$76</f>
        <v>0</v>
      </c>
      <c r="K929" s="378" t="str">
        <f ca="1">敌人!J$76</f>
        <v>暗之精灵石（大）</v>
      </c>
      <c r="L929" s="371"/>
      <c r="M929" s="371"/>
      <c r="N929" s="7"/>
      <c r="O929" s="8" t="b">
        <v>0</v>
      </c>
      <c r="P929" s="378" t="str">
        <f ca="1">道具!$C$525</f>
        <v>混乱耐性石</v>
      </c>
      <c r="Q929" s="371"/>
      <c r="R929" s="371"/>
      <c r="S929" s="7"/>
      <c r="T929" s="7"/>
      <c r="U929" s="380"/>
      <c r="V929" s="371"/>
      <c r="W929" s="7"/>
      <c r="X929" s="7"/>
      <c r="Y929" s="7"/>
      <c r="Z929" s="7"/>
      <c r="AA929" s="7"/>
    </row>
    <row r="930" spans="1:27" ht="12.75" x14ac:dyDescent="0.2">
      <c r="A930" s="7"/>
      <c r="B930" s="8" t="b">
        <v>0</v>
      </c>
      <c r="C930" s="378" t="str">
        <f ca="1">敌人!C$73</f>
        <v>魔导飞器（暗）・异型</v>
      </c>
      <c r="D930" s="371"/>
      <c r="E930" s="10">
        <f>敌人!D$73</f>
        <v>4</v>
      </c>
      <c r="F930" s="10">
        <f>敌人!E$73</f>
        <v>0</v>
      </c>
      <c r="G930" s="10">
        <f>敌人!F$73</f>
        <v>0</v>
      </c>
      <c r="H930" s="10">
        <f>敌人!G$73</f>
        <v>0</v>
      </c>
      <c r="I930" s="10">
        <f>敌人!H$73</f>
        <v>0</v>
      </c>
      <c r="J930" s="10">
        <f>敌人!I$73</f>
        <v>0</v>
      </c>
      <c r="K930" s="378" t="str">
        <f ca="1">敌人!J$73</f>
        <v>暗之精灵石（大）</v>
      </c>
      <c r="L930" s="371"/>
      <c r="M930" s="371"/>
      <c r="N930" s="7"/>
      <c r="O930" s="8" t="b">
        <v>0</v>
      </c>
      <c r="P930" s="378" t="str">
        <f ca="1">道具!$C$240&amp;" ("&amp;语言!$A$20&amp;")"</f>
        <v>符文手斧 (上锁宝箱)</v>
      </c>
      <c r="Q930" s="371"/>
      <c r="R930" s="371"/>
      <c r="S930" s="7"/>
      <c r="T930" s="7"/>
      <c r="U930" s="380"/>
      <c r="V930" s="371"/>
      <c r="W930" s="7"/>
      <c r="X930" s="7"/>
      <c r="Y930" s="7"/>
      <c r="Z930" s="7"/>
      <c r="AA930" s="7"/>
    </row>
    <row r="931" spans="1:27" ht="12.75" x14ac:dyDescent="0.2">
      <c r="A931" s="7"/>
      <c r="B931" s="8" t="b">
        <v>0</v>
      </c>
      <c r="C931" s="378" t="str">
        <f ca="1">敌人!C$345</f>
        <v>食人蝙蝠</v>
      </c>
      <c r="D931" s="371"/>
      <c r="E931" s="10">
        <f>敌人!D$345</f>
        <v>1</v>
      </c>
      <c r="F931" s="10">
        <f>敌人!E$345</f>
        <v>0</v>
      </c>
      <c r="G931" s="10">
        <f>敌人!F$345</f>
        <v>0</v>
      </c>
      <c r="H931" s="10">
        <f>敌人!G$345</f>
        <v>0</v>
      </c>
      <c r="I931" s="10">
        <f>敌人!H$345</f>
        <v>0</v>
      </c>
      <c r="J931" s="10">
        <f>敌人!I$345</f>
        <v>0</v>
      </c>
      <c r="K931" s="378" t="str">
        <f ca="1">敌人!J$345</f>
        <v>神秘之花</v>
      </c>
      <c r="L931" s="371"/>
      <c r="M931" s="371"/>
      <c r="N931" s="7"/>
      <c r="O931" s="8" t="b">
        <v>0</v>
      </c>
      <c r="P931" s="378" t="str">
        <f ca="1">道具!$C$7</f>
        <v>ＳＰ恢复的李子（大）</v>
      </c>
      <c r="Q931" s="371"/>
      <c r="R931" s="371"/>
      <c r="S931" s="7"/>
      <c r="T931" s="7"/>
      <c r="U931" s="380"/>
      <c r="V931" s="371"/>
      <c r="W931" s="7"/>
      <c r="X931" s="7"/>
      <c r="Y931" s="7"/>
      <c r="Z931" s="7"/>
      <c r="AA931" s="7"/>
    </row>
    <row r="932" spans="1:27" ht="12.75" x14ac:dyDescent="0.2">
      <c r="A932" s="7"/>
      <c r="B932" s="383" t="str">
        <f ca="1">语言!$A$15</f>
        <v>Boss</v>
      </c>
      <c r="C932" s="371"/>
      <c r="D932" s="371"/>
      <c r="E932" s="371"/>
      <c r="F932" s="371"/>
      <c r="G932" s="371"/>
      <c r="H932" s="371"/>
      <c r="I932" s="371"/>
      <c r="J932" s="371"/>
      <c r="K932" s="371"/>
      <c r="L932" s="371"/>
      <c r="M932" s="371"/>
      <c r="N932" s="7"/>
      <c r="O932" s="8" t="b">
        <v>0</v>
      </c>
      <c r="P932" s="378" t="str">
        <f ca="1">道具!$C$5</f>
        <v>ＨＰ全体恢复的葡萄</v>
      </c>
      <c r="Q932" s="371"/>
      <c r="R932" s="371"/>
      <c r="S932" s="7"/>
      <c r="T932" s="7"/>
      <c r="U932" s="380"/>
      <c r="V932" s="371"/>
      <c r="W932" s="7"/>
      <c r="X932" s="7"/>
      <c r="Y932" s="7"/>
      <c r="Z932" s="7"/>
      <c r="AA932" s="7"/>
    </row>
    <row r="933" spans="1:27" ht="12.75" x14ac:dyDescent="0.2">
      <c r="A933" s="7"/>
      <c r="B933" s="8" t="b">
        <v>0</v>
      </c>
      <c r="C933" s="381" t="str">
        <f ca="1">敌人!C$470</f>
        <v>维尔纳</v>
      </c>
      <c r="D933" s="371"/>
      <c r="E933" s="8">
        <f>敌人!D$470</f>
        <v>5</v>
      </c>
      <c r="F933" s="8">
        <f>敌人!E$470</f>
        <v>0</v>
      </c>
      <c r="G933" s="8">
        <f>敌人!F$470</f>
        <v>0</v>
      </c>
      <c r="H933" s="8">
        <f>敌人!G$470</f>
        <v>0</v>
      </c>
      <c r="I933" s="8">
        <f>敌人!H$470</f>
        <v>0</v>
      </c>
      <c r="J933" s="8">
        <f>敌人!I$470</f>
        <v>0</v>
      </c>
      <c r="K933" s="381" t="str">
        <f ca="1">敌人!J$470</f>
        <v>维尔纳之剑 (can't steal)</v>
      </c>
      <c r="L933" s="371"/>
      <c r="M933" s="371"/>
      <c r="N933" s="7"/>
      <c r="O933" s="8" t="b">
        <v>0</v>
      </c>
      <c r="P933" s="378" t="str">
        <f ca="1">道具!$C$12</f>
        <v>ＨＰ／ＳＰ恢复的果酱</v>
      </c>
      <c r="Q933" s="371"/>
      <c r="R933" s="371"/>
      <c r="S933" s="7"/>
      <c r="T933" s="7"/>
      <c r="U933" s="380"/>
      <c r="V933" s="371"/>
      <c r="W933" s="7"/>
      <c r="X933" s="7"/>
      <c r="Y933" s="7"/>
      <c r="Z933" s="7"/>
      <c r="AA933" s="7"/>
    </row>
    <row r="934" spans="1:27" ht="12.75" x14ac:dyDescent="0.2">
      <c r="A934" s="7"/>
      <c r="B934" s="7"/>
      <c r="C934" s="380"/>
      <c r="D934" s="371"/>
      <c r="E934" s="7"/>
      <c r="F934" s="7"/>
      <c r="G934" s="7"/>
      <c r="H934" s="7"/>
      <c r="I934" s="7"/>
      <c r="J934" s="7"/>
      <c r="K934" s="380"/>
      <c r="L934" s="371"/>
      <c r="M934" s="371"/>
      <c r="N934" s="7"/>
      <c r="O934" s="8" t="b">
        <v>0</v>
      </c>
      <c r="P934" s="378" t="str">
        <f ca="1">道具!$C$8</f>
        <v>ＳＰ全体恢复的李子</v>
      </c>
      <c r="Q934" s="371"/>
      <c r="R934" s="371"/>
      <c r="S934" s="7"/>
      <c r="T934" s="7"/>
      <c r="U934" s="380"/>
      <c r="V934" s="371"/>
      <c r="W934" s="7"/>
      <c r="X934" s="7"/>
      <c r="Y934" s="7"/>
      <c r="Z934" s="7"/>
      <c r="AA934" s="7"/>
    </row>
    <row r="935" spans="1:27" ht="12.75" x14ac:dyDescent="0.2">
      <c r="A935" s="62"/>
      <c r="B935" s="62"/>
      <c r="C935" s="407"/>
      <c r="D935" s="371"/>
      <c r="E935" s="62"/>
      <c r="F935" s="62"/>
      <c r="G935" s="62"/>
      <c r="H935" s="62"/>
      <c r="I935" s="62"/>
      <c r="J935" s="62"/>
      <c r="K935" s="407"/>
      <c r="L935" s="371"/>
      <c r="M935" s="371"/>
      <c r="N935" s="7"/>
      <c r="O935" s="7"/>
      <c r="P935" s="380"/>
      <c r="Q935" s="371"/>
      <c r="R935" s="371"/>
      <c r="S935" s="7"/>
      <c r="T935" s="7"/>
      <c r="U935" s="380"/>
      <c r="V935" s="371"/>
      <c r="W935" s="7"/>
      <c r="X935" s="7"/>
      <c r="Y935" s="7"/>
      <c r="Z935" s="7"/>
      <c r="AA935" s="7"/>
    </row>
    <row r="936" spans="1:27" ht="23.25" x14ac:dyDescent="0.35">
      <c r="A936" s="386" t="str">
        <f ca="1">语言!$A$456</f>
        <v>克里夫兰多地区</v>
      </c>
      <c r="B936" s="371"/>
      <c r="C936" s="371"/>
      <c r="D936" s="371"/>
      <c r="E936" s="387"/>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row>
    <row r="937" spans="1:27" ht="18" x14ac:dyDescent="0.25">
      <c r="A937" s="388" t="str">
        <f ca="1">语言!$A$323&amp;" 1"</f>
        <v>Tier 1</v>
      </c>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row>
    <row r="938" spans="1:27" ht="12.75" x14ac:dyDescent="0.2">
      <c r="A938" s="32"/>
      <c r="B938" s="33" t="b">
        <v>0</v>
      </c>
      <c r="C938" s="372" t="str">
        <f ca="1">敌人!C$48</f>
        <v>凯特林</v>
      </c>
      <c r="D938" s="371"/>
      <c r="E938" s="33">
        <f>敌人!D$48</f>
        <v>2</v>
      </c>
      <c r="F938" s="33">
        <f>敌人!E$48</f>
        <v>0</v>
      </c>
      <c r="G938" s="33">
        <f>敌人!F$48</f>
        <v>0</v>
      </c>
      <c r="H938" s="33">
        <f>敌人!G$48</f>
        <v>0</v>
      </c>
      <c r="I938" s="33">
        <f>敌人!H$48</f>
        <v>0</v>
      </c>
      <c r="J938" s="33">
        <f>敌人!I$48</f>
        <v>0</v>
      </c>
      <c r="K938" s="372" t="str">
        <f ca="1">敌人!J$48</f>
        <v>ＨＰ／ＳＰ／ＢＰ恢复的果酱</v>
      </c>
      <c r="L938" s="371"/>
      <c r="M938" s="371"/>
      <c r="N938" s="32"/>
      <c r="O938" s="373" t="str">
        <f ca="1">语言!A$457&amp;" (4 "&amp;语言!$A$19&amp;")"</f>
        <v>柏达弗尔 (4 宝箱)</v>
      </c>
      <c r="P938" s="371"/>
      <c r="Q938" s="371"/>
      <c r="R938" s="371"/>
      <c r="S938" s="32"/>
      <c r="T938" s="373" t="str">
        <f ca="1">语言!A$457</f>
        <v>柏达弗尔</v>
      </c>
      <c r="U938" s="371"/>
      <c r="V938" s="371"/>
      <c r="W938" s="32"/>
      <c r="X938" s="32"/>
      <c r="Y938" s="32"/>
      <c r="Z938" s="32"/>
      <c r="AA938" s="32"/>
    </row>
    <row r="939" spans="1:27" ht="12.75" x14ac:dyDescent="0.2">
      <c r="A939" s="32"/>
      <c r="B939" s="374" t="str">
        <f ca="1">语言!$A$11&amp;" ("&amp;语言!$A$12&amp;" 1 - 4 - 7- 11)"</f>
        <v>以下地区的怪物都一样 (危险度 1 - 4 - 7- 11)</v>
      </c>
      <c r="C939" s="371"/>
      <c r="D939" s="371"/>
      <c r="E939" s="371"/>
      <c r="F939" s="371"/>
      <c r="G939" s="371"/>
      <c r="H939" s="371"/>
      <c r="I939" s="371"/>
      <c r="J939" s="371"/>
      <c r="K939" s="371"/>
      <c r="L939" s="371"/>
      <c r="M939" s="371"/>
      <c r="N939" s="32"/>
      <c r="O939" s="33" t="b">
        <v>0</v>
      </c>
      <c r="P939" s="389">
        <v>1000</v>
      </c>
      <c r="Q939" s="371"/>
      <c r="R939" s="371"/>
      <c r="S939" s="32"/>
      <c r="T939" s="33" t="b">
        <v>0</v>
      </c>
      <c r="U939" s="372" t="str">
        <f ca="1">道具!$C$227</f>
        <v>猎鹰匕首</v>
      </c>
      <c r="V939" s="371"/>
      <c r="W939" s="32"/>
      <c r="X939" s="32"/>
      <c r="Y939" s="32"/>
      <c r="Z939" s="32"/>
      <c r="AA939" s="32"/>
    </row>
    <row r="940" spans="1:27" ht="12.75" x14ac:dyDescent="0.2">
      <c r="A940" s="32"/>
      <c r="B940" s="375" t="str">
        <f ca="1">语言!A$460</f>
        <v>北柏达弗尔崖道</v>
      </c>
      <c r="C940" s="371"/>
      <c r="D940" s="371"/>
      <c r="E940" s="371"/>
      <c r="F940" s="371"/>
      <c r="G940" s="371"/>
      <c r="H940" s="371"/>
      <c r="I940" s="371"/>
      <c r="J940" s="371"/>
      <c r="K940" s="371"/>
      <c r="L940" s="371"/>
      <c r="M940" s="371"/>
      <c r="N940" s="32"/>
      <c r="O940" s="33" t="b">
        <v>0</v>
      </c>
      <c r="P940" s="370" t="str">
        <f ca="1">道具!$C$230&amp;" ("&amp;语言!$A$20&amp;")"</f>
        <v>刺击匕首 (上锁宝箱)</v>
      </c>
      <c r="Q940" s="371"/>
      <c r="R940" s="371"/>
      <c r="S940" s="32"/>
      <c r="T940" s="33" t="b">
        <v>0</v>
      </c>
      <c r="U940" s="372" t="str">
        <f ca="1">道具!$C$198</f>
        <v>战争长枪</v>
      </c>
      <c r="V940" s="371"/>
      <c r="W940" s="32"/>
      <c r="X940" s="32"/>
      <c r="Y940" s="32"/>
      <c r="Z940" s="32"/>
      <c r="AA940" s="32"/>
    </row>
    <row r="941" spans="1:27" ht="12.75" x14ac:dyDescent="0.2">
      <c r="A941" s="32"/>
      <c r="B941" s="375" t="str">
        <f ca="1">语言!A$461</f>
        <v>南柏达弗尔崖道</v>
      </c>
      <c r="C941" s="371"/>
      <c r="D941" s="371"/>
      <c r="E941" s="371"/>
      <c r="F941" s="371"/>
      <c r="G941" s="371"/>
      <c r="H941" s="371"/>
      <c r="I941" s="371"/>
      <c r="J941" s="371"/>
      <c r="K941" s="371"/>
      <c r="L941" s="371"/>
      <c r="M941" s="371"/>
      <c r="N941" s="32"/>
      <c r="O941" s="33" t="b">
        <v>0</v>
      </c>
      <c r="P941" s="370" t="str">
        <f ca="1">道具!$C$393&amp;" ("&amp;语言!$A$20&amp;")"</f>
        <v>铁制头盔 (上锁宝箱)</v>
      </c>
      <c r="Q941" s="371"/>
      <c r="R941" s="371"/>
      <c r="S941" s="32"/>
      <c r="T941" s="33" t="b">
        <v>0</v>
      </c>
      <c r="U941" s="372" t="str">
        <f ca="1">道具!$C$104</f>
        <v>脏脏的布球</v>
      </c>
      <c r="V941" s="371"/>
      <c r="W941" s="32"/>
      <c r="X941" s="32"/>
      <c r="Y941" s="32"/>
      <c r="Z941" s="32"/>
      <c r="AA941" s="32"/>
    </row>
    <row r="942" spans="1:27" ht="12.75" x14ac:dyDescent="0.2">
      <c r="A942" s="32"/>
      <c r="B942" s="33" t="b">
        <v>0</v>
      </c>
      <c r="C942" s="370" t="str">
        <f ca="1">敌人!C$54</f>
        <v>悬崖鸟人 I</v>
      </c>
      <c r="D942" s="371"/>
      <c r="E942" s="34">
        <f>敌人!D$54</f>
        <v>1</v>
      </c>
      <c r="F942" s="34">
        <f>敌人!E$54</f>
        <v>0</v>
      </c>
      <c r="G942" s="34">
        <f>敌人!F$54</f>
        <v>0</v>
      </c>
      <c r="H942" s="34">
        <f>敌人!G$54</f>
        <v>0</v>
      </c>
      <c r="I942" s="34">
        <f>敌人!H$54</f>
        <v>0</v>
      </c>
      <c r="J942" s="34">
        <f>敌人!I$54</f>
        <v>0</v>
      </c>
      <c r="K942" s="370" t="str">
        <f ca="1">敌人!J$54</f>
        <v>ＨＰ恢复的葡萄</v>
      </c>
      <c r="L942" s="371"/>
      <c r="M942" s="371"/>
      <c r="N942" s="32"/>
      <c r="O942" s="33" t="b">
        <v>0</v>
      </c>
      <c r="P942" s="370" t="str">
        <f ca="1">道具!$C$167</f>
        <v>阔剑</v>
      </c>
      <c r="Q942" s="371"/>
      <c r="R942" s="371"/>
      <c r="S942" s="32"/>
      <c r="T942" s="33" t="b">
        <v>0</v>
      </c>
      <c r="U942" s="372" t="str">
        <f ca="1">道具!$C$103</f>
        <v>磨损的鞋子</v>
      </c>
      <c r="V942" s="371"/>
      <c r="W942" s="32"/>
      <c r="X942" s="32"/>
      <c r="Y942" s="32"/>
      <c r="Z942" s="32"/>
      <c r="AA942" s="32"/>
    </row>
    <row r="943" spans="1:27" ht="12.75" x14ac:dyDescent="0.2">
      <c r="A943" s="32"/>
      <c r="B943" s="33" t="b">
        <v>0</v>
      </c>
      <c r="C943" s="370" t="str">
        <f ca="1">敌人!C$55</f>
        <v>悬崖鸟人 II</v>
      </c>
      <c r="D943" s="371"/>
      <c r="E943" s="34">
        <f>敌人!D$55</f>
        <v>2</v>
      </c>
      <c r="F943" s="34">
        <f>敌人!E$55</f>
        <v>0</v>
      </c>
      <c r="G943" s="34">
        <f>敌人!F$55</f>
        <v>0</v>
      </c>
      <c r="H943" s="34">
        <f>敌人!G$55</f>
        <v>0</v>
      </c>
      <c r="I943" s="34">
        <f>敌人!H$55</f>
        <v>0</v>
      </c>
      <c r="J943" s="34">
        <f>敌人!I$55</f>
        <v>0</v>
      </c>
      <c r="K943" s="370" t="str">
        <f ca="1">敌人!J$55</f>
        <v>睡眠花之叶</v>
      </c>
      <c r="L943" s="371"/>
      <c r="M943" s="371"/>
      <c r="N943" s="32"/>
      <c r="O943" s="373" t="str">
        <f ca="1">语言!A$460&amp;" (3 "&amp;语言!$A$19&amp;")"</f>
        <v>北柏达弗尔崖道 (3 宝箱)</v>
      </c>
      <c r="P943" s="371"/>
      <c r="Q943" s="371"/>
      <c r="R943" s="371"/>
      <c r="S943" s="32"/>
      <c r="T943" s="33" t="b">
        <v>0</v>
      </c>
      <c r="U943" s="372" t="str">
        <f ca="1">道具!$C$349</f>
        <v>闪避之盾</v>
      </c>
      <c r="V943" s="371"/>
      <c r="W943" s="32"/>
      <c r="X943" s="32"/>
      <c r="Y943" s="32"/>
      <c r="Z943" s="32"/>
      <c r="AA943" s="32"/>
    </row>
    <row r="944" spans="1:27" ht="12.75" x14ac:dyDescent="0.2">
      <c r="A944" s="32"/>
      <c r="B944" s="33" t="b">
        <v>0</v>
      </c>
      <c r="C944" s="370" t="str">
        <f ca="1">敌人!C$56&amp;" (7+)"</f>
        <v>悬崖鸟人 III (7+)</v>
      </c>
      <c r="D944" s="371"/>
      <c r="E944" s="34">
        <f>敌人!D$56</f>
        <v>3</v>
      </c>
      <c r="F944" s="34">
        <f>敌人!E$56</f>
        <v>0</v>
      </c>
      <c r="G944" s="34">
        <f>敌人!F$56</f>
        <v>0</v>
      </c>
      <c r="H944" s="34">
        <f>敌人!G$56</f>
        <v>0</v>
      </c>
      <c r="I944" s="34">
        <f>敌人!H$56</f>
        <v>0</v>
      </c>
      <c r="J944" s="34">
        <f>敌人!I$56</f>
        <v>0</v>
      </c>
      <c r="K944" s="370" t="str">
        <f ca="1">敌人!J$56</f>
        <v>ＳＰ恢复的李子</v>
      </c>
      <c r="L944" s="371"/>
      <c r="M944" s="371"/>
      <c r="N944" s="32"/>
      <c r="O944" s="33" t="b">
        <v>0</v>
      </c>
      <c r="P944" s="370" t="str">
        <f ca="1">道具!$C$3</f>
        <v>ＨＰ恢复的葡萄</v>
      </c>
      <c r="Q944" s="371"/>
      <c r="R944" s="371"/>
      <c r="S944" s="32"/>
      <c r="T944" s="32"/>
      <c r="U944" s="376"/>
      <c r="V944" s="371"/>
      <c r="W944" s="32"/>
      <c r="X944" s="32"/>
      <c r="Y944" s="32"/>
      <c r="Z944" s="32"/>
      <c r="AA944" s="32"/>
    </row>
    <row r="945" spans="1:27" ht="12.75" x14ac:dyDescent="0.2">
      <c r="A945" s="32"/>
      <c r="B945" s="33" t="b">
        <v>0</v>
      </c>
      <c r="C945" s="370" t="str">
        <f ca="1">敌人!C$95</f>
        <v>蛋眼</v>
      </c>
      <c r="D945" s="371"/>
      <c r="E945" s="34">
        <f>敌人!D$95</f>
        <v>1</v>
      </c>
      <c r="F945" s="34">
        <f>敌人!E$95</f>
        <v>0</v>
      </c>
      <c r="G945" s="34">
        <f>敌人!F$95</f>
        <v>0</v>
      </c>
      <c r="H945" s="34">
        <f>敌人!G$95</f>
        <v>0</v>
      </c>
      <c r="I945" s="34">
        <f>敌人!H$95</f>
        <v>0</v>
      </c>
      <c r="J945" s="34">
        <f>敌人!I$95</f>
        <v>0</v>
      </c>
      <c r="K945" s="370" t="str">
        <f ca="1">敌人!J$95</f>
        <v>混乱多之叶</v>
      </c>
      <c r="L945" s="371"/>
      <c r="M945" s="371"/>
      <c r="N945" s="32"/>
      <c r="O945" s="33" t="b">
        <v>0</v>
      </c>
      <c r="P945" s="389">
        <v>1000</v>
      </c>
      <c r="Q945" s="371"/>
      <c r="R945" s="371"/>
      <c r="S945" s="32"/>
      <c r="T945" s="32"/>
      <c r="U945" s="376"/>
      <c r="V945" s="371"/>
      <c r="W945" s="32"/>
      <c r="X945" s="32"/>
      <c r="Y945" s="32"/>
      <c r="Z945" s="32"/>
      <c r="AA945" s="32"/>
    </row>
    <row r="946" spans="1:27" ht="12.75" x14ac:dyDescent="0.2">
      <c r="A946" s="32"/>
      <c r="B946" s="33" t="b">
        <v>0</v>
      </c>
      <c r="C946" s="370" t="str">
        <f ca="1">敌人!C$150&amp;" (7+)"</f>
        <v>手蛋 (7+)</v>
      </c>
      <c r="D946" s="371"/>
      <c r="E946" s="34">
        <f>敌人!D$150</f>
        <v>2</v>
      </c>
      <c r="F946" s="34">
        <f>敌人!E$150</f>
        <v>0</v>
      </c>
      <c r="G946" s="34">
        <f>敌人!F$150</f>
        <v>0</v>
      </c>
      <c r="H946" s="34">
        <f>敌人!G$150</f>
        <v>0</v>
      </c>
      <c r="I946" s="34">
        <f>敌人!H$150</f>
        <v>0</v>
      </c>
      <c r="J946" s="34">
        <f>敌人!I$150</f>
        <v>0</v>
      </c>
      <c r="K946" s="370" t="str">
        <f ca="1">敌人!J$150</f>
        <v>混乱多之叶</v>
      </c>
      <c r="L946" s="371"/>
      <c r="M946" s="371"/>
      <c r="N946" s="32"/>
      <c r="O946" s="33" t="b">
        <v>0</v>
      </c>
      <c r="P946" s="370" t="str">
        <f ca="1">道具!$C$14</f>
        <v>复活的橄榄</v>
      </c>
      <c r="Q946" s="371"/>
      <c r="R946" s="371"/>
      <c r="S946" s="32"/>
      <c r="T946" s="32"/>
      <c r="U946" s="376"/>
      <c r="V946" s="371"/>
      <c r="W946" s="32"/>
      <c r="X946" s="32"/>
      <c r="Y946" s="32"/>
      <c r="Z946" s="32"/>
      <c r="AA946" s="32"/>
    </row>
    <row r="947" spans="1:27" ht="12.75" x14ac:dyDescent="0.2">
      <c r="A947" s="32"/>
      <c r="B947" s="33" t="b">
        <v>0</v>
      </c>
      <c r="C947" s="370" t="str">
        <f ca="1">敌人!C$195</f>
        <v>笑鬣狗</v>
      </c>
      <c r="D947" s="371"/>
      <c r="E947" s="34">
        <f>敌人!D$195</f>
        <v>1</v>
      </c>
      <c r="F947" s="34">
        <f>敌人!E$195</f>
        <v>0</v>
      </c>
      <c r="G947" s="34">
        <f>敌人!F$195</f>
        <v>0</v>
      </c>
      <c r="H947" s="34">
        <f>敌人!G$195</f>
        <v>0</v>
      </c>
      <c r="I947" s="34">
        <f>敌人!H$195</f>
        <v>0</v>
      </c>
      <c r="J947" s="34">
        <f>敌人!I$195</f>
        <v>0</v>
      </c>
      <c r="K947" s="370" t="str">
        <f ca="1">敌人!J$195</f>
        <v>睡眠花之叶</v>
      </c>
      <c r="L947" s="371"/>
      <c r="M947" s="371"/>
      <c r="N947" s="32"/>
      <c r="O947" s="373" t="str">
        <f ca="1">语言!A$461&amp;" (4 "&amp;语言!$A$19&amp;")"</f>
        <v>南柏达弗尔崖道 (4 宝箱)</v>
      </c>
      <c r="P947" s="371"/>
      <c r="Q947" s="371"/>
      <c r="R947" s="371"/>
      <c r="S947" s="32"/>
      <c r="T947" s="32"/>
      <c r="U947" s="376"/>
      <c r="V947" s="371"/>
      <c r="W947" s="32"/>
      <c r="X947" s="32"/>
      <c r="Y947" s="32"/>
      <c r="Z947" s="32"/>
      <c r="AA947" s="32"/>
    </row>
    <row r="948" spans="1:27" ht="12.75" x14ac:dyDescent="0.2">
      <c r="A948" s="32"/>
      <c r="B948" s="33" t="b">
        <v>0</v>
      </c>
      <c r="C948" s="370" t="str">
        <f ca="1">敌人!C$144&amp;" (11)"</f>
        <v>大秃鹰 (11)</v>
      </c>
      <c r="D948" s="371"/>
      <c r="E948" s="34">
        <f>敌人!D$144</f>
        <v>3</v>
      </c>
      <c r="F948" s="34">
        <f>敌人!E$144</f>
        <v>0</v>
      </c>
      <c r="G948" s="34">
        <f>敌人!F$144</f>
        <v>0</v>
      </c>
      <c r="H948" s="34">
        <f>敌人!G$144</f>
        <v>0</v>
      </c>
      <c r="I948" s="34">
        <f>敌人!H$144</f>
        <v>0</v>
      </c>
      <c r="J948" s="34">
        <f>敌人!I$144</f>
        <v>0</v>
      </c>
      <c r="K948" s="370" t="str">
        <f ca="1">敌人!J$144</f>
        <v>橄榄花</v>
      </c>
      <c r="L948" s="371"/>
      <c r="M948" s="371"/>
      <c r="N948" s="32"/>
      <c r="O948" s="33" t="b">
        <v>0</v>
      </c>
      <c r="P948" s="370" t="str">
        <f ca="1">道具!$C$22</f>
        <v>睡眠治疗药草</v>
      </c>
      <c r="Q948" s="371"/>
      <c r="R948" s="371"/>
      <c r="S948" s="32"/>
      <c r="T948" s="32"/>
      <c r="U948" s="376"/>
      <c r="V948" s="371"/>
      <c r="W948" s="32"/>
      <c r="X948" s="32"/>
      <c r="Y948" s="32"/>
      <c r="Z948" s="32"/>
      <c r="AA948" s="32"/>
    </row>
    <row r="949" spans="1:27" ht="12.75" x14ac:dyDescent="0.2">
      <c r="A949" s="32"/>
      <c r="B949" s="32"/>
      <c r="C949" s="376"/>
      <c r="D949" s="371"/>
      <c r="E949" s="32"/>
      <c r="F949" s="32"/>
      <c r="G949" s="32"/>
      <c r="H949" s="32"/>
      <c r="I949" s="32"/>
      <c r="J949" s="32"/>
      <c r="K949" s="376"/>
      <c r="L949" s="371"/>
      <c r="M949" s="371"/>
      <c r="N949" s="32"/>
      <c r="O949" s="33" t="b">
        <v>0</v>
      </c>
      <c r="P949" s="370" t="str">
        <f ca="1">道具!$C$39</f>
        <v>风之精灵石</v>
      </c>
      <c r="Q949" s="371"/>
      <c r="R949" s="371"/>
      <c r="S949" s="32"/>
      <c r="T949" s="32"/>
      <c r="U949" s="376"/>
      <c r="V949" s="371"/>
      <c r="W949" s="32"/>
      <c r="X949" s="32"/>
      <c r="Y949" s="32"/>
      <c r="Z949" s="32"/>
      <c r="AA949" s="32"/>
    </row>
    <row r="950" spans="1:27" ht="12.75" x14ac:dyDescent="0.2">
      <c r="A950" s="32"/>
      <c r="B950" s="373" t="str">
        <f ca="1">语言!A$462&amp;" ("&amp;语言!$A$12&amp;" 20)"</f>
        <v>鸟葬洞窟 (危险度 20)</v>
      </c>
      <c r="C950" s="371"/>
      <c r="D950" s="371"/>
      <c r="E950" s="371"/>
      <c r="F950" s="371"/>
      <c r="G950" s="371"/>
      <c r="H950" s="371"/>
      <c r="I950" s="371"/>
      <c r="J950" s="371"/>
      <c r="K950" s="371"/>
      <c r="L950" s="371"/>
      <c r="M950" s="371"/>
      <c r="N950" s="32"/>
      <c r="O950" s="33" t="b">
        <v>0</v>
      </c>
      <c r="P950" s="370" t="str">
        <f ca="1">道具!$C$7</f>
        <v>ＳＰ恢复的李子（大）</v>
      </c>
      <c r="Q950" s="371"/>
      <c r="R950" s="371"/>
      <c r="S950" s="32"/>
      <c r="T950" s="32"/>
      <c r="U950" s="376"/>
      <c r="V950" s="371"/>
      <c r="W950" s="32"/>
      <c r="X950" s="32"/>
      <c r="Y950" s="32"/>
      <c r="Z950" s="32"/>
      <c r="AA950" s="32"/>
    </row>
    <row r="951" spans="1:27" ht="12.75" x14ac:dyDescent="0.2">
      <c r="A951" s="32"/>
      <c r="B951" s="33" t="b">
        <v>0</v>
      </c>
      <c r="C951" s="370" t="str">
        <f ca="1">敌人!C$66</f>
        <v>不可思议的幼体</v>
      </c>
      <c r="D951" s="371"/>
      <c r="E951" s="34">
        <f>敌人!D$66</f>
        <v>3</v>
      </c>
      <c r="F951" s="34">
        <f>敌人!E$66</f>
        <v>0</v>
      </c>
      <c r="G951" s="34">
        <f>敌人!F$66</f>
        <v>0</v>
      </c>
      <c r="H951" s="34">
        <f>敌人!G$66</f>
        <v>0</v>
      </c>
      <c r="I951" s="34">
        <f>敌人!H$66</f>
        <v>0</v>
      </c>
      <c r="J951" s="34">
        <f>敌人!I$66</f>
        <v>0</v>
      </c>
      <c r="K951" s="370" t="str">
        <f ca="1">敌人!J$66</f>
        <v>ＨＰ恢复的葡萄（大）</v>
      </c>
      <c r="L951" s="371"/>
      <c r="M951" s="371"/>
      <c r="N951" s="32"/>
      <c r="O951" s="33" t="b">
        <v>0</v>
      </c>
      <c r="P951" s="370" t="str">
        <f ca="1">道具!$C$3</f>
        <v>ＨＰ恢复的葡萄</v>
      </c>
      <c r="Q951" s="371"/>
      <c r="R951" s="371"/>
      <c r="S951" s="32"/>
      <c r="T951" s="32"/>
      <c r="U951" s="376"/>
      <c r="V951" s="371"/>
      <c r="W951" s="32"/>
      <c r="X951" s="32"/>
      <c r="Y951" s="32"/>
      <c r="Z951" s="32"/>
      <c r="AA951" s="32"/>
    </row>
    <row r="952" spans="1:27" ht="12.75" x14ac:dyDescent="0.2">
      <c r="A952" s="32"/>
      <c r="B952" s="33" t="b">
        <v>0</v>
      </c>
      <c r="C952" s="370" t="str">
        <f ca="1">敌人!C$144</f>
        <v>大秃鹰</v>
      </c>
      <c r="D952" s="371"/>
      <c r="E952" s="34">
        <f>敌人!D$144</f>
        <v>3</v>
      </c>
      <c r="F952" s="34">
        <f>敌人!E$144</f>
        <v>0</v>
      </c>
      <c r="G952" s="34">
        <f>敌人!F$144</f>
        <v>0</v>
      </c>
      <c r="H952" s="34">
        <f>敌人!G$144</f>
        <v>0</v>
      </c>
      <c r="I952" s="34">
        <f>敌人!H$144</f>
        <v>0</v>
      </c>
      <c r="J952" s="34">
        <f>敌人!I$144</f>
        <v>0</v>
      </c>
      <c r="K952" s="370" t="str">
        <f ca="1">敌人!J$144</f>
        <v>橄榄花</v>
      </c>
      <c r="L952" s="371"/>
      <c r="M952" s="371"/>
      <c r="N952" s="32"/>
      <c r="O952" s="373" t="str">
        <f ca="1">语言!A$462&amp;" (5 "&amp;语言!$A$19&amp;")"</f>
        <v>鸟葬洞窟 (5 宝箱)</v>
      </c>
      <c r="P952" s="371"/>
      <c r="Q952" s="371"/>
      <c r="R952" s="371"/>
      <c r="S952" s="32"/>
      <c r="T952" s="32"/>
      <c r="U952" s="376"/>
      <c r="V952" s="371"/>
      <c r="W952" s="32"/>
      <c r="X952" s="32"/>
      <c r="Y952" s="32"/>
      <c r="Z952" s="32"/>
      <c r="AA952" s="32"/>
    </row>
    <row r="953" spans="1:27" ht="12.75" x14ac:dyDescent="0.2">
      <c r="A953" s="32"/>
      <c r="B953" s="33" t="b">
        <v>0</v>
      </c>
      <c r="C953" s="370" t="str">
        <f ca="1">敌人!C$193</f>
        <v>大秃鹰异种</v>
      </c>
      <c r="D953" s="371"/>
      <c r="E953" s="34">
        <f>敌人!D$193</f>
        <v>4</v>
      </c>
      <c r="F953" s="34">
        <f>敌人!E$193</f>
        <v>0</v>
      </c>
      <c r="G953" s="34">
        <f>敌人!F$193</f>
        <v>0</v>
      </c>
      <c r="H953" s="34">
        <f>敌人!G$193</f>
        <v>0</v>
      </c>
      <c r="I953" s="34">
        <f>敌人!H$193</f>
        <v>0</v>
      </c>
      <c r="J953" s="34">
        <f>敌人!I$193</f>
        <v>0</v>
      </c>
      <c r="K953" s="370" t="str">
        <f ca="1">敌人!J$193</f>
        <v>橄榄花</v>
      </c>
      <c r="L953" s="371"/>
      <c r="M953" s="371"/>
      <c r="N953" s="32"/>
      <c r="O953" s="33" t="b">
        <v>0</v>
      </c>
      <c r="P953" s="370" t="str">
        <f ca="1">道具!$C$59&amp;" ("&amp;语言!$A$20&amp;")"</f>
        <v>增强物防的坚果 (上锁宝箱)</v>
      </c>
      <c r="Q953" s="371"/>
      <c r="R953" s="371"/>
      <c r="S953" s="32"/>
      <c r="T953" s="32"/>
      <c r="U953" s="376"/>
      <c r="V953" s="371"/>
      <c r="W953" s="32"/>
      <c r="X953" s="32"/>
      <c r="Y953" s="32"/>
      <c r="Z953" s="32"/>
      <c r="AA953" s="32"/>
    </row>
    <row r="954" spans="1:27" ht="12.75" x14ac:dyDescent="0.2">
      <c r="A954" s="32"/>
      <c r="B954" s="33" t="b">
        <v>0</v>
      </c>
      <c r="C954" s="370" t="str">
        <f ca="1">敌人!C$92</f>
        <v>大游隼异种</v>
      </c>
      <c r="D954" s="371"/>
      <c r="E954" s="34">
        <f>敌人!D$92</f>
        <v>3</v>
      </c>
      <c r="F954" s="34">
        <f>敌人!E$92</f>
        <v>0</v>
      </c>
      <c r="G954" s="34">
        <f>敌人!F$92</f>
        <v>0</v>
      </c>
      <c r="H954" s="34">
        <f>敌人!G$92</f>
        <v>0</v>
      </c>
      <c r="I954" s="34">
        <f>敌人!H$92</f>
        <v>0</v>
      </c>
      <c r="J954" s="34">
        <f>敌人!I$92</f>
        <v>0</v>
      </c>
      <c r="K954" s="370" t="str">
        <f ca="1">敌人!J$92</f>
        <v>石榴树液</v>
      </c>
      <c r="L954" s="371"/>
      <c r="M954" s="371"/>
      <c r="N954" s="32"/>
      <c r="O954" s="33" t="b">
        <v>0</v>
      </c>
      <c r="P954" s="370" t="str">
        <f ca="1">道具!$C$7</f>
        <v>ＳＰ恢复的李子（大）</v>
      </c>
      <c r="Q954" s="371"/>
      <c r="R954" s="371"/>
      <c r="S954" s="32"/>
      <c r="T954" s="32"/>
      <c r="U954" s="376"/>
      <c r="V954" s="371"/>
      <c r="W954" s="32"/>
      <c r="X954" s="32"/>
      <c r="Y954" s="32"/>
      <c r="Z954" s="32"/>
      <c r="AA954" s="32"/>
    </row>
    <row r="955" spans="1:27" ht="12.75" x14ac:dyDescent="0.2">
      <c r="A955" s="32"/>
      <c r="B955" s="33" t="b">
        <v>0</v>
      </c>
      <c r="C955" s="370" t="str">
        <f ca="1">敌人!C$331</f>
        <v>狂暴游隼</v>
      </c>
      <c r="D955" s="371"/>
      <c r="E955" s="34">
        <f>敌人!D$331</f>
        <v>1</v>
      </c>
      <c r="F955" s="34">
        <f>敌人!E$331</f>
        <v>0</v>
      </c>
      <c r="G955" s="34">
        <f>敌人!F$331</f>
        <v>0</v>
      </c>
      <c r="H955" s="34">
        <f>敌人!G$331</f>
        <v>0</v>
      </c>
      <c r="I955" s="34">
        <f>敌人!H$331</f>
        <v>0</v>
      </c>
      <c r="J955" s="34">
        <f>敌人!I$331</f>
        <v>0</v>
      </c>
      <c r="K955" s="370" t="str">
        <f ca="1">敌人!J$331</f>
        <v>石榴树液</v>
      </c>
      <c r="L955" s="371"/>
      <c r="M955" s="371"/>
      <c r="N955" s="32"/>
      <c r="O955" s="33" t="b">
        <v>0</v>
      </c>
      <c r="P955" s="370" t="str">
        <f ca="1">道具!$C$16</f>
        <v>复活的橄榄（大）</v>
      </c>
      <c r="Q955" s="371"/>
      <c r="R955" s="371"/>
      <c r="S955" s="32"/>
      <c r="T955" s="32"/>
      <c r="U955" s="376"/>
      <c r="V955" s="371"/>
      <c r="W955" s="32"/>
      <c r="X955" s="32"/>
      <c r="Y955" s="32"/>
      <c r="Z955" s="32"/>
      <c r="AA955" s="32"/>
    </row>
    <row r="956" spans="1:27" ht="12.75" x14ac:dyDescent="0.2">
      <c r="A956" s="32"/>
      <c r="B956" s="33" t="b">
        <v>0</v>
      </c>
      <c r="C956" s="370" t="str">
        <f ca="1">敌人!C$13</f>
        <v>高地乌鸦</v>
      </c>
      <c r="D956" s="371"/>
      <c r="E956" s="34">
        <f>敌人!D$13</f>
        <v>1</v>
      </c>
      <c r="F956" s="34">
        <f>敌人!E$13</f>
        <v>0</v>
      </c>
      <c r="G956" s="34">
        <f>敌人!F$13</f>
        <v>0</v>
      </c>
      <c r="H956" s="34">
        <f>敌人!G$13</f>
        <v>0</v>
      </c>
      <c r="I956" s="34">
        <f>敌人!H$13</f>
        <v>0</v>
      </c>
      <c r="J956" s="34">
        <f>敌人!I$13</f>
        <v>0</v>
      </c>
      <c r="K956" s="370" t="str">
        <f ca="1">敌人!J$13</f>
        <v>混乱多之叶</v>
      </c>
      <c r="L956" s="371"/>
      <c r="M956" s="371"/>
      <c r="N956" s="32"/>
      <c r="O956" s="33" t="b">
        <v>0</v>
      </c>
      <c r="P956" s="370" t="s">
        <v>28</v>
      </c>
      <c r="Q956" s="371"/>
      <c r="R956" s="371"/>
      <c r="S956" s="32"/>
      <c r="T956" s="32"/>
      <c r="U956" s="376"/>
      <c r="V956" s="371"/>
      <c r="W956" s="32"/>
      <c r="X956" s="32"/>
      <c r="Y956" s="32"/>
      <c r="Z956" s="32"/>
      <c r="AA956" s="32"/>
    </row>
    <row r="957" spans="1:27" ht="12.75" x14ac:dyDescent="0.2">
      <c r="A957" s="32"/>
      <c r="B957" s="33" t="b">
        <v>0</v>
      </c>
      <c r="C957" s="370" t="str">
        <f ca="1">敌人!C$89</f>
        <v>高地乌鸦异种</v>
      </c>
      <c r="D957" s="371"/>
      <c r="E957" s="34">
        <f>敌人!D$89</f>
        <v>2</v>
      </c>
      <c r="F957" s="34">
        <f>敌人!E$89</f>
        <v>0</v>
      </c>
      <c r="G957" s="34">
        <f>敌人!F$89</f>
        <v>0</v>
      </c>
      <c r="H957" s="34">
        <f>敌人!G$89</f>
        <v>0</v>
      </c>
      <c r="I957" s="34">
        <f>敌人!H$89</f>
        <v>0</v>
      </c>
      <c r="J957" s="34">
        <f>敌人!I$89</f>
        <v>0</v>
      </c>
      <c r="K957" s="370" t="str">
        <f ca="1">敌人!J$89</f>
        <v>混乱多之叶</v>
      </c>
      <c r="L957" s="371"/>
      <c r="M957" s="371"/>
      <c r="N957" s="32"/>
      <c r="O957" s="33" t="b">
        <v>0</v>
      </c>
      <c r="P957" s="370" t="str">
        <f ca="1">道具!$C$261</f>
        <v>魔力之斧</v>
      </c>
      <c r="Q957" s="371"/>
      <c r="R957" s="371"/>
      <c r="S957" s="32"/>
      <c r="T957" s="32"/>
      <c r="U957" s="376"/>
      <c r="V957" s="371"/>
      <c r="W957" s="32"/>
      <c r="X957" s="32"/>
      <c r="Y957" s="32"/>
      <c r="Z957" s="32"/>
      <c r="AA957" s="32"/>
    </row>
    <row r="958" spans="1:27" ht="12.75" x14ac:dyDescent="0.2">
      <c r="A958" s="32"/>
      <c r="B958" s="33" t="b">
        <v>0</v>
      </c>
      <c r="C958" s="370" t="str">
        <f ca="1">敌人!C$230</f>
        <v>黑乌鸦</v>
      </c>
      <c r="D958" s="371"/>
      <c r="E958" s="34">
        <f>敌人!D$230</f>
        <v>1</v>
      </c>
      <c r="F958" s="34">
        <f>敌人!E$230</f>
        <v>0</v>
      </c>
      <c r="G958" s="34">
        <f>敌人!F$230</f>
        <v>0</v>
      </c>
      <c r="H958" s="34">
        <f>敌人!G$230</f>
        <v>0</v>
      </c>
      <c r="I958" s="34">
        <f>敌人!H$230</f>
        <v>0</v>
      </c>
      <c r="J958" s="34">
        <f>敌人!I$230</f>
        <v>0</v>
      </c>
      <c r="K958" s="370" t="str">
        <f ca="1">敌人!J$230</f>
        <v>混乱多之叶</v>
      </c>
      <c r="L958" s="371"/>
      <c r="M958" s="371"/>
      <c r="N958" s="32"/>
      <c r="O958" s="32"/>
      <c r="P958" s="376"/>
      <c r="Q958" s="371"/>
      <c r="R958" s="371"/>
      <c r="S958" s="32"/>
      <c r="T958" s="32"/>
      <c r="U958" s="376"/>
      <c r="V958" s="371"/>
      <c r="W958" s="32"/>
      <c r="X958" s="32"/>
      <c r="Y958" s="32"/>
      <c r="Z958" s="32"/>
      <c r="AA958" s="32"/>
    </row>
    <row r="959" spans="1:27" ht="12.75" x14ac:dyDescent="0.2">
      <c r="A959" s="32"/>
      <c r="B959" s="33" t="b">
        <v>0</v>
      </c>
      <c r="C959" s="370" t="str">
        <f ca="1">敌人!C$90</f>
        <v>黑乌鸦异种</v>
      </c>
      <c r="D959" s="371"/>
      <c r="E959" s="34">
        <f>敌人!D$90</f>
        <v>2</v>
      </c>
      <c r="F959" s="34">
        <f>敌人!E$90</f>
        <v>0</v>
      </c>
      <c r="G959" s="34">
        <f>敌人!F$90</f>
        <v>0</v>
      </c>
      <c r="H959" s="34">
        <f>敌人!G$90</f>
        <v>0</v>
      </c>
      <c r="I959" s="34">
        <f>敌人!H$90</f>
        <v>0</v>
      </c>
      <c r="J959" s="34">
        <f>敌人!I$90</f>
        <v>0</v>
      </c>
      <c r="K959" s="370" t="str">
        <f ca="1">敌人!J$90</f>
        <v>混乱多之叶</v>
      </c>
      <c r="L959" s="371"/>
      <c r="M959" s="371"/>
      <c r="N959" s="32"/>
      <c r="O959" s="32"/>
      <c r="P959" s="376"/>
      <c r="Q959" s="371"/>
      <c r="R959" s="371"/>
      <c r="S959" s="32"/>
      <c r="T959" s="32"/>
      <c r="U959" s="376"/>
      <c r="V959" s="371"/>
      <c r="W959" s="32"/>
      <c r="X959" s="32"/>
      <c r="Y959" s="32"/>
      <c r="Z959" s="32"/>
      <c r="AA959" s="32"/>
    </row>
    <row r="960" spans="1:27" ht="12.75" x14ac:dyDescent="0.2">
      <c r="A960" s="32"/>
      <c r="B960" s="377" t="str">
        <f ca="1">语言!$A$16</f>
        <v>小Boss</v>
      </c>
      <c r="C960" s="371"/>
      <c r="D960" s="371"/>
      <c r="E960" s="371"/>
      <c r="F960" s="371"/>
      <c r="G960" s="371"/>
      <c r="H960" s="371"/>
      <c r="I960" s="371"/>
      <c r="J960" s="371"/>
      <c r="K960" s="371"/>
      <c r="L960" s="371"/>
      <c r="M960" s="371"/>
      <c r="N960" s="32"/>
      <c r="O960" s="32"/>
      <c r="P960" s="376"/>
      <c r="Q960" s="371"/>
      <c r="R960" s="371"/>
      <c r="S960" s="32"/>
      <c r="T960" s="32"/>
      <c r="U960" s="376"/>
      <c r="V960" s="371"/>
      <c r="W960" s="32"/>
      <c r="X960" s="32"/>
      <c r="Y960" s="32"/>
      <c r="Z960" s="32"/>
      <c r="AA960" s="32"/>
    </row>
    <row r="961" spans="1:27" ht="12.75" x14ac:dyDescent="0.2">
      <c r="A961" s="32"/>
      <c r="B961" s="33" t="b">
        <v>0</v>
      </c>
      <c r="C961" s="372" t="str">
        <f ca="1">敌人!C$382</f>
        <v>亚耶罗巴特</v>
      </c>
      <c r="D961" s="371"/>
      <c r="E961" s="33">
        <f>敌人!D$382</f>
        <v>10</v>
      </c>
      <c r="F961" s="33">
        <f>敌人!E$382</f>
        <v>0</v>
      </c>
      <c r="G961" s="33">
        <f>敌人!F$382</f>
        <v>0</v>
      </c>
      <c r="H961" s="33">
        <f>敌人!G$382</f>
        <v>0</v>
      </c>
      <c r="I961" s="33">
        <f>敌人!H$382</f>
        <v>0</v>
      </c>
      <c r="J961" s="33">
        <f>敌人!I$382</f>
        <v>0</v>
      </c>
      <c r="K961" s="372" t="str">
        <f ca="1">敌人!J$382</f>
        <v>ＨＰ／ＳＰ／ＢＰ恢复的果酱</v>
      </c>
      <c r="L961" s="371"/>
      <c r="M961" s="371"/>
      <c r="N961" s="32"/>
      <c r="O961" s="32"/>
      <c r="P961" s="391"/>
      <c r="Q961" s="371"/>
      <c r="R961" s="371"/>
      <c r="S961" s="32"/>
      <c r="T961" s="32"/>
      <c r="U961" s="376"/>
      <c r="V961" s="371"/>
      <c r="W961" s="32"/>
      <c r="X961" s="32"/>
      <c r="Y961" s="32"/>
      <c r="Z961" s="32"/>
      <c r="AA961" s="32"/>
    </row>
    <row r="962" spans="1:27" ht="12.75" x14ac:dyDescent="0.2">
      <c r="A962" s="32"/>
      <c r="B962" s="32"/>
      <c r="C962" s="376"/>
      <c r="D962" s="371"/>
      <c r="E962" s="32"/>
      <c r="F962" s="32"/>
      <c r="G962" s="32"/>
      <c r="H962" s="32"/>
      <c r="I962" s="32"/>
      <c r="J962" s="32"/>
      <c r="K962" s="376"/>
      <c r="L962" s="371"/>
      <c r="M962" s="371"/>
      <c r="N962" s="32"/>
      <c r="O962" s="32"/>
      <c r="P962" s="391"/>
      <c r="Q962" s="371"/>
      <c r="R962" s="371"/>
      <c r="S962" s="32"/>
      <c r="T962" s="32"/>
      <c r="U962" s="376"/>
      <c r="V962" s="371"/>
      <c r="W962" s="32"/>
      <c r="X962" s="32"/>
      <c r="Y962" s="32"/>
      <c r="Z962" s="32"/>
      <c r="AA962" s="32"/>
    </row>
    <row r="963" spans="1:27" ht="12.75" x14ac:dyDescent="0.2">
      <c r="A963" s="32"/>
      <c r="B963" s="374" t="str">
        <f ca="1">语言!$A$41&amp;" "&amp;语言!$A$14&amp;" 1"</f>
        <v>泰里翁 章节 1</v>
      </c>
      <c r="C963" s="371"/>
      <c r="D963" s="371"/>
      <c r="E963" s="371"/>
      <c r="F963" s="371"/>
      <c r="G963" s="371"/>
      <c r="H963" s="371"/>
      <c r="I963" s="371"/>
      <c r="J963" s="371"/>
      <c r="K963" s="371"/>
      <c r="L963" s="371"/>
      <c r="M963" s="371"/>
      <c r="N963" s="32"/>
      <c r="O963" s="374" t="str">
        <f ca="1">语言!$A$41&amp;" "&amp;语言!$A$14&amp;" 1"</f>
        <v>泰里翁 章节 1</v>
      </c>
      <c r="P963" s="371"/>
      <c r="Q963" s="371"/>
      <c r="R963" s="371"/>
      <c r="S963" s="32"/>
      <c r="T963" s="32"/>
      <c r="U963" s="376"/>
      <c r="V963" s="371"/>
      <c r="W963" s="32"/>
      <c r="X963" s="32"/>
      <c r="Y963" s="32"/>
      <c r="Z963" s="32"/>
      <c r="AA963" s="32"/>
    </row>
    <row r="964" spans="1:27" ht="12.75" x14ac:dyDescent="0.2">
      <c r="A964" s="32"/>
      <c r="B964" s="373" t="str">
        <f ca="1">语言!A$463&amp;" ("&amp;语言!$A$12&amp;" 1 - 4 - 7 - 11)"</f>
        <v>瑞布斯的宅邸 (危险度 1 - 4 - 7 - 11)</v>
      </c>
      <c r="C964" s="371"/>
      <c r="D964" s="371"/>
      <c r="E964" s="371"/>
      <c r="F964" s="371"/>
      <c r="G964" s="371"/>
      <c r="H964" s="371"/>
      <c r="I964" s="371"/>
      <c r="J964" s="371"/>
      <c r="K964" s="371"/>
      <c r="L964" s="371"/>
      <c r="M964" s="371"/>
      <c r="N964" s="32"/>
      <c r="O964" s="373" t="str">
        <f ca="1">语言!A$463&amp;" (7 "&amp;语言!$A$19&amp;")"</f>
        <v>瑞布斯的宅邸 (7 宝箱)</v>
      </c>
      <c r="P964" s="371"/>
      <c r="Q964" s="371"/>
      <c r="R964" s="371"/>
      <c r="S964" s="32"/>
      <c r="T964" s="32"/>
      <c r="U964" s="376"/>
      <c r="V964" s="371"/>
      <c r="W964" s="32"/>
      <c r="X964" s="32"/>
      <c r="Y964" s="32"/>
      <c r="Z964" s="32"/>
      <c r="AA964" s="32"/>
    </row>
    <row r="965" spans="1:27" ht="12.75" x14ac:dyDescent="0.2">
      <c r="A965" s="32"/>
      <c r="B965" s="33" t="b">
        <v>0</v>
      </c>
      <c r="C965" s="370" t="str">
        <f ca="1">敌人!C$243</f>
        <v>瑞布斯的士兵 I</v>
      </c>
      <c r="D965" s="371"/>
      <c r="E965" s="34">
        <f>敌人!D$243</f>
        <v>1</v>
      </c>
      <c r="F965" s="34">
        <f>敌人!E$243</f>
        <v>0</v>
      </c>
      <c r="G965" s="34">
        <f>敌人!F$243</f>
        <v>0</v>
      </c>
      <c r="H965" s="34">
        <f>敌人!G$243</f>
        <v>0</v>
      </c>
      <c r="I965" s="34">
        <f>敌人!H$243</f>
        <v>0</v>
      </c>
      <c r="J965" s="34">
        <f>敌人!I$243</f>
        <v>0</v>
      </c>
      <c r="K965" s="370" t="str">
        <f ca="1">敌人!J$243</f>
        <v>火之精灵石</v>
      </c>
      <c r="L965" s="371"/>
      <c r="M965" s="371"/>
      <c r="N965" s="32"/>
      <c r="O965" s="33" t="b">
        <v>0</v>
      </c>
      <c r="P965" s="370" t="str">
        <f ca="1">道具!$C$3</f>
        <v>ＨＰ恢复的葡萄</v>
      </c>
      <c r="Q965" s="371"/>
      <c r="R965" s="371"/>
      <c r="S965" s="32"/>
      <c r="T965" s="32"/>
      <c r="U965" s="376"/>
      <c r="V965" s="371"/>
      <c r="W965" s="32"/>
      <c r="X965" s="32"/>
      <c r="Y965" s="32"/>
      <c r="Z965" s="32"/>
      <c r="AA965" s="32"/>
    </row>
    <row r="966" spans="1:27" ht="12.75" x14ac:dyDescent="0.2">
      <c r="A966" s="32"/>
      <c r="B966" s="33" t="b">
        <v>0</v>
      </c>
      <c r="C966" s="370" t="str">
        <f ca="1">敌人!C$244</f>
        <v>瑞布斯的士兵 II</v>
      </c>
      <c r="D966" s="371"/>
      <c r="E966" s="34">
        <f>敌人!D$244</f>
        <v>1</v>
      </c>
      <c r="F966" s="34">
        <f>敌人!E$244</f>
        <v>0</v>
      </c>
      <c r="G966" s="34">
        <f>敌人!F$244</f>
        <v>0</v>
      </c>
      <c r="H966" s="34">
        <f>敌人!G$244</f>
        <v>0</v>
      </c>
      <c r="I966" s="34">
        <f>敌人!H$244</f>
        <v>0</v>
      </c>
      <c r="J966" s="34">
        <f>敌人!I$244</f>
        <v>0</v>
      </c>
      <c r="K966" s="370" t="str">
        <f ca="1">敌人!J$244</f>
        <v>ＨＰ恢复的葡萄</v>
      </c>
      <c r="L966" s="371"/>
      <c r="M966" s="371"/>
      <c r="N966" s="32"/>
      <c r="O966" s="33" t="b">
        <v>0</v>
      </c>
      <c r="P966" s="370" t="str">
        <f ca="1">道具!$C$6</f>
        <v>ＳＰ恢复的李子</v>
      </c>
      <c r="Q966" s="371"/>
      <c r="R966" s="371"/>
      <c r="S966" s="32"/>
      <c r="T966" s="32"/>
      <c r="U966" s="376"/>
      <c r="V966" s="371"/>
      <c r="W966" s="32"/>
      <c r="X966" s="32"/>
      <c r="Y966" s="32"/>
      <c r="Z966" s="32"/>
      <c r="AA966" s="32"/>
    </row>
    <row r="967" spans="1:27" ht="12.75" x14ac:dyDescent="0.2">
      <c r="A967" s="32"/>
      <c r="B967" s="33" t="b">
        <v>0</v>
      </c>
      <c r="C967" s="370" t="str">
        <f ca="1">敌人!C$245&amp;" (7+)"</f>
        <v>瑞布斯的士兵 III (7+)</v>
      </c>
      <c r="D967" s="371"/>
      <c r="E967" s="34">
        <f>敌人!D$245</f>
        <v>4</v>
      </c>
      <c r="F967" s="34">
        <f>敌人!E$245</f>
        <v>0</v>
      </c>
      <c r="G967" s="34">
        <f>敌人!F$245</f>
        <v>0</v>
      </c>
      <c r="H967" s="34">
        <f>敌人!G$245</f>
        <v>0</v>
      </c>
      <c r="I967" s="34">
        <f>敌人!H$245</f>
        <v>0</v>
      </c>
      <c r="J967" s="34">
        <f>敌人!I$245</f>
        <v>0</v>
      </c>
      <c r="K967" s="370" t="str">
        <f ca="1">敌人!J$245</f>
        <v>ＳＰ恢复的李子</v>
      </c>
      <c r="L967" s="371"/>
      <c r="M967" s="371"/>
      <c r="N967" s="32"/>
      <c r="O967" s="33" t="b">
        <v>0</v>
      </c>
      <c r="P967" s="370" t="str">
        <f ca="1">"800$ ("&amp;语言!$A$20&amp;")"</f>
        <v>800$ (上锁宝箱)</v>
      </c>
      <c r="Q967" s="371"/>
      <c r="R967" s="371"/>
      <c r="S967" s="32"/>
      <c r="T967" s="32"/>
      <c r="U967" s="376"/>
      <c r="V967" s="371"/>
      <c r="W967" s="32"/>
      <c r="X967" s="32"/>
      <c r="Y967" s="32"/>
      <c r="Z967" s="32"/>
      <c r="AA967" s="32"/>
    </row>
    <row r="968" spans="1:27" ht="12.75" x14ac:dyDescent="0.2">
      <c r="A968" s="32"/>
      <c r="B968" s="33" t="b">
        <v>0</v>
      </c>
      <c r="C968" s="370" t="str">
        <f ca="1">敌人!C$147&amp;" (7+)"</f>
        <v>看门狗 (7+)</v>
      </c>
      <c r="D968" s="371"/>
      <c r="E968" s="34">
        <f>敌人!D$147</f>
        <v>2</v>
      </c>
      <c r="F968" s="34">
        <f>敌人!E$147</f>
        <v>0</v>
      </c>
      <c r="G968" s="34">
        <f>敌人!F$147</f>
        <v>0</v>
      </c>
      <c r="H968" s="34">
        <f>敌人!G$147</f>
        <v>0</v>
      </c>
      <c r="I968" s="34">
        <f>敌人!H$147</f>
        <v>0</v>
      </c>
      <c r="J968" s="34">
        <f>敌人!I$147</f>
        <v>0</v>
      </c>
      <c r="K968" s="370" t="str">
        <f ca="1">敌人!J$147</f>
        <v>混乱多之叶</v>
      </c>
      <c r="L968" s="371"/>
      <c r="M968" s="371"/>
      <c r="N968" s="32"/>
      <c r="O968" s="33" t="b">
        <v>0</v>
      </c>
      <c r="P968" s="370" t="str">
        <f ca="1">道具!$C$447&amp;" ("&amp;语言!$A$20&amp;")"</f>
        <v>疾风之服 (上锁宝箱)</v>
      </c>
      <c r="Q968" s="371"/>
      <c r="R968" s="371"/>
      <c r="S968" s="32"/>
      <c r="T968" s="32"/>
      <c r="U968" s="376"/>
      <c r="V968" s="371"/>
      <c r="W968" s="32"/>
      <c r="X968" s="32"/>
      <c r="Y968" s="32"/>
      <c r="Z968" s="32"/>
      <c r="AA968" s="32"/>
    </row>
    <row r="969" spans="1:27" ht="12.75" x14ac:dyDescent="0.2">
      <c r="A969" s="32"/>
      <c r="B969" s="33" t="b">
        <v>0</v>
      </c>
      <c r="C969" s="370" t="str">
        <f ca="1">敌人!C$305&amp;" (7+)"</f>
        <v>魔导机 (7+)</v>
      </c>
      <c r="D969" s="371"/>
      <c r="E969" s="34">
        <f>敌人!D$305</f>
        <v>2</v>
      </c>
      <c r="F969" s="34">
        <f>敌人!E$305</f>
        <v>0</v>
      </c>
      <c r="G969" s="34">
        <f>敌人!F$305</f>
        <v>0</v>
      </c>
      <c r="H969" s="34">
        <f>敌人!G$305</f>
        <v>0</v>
      </c>
      <c r="I969" s="34">
        <f>敌人!H$305</f>
        <v>0</v>
      </c>
      <c r="J969" s="34">
        <f>敌人!I$305</f>
        <v>0</v>
      </c>
      <c r="K969" s="370" t="str">
        <f ca="1">敌人!J$305</f>
        <v>复活的橄榄</v>
      </c>
      <c r="L969" s="371"/>
      <c r="M969" s="371"/>
      <c r="N969" s="32"/>
      <c r="O969" s="33" t="b">
        <v>0</v>
      </c>
      <c r="P969" s="370" t="str">
        <f ca="1">道具!$C$3</f>
        <v>ＨＰ恢复的葡萄</v>
      </c>
      <c r="Q969" s="371"/>
      <c r="R969" s="371"/>
      <c r="S969" s="32"/>
      <c r="T969" s="32"/>
      <c r="U969" s="376"/>
      <c r="V969" s="371"/>
      <c r="W969" s="32"/>
      <c r="X969" s="32"/>
      <c r="Y969" s="32"/>
      <c r="Z969" s="32"/>
      <c r="AA969" s="32"/>
    </row>
    <row r="970" spans="1:27" ht="12.75" x14ac:dyDescent="0.2">
      <c r="A970" s="32"/>
      <c r="B970" s="33" t="b">
        <v>0</v>
      </c>
      <c r="C970" s="370" t="str">
        <f ca="1">敌人!C$186</f>
        <v>魔导机（冰）</v>
      </c>
      <c r="D970" s="371"/>
      <c r="E970" s="34">
        <f>敌人!D$186</f>
        <v>1</v>
      </c>
      <c r="F970" s="34">
        <f>敌人!E$186</f>
        <v>0</v>
      </c>
      <c r="G970" s="34">
        <f>敌人!F$186</f>
        <v>0</v>
      </c>
      <c r="H970" s="34">
        <f>敌人!G$186</f>
        <v>0</v>
      </c>
      <c r="I970" s="34">
        <f>敌人!H$186</f>
        <v>0</v>
      </c>
      <c r="J970" s="34">
        <f>敌人!I$186</f>
        <v>0</v>
      </c>
      <c r="K970" s="370" t="str">
        <f ca="1">敌人!J$186</f>
        <v>冰之精灵石</v>
      </c>
      <c r="L970" s="371"/>
      <c r="M970" s="371"/>
      <c r="N970" s="32"/>
      <c r="O970" s="33" t="b">
        <v>0</v>
      </c>
      <c r="P970" s="370" t="str">
        <f ca="1">道具!$C$52&amp;" ("&amp;语言!$A$20&amp;")"</f>
        <v>增强ＳＰ的坚果 (上锁宝箱)</v>
      </c>
      <c r="Q970" s="371"/>
      <c r="R970" s="371"/>
      <c r="S970" s="32"/>
      <c r="T970" s="32"/>
      <c r="U970" s="376"/>
      <c r="V970" s="371"/>
      <c r="W970" s="32"/>
      <c r="X970" s="32"/>
      <c r="Y970" s="32"/>
      <c r="Z970" s="32"/>
      <c r="AA970" s="32"/>
    </row>
    <row r="971" spans="1:27" ht="12.75" x14ac:dyDescent="0.2">
      <c r="A971" s="32"/>
      <c r="B971" s="377" t="str">
        <f ca="1">语言!$A$15</f>
        <v>Boss</v>
      </c>
      <c r="C971" s="371"/>
      <c r="D971" s="371"/>
      <c r="E971" s="371"/>
      <c r="F971" s="371"/>
      <c r="G971" s="371"/>
      <c r="H971" s="371"/>
      <c r="I971" s="371"/>
      <c r="J971" s="371"/>
      <c r="K971" s="371"/>
      <c r="L971" s="371"/>
      <c r="M971" s="371"/>
      <c r="N971" s="32"/>
      <c r="O971" s="33" t="b">
        <v>0</v>
      </c>
      <c r="P971" s="370" t="str">
        <f ca="1">道具!$C$27</f>
        <v>混乱瓶</v>
      </c>
      <c r="Q971" s="371"/>
      <c r="R971" s="371"/>
      <c r="S971" s="32"/>
      <c r="T971" s="32"/>
      <c r="U971" s="376"/>
      <c r="V971" s="371"/>
      <c r="W971" s="32"/>
      <c r="X971" s="32"/>
      <c r="Y971" s="32"/>
      <c r="Z971" s="32"/>
      <c r="AA971" s="32"/>
    </row>
    <row r="972" spans="1:27" ht="12.75" x14ac:dyDescent="0.2">
      <c r="A972" s="32"/>
      <c r="B972" s="33" t="b">
        <v>0</v>
      </c>
      <c r="C972" s="370" t="str">
        <f ca="1">敌人!C$404</f>
        <v>希斯柯特</v>
      </c>
      <c r="D972" s="371"/>
      <c r="E972" s="34" t="str">
        <f>敌人!D$404</f>
        <v>4+</v>
      </c>
      <c r="F972" s="34">
        <f>敌人!E$404</f>
        <v>0</v>
      </c>
      <c r="G972" s="34">
        <f>敌人!F$404</f>
        <v>0</v>
      </c>
      <c r="H972" s="34">
        <f>敌人!G$404</f>
        <v>0</v>
      </c>
      <c r="I972" s="34">
        <f>敌人!H$404</f>
        <v>0</v>
      </c>
      <c r="J972" s="34">
        <f>敌人!I$404</f>
        <v>0</v>
      </c>
      <c r="K972" s="370" t="str">
        <f ca="1">敌人!J$404</f>
        <v>ＢＰ恢复的石榴（大）</v>
      </c>
      <c r="L972" s="371"/>
      <c r="M972" s="371"/>
      <c r="N972" s="32"/>
      <c r="O972" s="32"/>
      <c r="P972" s="376"/>
      <c r="Q972" s="371"/>
      <c r="R972" s="371"/>
      <c r="S972" s="32"/>
      <c r="T972" s="32"/>
      <c r="U972" s="376"/>
      <c r="V972" s="371"/>
      <c r="W972" s="32"/>
      <c r="X972" s="32"/>
      <c r="Y972" s="32"/>
      <c r="Z972" s="32"/>
      <c r="AA972" s="32"/>
    </row>
    <row r="973" spans="1:27" ht="12.75" x14ac:dyDescent="0.2">
      <c r="A973" s="32"/>
      <c r="B973" s="33" t="b">
        <v>0</v>
      </c>
      <c r="C973" s="370" t="str">
        <f ca="1">敌人!C$405</f>
        <v>瑞布斯的士兵</v>
      </c>
      <c r="D973" s="371"/>
      <c r="E973" s="34" t="str">
        <f>敌人!D$405</f>
        <v>3+</v>
      </c>
      <c r="F973" s="34">
        <f>敌人!E$405</f>
        <v>0</v>
      </c>
      <c r="G973" s="34">
        <f>敌人!F$405</f>
        <v>0</v>
      </c>
      <c r="H973" s="34">
        <f>敌人!G$405</f>
        <v>0</v>
      </c>
      <c r="I973" s="34">
        <f>敌人!H$405</f>
        <v>0</v>
      </c>
      <c r="J973" s="34">
        <f>敌人!I$405</f>
        <v>0</v>
      </c>
      <c r="K973" s="370" t="str">
        <f ca="1">敌人!J$405</f>
        <v>复活的橄榄</v>
      </c>
      <c r="L973" s="371"/>
      <c r="M973" s="371"/>
      <c r="N973" s="32"/>
      <c r="O973" s="32"/>
      <c r="P973" s="376"/>
      <c r="Q973" s="371"/>
      <c r="R973" s="371"/>
      <c r="S973" s="32"/>
      <c r="T973" s="32"/>
      <c r="U973" s="376"/>
      <c r="V973" s="371"/>
      <c r="W973" s="32"/>
      <c r="X973" s="32"/>
      <c r="Y973" s="32"/>
      <c r="Z973" s="32"/>
      <c r="AA973" s="32"/>
    </row>
    <row r="974" spans="1:27" ht="12.75" x14ac:dyDescent="0.2">
      <c r="A974" s="32"/>
      <c r="B974" s="32"/>
      <c r="C974" s="376"/>
      <c r="D974" s="371"/>
      <c r="E974" s="32"/>
      <c r="F974" s="32"/>
      <c r="G974" s="32"/>
      <c r="H974" s="32"/>
      <c r="I974" s="32"/>
      <c r="J974" s="32"/>
      <c r="K974" s="376"/>
      <c r="L974" s="371"/>
      <c r="M974" s="371"/>
      <c r="N974" s="32"/>
      <c r="O974" s="32"/>
      <c r="P974" s="376"/>
      <c r="Q974" s="371"/>
      <c r="R974" s="371"/>
      <c r="S974" s="32"/>
      <c r="T974" s="32"/>
      <c r="U974" s="376"/>
      <c r="V974" s="371"/>
      <c r="W974" s="32"/>
      <c r="X974" s="32"/>
      <c r="Y974" s="32"/>
      <c r="Z974" s="32"/>
      <c r="AA974" s="32"/>
    </row>
    <row r="975" spans="1:27" ht="18" x14ac:dyDescent="0.25">
      <c r="A975" s="388" t="str">
        <f ca="1">语言!$A$323&amp;" 2"</f>
        <v>Tier 2</v>
      </c>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row>
    <row r="976" spans="1:27" ht="12.75" x14ac:dyDescent="0.2">
      <c r="A976" s="32"/>
      <c r="B976" s="33" t="b">
        <v>0</v>
      </c>
      <c r="C976" s="372" t="str">
        <f ca="1">敌人!C$69</f>
        <v>绅士凯特林</v>
      </c>
      <c r="D976" s="371"/>
      <c r="E976" s="33">
        <f>敌人!D$69</f>
        <v>4</v>
      </c>
      <c r="F976" s="33">
        <f>敌人!E$69</f>
        <v>0</v>
      </c>
      <c r="G976" s="33">
        <f>敌人!F$69</f>
        <v>0</v>
      </c>
      <c r="H976" s="33">
        <f>敌人!G$69</f>
        <v>0</v>
      </c>
      <c r="I976" s="33">
        <f>敌人!H$69</f>
        <v>0</v>
      </c>
      <c r="J976" s="33">
        <f>敌人!I$69</f>
        <v>0</v>
      </c>
      <c r="K976" s="372" t="str">
        <f ca="1">敌人!J$69</f>
        <v>ＨＰ／ＳＰ／ＢＰ恢复的果酱</v>
      </c>
      <c r="L976" s="371"/>
      <c r="M976" s="371"/>
      <c r="N976" s="32"/>
      <c r="O976" s="373" t="str">
        <f ca="1">语言!A$464&amp;" (6 "&amp;语言!$A$19&amp;")"</f>
        <v>库欧利克雷斯特 (6 宝箱)</v>
      </c>
      <c r="P976" s="371"/>
      <c r="Q976" s="371"/>
      <c r="R976" s="371"/>
      <c r="S976" s="32"/>
      <c r="T976" s="373" t="str">
        <f ca="1">语言!A$464</f>
        <v>库欧利克雷斯特</v>
      </c>
      <c r="U976" s="371"/>
      <c r="V976" s="371"/>
      <c r="W976" s="32"/>
      <c r="X976" s="32"/>
      <c r="Y976" s="32"/>
      <c r="Z976" s="32"/>
      <c r="AA976" s="32"/>
    </row>
    <row r="977" spans="1:27" ht="12.75" x14ac:dyDescent="0.2">
      <c r="A977" s="32"/>
      <c r="B977" s="373" t="str">
        <f ca="1">语言!A$466&amp;" ("&amp;语言!$A$12&amp;" 17 - 20 - 25 - 28)"</f>
        <v>南库欧利克雷斯特崖道 (危险度 17 - 20 - 25 - 28)</v>
      </c>
      <c r="C977" s="371"/>
      <c r="D977" s="371"/>
      <c r="E977" s="371"/>
      <c r="F977" s="371"/>
      <c r="G977" s="371"/>
      <c r="H977" s="371"/>
      <c r="I977" s="371"/>
      <c r="J977" s="371"/>
      <c r="K977" s="371"/>
      <c r="L977" s="371"/>
      <c r="M977" s="371"/>
      <c r="N977" s="32"/>
      <c r="O977" s="33" t="b">
        <v>0</v>
      </c>
      <c r="P977" s="370" t="str">
        <f ca="1">道具!$C$99</f>
        <v>金矿石般的东西</v>
      </c>
      <c r="Q977" s="371"/>
      <c r="R977" s="371"/>
      <c r="S977" s="32"/>
      <c r="T977" s="33" t="b">
        <v>0</v>
      </c>
      <c r="U977" s="372" t="str">
        <f ca="1">道具!$C$32</f>
        <v>火之精灵石（特大）</v>
      </c>
      <c r="V977" s="371"/>
      <c r="W977" s="32"/>
      <c r="X977" s="32"/>
      <c r="Y977" s="32"/>
      <c r="Z977" s="32"/>
      <c r="AA977" s="32"/>
    </row>
    <row r="978" spans="1:27" ht="12.75" x14ac:dyDescent="0.2">
      <c r="A978" s="32"/>
      <c r="B978" s="33" t="b">
        <v>0</v>
      </c>
      <c r="C978" s="370" t="str">
        <f ca="1">敌人!C$57</f>
        <v>悬崖鸟人 IV</v>
      </c>
      <c r="D978" s="371"/>
      <c r="E978" s="34">
        <f>敌人!D$57</f>
        <v>2</v>
      </c>
      <c r="F978" s="34">
        <f>敌人!E$57</f>
        <v>0</v>
      </c>
      <c r="G978" s="34">
        <f>敌人!F$57</f>
        <v>0</v>
      </c>
      <c r="H978" s="34">
        <f>敌人!G$57</f>
        <v>0</v>
      </c>
      <c r="I978" s="34">
        <f>敌人!H$57</f>
        <v>0</v>
      </c>
      <c r="J978" s="34">
        <f>敌人!I$57</f>
        <v>0</v>
      </c>
      <c r="K978" s="370" t="str">
        <f ca="1">敌人!J$57</f>
        <v>ＨＰ恢复的葡萄（大）</v>
      </c>
      <c r="L978" s="371"/>
      <c r="M978" s="371"/>
      <c r="N978" s="32"/>
      <c r="O978" s="33" t="b">
        <v>0</v>
      </c>
      <c r="P978" s="370" t="str">
        <f ca="1">道具!$C$98</f>
        <v>貌似金矿石的东西</v>
      </c>
      <c r="Q978" s="371"/>
      <c r="R978" s="371"/>
      <c r="S978" s="32"/>
      <c r="T978" s="33" t="b">
        <v>0</v>
      </c>
      <c r="U978" s="372" t="str">
        <f ca="1">道具!$C$99</f>
        <v>金矿石般的东西</v>
      </c>
      <c r="V978" s="371"/>
      <c r="W978" s="32"/>
      <c r="X978" s="32"/>
      <c r="Y978" s="32"/>
      <c r="Z978" s="32"/>
      <c r="AA978" s="32"/>
    </row>
    <row r="979" spans="1:27" ht="12.75" x14ac:dyDescent="0.2">
      <c r="A979" s="32"/>
      <c r="B979" s="33" t="b">
        <v>0</v>
      </c>
      <c r="C979" s="370" t="str">
        <f ca="1">敌人!C$58</f>
        <v>悬崖鸟人 V</v>
      </c>
      <c r="D979" s="371"/>
      <c r="E979" s="34">
        <f>敌人!D$58</f>
        <v>3</v>
      </c>
      <c r="F979" s="34">
        <f>敌人!E$58</f>
        <v>0</v>
      </c>
      <c r="G979" s="34">
        <f>敌人!F$58</f>
        <v>0</v>
      </c>
      <c r="H979" s="34">
        <f>敌人!G$58</f>
        <v>0</v>
      </c>
      <c r="I979" s="34">
        <f>敌人!H$58</f>
        <v>0</v>
      </c>
      <c r="J979" s="34">
        <f>敌人!I$58</f>
        <v>0</v>
      </c>
      <c r="K979" s="370" t="str">
        <f ca="1">敌人!J$58</f>
        <v>睡眠花之叶</v>
      </c>
      <c r="L979" s="371"/>
      <c r="M979" s="371"/>
      <c r="N979" s="32"/>
      <c r="O979" s="33" t="b">
        <v>0</v>
      </c>
      <c r="P979" s="370" t="str">
        <f ca="1">道具!$C$40</f>
        <v>风之精灵石（大）</v>
      </c>
      <c r="Q979" s="371"/>
      <c r="R979" s="371"/>
      <c r="S979" s="32"/>
      <c r="T979" s="33" t="b">
        <v>0</v>
      </c>
      <c r="U979" s="372" t="str">
        <f ca="1">道具!$C$12</f>
        <v>ＨＰ／ＳＰ恢复的果酱</v>
      </c>
      <c r="V979" s="371"/>
      <c r="W979" s="32"/>
      <c r="X979" s="32"/>
      <c r="Y979" s="32"/>
      <c r="Z979" s="32"/>
      <c r="AA979" s="32"/>
    </row>
    <row r="980" spans="1:27" ht="12.75" x14ac:dyDescent="0.2">
      <c r="A980" s="32"/>
      <c r="B980" s="33" t="b">
        <v>0</v>
      </c>
      <c r="C980" s="370" t="str">
        <f ca="1">敌人!C$59&amp;" (20+)"</f>
        <v>悬崖鸟人 VI (20+)</v>
      </c>
      <c r="D980" s="371"/>
      <c r="E980" s="34">
        <f>敌人!D$59</f>
        <v>1</v>
      </c>
      <c r="F980" s="34">
        <f>敌人!E$59</f>
        <v>0</v>
      </c>
      <c r="G980" s="34">
        <f>敌人!F$59</f>
        <v>0</v>
      </c>
      <c r="H980" s="34">
        <f>敌人!G$59</f>
        <v>0</v>
      </c>
      <c r="I980" s="34">
        <f>敌人!H$59</f>
        <v>0</v>
      </c>
      <c r="J980" s="34">
        <f>敌人!I$59</f>
        <v>0</v>
      </c>
      <c r="K980" s="370" t="str">
        <f ca="1">敌人!J$59</f>
        <v>ＳＰ恢复的李子</v>
      </c>
      <c r="L980" s="371"/>
      <c r="M980" s="371"/>
      <c r="N980" s="32"/>
      <c r="O980" s="33" t="b">
        <v>0</v>
      </c>
      <c r="P980" s="370" t="str">
        <f ca="1">道具!$C$5</f>
        <v>ＨＰ全体恢复的葡萄</v>
      </c>
      <c r="Q980" s="371"/>
      <c r="R980" s="371"/>
      <c r="S980" s="32"/>
      <c r="T980" s="33" t="b">
        <v>0</v>
      </c>
      <c r="U980" s="372" t="str">
        <f ca="1">道具!$C$16</f>
        <v>复活的橄榄（大）</v>
      </c>
      <c r="V980" s="371"/>
      <c r="W980" s="32"/>
      <c r="X980" s="32"/>
      <c r="Y980" s="32"/>
      <c r="Z980" s="32"/>
      <c r="AA980" s="32"/>
    </row>
    <row r="981" spans="1:27" ht="12.75" x14ac:dyDescent="0.2">
      <c r="A981" s="32"/>
      <c r="B981" s="33" t="b">
        <v>0</v>
      </c>
      <c r="C981" s="370" t="str">
        <f ca="1">敌人!C$60&amp;" (25+)"</f>
        <v>悬崖大鸟人 I (25+)</v>
      </c>
      <c r="D981" s="371"/>
      <c r="E981" s="34">
        <f>敌人!D$60</f>
        <v>2</v>
      </c>
      <c r="F981" s="34">
        <f>敌人!E$60</f>
        <v>0</v>
      </c>
      <c r="G981" s="34">
        <f>敌人!F$60</f>
        <v>0</v>
      </c>
      <c r="H981" s="34">
        <f>敌人!G$60</f>
        <v>0</v>
      </c>
      <c r="I981" s="34">
        <f>敌人!H$60</f>
        <v>0</v>
      </c>
      <c r="J981" s="34">
        <f>敌人!I$60</f>
        <v>0</v>
      </c>
      <c r="K981" s="370" t="str">
        <f ca="1">敌人!J$60</f>
        <v>ＳＰ恢复的李子（大）</v>
      </c>
      <c r="L981" s="371"/>
      <c r="M981" s="371"/>
      <c r="N981" s="32"/>
      <c r="O981" s="33" t="b">
        <v>0</v>
      </c>
      <c r="P981" s="370" t="str">
        <f ca="1">道具!$C$23</f>
        <v>恐怖治疗药草</v>
      </c>
      <c r="Q981" s="371"/>
      <c r="R981" s="371"/>
      <c r="S981" s="32"/>
      <c r="T981" s="33" t="b">
        <v>0</v>
      </c>
      <c r="U981" s="372" t="str">
        <f ca="1">道具!$C$100</f>
        <v>看起来像金矿石的东西</v>
      </c>
      <c r="V981" s="371"/>
      <c r="W981" s="32"/>
      <c r="X981" s="32"/>
      <c r="Y981" s="32"/>
      <c r="Z981" s="32"/>
      <c r="AA981" s="32"/>
    </row>
    <row r="982" spans="1:27" ht="12.75" x14ac:dyDescent="0.2">
      <c r="A982" s="32"/>
      <c r="B982" s="33" t="b">
        <v>0</v>
      </c>
      <c r="C982" s="370" t="str">
        <f ca="1">敌人!C$208&amp;" (20-)"</f>
        <v>洛里斯 (20-)</v>
      </c>
      <c r="D982" s="371"/>
      <c r="E982" s="34">
        <f>敌人!D$208</f>
        <v>1</v>
      </c>
      <c r="F982" s="34">
        <f>敌人!E$208</f>
        <v>0</v>
      </c>
      <c r="G982" s="34">
        <f>敌人!F$208</f>
        <v>0</v>
      </c>
      <c r="H982" s="34">
        <f>敌人!G$208</f>
        <v>0</v>
      </c>
      <c r="I982" s="34">
        <f>敌人!H$208</f>
        <v>0</v>
      </c>
      <c r="J982" s="34">
        <f>敌人!I$208</f>
        <v>0</v>
      </c>
      <c r="K982" s="370" t="str">
        <f ca="1">敌人!J$208</f>
        <v>混乱多之叶</v>
      </c>
      <c r="L982" s="371"/>
      <c r="M982" s="371"/>
      <c r="N982" s="32"/>
      <c r="O982" s="33" t="b">
        <v>0</v>
      </c>
      <c r="P982" s="370" t="str">
        <f ca="1">道具!$C$100</f>
        <v>看起来像金矿石的东西</v>
      </c>
      <c r="Q982" s="371"/>
      <c r="R982" s="371"/>
      <c r="S982" s="32"/>
      <c r="T982" s="32"/>
      <c r="U982" s="376"/>
      <c r="V982" s="371"/>
      <c r="W982" s="32"/>
      <c r="X982" s="32"/>
      <c r="Y982" s="32"/>
      <c r="Z982" s="32"/>
      <c r="AA982" s="32"/>
    </row>
    <row r="983" spans="1:27" ht="12.75" x14ac:dyDescent="0.2">
      <c r="A983" s="32"/>
      <c r="B983" s="33" t="b">
        <v>0</v>
      </c>
      <c r="C983" s="370" t="str">
        <f ca="1">敌人!C$209&amp;" (25+)"</f>
        <v>长耳洛里斯 (25+)</v>
      </c>
      <c r="D983" s="371"/>
      <c r="E983" s="34">
        <f>敌人!D$209</f>
        <v>2</v>
      </c>
      <c r="F983" s="34">
        <f>敌人!E$209</f>
        <v>0</v>
      </c>
      <c r="G983" s="34">
        <f>敌人!F$209</f>
        <v>0</v>
      </c>
      <c r="H983" s="34">
        <f>敌人!G$209</f>
        <v>0</v>
      </c>
      <c r="I983" s="34">
        <f>敌人!H$209</f>
        <v>0</v>
      </c>
      <c r="J983" s="34">
        <f>敌人!I$209</f>
        <v>0</v>
      </c>
      <c r="K983" s="370" t="str">
        <f ca="1">敌人!J$209</f>
        <v>混乱多之叶</v>
      </c>
      <c r="L983" s="371"/>
      <c r="M983" s="371"/>
      <c r="N983" s="32"/>
      <c r="O983" s="373" t="str">
        <f ca="1">语言!A$466&amp;" (3 "&amp;语言!$A$19&amp;")"</f>
        <v>南库欧利克雷斯特崖道 (3 宝箱)</v>
      </c>
      <c r="P983" s="371"/>
      <c r="Q983" s="371"/>
      <c r="R983" s="371"/>
      <c r="S983" s="32"/>
      <c r="T983" s="32"/>
      <c r="U983" s="376"/>
      <c r="V983" s="371"/>
      <c r="W983" s="32"/>
      <c r="X983" s="32"/>
      <c r="Y983" s="32"/>
      <c r="Z983" s="32"/>
      <c r="AA983" s="32"/>
    </row>
    <row r="984" spans="1:27" ht="12.75" x14ac:dyDescent="0.2">
      <c r="A984" s="32"/>
      <c r="B984" s="33" t="b">
        <v>0</v>
      </c>
      <c r="C984" s="370" t="str">
        <f ca="1">敌人!C$11</f>
        <v>盔甲蜥蜴</v>
      </c>
      <c r="D984" s="371"/>
      <c r="E984" s="34">
        <f>敌人!D$11</f>
        <v>4</v>
      </c>
      <c r="F984" s="34">
        <f>敌人!E$11</f>
        <v>0</v>
      </c>
      <c r="G984" s="34">
        <f>敌人!F$11</f>
        <v>0</v>
      </c>
      <c r="H984" s="34">
        <f>敌人!G$11</f>
        <v>0</v>
      </c>
      <c r="I984" s="34">
        <f>敌人!H$11</f>
        <v>0</v>
      </c>
      <c r="J984" s="34">
        <f>敌人!I$11</f>
        <v>0</v>
      </c>
      <c r="K984" s="370" t="str">
        <f ca="1">敌人!J$11</f>
        <v>睡眠花之叶</v>
      </c>
      <c r="L984" s="371"/>
      <c r="M984" s="371"/>
      <c r="N984" s="32"/>
      <c r="O984" s="33" t="b">
        <v>0</v>
      </c>
      <c r="P984" s="370" t="str">
        <f ca="1">道具!$C$23</f>
        <v>恐怖治疗药草</v>
      </c>
      <c r="Q984" s="371"/>
      <c r="R984" s="371"/>
      <c r="S984" s="32"/>
      <c r="T984" s="32"/>
      <c r="U984" s="376"/>
      <c r="V984" s="371"/>
      <c r="W984" s="32"/>
      <c r="X984" s="32"/>
      <c r="Y984" s="32"/>
      <c r="Z984" s="32"/>
      <c r="AA984" s="32"/>
    </row>
    <row r="985" spans="1:27" ht="12.75" x14ac:dyDescent="0.2">
      <c r="A985" s="32"/>
      <c r="B985" s="33" t="b">
        <v>0</v>
      </c>
      <c r="C985" s="370" t="str">
        <f ca="1">敌人!C$344</f>
        <v>双手蛋</v>
      </c>
      <c r="D985" s="371"/>
      <c r="E985" s="34">
        <f>敌人!D$344</f>
        <v>3</v>
      </c>
      <c r="F985" s="34">
        <f>敌人!E$344</f>
        <v>0</v>
      </c>
      <c r="G985" s="34">
        <f>敌人!F$344</f>
        <v>0</v>
      </c>
      <c r="H985" s="34">
        <f>敌人!G$344</f>
        <v>0</v>
      </c>
      <c r="I985" s="34">
        <f>敌人!H$344</f>
        <v>0</v>
      </c>
      <c r="J985" s="34">
        <f>敌人!I$344</f>
        <v>0</v>
      </c>
      <c r="K985" s="370" t="str">
        <f ca="1">敌人!J$344</f>
        <v>混乱多之叶</v>
      </c>
      <c r="L985" s="371"/>
      <c r="M985" s="371"/>
      <c r="N985" s="32"/>
      <c r="O985" s="33" t="b">
        <v>0</v>
      </c>
      <c r="P985" s="370" t="str">
        <f ca="1">道具!$C$513&amp;" ("&amp;语言!$A$20&amp;")"</f>
        <v>火之避邪符 (上锁宝箱)</v>
      </c>
      <c r="Q985" s="371"/>
      <c r="R985" s="371"/>
      <c r="S985" s="32"/>
      <c r="T985" s="32"/>
      <c r="U985" s="376"/>
      <c r="V985" s="371"/>
      <c r="W985" s="32"/>
      <c r="X985" s="32"/>
      <c r="Y985" s="32"/>
      <c r="Z985" s="32"/>
      <c r="AA985" s="32"/>
    </row>
    <row r="986" spans="1:27" ht="12.75" x14ac:dyDescent="0.2">
      <c r="A986" s="32"/>
      <c r="B986" s="33" t="b">
        <v>0</v>
      </c>
      <c r="C986" s="370" t="str">
        <f ca="1">敌人!C$144</f>
        <v>大秃鹰</v>
      </c>
      <c r="D986" s="371"/>
      <c r="E986" s="34">
        <f>敌人!D$144</f>
        <v>3</v>
      </c>
      <c r="F986" s="34">
        <f>敌人!E$144</f>
        <v>0</v>
      </c>
      <c r="G986" s="34">
        <f>敌人!F$144</f>
        <v>0</v>
      </c>
      <c r="H986" s="34">
        <f>敌人!G$144</f>
        <v>0</v>
      </c>
      <c r="I986" s="34">
        <f>敌人!H$144</f>
        <v>0</v>
      </c>
      <c r="J986" s="34">
        <f>敌人!I$144</f>
        <v>0</v>
      </c>
      <c r="K986" s="370" t="str">
        <f ca="1">敌人!J$144</f>
        <v>橄榄花</v>
      </c>
      <c r="L986" s="371"/>
      <c r="M986" s="371"/>
      <c r="N986" s="32"/>
      <c r="O986" s="33" t="b">
        <v>0</v>
      </c>
      <c r="P986" s="370" t="str">
        <f ca="1">道具!$C$9</f>
        <v>ＢＰ恢复的石榴</v>
      </c>
      <c r="Q986" s="371"/>
      <c r="R986" s="371"/>
      <c r="S986" s="32"/>
      <c r="T986" s="32"/>
      <c r="U986" s="376"/>
      <c r="V986" s="371"/>
      <c r="W986" s="32"/>
      <c r="X986" s="32"/>
      <c r="Y986" s="32"/>
      <c r="Z986" s="32"/>
      <c r="AA986" s="32"/>
    </row>
    <row r="987" spans="1:27" ht="12.75" x14ac:dyDescent="0.2">
      <c r="A987" s="32"/>
      <c r="B987" s="33" t="b">
        <v>0</v>
      </c>
      <c r="C987" s="370" t="str">
        <f ca="1">敌人!C$193&amp;" (25+)"</f>
        <v>大秃鹰异种 (25+)</v>
      </c>
      <c r="D987" s="371"/>
      <c r="E987" s="34">
        <f>敌人!D$193</f>
        <v>4</v>
      </c>
      <c r="F987" s="34">
        <f>敌人!E$193</f>
        <v>0</v>
      </c>
      <c r="G987" s="34">
        <f>敌人!F$193</f>
        <v>0</v>
      </c>
      <c r="H987" s="34">
        <f>敌人!G$193</f>
        <v>0</v>
      </c>
      <c r="I987" s="34">
        <f>敌人!H$193</f>
        <v>0</v>
      </c>
      <c r="J987" s="34">
        <f>敌人!I$193</f>
        <v>0</v>
      </c>
      <c r="K987" s="370" t="str">
        <f ca="1">敌人!J$193</f>
        <v>橄榄花</v>
      </c>
      <c r="L987" s="371"/>
      <c r="M987" s="371"/>
      <c r="N987" s="32"/>
      <c r="O987" s="373" t="str">
        <f ca="1">语言!A$467&amp;" (6 "&amp;语言!$A$19&amp;")"</f>
        <v>腐朽的开采所 (6 宝箱)</v>
      </c>
      <c r="P987" s="371"/>
      <c r="Q987" s="371"/>
      <c r="R987" s="371"/>
      <c r="S987" s="32"/>
      <c r="T987" s="32"/>
      <c r="U987" s="376"/>
      <c r="V987" s="371"/>
      <c r="W987" s="32"/>
      <c r="X987" s="32"/>
      <c r="Y987" s="32"/>
      <c r="Z987" s="32"/>
      <c r="AA987" s="32"/>
    </row>
    <row r="988" spans="1:27" ht="12.75" x14ac:dyDescent="0.2">
      <c r="A988" s="32"/>
      <c r="B988" s="373" t="str">
        <f ca="1">语言!A$467&amp;" ("&amp;语言!$A$12&amp;" 30)"</f>
        <v>腐朽的开采所 (危险度 30)</v>
      </c>
      <c r="C988" s="371"/>
      <c r="D988" s="371"/>
      <c r="E988" s="371"/>
      <c r="F988" s="371"/>
      <c r="G988" s="371"/>
      <c r="H988" s="371"/>
      <c r="I988" s="371"/>
      <c r="J988" s="371"/>
      <c r="K988" s="371"/>
      <c r="L988" s="371"/>
      <c r="M988" s="371"/>
      <c r="N988" s="32"/>
      <c r="O988" s="33" t="b">
        <v>0</v>
      </c>
      <c r="P988" s="370" t="str">
        <f ca="1">道具!$C$42</f>
        <v>风之精灵石（特大）</v>
      </c>
      <c r="Q988" s="371"/>
      <c r="R988" s="371"/>
      <c r="S988" s="32"/>
      <c r="T988" s="32"/>
      <c r="U988" s="376"/>
      <c r="V988" s="371"/>
      <c r="W988" s="32"/>
      <c r="X988" s="32"/>
      <c r="Y988" s="32"/>
      <c r="Z988" s="32"/>
      <c r="AA988" s="32"/>
    </row>
    <row r="989" spans="1:27" ht="12.75" x14ac:dyDescent="0.2">
      <c r="A989" s="32"/>
      <c r="B989" s="33" t="b">
        <v>0</v>
      </c>
      <c r="C989" s="370" t="str">
        <f ca="1">敌人!C$316</f>
        <v>蠢动的菌类</v>
      </c>
      <c r="D989" s="371"/>
      <c r="E989" s="34">
        <f>敌人!D$316</f>
        <v>4</v>
      </c>
      <c r="F989" s="34">
        <f>敌人!E$316</f>
        <v>0</v>
      </c>
      <c r="G989" s="34">
        <f>敌人!F$316</f>
        <v>0</v>
      </c>
      <c r="H989" s="34">
        <f>敌人!G$316</f>
        <v>0</v>
      </c>
      <c r="I989" s="34">
        <f>敌人!H$316</f>
        <v>0</v>
      </c>
      <c r="J989" s="34">
        <f>敌人!I$316</f>
        <v>0</v>
      </c>
      <c r="K989" s="370" t="str">
        <f ca="1">敌人!J$316</f>
        <v>沉默治疗药草</v>
      </c>
      <c r="L989" s="371"/>
      <c r="M989" s="371"/>
      <c r="N989" s="32"/>
      <c r="O989" s="33" t="b">
        <v>0</v>
      </c>
      <c r="P989" s="370" t="str">
        <f ca="1">道具!$C$526&amp;" ("&amp;语言!$A$20&amp;")"</f>
        <v>昏迷耐性石 (上锁宝箱)</v>
      </c>
      <c r="Q989" s="371"/>
      <c r="R989" s="371"/>
      <c r="S989" s="32"/>
      <c r="T989" s="32"/>
      <c r="U989" s="376"/>
      <c r="V989" s="371"/>
      <c r="W989" s="32"/>
      <c r="X989" s="32"/>
      <c r="Y989" s="32"/>
      <c r="Z989" s="32"/>
      <c r="AA989" s="32"/>
    </row>
    <row r="990" spans="1:27" ht="12.75" x14ac:dyDescent="0.2">
      <c r="A990" s="32"/>
      <c r="B990" s="33" t="b">
        <v>0</v>
      </c>
      <c r="C990" s="370" t="str">
        <f ca="1">敌人!C$229</f>
        <v>怪异菇</v>
      </c>
      <c r="D990" s="371"/>
      <c r="E990" s="34">
        <f>敌人!D$229</f>
        <v>2</v>
      </c>
      <c r="F990" s="34">
        <f>敌人!E$229</f>
        <v>0</v>
      </c>
      <c r="G990" s="34">
        <f>敌人!F$229</f>
        <v>0</v>
      </c>
      <c r="H990" s="34">
        <f>敌人!G$229</f>
        <v>0</v>
      </c>
      <c r="I990" s="34">
        <f>敌人!H$229</f>
        <v>0</v>
      </c>
      <c r="J990" s="34">
        <f>敌人!I$229</f>
        <v>0</v>
      </c>
      <c r="K990" s="370" t="str">
        <f ca="1">敌人!J$229</f>
        <v>毒治疗药草</v>
      </c>
      <c r="L990" s="371"/>
      <c r="M990" s="371"/>
      <c r="N990" s="32"/>
      <c r="O990" s="33" t="b">
        <v>0</v>
      </c>
      <c r="P990" s="370" t="s">
        <v>14</v>
      </c>
      <c r="Q990" s="371"/>
      <c r="R990" s="371"/>
      <c r="S990" s="32"/>
      <c r="T990" s="32"/>
      <c r="U990" s="376"/>
      <c r="V990" s="371"/>
      <c r="W990" s="32"/>
      <c r="X990" s="32"/>
      <c r="Y990" s="32"/>
      <c r="Z990" s="32"/>
      <c r="AA990" s="32"/>
    </row>
    <row r="991" spans="1:27" ht="12.75" x14ac:dyDescent="0.2">
      <c r="A991" s="32"/>
      <c r="B991" s="33" t="b">
        <v>0</v>
      </c>
      <c r="C991" s="370" t="str">
        <f ca="1">敌人!C$317</f>
        <v>尸骸粪金龟</v>
      </c>
      <c r="D991" s="371"/>
      <c r="E991" s="34">
        <f>敌人!D$317</f>
        <v>2</v>
      </c>
      <c r="F991" s="34">
        <f>敌人!E$317</f>
        <v>0</v>
      </c>
      <c r="G991" s="34">
        <f>敌人!F$317</f>
        <v>0</v>
      </c>
      <c r="H991" s="34">
        <f>敌人!G$317</f>
        <v>0</v>
      </c>
      <c r="I991" s="34">
        <f>敌人!H$317</f>
        <v>0</v>
      </c>
      <c r="J991" s="34">
        <f>敌人!I$317</f>
        <v>0</v>
      </c>
      <c r="K991" s="370" t="str">
        <f ca="1">敌人!J$317</f>
        <v>复活的橄榄</v>
      </c>
      <c r="L991" s="371"/>
      <c r="M991" s="371"/>
      <c r="N991" s="32"/>
      <c r="O991" s="33" t="b">
        <v>0</v>
      </c>
      <c r="P991" s="370" t="str">
        <f ca="1">道具!$C$7</f>
        <v>ＳＰ恢复的李子（大）</v>
      </c>
      <c r="Q991" s="371"/>
      <c r="R991" s="371"/>
      <c r="S991" s="32"/>
      <c r="T991" s="32"/>
      <c r="U991" s="376"/>
      <c r="V991" s="371"/>
      <c r="W991" s="32"/>
      <c r="X991" s="32"/>
      <c r="Y991" s="32"/>
      <c r="Z991" s="32"/>
      <c r="AA991" s="32"/>
    </row>
    <row r="992" spans="1:27" ht="12.75" x14ac:dyDescent="0.2">
      <c r="A992" s="32"/>
      <c r="B992" s="33" t="b">
        <v>0</v>
      </c>
      <c r="C992" s="370" t="str">
        <f ca="1">敌人!C$34</f>
        <v>战士骷髅异种</v>
      </c>
      <c r="D992" s="371"/>
      <c r="E992" s="34">
        <f>敌人!D$34</f>
        <v>1</v>
      </c>
      <c r="F992" s="34">
        <f>敌人!E$34</f>
        <v>0</v>
      </c>
      <c r="G992" s="34">
        <f>敌人!F$34</f>
        <v>0</v>
      </c>
      <c r="H992" s="34">
        <f>敌人!G$34</f>
        <v>0</v>
      </c>
      <c r="I992" s="34">
        <f>敌人!H$34</f>
        <v>0</v>
      </c>
      <c r="J992" s="34">
        <f>敌人!I$34</f>
        <v>0</v>
      </c>
      <c r="K992" s="370" t="str">
        <f ca="1">敌人!J$34</f>
        <v>复活的橄榄（大）</v>
      </c>
      <c r="L992" s="371"/>
      <c r="M992" s="371"/>
      <c r="N992" s="32"/>
      <c r="O992" s="33" t="b">
        <v>0</v>
      </c>
      <c r="P992" s="370" t="str">
        <f ca="1">道具!$C$17</f>
        <v>复活的橄榄（特大）</v>
      </c>
      <c r="Q992" s="371"/>
      <c r="R992" s="371"/>
      <c r="S992" s="32"/>
      <c r="T992" s="32"/>
      <c r="U992" s="376"/>
      <c r="V992" s="371"/>
      <c r="W992" s="32"/>
      <c r="X992" s="32"/>
      <c r="Y992" s="32"/>
      <c r="Z992" s="32"/>
      <c r="AA992" s="32"/>
    </row>
    <row r="993" spans="1:27" ht="12.75" x14ac:dyDescent="0.2">
      <c r="A993" s="32"/>
      <c r="B993" s="33" t="b">
        <v>0</v>
      </c>
      <c r="C993" s="370" t="str">
        <f ca="1">敌人!C$216</f>
        <v>傀儡骷髅</v>
      </c>
      <c r="D993" s="371"/>
      <c r="E993" s="34">
        <f>敌人!D$216</f>
        <v>1</v>
      </c>
      <c r="F993" s="34">
        <f>敌人!E$216</f>
        <v>0</v>
      </c>
      <c r="G993" s="34">
        <f>敌人!F$216</f>
        <v>0</v>
      </c>
      <c r="H993" s="34">
        <f>敌人!G$216</f>
        <v>0</v>
      </c>
      <c r="I993" s="34">
        <f>敌人!H$216</f>
        <v>0</v>
      </c>
      <c r="J993" s="34">
        <f>敌人!I$216</f>
        <v>0</v>
      </c>
      <c r="K993" s="370" t="str">
        <f ca="1">敌人!J$216</f>
        <v>混乱治疗药草</v>
      </c>
      <c r="L993" s="371"/>
      <c r="M993" s="371"/>
      <c r="N993" s="32"/>
      <c r="O993" s="33" t="b">
        <v>0</v>
      </c>
      <c r="P993" s="370" t="str">
        <f ca="1">道具!$C$151</f>
        <v>暴力之剑</v>
      </c>
      <c r="Q993" s="371"/>
      <c r="R993" s="371"/>
      <c r="S993" s="32"/>
      <c r="T993" s="32"/>
      <c r="U993" s="376"/>
      <c r="V993" s="371"/>
      <c r="W993" s="32"/>
      <c r="X993" s="32"/>
      <c r="Y993" s="32"/>
      <c r="Z993" s="32"/>
      <c r="AA993" s="32"/>
    </row>
    <row r="994" spans="1:27" ht="12.75" x14ac:dyDescent="0.2">
      <c r="A994" s="32"/>
      <c r="B994" s="33" t="b">
        <v>0</v>
      </c>
      <c r="C994" s="370" t="str">
        <f ca="1">敌人!C$239</f>
        <v>傀儡骷髅异种</v>
      </c>
      <c r="D994" s="371"/>
      <c r="E994" s="34">
        <f>敌人!D$239</f>
        <v>2</v>
      </c>
      <c r="F994" s="34">
        <f>敌人!E$239</f>
        <v>0</v>
      </c>
      <c r="G994" s="34">
        <f>敌人!F$239</f>
        <v>0</v>
      </c>
      <c r="H994" s="34">
        <f>敌人!G$239</f>
        <v>0</v>
      </c>
      <c r="I994" s="34">
        <f>敌人!H$239</f>
        <v>0</v>
      </c>
      <c r="J994" s="34">
        <f>敌人!I$239</f>
        <v>0</v>
      </c>
      <c r="K994" s="370" t="str">
        <f ca="1">敌人!J$239</f>
        <v>混乱治疗药草</v>
      </c>
      <c r="L994" s="371"/>
      <c r="M994" s="371"/>
      <c r="N994" s="32"/>
      <c r="O994" s="373" t="str">
        <f ca="1">语言!A$468&amp;" (3 "&amp;语言!$A$19&amp;")"</f>
        <v>通往莫洛克的宅邸的道路 (3 宝箱)</v>
      </c>
      <c r="P994" s="371"/>
      <c r="Q994" s="371"/>
      <c r="R994" s="371"/>
      <c r="S994" s="32"/>
      <c r="T994" s="32"/>
      <c r="U994" s="376"/>
      <c r="V994" s="371"/>
      <c r="W994" s="32"/>
      <c r="X994" s="32"/>
      <c r="Y994" s="32"/>
      <c r="Z994" s="32"/>
      <c r="AA994" s="32"/>
    </row>
    <row r="995" spans="1:27" ht="12.75" x14ac:dyDescent="0.2">
      <c r="A995" s="32"/>
      <c r="B995" s="33" t="b">
        <v>0</v>
      </c>
      <c r="C995" s="370" t="str">
        <f ca="1">敌人!C$104</f>
        <v>魔导飞器（火）</v>
      </c>
      <c r="D995" s="371"/>
      <c r="E995" s="34">
        <f>敌人!D$104</f>
        <v>2</v>
      </c>
      <c r="F995" s="34">
        <f>敌人!E$104</f>
        <v>0</v>
      </c>
      <c r="G995" s="34">
        <f>敌人!F$104</f>
        <v>0</v>
      </c>
      <c r="H995" s="34">
        <f>敌人!G$104</f>
        <v>0</v>
      </c>
      <c r="I995" s="34">
        <f>敌人!H$104</f>
        <v>0</v>
      </c>
      <c r="J995" s="34">
        <f>敌人!I$104</f>
        <v>0</v>
      </c>
      <c r="K995" s="370" t="str">
        <f ca="1">敌人!J$104</f>
        <v>火之精灵石</v>
      </c>
      <c r="L995" s="371"/>
      <c r="M995" s="371"/>
      <c r="N995" s="32"/>
      <c r="O995" s="33" t="b">
        <v>0</v>
      </c>
      <c r="P995" s="370" t="str">
        <f ca="1">道具!$C$4</f>
        <v>ＨＰ恢复的葡萄（大）</v>
      </c>
      <c r="Q995" s="371"/>
      <c r="R995" s="371"/>
      <c r="S995" s="32"/>
      <c r="T995" s="32"/>
      <c r="U995" s="376"/>
      <c r="V995" s="371"/>
      <c r="W995" s="32"/>
      <c r="X995" s="32"/>
      <c r="Y995" s="32"/>
      <c r="Z995" s="32"/>
      <c r="AA995" s="32"/>
    </row>
    <row r="996" spans="1:27" ht="12.75" x14ac:dyDescent="0.2">
      <c r="A996" s="32"/>
      <c r="B996" s="33" t="b">
        <v>0</v>
      </c>
      <c r="C996" s="370" t="str">
        <f ca="1">敌人!C$100</f>
        <v>火元素</v>
      </c>
      <c r="D996" s="371"/>
      <c r="E996" s="34">
        <f>敌人!D$100</f>
        <v>4</v>
      </c>
      <c r="F996" s="34">
        <f>敌人!E$100</f>
        <v>0</v>
      </c>
      <c r="G996" s="34">
        <f>敌人!F$100</f>
        <v>0</v>
      </c>
      <c r="H996" s="34">
        <f>敌人!G$100</f>
        <v>0</v>
      </c>
      <c r="I996" s="34">
        <f>敌人!H$100</f>
        <v>0</v>
      </c>
      <c r="J996" s="34">
        <f>敌人!I$100</f>
        <v>0</v>
      </c>
      <c r="K996" s="370" t="str">
        <f ca="1">敌人!J$100</f>
        <v>火之精灵石（特大）</v>
      </c>
      <c r="L996" s="371"/>
      <c r="M996" s="371"/>
      <c r="N996" s="32"/>
      <c r="O996" s="33" t="b">
        <v>0</v>
      </c>
      <c r="P996" s="370" t="str">
        <f ca="1">道具!$C$6</f>
        <v>ＳＰ恢复的李子</v>
      </c>
      <c r="Q996" s="371"/>
      <c r="R996" s="371"/>
      <c r="S996" s="32"/>
      <c r="T996" s="32"/>
      <c r="U996" s="376"/>
      <c r="V996" s="371"/>
      <c r="W996" s="32"/>
      <c r="X996" s="32"/>
      <c r="Y996" s="32"/>
      <c r="Z996" s="32"/>
      <c r="AA996" s="32"/>
    </row>
    <row r="997" spans="1:27" ht="12.75" x14ac:dyDescent="0.2">
      <c r="A997" s="32"/>
      <c r="B997" s="33" t="b">
        <v>0</v>
      </c>
      <c r="C997" s="370" t="str">
        <f ca="1">敌人!C$72</f>
        <v>魔导飞器（暗）</v>
      </c>
      <c r="D997" s="371"/>
      <c r="E997" s="34">
        <f>敌人!D$72</f>
        <v>3</v>
      </c>
      <c r="F997" s="34">
        <f>敌人!E$72</f>
        <v>0</v>
      </c>
      <c r="G997" s="34">
        <f>敌人!F$72</f>
        <v>0</v>
      </c>
      <c r="H997" s="34">
        <f>敌人!G$72</f>
        <v>0</v>
      </c>
      <c r="I997" s="34">
        <f>敌人!H$72</f>
        <v>0</v>
      </c>
      <c r="J997" s="34">
        <f>敌人!I$72</f>
        <v>0</v>
      </c>
      <c r="K997" s="370" t="str">
        <f ca="1">敌人!J$72</f>
        <v>暗之精灵石</v>
      </c>
      <c r="L997" s="371"/>
      <c r="M997" s="371"/>
      <c r="N997" s="32"/>
      <c r="O997" s="33" t="b">
        <v>0</v>
      </c>
      <c r="P997" s="370" t="s">
        <v>19</v>
      </c>
      <c r="Q997" s="371"/>
      <c r="R997" s="371"/>
      <c r="S997" s="32"/>
      <c r="T997" s="32"/>
      <c r="U997" s="376"/>
      <c r="V997" s="371"/>
      <c r="W997" s="32"/>
      <c r="X997" s="32"/>
      <c r="Y997" s="32"/>
      <c r="Z997" s="32"/>
      <c r="AA997" s="32"/>
    </row>
    <row r="998" spans="1:27" ht="12.75" x14ac:dyDescent="0.2">
      <c r="A998" s="32"/>
      <c r="B998" s="33" t="b">
        <v>0</v>
      </c>
      <c r="C998" s="370" t="str">
        <f ca="1">敌人!C$74</f>
        <v>暗元素</v>
      </c>
      <c r="D998" s="371"/>
      <c r="E998" s="34">
        <f>敌人!D$74</f>
        <v>4</v>
      </c>
      <c r="F998" s="34">
        <f>敌人!E$74</f>
        <v>0</v>
      </c>
      <c r="G998" s="34">
        <f>敌人!F$74</f>
        <v>0</v>
      </c>
      <c r="H998" s="34">
        <f>敌人!G$74</f>
        <v>0</v>
      </c>
      <c r="I998" s="34">
        <f>敌人!H$74</f>
        <v>0</v>
      </c>
      <c r="J998" s="34">
        <f>敌人!I$74</f>
        <v>0</v>
      </c>
      <c r="K998" s="370" t="str">
        <f ca="1">敌人!J$74</f>
        <v>暗之精灵石（特大）</v>
      </c>
      <c r="L998" s="371"/>
      <c r="M998" s="371"/>
      <c r="N998" s="32"/>
      <c r="O998" s="63"/>
      <c r="P998" s="390"/>
      <c r="Q998" s="371"/>
      <c r="R998" s="371"/>
      <c r="S998" s="32"/>
      <c r="T998" s="32"/>
      <c r="U998" s="376"/>
      <c r="V998" s="371"/>
      <c r="W998" s="32"/>
      <c r="X998" s="32"/>
      <c r="Y998" s="32"/>
      <c r="Z998" s="32"/>
      <c r="AA998" s="32"/>
    </row>
    <row r="999" spans="1:27" ht="12.75" x14ac:dyDescent="0.2">
      <c r="A999" s="32"/>
      <c r="B999" s="377" t="str">
        <f ca="1">语言!$A$16</f>
        <v>小Boss</v>
      </c>
      <c r="C999" s="371"/>
      <c r="D999" s="371"/>
      <c r="E999" s="371"/>
      <c r="F999" s="371"/>
      <c r="G999" s="371"/>
      <c r="H999" s="371"/>
      <c r="I999" s="371"/>
      <c r="J999" s="371"/>
      <c r="K999" s="371"/>
      <c r="L999" s="371"/>
      <c r="M999" s="371"/>
      <c r="N999" s="32"/>
      <c r="O999" s="32"/>
      <c r="P999" s="391"/>
      <c r="Q999" s="371"/>
      <c r="R999" s="371"/>
      <c r="S999" s="32"/>
      <c r="T999" s="32"/>
      <c r="U999" s="376"/>
      <c r="V999" s="371"/>
      <c r="W999" s="32"/>
      <c r="X999" s="32"/>
      <c r="Y999" s="32"/>
      <c r="Z999" s="32"/>
      <c r="AA999" s="32"/>
    </row>
    <row r="1000" spans="1:27" ht="12.75" x14ac:dyDescent="0.2">
      <c r="A1000" s="32"/>
      <c r="B1000" s="33" t="b">
        <v>0</v>
      </c>
      <c r="C1000" s="372" t="str">
        <f ca="1">敌人!C$384</f>
        <v>戴特摩尔</v>
      </c>
      <c r="D1000" s="371"/>
      <c r="E1000" s="33">
        <f>敌人!D$384</f>
        <v>10</v>
      </c>
      <c r="F1000" s="33">
        <f>敌人!E$384</f>
        <v>0</v>
      </c>
      <c r="G1000" s="33">
        <f>敌人!F$384</f>
        <v>0</v>
      </c>
      <c r="H1000" s="33">
        <f>敌人!G$384</f>
        <v>0</v>
      </c>
      <c r="I1000" s="33">
        <f>敌人!H$384</f>
        <v>0</v>
      </c>
      <c r="J1000" s="33">
        <f>敌人!I$384</f>
        <v>0</v>
      </c>
      <c r="K1000" s="372" t="str">
        <f ca="1">敌人!J$384</f>
        <v>ＨＰ／ＳＰ／ＢＰ恢复的果酱</v>
      </c>
      <c r="L1000" s="371"/>
      <c r="M1000" s="371"/>
      <c r="N1000" s="32"/>
      <c r="O1000" s="32"/>
      <c r="P1000" s="376"/>
      <c r="Q1000" s="371"/>
      <c r="R1000" s="371"/>
      <c r="S1000" s="32"/>
      <c r="T1000" s="32"/>
      <c r="U1000" s="376"/>
      <c r="V1000" s="371"/>
      <c r="W1000" s="32"/>
      <c r="X1000" s="32"/>
      <c r="Y1000" s="32"/>
      <c r="Z1000" s="32"/>
      <c r="AA1000" s="32"/>
    </row>
    <row r="1001" spans="1:27" ht="12.75" x14ac:dyDescent="0.2">
      <c r="A1001" s="32"/>
      <c r="B1001" s="373" t="str">
        <f ca="1">语言!A$468&amp;" ("&amp;语言!$A$12&amp;" 17)"</f>
        <v>通往莫洛克的宅邸的道路 (危险度 17)</v>
      </c>
      <c r="C1001" s="371"/>
      <c r="D1001" s="371"/>
      <c r="E1001" s="371"/>
      <c r="F1001" s="371"/>
      <c r="G1001" s="371"/>
      <c r="H1001" s="371"/>
      <c r="I1001" s="371"/>
      <c r="J1001" s="371"/>
      <c r="K1001" s="371"/>
      <c r="L1001" s="371"/>
      <c r="M1001" s="371"/>
      <c r="N1001" s="32"/>
      <c r="O1001" s="32"/>
      <c r="P1001" s="376"/>
      <c r="Q1001" s="371"/>
      <c r="R1001" s="371"/>
      <c r="S1001" s="32"/>
      <c r="T1001" s="32"/>
      <c r="U1001" s="376"/>
      <c r="V1001" s="371"/>
      <c r="W1001" s="32"/>
      <c r="X1001" s="32"/>
      <c r="Y1001" s="32"/>
      <c r="Z1001" s="32"/>
      <c r="AA1001" s="32"/>
    </row>
    <row r="1002" spans="1:27" ht="12.75" x14ac:dyDescent="0.2">
      <c r="A1002" s="32"/>
      <c r="B1002" s="33" t="b">
        <v>0</v>
      </c>
      <c r="C1002" s="370" t="str">
        <f ca="1">敌人!C$208</f>
        <v>洛里斯</v>
      </c>
      <c r="D1002" s="371"/>
      <c r="E1002" s="34">
        <f>敌人!D$208</f>
        <v>1</v>
      </c>
      <c r="F1002" s="34">
        <f>敌人!E$208</f>
        <v>0</v>
      </c>
      <c r="G1002" s="34">
        <f>敌人!F$208</f>
        <v>0</v>
      </c>
      <c r="H1002" s="34">
        <f>敌人!G$208</f>
        <v>0</v>
      </c>
      <c r="I1002" s="34">
        <f>敌人!H$208</f>
        <v>0</v>
      </c>
      <c r="J1002" s="34">
        <f>敌人!I$208</f>
        <v>0</v>
      </c>
      <c r="K1002" s="370" t="str">
        <f ca="1">敌人!J$208</f>
        <v>混乱多之叶</v>
      </c>
      <c r="L1002" s="371"/>
      <c r="M1002" s="371"/>
      <c r="N1002" s="32"/>
      <c r="O1002" s="63"/>
      <c r="P1002" s="390"/>
      <c r="Q1002" s="371"/>
      <c r="R1002" s="371"/>
      <c r="S1002" s="32"/>
      <c r="T1002" s="32"/>
      <c r="U1002" s="376"/>
      <c r="V1002" s="371"/>
      <c r="W1002" s="32"/>
      <c r="X1002" s="32"/>
      <c r="Y1002" s="32"/>
      <c r="Z1002" s="32"/>
      <c r="AA1002" s="32"/>
    </row>
    <row r="1003" spans="1:27" ht="12.75" x14ac:dyDescent="0.2">
      <c r="A1003" s="32"/>
      <c r="B1003" s="33" t="b">
        <v>0</v>
      </c>
      <c r="C1003" s="370" t="str">
        <f ca="1">敌人!C$11</f>
        <v>盔甲蜥蜴</v>
      </c>
      <c r="D1003" s="371"/>
      <c r="E1003" s="34">
        <f>敌人!D$11</f>
        <v>4</v>
      </c>
      <c r="F1003" s="34">
        <f>敌人!E$11</f>
        <v>0</v>
      </c>
      <c r="G1003" s="34">
        <f>敌人!F$11</f>
        <v>0</v>
      </c>
      <c r="H1003" s="34">
        <f>敌人!G$11</f>
        <v>0</v>
      </c>
      <c r="I1003" s="34">
        <f>敌人!H$11</f>
        <v>0</v>
      </c>
      <c r="J1003" s="34">
        <f>敌人!I$11</f>
        <v>0</v>
      </c>
      <c r="K1003" s="370" t="str">
        <f ca="1">敌人!J$11</f>
        <v>睡眠花之叶</v>
      </c>
      <c r="L1003" s="371"/>
      <c r="M1003" s="371"/>
      <c r="N1003" s="32"/>
      <c r="O1003" s="63"/>
      <c r="P1003" s="390"/>
      <c r="Q1003" s="371"/>
      <c r="R1003" s="371"/>
      <c r="S1003" s="32"/>
      <c r="T1003" s="32"/>
      <c r="U1003" s="376"/>
      <c r="V1003" s="371"/>
      <c r="W1003" s="32"/>
      <c r="X1003" s="32"/>
      <c r="Y1003" s="32"/>
      <c r="Z1003" s="32"/>
      <c r="AA1003" s="32"/>
    </row>
    <row r="1004" spans="1:27" ht="12.75" x14ac:dyDescent="0.2">
      <c r="A1004" s="32"/>
      <c r="B1004" s="33" t="b">
        <v>0</v>
      </c>
      <c r="C1004" s="370" t="str">
        <f ca="1">敌人!C$344</f>
        <v>双手蛋</v>
      </c>
      <c r="D1004" s="371"/>
      <c r="E1004" s="34">
        <f>敌人!D$344</f>
        <v>3</v>
      </c>
      <c r="F1004" s="34">
        <f>敌人!E$344</f>
        <v>0</v>
      </c>
      <c r="G1004" s="34">
        <f>敌人!F$344</f>
        <v>0</v>
      </c>
      <c r="H1004" s="34">
        <f>敌人!G$344</f>
        <v>0</v>
      </c>
      <c r="I1004" s="34">
        <f>敌人!H$344</f>
        <v>0</v>
      </c>
      <c r="J1004" s="34">
        <f>敌人!I$344</f>
        <v>0</v>
      </c>
      <c r="K1004" s="370" t="str">
        <f ca="1">敌人!J$344</f>
        <v>混乱多之叶</v>
      </c>
      <c r="L1004" s="371"/>
      <c r="M1004" s="371"/>
      <c r="N1004" s="32"/>
      <c r="O1004" s="63"/>
      <c r="P1004" s="390"/>
      <c r="Q1004" s="371"/>
      <c r="R1004" s="371"/>
      <c r="S1004" s="32"/>
      <c r="T1004" s="32"/>
      <c r="U1004" s="376"/>
      <c r="V1004" s="371"/>
      <c r="W1004" s="32"/>
      <c r="X1004" s="32"/>
      <c r="Y1004" s="32"/>
      <c r="Z1004" s="32"/>
      <c r="AA1004" s="32"/>
    </row>
    <row r="1005" spans="1:27" ht="12.75" x14ac:dyDescent="0.2">
      <c r="A1005" s="32"/>
      <c r="B1005" s="33" t="b">
        <v>0</v>
      </c>
      <c r="C1005" s="370" t="str">
        <f ca="1">敌人!C$144</f>
        <v>大秃鹰</v>
      </c>
      <c r="D1005" s="371"/>
      <c r="E1005" s="34">
        <f>敌人!D$144</f>
        <v>3</v>
      </c>
      <c r="F1005" s="34">
        <f>敌人!E$144</f>
        <v>0</v>
      </c>
      <c r="G1005" s="34">
        <f>敌人!F$144</f>
        <v>0</v>
      </c>
      <c r="H1005" s="34">
        <f>敌人!G$144</f>
        <v>0</v>
      </c>
      <c r="I1005" s="34">
        <f>敌人!H$144</f>
        <v>0</v>
      </c>
      <c r="J1005" s="34">
        <f>敌人!I$144</f>
        <v>0</v>
      </c>
      <c r="K1005" s="370" t="str">
        <f ca="1">敌人!J$144</f>
        <v>橄榄花</v>
      </c>
      <c r="L1005" s="371"/>
      <c r="M1005" s="371"/>
      <c r="N1005" s="32"/>
      <c r="O1005" s="32"/>
      <c r="P1005" s="376"/>
      <c r="Q1005" s="371"/>
      <c r="R1005" s="371"/>
      <c r="S1005" s="32"/>
      <c r="T1005" s="32"/>
      <c r="U1005" s="376"/>
      <c r="V1005" s="371"/>
      <c r="W1005" s="32"/>
      <c r="X1005" s="32"/>
      <c r="Y1005" s="32"/>
      <c r="Z1005" s="32"/>
      <c r="AA1005" s="32"/>
    </row>
    <row r="1006" spans="1:27" ht="12.75" x14ac:dyDescent="0.2">
      <c r="A1006" s="32"/>
      <c r="B1006" s="32"/>
      <c r="C1006" s="376"/>
      <c r="D1006" s="371"/>
      <c r="E1006" s="32"/>
      <c r="F1006" s="32"/>
      <c r="G1006" s="32"/>
      <c r="H1006" s="32"/>
      <c r="I1006" s="32"/>
      <c r="J1006" s="32"/>
      <c r="K1006" s="376"/>
      <c r="L1006" s="371"/>
      <c r="M1006" s="371"/>
      <c r="N1006" s="32"/>
      <c r="O1006" s="32"/>
      <c r="P1006" s="376"/>
      <c r="Q1006" s="371"/>
      <c r="R1006" s="371"/>
      <c r="S1006" s="32"/>
      <c r="T1006" s="32"/>
      <c r="U1006" s="32"/>
      <c r="V1006" s="32"/>
      <c r="W1006" s="32"/>
      <c r="X1006" s="32"/>
      <c r="Y1006" s="32"/>
      <c r="Z1006" s="32"/>
      <c r="AA1006" s="32"/>
    </row>
    <row r="1007" spans="1:27" ht="12.75" x14ac:dyDescent="0.2">
      <c r="A1007" s="32"/>
      <c r="B1007" s="374" t="str">
        <f ca="1">语言!$A$37&amp;" "&amp;语言!$A$14&amp;" 2"</f>
        <v>特蕾莎 章节 2</v>
      </c>
      <c r="C1007" s="371"/>
      <c r="D1007" s="371"/>
      <c r="E1007" s="371"/>
      <c r="F1007" s="371"/>
      <c r="G1007" s="371"/>
      <c r="H1007" s="371"/>
      <c r="I1007" s="371"/>
      <c r="J1007" s="371"/>
      <c r="K1007" s="371"/>
      <c r="L1007" s="371"/>
      <c r="M1007" s="371"/>
      <c r="N1007" s="32"/>
      <c r="O1007" s="374" t="str">
        <f ca="1">语言!$A$37&amp;" "&amp;语言!$A$14&amp;" 2"</f>
        <v>特蕾莎 章节 2</v>
      </c>
      <c r="P1007" s="371"/>
      <c r="Q1007" s="371"/>
      <c r="R1007" s="371"/>
      <c r="S1007" s="32"/>
      <c r="T1007" s="32"/>
      <c r="U1007" s="32"/>
      <c r="V1007" s="32"/>
      <c r="W1007" s="32"/>
      <c r="X1007" s="32"/>
      <c r="Y1007" s="32"/>
      <c r="Z1007" s="32"/>
      <c r="AA1007" s="32"/>
    </row>
    <row r="1008" spans="1:27" ht="12.75" x14ac:dyDescent="0.2">
      <c r="A1008" s="32"/>
      <c r="B1008" s="373" t="str">
        <f ca="1">语言!A$469&amp;" ("&amp;语言!$A$12&amp;" 18)"</f>
        <v>莫洛克的宅邸 (危险度 18)</v>
      </c>
      <c r="C1008" s="371"/>
      <c r="D1008" s="371"/>
      <c r="E1008" s="371"/>
      <c r="F1008" s="371"/>
      <c r="G1008" s="371"/>
      <c r="H1008" s="371"/>
      <c r="I1008" s="371"/>
      <c r="J1008" s="371"/>
      <c r="K1008" s="371"/>
      <c r="L1008" s="371"/>
      <c r="M1008" s="371"/>
      <c r="N1008" s="32"/>
      <c r="O1008" s="373" t="str">
        <f ca="1">语言!A$469&amp;" (8 "&amp;语言!$A$19&amp;")"</f>
        <v>莫洛克的宅邸 (8 宝箱)</v>
      </c>
      <c r="P1008" s="371"/>
      <c r="Q1008" s="371"/>
      <c r="R1008" s="371"/>
      <c r="S1008" s="32"/>
      <c r="T1008" s="32"/>
      <c r="U1008" s="376"/>
      <c r="V1008" s="371"/>
      <c r="W1008" s="32"/>
      <c r="X1008" s="32"/>
      <c r="Y1008" s="32"/>
      <c r="Z1008" s="32"/>
      <c r="AA1008" s="32"/>
    </row>
    <row r="1009" spans="1:27" ht="12.75" x14ac:dyDescent="0.2">
      <c r="A1009" s="32"/>
      <c r="B1009" s="33" t="b">
        <v>0</v>
      </c>
      <c r="C1009" s="370" t="str">
        <f ca="1">敌人!C$222</f>
        <v>莫洛克的警备兵 I</v>
      </c>
      <c r="D1009" s="371"/>
      <c r="E1009" s="34">
        <f>敌人!D$222</f>
        <v>3</v>
      </c>
      <c r="F1009" s="34">
        <f>敌人!E$222</f>
        <v>0</v>
      </c>
      <c r="G1009" s="34">
        <f>敌人!F$222</f>
        <v>0</v>
      </c>
      <c r="H1009" s="34">
        <f>敌人!G$222</f>
        <v>0</v>
      </c>
      <c r="I1009" s="34">
        <f>敌人!H$222</f>
        <v>0</v>
      </c>
      <c r="J1009" s="34">
        <f>敌人!I$222</f>
        <v>0</v>
      </c>
      <c r="K1009" s="370" t="str">
        <f ca="1">敌人!J$222</f>
        <v>金矿石般的东西</v>
      </c>
      <c r="L1009" s="371"/>
      <c r="M1009" s="371"/>
      <c r="N1009" s="32"/>
      <c r="O1009" s="33" t="b">
        <v>0</v>
      </c>
      <c r="P1009" s="370" t="str">
        <f ca="1">道具!$C$4</f>
        <v>ＨＰ恢复的葡萄（大）</v>
      </c>
      <c r="Q1009" s="371"/>
      <c r="R1009" s="371"/>
      <c r="S1009" s="32"/>
      <c r="T1009" s="32"/>
      <c r="U1009" s="376"/>
      <c r="V1009" s="371"/>
      <c r="W1009" s="32"/>
      <c r="X1009" s="32"/>
      <c r="Y1009" s="32"/>
      <c r="Z1009" s="32"/>
      <c r="AA1009" s="32"/>
    </row>
    <row r="1010" spans="1:27" ht="12.75" x14ac:dyDescent="0.2">
      <c r="A1010" s="32"/>
      <c r="B1010" s="33" t="b">
        <v>0</v>
      </c>
      <c r="C1010" s="370" t="str">
        <f ca="1">敌人!C$223</f>
        <v>莫洛克的警备兵 II</v>
      </c>
      <c r="D1010" s="371"/>
      <c r="E1010" s="34">
        <f>敌人!D$223</f>
        <v>1</v>
      </c>
      <c r="F1010" s="34">
        <f>敌人!E$223</f>
        <v>0</v>
      </c>
      <c r="G1010" s="34">
        <f>敌人!F$223</f>
        <v>0</v>
      </c>
      <c r="H1010" s="34">
        <f>敌人!G$223</f>
        <v>0</v>
      </c>
      <c r="I1010" s="34">
        <f>敌人!H$223</f>
        <v>0</v>
      </c>
      <c r="J1010" s="34">
        <f>敌人!I$223</f>
        <v>0</v>
      </c>
      <c r="K1010" s="370" t="str">
        <f ca="1">敌人!J$223</f>
        <v>金矿石般的东西</v>
      </c>
      <c r="L1010" s="371"/>
      <c r="M1010" s="371"/>
      <c r="N1010" s="32"/>
      <c r="O1010" s="33" t="b">
        <v>0</v>
      </c>
      <c r="P1010" s="370" t="str">
        <f ca="1">道具!$C$10</f>
        <v>ＢＰ恢复的石榴（大）</v>
      </c>
      <c r="Q1010" s="371"/>
      <c r="R1010" s="371"/>
      <c r="S1010" s="32"/>
      <c r="T1010" s="32"/>
      <c r="U1010" s="376"/>
      <c r="V1010" s="371"/>
      <c r="W1010" s="32"/>
      <c r="X1010" s="32"/>
      <c r="Y1010" s="32"/>
      <c r="Z1010" s="32"/>
      <c r="AA1010" s="32"/>
    </row>
    <row r="1011" spans="1:27" ht="12.75" x14ac:dyDescent="0.2">
      <c r="A1011" s="32"/>
      <c r="B1011" s="33" t="b">
        <v>0</v>
      </c>
      <c r="C1011" s="370" t="str">
        <f ca="1">敌人!C$305</f>
        <v>魔导机</v>
      </c>
      <c r="D1011" s="371"/>
      <c r="E1011" s="34">
        <f>敌人!D$305</f>
        <v>2</v>
      </c>
      <c r="F1011" s="34">
        <f>敌人!E$305</f>
        <v>0</v>
      </c>
      <c r="G1011" s="34">
        <f>敌人!F$305</f>
        <v>0</v>
      </c>
      <c r="H1011" s="34">
        <f>敌人!G$305</f>
        <v>0</v>
      </c>
      <c r="I1011" s="34">
        <f>敌人!H$305</f>
        <v>0</v>
      </c>
      <c r="J1011" s="34">
        <f>敌人!I$305</f>
        <v>0</v>
      </c>
      <c r="K1011" s="370" t="str">
        <f ca="1">敌人!J$305</f>
        <v>复活的橄榄</v>
      </c>
      <c r="L1011" s="371"/>
      <c r="M1011" s="371"/>
      <c r="N1011" s="32"/>
      <c r="O1011" s="33" t="b">
        <v>0</v>
      </c>
      <c r="P1011" s="370" t="str">
        <f ca="1">道具!$C$526</f>
        <v>昏迷耐性石</v>
      </c>
      <c r="Q1011" s="371"/>
      <c r="R1011" s="371"/>
      <c r="S1011" s="32"/>
      <c r="T1011" s="32"/>
      <c r="U1011" s="376"/>
      <c r="V1011" s="371"/>
      <c r="W1011" s="32"/>
      <c r="X1011" s="32"/>
      <c r="Y1011" s="32"/>
      <c r="Z1011" s="32"/>
      <c r="AA1011" s="32"/>
    </row>
    <row r="1012" spans="1:27" ht="12.75" x14ac:dyDescent="0.2">
      <c r="A1012" s="32"/>
      <c r="B1012" s="33" t="b">
        <v>0</v>
      </c>
      <c r="C1012" s="370" t="str">
        <f ca="1">敌人!C$341</f>
        <v>魔导机（雷）</v>
      </c>
      <c r="D1012" s="371"/>
      <c r="E1012" s="34">
        <f>敌人!D$341</f>
        <v>1</v>
      </c>
      <c r="F1012" s="34">
        <f>敌人!E$341</f>
        <v>0</v>
      </c>
      <c r="G1012" s="34">
        <f>敌人!F$341</f>
        <v>0</v>
      </c>
      <c r="H1012" s="34">
        <f>敌人!G$341</f>
        <v>0</v>
      </c>
      <c r="I1012" s="34">
        <f>敌人!H$341</f>
        <v>0</v>
      </c>
      <c r="J1012" s="34">
        <f>敌人!I$341</f>
        <v>0</v>
      </c>
      <c r="K1012" s="370" t="str">
        <f ca="1">敌人!J$341</f>
        <v>雷之精灵石</v>
      </c>
      <c r="L1012" s="371"/>
      <c r="M1012" s="371"/>
      <c r="N1012" s="32"/>
      <c r="O1012" s="33" t="b">
        <v>0</v>
      </c>
      <c r="P1012" s="370" t="s">
        <v>37</v>
      </c>
      <c r="Q1012" s="371"/>
      <c r="R1012" s="371"/>
      <c r="S1012" s="32"/>
      <c r="T1012" s="32"/>
      <c r="U1012" s="376"/>
      <c r="V1012" s="371"/>
      <c r="W1012" s="32"/>
      <c r="X1012" s="32"/>
      <c r="Y1012" s="32"/>
      <c r="Z1012" s="32"/>
      <c r="AA1012" s="32"/>
    </row>
    <row r="1013" spans="1:27" ht="12.75" x14ac:dyDescent="0.2">
      <c r="A1013" s="32"/>
      <c r="B1013" s="33" t="b">
        <v>0</v>
      </c>
      <c r="C1013" s="370" t="str">
        <f ca="1">敌人!C$348</f>
        <v>凶暴的看门狗</v>
      </c>
      <c r="D1013" s="371"/>
      <c r="E1013" s="34">
        <f>敌人!D$348</f>
        <v>2</v>
      </c>
      <c r="F1013" s="34">
        <f>敌人!E$348</f>
        <v>0</v>
      </c>
      <c r="G1013" s="34">
        <f>敌人!F$348</f>
        <v>0</v>
      </c>
      <c r="H1013" s="34">
        <f>敌人!G$348</f>
        <v>0</v>
      </c>
      <c r="I1013" s="34">
        <f>敌人!H$348</f>
        <v>0</v>
      </c>
      <c r="J1013" s="34">
        <f>敌人!I$348</f>
        <v>0</v>
      </c>
      <c r="K1013" s="370" t="str">
        <f ca="1">敌人!J$348</f>
        <v>混乱多之叶</v>
      </c>
      <c r="L1013" s="371"/>
      <c r="M1013" s="371"/>
      <c r="N1013" s="32"/>
      <c r="O1013" s="33" t="b">
        <v>0</v>
      </c>
      <c r="P1013" s="370" t="str">
        <f ca="1">道具!$C$40</f>
        <v>风之精灵石（大）</v>
      </c>
      <c r="Q1013" s="371"/>
      <c r="R1013" s="371"/>
      <c r="S1013" s="32"/>
      <c r="T1013" s="32"/>
      <c r="U1013" s="376"/>
      <c r="V1013" s="371"/>
      <c r="W1013" s="32"/>
      <c r="X1013" s="32"/>
      <c r="Y1013" s="32"/>
      <c r="Z1013" s="32"/>
      <c r="AA1013" s="32"/>
    </row>
    <row r="1014" spans="1:27" ht="12.75" x14ac:dyDescent="0.2">
      <c r="A1014" s="32"/>
      <c r="B1014" s="33" t="b">
        <v>0</v>
      </c>
      <c r="C1014" s="370" t="str">
        <f ca="1">敌人!C$331</f>
        <v>狂暴游隼</v>
      </c>
      <c r="D1014" s="371"/>
      <c r="E1014" s="34">
        <f>敌人!D$331</f>
        <v>1</v>
      </c>
      <c r="F1014" s="34">
        <f>敌人!E$331</f>
        <v>0</v>
      </c>
      <c r="G1014" s="34">
        <f>敌人!F$331</f>
        <v>0</v>
      </c>
      <c r="H1014" s="34">
        <f>敌人!G$331</f>
        <v>0</v>
      </c>
      <c r="I1014" s="34">
        <f>敌人!H$331</f>
        <v>0</v>
      </c>
      <c r="J1014" s="34">
        <f>敌人!I$331</f>
        <v>0</v>
      </c>
      <c r="K1014" s="370" t="str">
        <f ca="1">敌人!J$331</f>
        <v>石榴树液</v>
      </c>
      <c r="L1014" s="371"/>
      <c r="M1014" s="371"/>
      <c r="N1014" s="32"/>
      <c r="O1014" s="33" t="b">
        <v>0</v>
      </c>
      <c r="P1014" s="370" t="str">
        <f ca="1">道具!$C$12</f>
        <v>ＨＰ／ＳＰ恢复的果酱</v>
      </c>
      <c r="Q1014" s="371"/>
      <c r="R1014" s="371"/>
      <c r="S1014" s="32"/>
      <c r="T1014" s="32"/>
      <c r="U1014" s="376"/>
      <c r="V1014" s="371"/>
      <c r="W1014" s="32"/>
      <c r="X1014" s="32"/>
      <c r="Y1014" s="32"/>
      <c r="Z1014" s="32"/>
      <c r="AA1014" s="32"/>
    </row>
    <row r="1015" spans="1:27" ht="12.75" x14ac:dyDescent="0.2">
      <c r="A1015" s="32"/>
      <c r="B1015" s="377" t="str">
        <f ca="1">语言!$A$15</f>
        <v>Boss</v>
      </c>
      <c r="C1015" s="371"/>
      <c r="D1015" s="371"/>
      <c r="E1015" s="371"/>
      <c r="F1015" s="371"/>
      <c r="G1015" s="371"/>
      <c r="H1015" s="371"/>
      <c r="I1015" s="371"/>
      <c r="J1015" s="371"/>
      <c r="K1015" s="371"/>
      <c r="L1015" s="371"/>
      <c r="M1015" s="371"/>
      <c r="N1015" s="32"/>
      <c r="O1015" s="33" t="b">
        <v>0</v>
      </c>
      <c r="P1015" s="370" t="str">
        <f ca="1">道具!$C$378&amp;" ("&amp;语言!$A$20&amp;")"</f>
        <v>高速头盔 (上锁宝箱)</v>
      </c>
      <c r="Q1015" s="371"/>
      <c r="R1015" s="371"/>
      <c r="S1015" s="32"/>
      <c r="T1015" s="32"/>
      <c r="U1015" s="376"/>
      <c r="V1015" s="371"/>
      <c r="W1015" s="32"/>
      <c r="X1015" s="32"/>
      <c r="Y1015" s="32"/>
      <c r="Z1015" s="32"/>
      <c r="AA1015" s="32"/>
    </row>
    <row r="1016" spans="1:27" ht="12.75" x14ac:dyDescent="0.2">
      <c r="A1016" s="32"/>
      <c r="B1016" s="33" t="b">
        <v>0</v>
      </c>
      <c r="C1016" s="370" t="str">
        <f ca="1">敌人!C$410</f>
        <v>奥玛尔</v>
      </c>
      <c r="D1016" s="371"/>
      <c r="E1016" s="34">
        <f>敌人!D$410</f>
        <v>5</v>
      </c>
      <c r="F1016" s="34">
        <f>敌人!E$410</f>
        <v>0</v>
      </c>
      <c r="G1016" s="34">
        <f>敌人!F$410</f>
        <v>0</v>
      </c>
      <c r="H1016" s="34">
        <f>敌人!G$410</f>
        <v>0</v>
      </c>
      <c r="I1016" s="34">
        <f>敌人!H$410</f>
        <v>0</v>
      </c>
      <c r="J1016" s="34">
        <f>敌人!I$410</f>
        <v>0</v>
      </c>
      <c r="K1016" s="370" t="str">
        <f ca="1">敌人!J$410</f>
        <v>奥玛尔之斧 (can't steal)</v>
      </c>
      <c r="L1016" s="371"/>
      <c r="M1016" s="371"/>
      <c r="N1016" s="32"/>
      <c r="O1016" s="33" t="b">
        <v>0</v>
      </c>
      <c r="P1016" s="370" t="str">
        <f ca="1">道具!$C$16</f>
        <v>复活的橄榄（大）</v>
      </c>
      <c r="Q1016" s="371"/>
      <c r="R1016" s="371"/>
      <c r="S1016" s="32"/>
      <c r="T1016" s="32"/>
      <c r="U1016" s="376"/>
      <c r="V1016" s="371"/>
      <c r="W1016" s="32"/>
      <c r="X1016" s="32"/>
      <c r="Y1016" s="32"/>
      <c r="Z1016" s="32"/>
      <c r="AA1016" s="32"/>
    </row>
    <row r="1017" spans="1:27" ht="12.75" x14ac:dyDescent="0.2">
      <c r="A1017" s="32"/>
      <c r="B1017" s="33" t="b">
        <v>0</v>
      </c>
      <c r="C1017" s="370" t="str">
        <f ca="1">敌人!C$411</f>
        <v>奥玛尔的部下</v>
      </c>
      <c r="D1017" s="371"/>
      <c r="E1017" s="34">
        <f>敌人!D$411</f>
        <v>4</v>
      </c>
      <c r="F1017" s="34">
        <f>敌人!E$411</f>
        <v>0</v>
      </c>
      <c r="G1017" s="34">
        <f>敌人!F$411</f>
        <v>0</v>
      </c>
      <c r="H1017" s="34">
        <f>敌人!G$411</f>
        <v>0</v>
      </c>
      <c r="I1017" s="34">
        <f>敌人!H$411</f>
        <v>0</v>
      </c>
      <c r="J1017" s="34">
        <f>敌人!I$411</f>
        <v>0</v>
      </c>
      <c r="K1017" s="370" t="str">
        <f ca="1">敌人!J$411</f>
        <v>ＨＰ恢复的葡萄（大）</v>
      </c>
      <c r="L1017" s="371"/>
      <c r="M1017" s="371"/>
      <c r="N1017" s="32"/>
      <c r="O1017" s="32"/>
      <c r="P1017" s="391"/>
      <c r="Q1017" s="371"/>
      <c r="R1017" s="371"/>
      <c r="S1017" s="32"/>
      <c r="T1017" s="32"/>
      <c r="U1017" s="376"/>
      <c r="V1017" s="371"/>
      <c r="W1017" s="32"/>
      <c r="X1017" s="32"/>
      <c r="Y1017" s="32"/>
      <c r="Z1017" s="32"/>
      <c r="AA1017" s="32"/>
    </row>
    <row r="1018" spans="1:27" ht="12.75" x14ac:dyDescent="0.2">
      <c r="A1018" s="32"/>
      <c r="B1018" s="32"/>
      <c r="C1018" s="376"/>
      <c r="D1018" s="371"/>
      <c r="E1018" s="32"/>
      <c r="F1018" s="32"/>
      <c r="G1018" s="32"/>
      <c r="H1018" s="32"/>
      <c r="I1018" s="32"/>
      <c r="J1018" s="32"/>
      <c r="K1018" s="376"/>
      <c r="L1018" s="371"/>
      <c r="M1018" s="371"/>
      <c r="N1018" s="32"/>
      <c r="O1018" s="32"/>
      <c r="P1018" s="391"/>
      <c r="Q1018" s="371"/>
      <c r="R1018" s="371"/>
      <c r="S1018" s="32"/>
      <c r="T1018" s="32"/>
      <c r="U1018" s="376"/>
      <c r="V1018" s="371"/>
      <c r="W1018" s="32"/>
      <c r="X1018" s="32"/>
      <c r="Y1018" s="32"/>
      <c r="Z1018" s="32"/>
      <c r="AA1018" s="32"/>
    </row>
    <row r="1019" spans="1:27" ht="12.75" x14ac:dyDescent="0.2">
      <c r="A1019" s="32"/>
      <c r="B1019" s="374" t="str">
        <f ca="1">语言!$A$36&amp;" "&amp;语言!$A$14&amp;" 2"</f>
        <v>赛拉斯 章节 2</v>
      </c>
      <c r="C1019" s="371"/>
      <c r="D1019" s="371"/>
      <c r="E1019" s="371"/>
      <c r="F1019" s="371"/>
      <c r="G1019" s="371"/>
      <c r="H1019" s="371"/>
      <c r="I1019" s="371"/>
      <c r="J1019" s="371"/>
      <c r="K1019" s="371"/>
      <c r="L1019" s="371"/>
      <c r="M1019" s="371"/>
      <c r="N1019" s="32"/>
      <c r="O1019" s="374" t="str">
        <f ca="1">语言!$A$36&amp;" "&amp;语言!$A$14&amp;" 2"</f>
        <v>赛拉斯 章节 2</v>
      </c>
      <c r="P1019" s="371"/>
      <c r="Q1019" s="371"/>
      <c r="R1019" s="371"/>
      <c r="S1019" s="32"/>
      <c r="T1019" s="32"/>
      <c r="U1019" s="376"/>
      <c r="V1019" s="371"/>
      <c r="W1019" s="32"/>
      <c r="X1019" s="32"/>
      <c r="Y1019" s="32"/>
      <c r="Z1019" s="32"/>
      <c r="AA1019" s="32"/>
    </row>
    <row r="1020" spans="1:27" ht="12.75" x14ac:dyDescent="0.2">
      <c r="A1020" s="32"/>
      <c r="B1020" s="373" t="str">
        <f ca="1">语言!A$470&amp;" ("&amp;语言!$A$12&amp;" 24)"</f>
        <v>下水道 (危险度 24)</v>
      </c>
      <c r="C1020" s="371"/>
      <c r="D1020" s="371"/>
      <c r="E1020" s="371"/>
      <c r="F1020" s="371"/>
      <c r="G1020" s="371"/>
      <c r="H1020" s="371"/>
      <c r="I1020" s="371"/>
      <c r="J1020" s="371"/>
      <c r="K1020" s="371"/>
      <c r="L1020" s="371"/>
      <c r="M1020" s="371"/>
      <c r="N1020" s="32"/>
      <c r="O1020" s="373" t="str">
        <f ca="1">语言!A$470&amp;" (7 "&amp;语言!$A$19&amp;")"</f>
        <v>下水道 (7 宝箱)</v>
      </c>
      <c r="P1020" s="371"/>
      <c r="Q1020" s="371"/>
      <c r="R1020" s="371"/>
      <c r="S1020" s="32"/>
      <c r="T1020" s="32"/>
      <c r="U1020" s="376"/>
      <c r="V1020" s="371"/>
      <c r="W1020" s="32"/>
      <c r="X1020" s="32"/>
      <c r="Y1020" s="32"/>
      <c r="Z1020" s="32"/>
      <c r="AA1020" s="32"/>
    </row>
    <row r="1021" spans="1:27" ht="12.75" x14ac:dyDescent="0.2">
      <c r="A1021" s="32"/>
      <c r="B1021" s="33" t="b">
        <v>0</v>
      </c>
      <c r="C1021" s="370" t="str">
        <f ca="1">敌人!C$272</f>
        <v>沙罗曼达</v>
      </c>
      <c r="D1021" s="371"/>
      <c r="E1021" s="34">
        <f>敌人!D$272</f>
        <v>3</v>
      </c>
      <c r="F1021" s="34">
        <f>敌人!E$272</f>
        <v>0</v>
      </c>
      <c r="G1021" s="34">
        <f>敌人!F$272</f>
        <v>0</v>
      </c>
      <c r="H1021" s="34">
        <f>敌人!G$272</f>
        <v>0</v>
      </c>
      <c r="I1021" s="34">
        <f>敌人!H$272</f>
        <v>0</v>
      </c>
      <c r="J1021" s="34">
        <f>敌人!I$272</f>
        <v>0</v>
      </c>
      <c r="K1021" s="370" t="str">
        <f ca="1">敌人!J$272</f>
        <v>橄榄花</v>
      </c>
      <c r="L1021" s="371"/>
      <c r="M1021" s="371"/>
      <c r="N1021" s="32"/>
      <c r="O1021" s="33" t="b">
        <v>0</v>
      </c>
      <c r="P1021" s="370" t="str">
        <f ca="1">道具!$C$8</f>
        <v>ＳＰ全体恢复的李子</v>
      </c>
      <c r="Q1021" s="371"/>
      <c r="R1021" s="371"/>
      <c r="S1021" s="32"/>
      <c r="T1021" s="32"/>
      <c r="U1021" s="376"/>
      <c r="V1021" s="371"/>
      <c r="W1021" s="32"/>
      <c r="X1021" s="32"/>
      <c r="Y1021" s="32"/>
      <c r="Z1021" s="32"/>
      <c r="AA1021" s="32"/>
    </row>
    <row r="1022" spans="1:27" ht="12.75" x14ac:dyDescent="0.2">
      <c r="A1022" s="32"/>
      <c r="B1022" s="33" t="b">
        <v>0</v>
      </c>
      <c r="C1022" s="370" t="str">
        <f ca="1">敌人!C$327</f>
        <v>蛞蝓怪</v>
      </c>
      <c r="D1022" s="371"/>
      <c r="E1022" s="34">
        <f>敌人!D$327</f>
        <v>3</v>
      </c>
      <c r="F1022" s="34">
        <f>敌人!E$327</f>
        <v>0</v>
      </c>
      <c r="G1022" s="34">
        <f>敌人!F$327</f>
        <v>0</v>
      </c>
      <c r="H1022" s="34">
        <f>敌人!G$327</f>
        <v>0</v>
      </c>
      <c r="I1022" s="34">
        <f>敌人!H$327</f>
        <v>0</v>
      </c>
      <c r="J1022" s="34">
        <f>敌人!I$327</f>
        <v>0</v>
      </c>
      <c r="K1022" s="370" t="str">
        <f ca="1">敌人!J$327</f>
        <v>ＢＰ恢复的石榴（大）</v>
      </c>
      <c r="L1022" s="371"/>
      <c r="M1022" s="371"/>
      <c r="N1022" s="32"/>
      <c r="O1022" s="33" t="b">
        <v>0</v>
      </c>
      <c r="P1022" s="370" t="str">
        <f ca="1">道具!$C$154&amp;" ("&amp;语言!$A$20&amp;")"</f>
        <v>狙击军刀 (上锁宝箱)</v>
      </c>
      <c r="Q1022" s="371"/>
      <c r="R1022" s="371"/>
      <c r="S1022" s="32"/>
      <c r="T1022" s="32"/>
      <c r="U1022" s="376"/>
      <c r="V1022" s="371"/>
      <c r="W1022" s="32"/>
      <c r="X1022" s="32"/>
      <c r="Y1022" s="32"/>
      <c r="Z1022" s="32"/>
      <c r="AA1022" s="32"/>
    </row>
    <row r="1023" spans="1:27" ht="12.75" x14ac:dyDescent="0.2">
      <c r="A1023" s="32"/>
      <c r="B1023" s="33" t="b">
        <v>0</v>
      </c>
      <c r="C1023" s="370" t="str">
        <f ca="1">敌人!C$216</f>
        <v>傀儡骷髅</v>
      </c>
      <c r="D1023" s="371"/>
      <c r="E1023" s="34">
        <f>敌人!D$216</f>
        <v>1</v>
      </c>
      <c r="F1023" s="34">
        <f>敌人!E$216</f>
        <v>0</v>
      </c>
      <c r="G1023" s="34">
        <f>敌人!F$216</f>
        <v>0</v>
      </c>
      <c r="H1023" s="34">
        <f>敌人!G$216</f>
        <v>0</v>
      </c>
      <c r="I1023" s="34">
        <f>敌人!H$216</f>
        <v>0</v>
      </c>
      <c r="J1023" s="34">
        <f>敌人!I$216</f>
        <v>0</v>
      </c>
      <c r="K1023" s="370" t="str">
        <f ca="1">敌人!J$216</f>
        <v>混乱治疗药草</v>
      </c>
      <c r="L1023" s="371"/>
      <c r="M1023" s="371"/>
      <c r="N1023" s="32"/>
      <c r="O1023" s="33" t="b">
        <v>0</v>
      </c>
      <c r="P1023" s="370" t="str">
        <f ca="1">道具!$C$31</f>
        <v>火之精灵石（大）</v>
      </c>
      <c r="Q1023" s="371"/>
      <c r="R1023" s="371"/>
      <c r="S1023" s="32"/>
      <c r="T1023" s="32"/>
      <c r="U1023" s="376"/>
      <c r="V1023" s="371"/>
      <c r="W1023" s="32"/>
      <c r="X1023" s="32"/>
      <c r="Y1023" s="32"/>
      <c r="Z1023" s="32"/>
      <c r="AA1023" s="32"/>
    </row>
    <row r="1024" spans="1:27" ht="12.75" x14ac:dyDescent="0.2">
      <c r="A1024" s="32"/>
      <c r="B1024" s="33" t="b">
        <v>0</v>
      </c>
      <c r="C1024" s="370" t="str">
        <f ca="1">敌人!C$239</f>
        <v>傀儡骷髅异种</v>
      </c>
      <c r="D1024" s="371"/>
      <c r="E1024" s="34">
        <f>敌人!D$239</f>
        <v>2</v>
      </c>
      <c r="F1024" s="34">
        <f>敌人!E$239</f>
        <v>0</v>
      </c>
      <c r="G1024" s="34">
        <f>敌人!F$239</f>
        <v>0</v>
      </c>
      <c r="H1024" s="34">
        <f>敌人!G$239</f>
        <v>0</v>
      </c>
      <c r="I1024" s="34">
        <f>敌人!H$239</f>
        <v>0</v>
      </c>
      <c r="J1024" s="34">
        <f>敌人!I$239</f>
        <v>0</v>
      </c>
      <c r="K1024" s="370" t="str">
        <f ca="1">敌人!J$239</f>
        <v>混乱治疗药草</v>
      </c>
      <c r="L1024" s="371"/>
      <c r="M1024" s="371"/>
      <c r="N1024" s="32"/>
      <c r="O1024" s="33" t="b">
        <v>0</v>
      </c>
      <c r="P1024" s="370" t="str">
        <f ca="1">道具!$C$11</f>
        <v>ＢＰ恢复的石榴（特大）</v>
      </c>
      <c r="Q1024" s="371"/>
      <c r="R1024" s="371"/>
      <c r="S1024" s="32"/>
      <c r="T1024" s="32"/>
      <c r="U1024" s="376"/>
      <c r="V1024" s="371"/>
      <c r="W1024" s="32"/>
      <c r="X1024" s="32"/>
      <c r="Y1024" s="32"/>
      <c r="Z1024" s="32"/>
      <c r="AA1024" s="32"/>
    </row>
    <row r="1025" spans="1:27" ht="12.75" x14ac:dyDescent="0.2">
      <c r="A1025" s="32"/>
      <c r="B1025" s="33" t="b">
        <v>0</v>
      </c>
      <c r="C1025" s="370" t="str">
        <f ca="1">敌人!C$307</f>
        <v>黑蝙蝠异种</v>
      </c>
      <c r="D1025" s="371"/>
      <c r="E1025" s="34">
        <f>敌人!D$307</f>
        <v>2</v>
      </c>
      <c r="F1025" s="34">
        <f>敌人!E$307</f>
        <v>0</v>
      </c>
      <c r="G1025" s="34">
        <f>敌人!F$307</f>
        <v>0</v>
      </c>
      <c r="H1025" s="34">
        <f>敌人!G$307</f>
        <v>0</v>
      </c>
      <c r="I1025" s="34">
        <f>敌人!H$307</f>
        <v>0</v>
      </c>
      <c r="J1025" s="34">
        <f>敌人!I$307</f>
        <v>0</v>
      </c>
      <c r="K1025" s="370" t="str">
        <f ca="1">敌人!J$307</f>
        <v>神秘之花</v>
      </c>
      <c r="L1025" s="371"/>
      <c r="M1025" s="371"/>
      <c r="N1025" s="32"/>
      <c r="O1025" s="33" t="b">
        <v>0</v>
      </c>
      <c r="P1025" s="370" t="str">
        <f ca="1">道具!$C$5</f>
        <v>ＨＰ全体恢复的葡萄</v>
      </c>
      <c r="Q1025" s="371"/>
      <c r="R1025" s="371"/>
      <c r="S1025" s="32"/>
      <c r="T1025" s="32"/>
      <c r="U1025" s="376"/>
      <c r="V1025" s="371"/>
      <c r="W1025" s="32"/>
      <c r="X1025" s="32"/>
      <c r="Y1025" s="32"/>
      <c r="Z1025" s="32"/>
      <c r="AA1025" s="32"/>
    </row>
    <row r="1026" spans="1:27" ht="12.75" x14ac:dyDescent="0.2">
      <c r="A1026" s="32"/>
      <c r="B1026" s="33" t="b">
        <v>0</v>
      </c>
      <c r="C1026" s="370" t="str">
        <f ca="1">敌人!C$343</f>
        <v>雷之鬼火</v>
      </c>
      <c r="D1026" s="371"/>
      <c r="E1026" s="34">
        <f>敌人!D$343</f>
        <v>3</v>
      </c>
      <c r="F1026" s="34">
        <f>敌人!E$343</f>
        <v>0</v>
      </c>
      <c r="G1026" s="34">
        <f>敌人!F$343</f>
        <v>0</v>
      </c>
      <c r="H1026" s="34">
        <f>敌人!G$343</f>
        <v>0</v>
      </c>
      <c r="I1026" s="34">
        <f>敌人!H$343</f>
        <v>0</v>
      </c>
      <c r="J1026" s="34">
        <f>敌人!I$343</f>
        <v>0</v>
      </c>
      <c r="K1026" s="370" t="str">
        <f ca="1">敌人!J$343</f>
        <v>雷之精灵石</v>
      </c>
      <c r="L1026" s="371"/>
      <c r="M1026" s="371"/>
      <c r="N1026" s="32"/>
      <c r="O1026" s="33" t="b">
        <v>0</v>
      </c>
      <c r="P1026" s="370" t="str">
        <f ca="1">道具!$C$493</f>
        <v>灵敏戒指</v>
      </c>
      <c r="Q1026" s="371"/>
      <c r="R1026" s="371"/>
      <c r="S1026" s="32"/>
      <c r="T1026" s="32"/>
      <c r="U1026" s="376"/>
      <c r="V1026" s="371"/>
      <c r="W1026" s="32"/>
      <c r="X1026" s="32"/>
      <c r="Y1026" s="32"/>
      <c r="Z1026" s="32"/>
      <c r="AA1026" s="32"/>
    </row>
    <row r="1027" spans="1:27" ht="12.75" x14ac:dyDescent="0.2">
      <c r="A1027" s="32"/>
      <c r="B1027" s="33" t="b">
        <v>0</v>
      </c>
      <c r="C1027" s="370" t="str">
        <f ca="1">敌人!C$368</f>
        <v>风之鬼火</v>
      </c>
      <c r="D1027" s="371"/>
      <c r="E1027" s="34">
        <f>敌人!D$368</f>
        <v>3</v>
      </c>
      <c r="F1027" s="34">
        <f>敌人!E$368</f>
        <v>0</v>
      </c>
      <c r="G1027" s="34">
        <f>敌人!F$368</f>
        <v>0</v>
      </c>
      <c r="H1027" s="34">
        <f>敌人!G$368</f>
        <v>0</v>
      </c>
      <c r="I1027" s="34">
        <f>敌人!H$368</f>
        <v>0</v>
      </c>
      <c r="J1027" s="34">
        <f>敌人!I$368</f>
        <v>0</v>
      </c>
      <c r="K1027" s="370" t="str">
        <f ca="1">敌人!J$368</f>
        <v>风之精灵石</v>
      </c>
      <c r="L1027" s="371"/>
      <c r="M1027" s="371"/>
      <c r="N1027" s="32"/>
      <c r="O1027" s="33" t="b">
        <v>0</v>
      </c>
      <c r="P1027" s="370" t="str">
        <f ca="1">道具!$C$27</f>
        <v>混乱瓶</v>
      </c>
      <c r="Q1027" s="371"/>
      <c r="R1027" s="371"/>
      <c r="S1027" s="32"/>
      <c r="T1027" s="32"/>
      <c r="U1027" s="376"/>
      <c r="V1027" s="371"/>
      <c r="W1027" s="32"/>
      <c r="X1027" s="32"/>
      <c r="Y1027" s="32"/>
      <c r="Z1027" s="32"/>
      <c r="AA1027" s="32"/>
    </row>
    <row r="1028" spans="1:27" ht="12.75" x14ac:dyDescent="0.2">
      <c r="A1028" s="32"/>
      <c r="B1028" s="377" t="str">
        <f ca="1">语言!$A$15</f>
        <v>Boss</v>
      </c>
      <c r="C1028" s="371"/>
      <c r="D1028" s="371"/>
      <c r="E1028" s="371"/>
      <c r="F1028" s="371"/>
      <c r="G1028" s="371"/>
      <c r="H1028" s="371"/>
      <c r="I1028" s="371"/>
      <c r="J1028" s="371"/>
      <c r="K1028" s="371"/>
      <c r="L1028" s="371"/>
      <c r="M1028" s="371"/>
      <c r="N1028" s="32"/>
      <c r="O1028" s="32"/>
      <c r="P1028" s="376"/>
      <c r="Q1028" s="371"/>
      <c r="R1028" s="371"/>
      <c r="S1028" s="32"/>
      <c r="T1028" s="32"/>
      <c r="U1028" s="376"/>
      <c r="V1028" s="371"/>
      <c r="W1028" s="32"/>
      <c r="X1028" s="32"/>
      <c r="Y1028" s="32"/>
      <c r="Z1028" s="32"/>
      <c r="AA1028" s="32"/>
    </row>
    <row r="1029" spans="1:27" ht="12.75" x14ac:dyDescent="0.2">
      <c r="A1029" s="32"/>
      <c r="B1029" s="33" t="b">
        <v>0</v>
      </c>
      <c r="C1029" s="370" t="str">
        <f ca="1">敌人!C$408</f>
        <v>基甸</v>
      </c>
      <c r="D1029" s="371"/>
      <c r="E1029" s="34">
        <f>敌人!D$408</f>
        <v>7</v>
      </c>
      <c r="F1029" s="34">
        <f>敌人!E$408</f>
        <v>0</v>
      </c>
      <c r="G1029" s="34">
        <f>敌人!F$408</f>
        <v>0</v>
      </c>
      <c r="H1029" s="34">
        <f>敌人!G$408</f>
        <v>0</v>
      </c>
      <c r="I1029" s="34">
        <f>敌人!H$408</f>
        <v>0</v>
      </c>
      <c r="J1029" s="34">
        <f>敌人!I$408</f>
        <v>0</v>
      </c>
      <c r="K1029" s="370" t="str">
        <f ca="1">敌人!J$408</f>
        <v>基甸的短剑 (can't steal)</v>
      </c>
      <c r="L1029" s="371"/>
      <c r="M1029" s="371"/>
      <c r="N1029" s="32"/>
      <c r="O1029" s="32"/>
      <c r="P1029" s="376"/>
      <c r="Q1029" s="371"/>
      <c r="R1029" s="371"/>
      <c r="S1029" s="32"/>
      <c r="T1029" s="32"/>
      <c r="U1029" s="376"/>
      <c r="V1029" s="371"/>
      <c r="W1029" s="32"/>
      <c r="X1029" s="32"/>
      <c r="Y1029" s="32"/>
      <c r="Z1029" s="32"/>
      <c r="AA1029" s="32"/>
    </row>
    <row r="1030" spans="1:27" ht="12.75" x14ac:dyDescent="0.2">
      <c r="A1030" s="32"/>
      <c r="B1030" s="33" t="b">
        <v>0</v>
      </c>
      <c r="C1030" s="370" t="str">
        <f ca="1">敌人!C$409</f>
        <v>傀儡骷髅特殊</v>
      </c>
      <c r="D1030" s="371"/>
      <c r="E1030" s="34">
        <f>敌人!D$409</f>
        <v>4</v>
      </c>
      <c r="F1030" s="34">
        <f>敌人!E$409</f>
        <v>0</v>
      </c>
      <c r="G1030" s="34">
        <f>敌人!F$409</f>
        <v>0</v>
      </c>
      <c r="H1030" s="34">
        <f>敌人!G$409</f>
        <v>0</v>
      </c>
      <c r="I1030" s="34">
        <f>敌人!H$409</f>
        <v>0</v>
      </c>
      <c r="J1030" s="34">
        <f>敌人!I$409</f>
        <v>0</v>
      </c>
      <c r="K1030" s="370" t="str">
        <f ca="1">敌人!J$409</f>
        <v>ＢＰ恢复的石榴</v>
      </c>
      <c r="L1030" s="371"/>
      <c r="M1030" s="371"/>
      <c r="N1030" s="32"/>
      <c r="O1030" s="32"/>
      <c r="P1030" s="376"/>
      <c r="Q1030" s="371"/>
      <c r="R1030" s="371"/>
      <c r="S1030" s="32"/>
      <c r="T1030" s="32"/>
      <c r="U1030" s="376"/>
      <c r="V1030" s="371"/>
      <c r="W1030" s="32"/>
      <c r="X1030" s="32"/>
      <c r="Y1030" s="32"/>
      <c r="Z1030" s="32"/>
      <c r="AA1030" s="32"/>
    </row>
    <row r="1031" spans="1:27" ht="12.75" x14ac:dyDescent="0.2">
      <c r="A1031" s="32"/>
      <c r="B1031" s="32"/>
      <c r="C1031" s="376"/>
      <c r="D1031" s="371"/>
      <c r="E1031" s="32"/>
      <c r="F1031" s="32"/>
      <c r="G1031" s="32"/>
      <c r="H1031" s="32"/>
      <c r="I1031" s="32"/>
      <c r="J1031" s="32"/>
      <c r="K1031" s="376"/>
      <c r="L1031" s="371"/>
      <c r="M1031" s="371"/>
      <c r="N1031" s="32"/>
      <c r="O1031" s="32"/>
      <c r="P1031" s="376"/>
      <c r="Q1031" s="371"/>
      <c r="R1031" s="371"/>
      <c r="S1031" s="32"/>
      <c r="T1031" s="32"/>
      <c r="U1031" s="376"/>
      <c r="V1031" s="371"/>
      <c r="W1031" s="32"/>
      <c r="X1031" s="32"/>
      <c r="Y1031" s="32"/>
      <c r="Z1031" s="32"/>
      <c r="AA1031" s="32"/>
    </row>
    <row r="1032" spans="1:27" ht="18" x14ac:dyDescent="0.25">
      <c r="A1032" s="388" t="str">
        <f ca="1">语言!$A$323&amp;" 3"</f>
        <v>Tier 3</v>
      </c>
      <c r="B1032" s="371"/>
      <c r="C1032" s="371"/>
      <c r="D1032" s="371"/>
      <c r="E1032" s="371"/>
      <c r="F1032" s="371"/>
      <c r="G1032" s="371"/>
      <c r="H1032" s="371"/>
      <c r="I1032" s="371"/>
      <c r="J1032" s="371"/>
      <c r="K1032" s="371"/>
      <c r="L1032" s="371"/>
      <c r="M1032" s="371"/>
      <c r="N1032" s="371"/>
      <c r="O1032" s="371"/>
      <c r="P1032" s="371"/>
      <c r="Q1032" s="371"/>
      <c r="R1032" s="371"/>
      <c r="S1032" s="371"/>
      <c r="T1032" s="371"/>
      <c r="U1032" s="371"/>
      <c r="V1032" s="371"/>
      <c r="W1032" s="371"/>
      <c r="X1032" s="371"/>
      <c r="Y1032" s="371"/>
      <c r="Z1032" s="371"/>
      <c r="AA1032" s="371"/>
    </row>
    <row r="1033" spans="1:27" ht="12.75" x14ac:dyDescent="0.2">
      <c r="A1033" s="32"/>
      <c r="B1033" s="33" t="b">
        <v>0</v>
      </c>
      <c r="C1033" s="372" t="str">
        <f ca="1">敌人!C$53</f>
        <v>布尔乔亚凯特林</v>
      </c>
      <c r="D1033" s="371"/>
      <c r="E1033" s="33">
        <f>敌人!D$53</f>
        <v>4</v>
      </c>
      <c r="F1033" s="33">
        <f>敌人!E$53</f>
        <v>0</v>
      </c>
      <c r="G1033" s="33">
        <f>敌人!F$53</f>
        <v>0</v>
      </c>
      <c r="H1033" s="33">
        <f>敌人!G$53</f>
        <v>0</v>
      </c>
      <c r="I1033" s="33">
        <f>敌人!H$53</f>
        <v>0</v>
      </c>
      <c r="J1033" s="33">
        <f>敌人!I$53</f>
        <v>0</v>
      </c>
      <c r="K1033" s="372" t="str">
        <f ca="1">敌人!J$53</f>
        <v>ＨＰ／ＳＰ／ＢＰ恢复的果酱</v>
      </c>
      <c r="L1033" s="371"/>
      <c r="M1033" s="371"/>
      <c r="N1033" s="32"/>
      <c r="O1033" s="373" t="str">
        <f ca="1">语言!A$471&amp;" (4 "&amp;语言!$A$19&amp;")"</f>
        <v>欧亚威尔 (4 宝箱)</v>
      </c>
      <c r="P1033" s="371"/>
      <c r="Q1033" s="371"/>
      <c r="R1033" s="371"/>
      <c r="S1033" s="32"/>
      <c r="T1033" s="373" t="str">
        <f ca="1">语言!A$471</f>
        <v>欧亚威尔</v>
      </c>
      <c r="U1033" s="371"/>
      <c r="V1033" s="371"/>
      <c r="W1033" s="32"/>
      <c r="X1033" s="373" t="str">
        <f ca="1">语言!A$471</f>
        <v>欧亚威尔</v>
      </c>
      <c r="Y1033" s="371"/>
      <c r="Z1033" s="371"/>
      <c r="AA1033" s="32"/>
    </row>
    <row r="1034" spans="1:27" ht="12.75" x14ac:dyDescent="0.2">
      <c r="A1034" s="32"/>
      <c r="B1034" s="373" t="str">
        <f ca="1">语言!A$472&amp;" ("&amp;语言!$A$12&amp;" 45)"</f>
        <v>南欧亚威尔崖道 (危险度 45)</v>
      </c>
      <c r="C1034" s="371"/>
      <c r="D1034" s="371"/>
      <c r="E1034" s="371"/>
      <c r="F1034" s="371"/>
      <c r="G1034" s="371"/>
      <c r="H1034" s="371"/>
      <c r="I1034" s="371"/>
      <c r="J1034" s="371"/>
      <c r="K1034" s="371"/>
      <c r="L1034" s="371"/>
      <c r="M1034" s="371"/>
      <c r="N1034" s="32"/>
      <c r="O1034" s="33" t="b">
        <v>0</v>
      </c>
      <c r="P1034" s="370" t="str">
        <f ca="1">道具!$C$529</f>
        <v>药的素材（扩散）</v>
      </c>
      <c r="Q1034" s="371"/>
      <c r="R1034" s="371"/>
      <c r="S1034" s="32"/>
      <c r="T1034" s="33" t="b">
        <v>0</v>
      </c>
      <c r="U1034" s="372" t="str">
        <f ca="1">道具!$C$7</f>
        <v>ＳＰ恢复的李子（大）</v>
      </c>
      <c r="V1034" s="371"/>
      <c r="W1034" s="32"/>
      <c r="X1034" s="471" t="b">
        <v>0</v>
      </c>
      <c r="Y1034" s="401" t="str">
        <f ca="1">语言!$A$1852&amp;" (NPC)
Items:
"&amp;道具!$C$91&amp;",
"&amp;道具!$C$98</f>
        <v>寻蛋的少女 /
艾蜜莉 (NPC)
Items:
树木果实,
貌似金矿石的东西</v>
      </c>
      <c r="Z1034" s="472" t="str">
        <f ca="1">语言!$A$46&amp;" / "&amp;语言!$A$50&amp;" before completing quest: "&amp;支线!$C$126&amp;". "&amp;道具!$C$91&amp;" &amp; "&amp;道具!$C$98&amp;" are Limited items."</f>
        <v>购买 / 偷取 before completing quest: 托付龙蛋的少女艾蜜莉（３）. 树木果实 &amp; 貌似金矿石的东西 are Limited items.</v>
      </c>
      <c r="AA1034" s="32"/>
    </row>
    <row r="1035" spans="1:27" ht="12.75" x14ac:dyDescent="0.2">
      <c r="A1035" s="32"/>
      <c r="B1035" s="33" t="b">
        <v>0</v>
      </c>
      <c r="C1035" s="370" t="str">
        <f ca="1">敌人!C$60</f>
        <v>悬崖大鸟人 I</v>
      </c>
      <c r="D1035" s="371"/>
      <c r="E1035" s="34">
        <f>敌人!D$60</f>
        <v>2</v>
      </c>
      <c r="F1035" s="34">
        <f>敌人!E$60</f>
        <v>0</v>
      </c>
      <c r="G1035" s="34">
        <f>敌人!F$60</f>
        <v>0</v>
      </c>
      <c r="H1035" s="34">
        <f>敌人!G$60</f>
        <v>0</v>
      </c>
      <c r="I1035" s="34">
        <f>敌人!H$60</f>
        <v>0</v>
      </c>
      <c r="J1035" s="34">
        <f>敌人!I$60</f>
        <v>0</v>
      </c>
      <c r="K1035" s="370" t="str">
        <f ca="1">敌人!J$60</f>
        <v>ＳＰ恢复的李子（大）</v>
      </c>
      <c r="L1035" s="371"/>
      <c r="M1035" s="371"/>
      <c r="N1035" s="32"/>
      <c r="O1035" s="33" t="b">
        <v>0</v>
      </c>
      <c r="P1035" s="389">
        <v>68</v>
      </c>
      <c r="Q1035" s="371"/>
      <c r="R1035" s="371"/>
      <c r="S1035" s="32"/>
      <c r="T1035" s="33" t="b">
        <v>0</v>
      </c>
      <c r="U1035" s="372" t="str">
        <f ca="1">道具!$C$244</f>
        <v>山丘猛击斧</v>
      </c>
      <c r="V1035" s="371"/>
      <c r="W1035" s="32"/>
      <c r="X1035" s="371"/>
      <c r="Y1035" s="371"/>
      <c r="Z1035" s="371"/>
      <c r="AA1035" s="32"/>
    </row>
    <row r="1036" spans="1:27" ht="12.75" x14ac:dyDescent="0.2">
      <c r="A1036" s="32"/>
      <c r="B1036" s="33" t="b">
        <v>0</v>
      </c>
      <c r="C1036" s="370" t="str">
        <f ca="1">敌人!C$61</f>
        <v>悬崖大鸟人 II</v>
      </c>
      <c r="D1036" s="371"/>
      <c r="E1036" s="34">
        <f>敌人!D$61</f>
        <v>1</v>
      </c>
      <c r="F1036" s="34">
        <f>敌人!E$61</f>
        <v>0</v>
      </c>
      <c r="G1036" s="34">
        <f>敌人!F$61</f>
        <v>0</v>
      </c>
      <c r="H1036" s="34">
        <f>敌人!G$61</f>
        <v>0</v>
      </c>
      <c r="I1036" s="34">
        <f>敌人!H$61</f>
        <v>0</v>
      </c>
      <c r="J1036" s="34">
        <f>敌人!I$61</f>
        <v>0</v>
      </c>
      <c r="K1036" s="370" t="str">
        <f ca="1">敌人!J$61</f>
        <v>睡眠花之叶</v>
      </c>
      <c r="L1036" s="371"/>
      <c r="M1036" s="371"/>
      <c r="N1036" s="32"/>
      <c r="O1036" s="33" t="b">
        <v>0</v>
      </c>
      <c r="P1036" s="370" t="str">
        <f ca="1">道具!$C$82</f>
        <v>一段麻绳</v>
      </c>
      <c r="Q1036" s="371"/>
      <c r="R1036" s="371"/>
      <c r="S1036" s="32"/>
      <c r="T1036" s="33" t="b">
        <v>0</v>
      </c>
      <c r="U1036" s="372" t="str">
        <f ca="1">道具!$C$8</f>
        <v>ＳＰ全体恢复的李子</v>
      </c>
      <c r="V1036" s="371"/>
      <c r="W1036" s="32"/>
      <c r="X1036" s="371"/>
      <c r="Y1036" s="371"/>
      <c r="Z1036" s="371"/>
      <c r="AA1036" s="32"/>
    </row>
    <row r="1037" spans="1:27" ht="12.75" x14ac:dyDescent="0.2">
      <c r="A1037" s="32"/>
      <c r="B1037" s="33" t="b">
        <v>0</v>
      </c>
      <c r="C1037" s="370" t="str">
        <f ca="1">敌人!C$62</f>
        <v>悬崖大鸟人 III</v>
      </c>
      <c r="D1037" s="371"/>
      <c r="E1037" s="34">
        <f>敌人!D$62</f>
        <v>4</v>
      </c>
      <c r="F1037" s="34">
        <f>敌人!E$62</f>
        <v>0</v>
      </c>
      <c r="G1037" s="34">
        <f>敌人!F$62</f>
        <v>0</v>
      </c>
      <c r="H1037" s="34">
        <f>敌人!G$62</f>
        <v>0</v>
      </c>
      <c r="I1037" s="34">
        <f>敌人!H$62</f>
        <v>0</v>
      </c>
      <c r="J1037" s="34">
        <f>敌人!I$62</f>
        <v>0</v>
      </c>
      <c r="K1037" s="370" t="str">
        <f ca="1">敌人!J$62</f>
        <v>ＢＰ恢复的石榴（大）</v>
      </c>
      <c r="L1037" s="371"/>
      <c r="M1037" s="371"/>
      <c r="N1037" s="32"/>
      <c r="O1037" s="33" t="b">
        <v>0</v>
      </c>
      <c r="P1037" s="370" t="str">
        <f ca="1">道具!$C$103</f>
        <v>磨损的鞋子</v>
      </c>
      <c r="Q1037" s="371"/>
      <c r="R1037" s="371"/>
      <c r="S1037" s="32"/>
      <c r="T1037" s="33" t="b">
        <v>0</v>
      </c>
      <c r="U1037" s="372" t="str">
        <f ca="1">道具!$C$13</f>
        <v>ＨＰ／ＳＰ／ＢＰ恢复的果酱</v>
      </c>
      <c r="V1037" s="371"/>
      <c r="W1037" s="32"/>
      <c r="X1037" s="371"/>
      <c r="Y1037" s="371"/>
      <c r="Z1037" s="371"/>
      <c r="AA1037" s="32"/>
    </row>
    <row r="1038" spans="1:27" ht="12.75" x14ac:dyDescent="0.2">
      <c r="A1038" s="32"/>
      <c r="B1038" s="33" t="b">
        <v>0</v>
      </c>
      <c r="C1038" s="370" t="str">
        <f ca="1">敌人!C$30</f>
        <v>红猛角犀牛</v>
      </c>
      <c r="D1038" s="371"/>
      <c r="E1038" s="34">
        <f>敌人!D$30</f>
        <v>6</v>
      </c>
      <c r="F1038" s="34">
        <f>敌人!E$30</f>
        <v>0</v>
      </c>
      <c r="G1038" s="34">
        <f>敌人!F$30</f>
        <v>0</v>
      </c>
      <c r="H1038" s="34">
        <f>敌人!G$30</f>
        <v>0</v>
      </c>
      <c r="I1038" s="34">
        <f>敌人!H$30</f>
        <v>0</v>
      </c>
      <c r="J1038" s="34">
        <f>敌人!I$30</f>
        <v>0</v>
      </c>
      <c r="K1038" s="370" t="str">
        <f ca="1">敌人!J$30</f>
        <v>复活的橄榄</v>
      </c>
      <c r="L1038" s="371"/>
      <c r="M1038" s="371"/>
      <c r="N1038" s="32"/>
      <c r="O1038" s="373" t="str">
        <f ca="1">语言!A$472&amp;" (4 "&amp;语言!$A$19&amp;")"</f>
        <v>南欧亚威尔崖道 (4 宝箱)</v>
      </c>
      <c r="P1038" s="371"/>
      <c r="Q1038" s="371"/>
      <c r="R1038" s="371"/>
      <c r="S1038" s="32"/>
      <c r="T1038" s="33" t="b">
        <v>0</v>
      </c>
      <c r="U1038" s="372" t="str">
        <f ca="1">道具!$C$94</f>
        <v>空空的钱包</v>
      </c>
      <c r="V1038" s="371"/>
      <c r="W1038" s="32"/>
      <c r="X1038" s="371"/>
      <c r="Y1038" s="371"/>
      <c r="Z1038" s="371"/>
      <c r="AA1038" s="32"/>
    </row>
    <row r="1039" spans="1:27" ht="12.75" x14ac:dyDescent="0.2">
      <c r="A1039" s="32"/>
      <c r="B1039" s="33" t="b">
        <v>0</v>
      </c>
      <c r="C1039" s="370" t="str">
        <f ca="1">敌人!C$373</f>
        <v>四丈蜘蛛</v>
      </c>
      <c r="D1039" s="371"/>
      <c r="E1039" s="34">
        <f>敌人!D$373</f>
        <v>5</v>
      </c>
      <c r="F1039" s="34">
        <f>敌人!E$373</f>
        <v>0</v>
      </c>
      <c r="G1039" s="34">
        <f>敌人!F$373</f>
        <v>0</v>
      </c>
      <c r="H1039" s="34">
        <f>敌人!G$373</f>
        <v>0</v>
      </c>
      <c r="I1039" s="34">
        <f>敌人!H$373</f>
        <v>0</v>
      </c>
      <c r="J1039" s="34">
        <f>敌人!I$373</f>
        <v>0</v>
      </c>
      <c r="K1039" s="370" t="str">
        <f ca="1">敌人!J$373</f>
        <v>混乱多之叶</v>
      </c>
      <c r="L1039" s="371"/>
      <c r="M1039" s="371"/>
      <c r="N1039" s="32"/>
      <c r="O1039" s="33" t="b">
        <v>0</v>
      </c>
      <c r="P1039" s="370" t="str">
        <f ca="1">道具!$C$16</f>
        <v>复活的橄榄（大）</v>
      </c>
      <c r="Q1039" s="371"/>
      <c r="R1039" s="371"/>
      <c r="S1039" s="32"/>
      <c r="T1039" s="32"/>
      <c r="U1039" s="376"/>
      <c r="V1039" s="371"/>
      <c r="W1039" s="32"/>
      <c r="X1039" s="373" t="str">
        <f ca="1">语言!A$473</f>
        <v>龙咏神殿</v>
      </c>
      <c r="Y1039" s="371"/>
      <c r="Z1039" s="371"/>
      <c r="AA1039" s="32"/>
    </row>
    <row r="1040" spans="1:27" ht="12.75" x14ac:dyDescent="0.2">
      <c r="A1040" s="32"/>
      <c r="B1040" s="33" t="b">
        <v>0</v>
      </c>
      <c r="C1040" s="370" t="str">
        <f ca="1">敌人!C$68</f>
        <v>诡异的幼体</v>
      </c>
      <c r="D1040" s="371"/>
      <c r="E1040" s="34">
        <f>敌人!D$68</f>
        <v>3</v>
      </c>
      <c r="F1040" s="34">
        <f>敌人!E$68</f>
        <v>0</v>
      </c>
      <c r="G1040" s="34">
        <f>敌人!F$68</f>
        <v>0</v>
      </c>
      <c r="H1040" s="34">
        <f>敌人!G$68</f>
        <v>0</v>
      </c>
      <c r="I1040" s="34">
        <f>敌人!H$68</f>
        <v>0</v>
      </c>
      <c r="J1040" s="34">
        <f>敌人!I$68</f>
        <v>0</v>
      </c>
      <c r="K1040" s="370" t="str">
        <f ca="1">敌人!J$68</f>
        <v>ＨＰ恢复的葡萄（大）</v>
      </c>
      <c r="L1040" s="371"/>
      <c r="M1040" s="371"/>
      <c r="N1040" s="32"/>
      <c r="O1040" s="33" t="b">
        <v>0</v>
      </c>
      <c r="P1040" s="370" t="str">
        <f ca="1">道具!$C$31</f>
        <v>火之精灵石（大）</v>
      </c>
      <c r="Q1040" s="371"/>
      <c r="R1040" s="371"/>
      <c r="S1040" s="32"/>
      <c r="T1040" s="32"/>
      <c r="U1040" s="376"/>
      <c r="V1040" s="371"/>
      <c r="W1040" s="32"/>
      <c r="X1040" s="471" t="b">
        <v>0</v>
      </c>
      <c r="Y1040" s="471" t="str">
        <f ca="1">语言!$A$1840&amp;" (NPC)"</f>
        <v>神秘的神官 (NPC)</v>
      </c>
      <c r="Z1040" s="472" t="str">
        <f ca="1">"NPC is available only during quest: "&amp;支线!$C$126&amp;". He doesn't have much interesting on him but he deserves to get stolen."</f>
        <v>NPC is available only during quest: 托付龙蛋的少女艾蜜莉（３）. He doesn't have much interesting on him but he deserves to get stolen.</v>
      </c>
      <c r="AA1040" s="32"/>
    </row>
    <row r="1041" spans="1:27" ht="12.75" x14ac:dyDescent="0.2">
      <c r="A1041" s="32"/>
      <c r="B1041" s="33" t="b">
        <v>0</v>
      </c>
      <c r="C1041" s="370" t="str">
        <f ca="1">敌人!C$137</f>
        <v>大鹫</v>
      </c>
      <c r="D1041" s="371"/>
      <c r="E1041" s="34">
        <f>敌人!D$137</f>
        <v>1</v>
      </c>
      <c r="F1041" s="34">
        <f>敌人!E$137</f>
        <v>0</v>
      </c>
      <c r="G1041" s="34">
        <f>敌人!F$137</f>
        <v>0</v>
      </c>
      <c r="H1041" s="34">
        <f>敌人!G$137</f>
        <v>0</v>
      </c>
      <c r="I1041" s="34">
        <f>敌人!H$137</f>
        <v>0</v>
      </c>
      <c r="J1041" s="34">
        <f>敌人!I$137</f>
        <v>0</v>
      </c>
      <c r="K1041" s="370" t="str">
        <f ca="1">敌人!J$137</f>
        <v>大鸟的羽毛</v>
      </c>
      <c r="L1041" s="371"/>
      <c r="M1041" s="371"/>
      <c r="N1041" s="32"/>
      <c r="O1041" s="33" t="b">
        <v>0</v>
      </c>
      <c r="P1041" s="370" t="str">
        <f ca="1">道具!$C$11</f>
        <v>ＢＰ恢复的石榴（特大）</v>
      </c>
      <c r="Q1041" s="371"/>
      <c r="R1041" s="371"/>
      <c r="S1041" s="32"/>
      <c r="T1041" s="32"/>
      <c r="U1041" s="376"/>
      <c r="V1041" s="371"/>
      <c r="W1041" s="32"/>
      <c r="X1041" s="371"/>
      <c r="Y1041" s="371"/>
      <c r="Z1041" s="371"/>
      <c r="AA1041" s="32"/>
    </row>
    <row r="1042" spans="1:27" ht="12.75" x14ac:dyDescent="0.2">
      <c r="A1042" s="32"/>
      <c r="B1042" s="373" t="str">
        <f ca="1">语言!A$473&amp;" ("&amp;语言!$A$12&amp;" 50)"</f>
        <v>龙咏神殿 (危险度 50)</v>
      </c>
      <c r="C1042" s="371"/>
      <c r="D1042" s="371"/>
      <c r="E1042" s="371"/>
      <c r="F1042" s="371"/>
      <c r="G1042" s="371"/>
      <c r="H1042" s="371"/>
      <c r="I1042" s="371"/>
      <c r="J1042" s="371"/>
      <c r="K1042" s="371"/>
      <c r="L1042" s="371"/>
      <c r="M1042" s="371"/>
      <c r="N1042" s="32"/>
      <c r="O1042" s="33" t="b">
        <v>0</v>
      </c>
      <c r="P1042" s="370" t="str">
        <f ca="1">道具!$C$4</f>
        <v>ＨＰ恢复的葡萄（大）</v>
      </c>
      <c r="Q1042" s="371"/>
      <c r="R1042" s="371"/>
      <c r="S1042" s="32"/>
      <c r="T1042" s="32"/>
      <c r="U1042" s="376"/>
      <c r="V1042" s="371"/>
      <c r="W1042" s="32"/>
      <c r="X1042" s="371"/>
      <c r="Y1042" s="371"/>
      <c r="Z1042" s="371"/>
      <c r="AA1042" s="32"/>
    </row>
    <row r="1043" spans="1:27" ht="12.75" x14ac:dyDescent="0.2">
      <c r="A1043" s="32"/>
      <c r="B1043" s="33" t="b">
        <v>0</v>
      </c>
      <c r="C1043" s="370" t="str">
        <f ca="1">敌人!C$218</f>
        <v>上级盗贼 I</v>
      </c>
      <c r="D1043" s="371"/>
      <c r="E1043" s="34">
        <f>敌人!D$218</f>
        <v>5</v>
      </c>
      <c r="F1043" s="34">
        <f>敌人!E$218</f>
        <v>0</v>
      </c>
      <c r="G1043" s="34">
        <f>敌人!F$218</f>
        <v>0</v>
      </c>
      <c r="H1043" s="34">
        <f>敌人!G$218</f>
        <v>0</v>
      </c>
      <c r="I1043" s="34">
        <f>敌人!H$218</f>
        <v>0</v>
      </c>
      <c r="J1043" s="34">
        <f>敌人!I$218</f>
        <v>0</v>
      </c>
      <c r="K1043" s="370" t="str">
        <f ca="1">敌人!J$218</f>
        <v>钱包</v>
      </c>
      <c r="L1043" s="371"/>
      <c r="M1043" s="371"/>
      <c r="N1043" s="32"/>
      <c r="O1043" s="373" t="str">
        <f ca="1">语言!A$473&amp;" (6 "&amp;语言!$A$19&amp;")"</f>
        <v>龙咏神殿 (6 宝箱)</v>
      </c>
      <c r="P1043" s="371"/>
      <c r="Q1043" s="371"/>
      <c r="R1043" s="371"/>
      <c r="S1043" s="32"/>
      <c r="T1043" s="32"/>
      <c r="U1043" s="376"/>
      <c r="V1043" s="371"/>
      <c r="W1043" s="32"/>
      <c r="X1043" s="32"/>
      <c r="Y1043" s="32"/>
      <c r="Z1043" s="32"/>
      <c r="AA1043" s="32"/>
    </row>
    <row r="1044" spans="1:27" ht="12.75" x14ac:dyDescent="0.2">
      <c r="A1044" s="32"/>
      <c r="B1044" s="33" t="b">
        <v>0</v>
      </c>
      <c r="C1044" s="370" t="str">
        <f ca="1">敌人!C$219</f>
        <v>上级盗贼 II</v>
      </c>
      <c r="D1044" s="371"/>
      <c r="E1044" s="34">
        <f>敌人!D$219</f>
        <v>4</v>
      </c>
      <c r="F1044" s="34">
        <f>敌人!E$219</f>
        <v>0</v>
      </c>
      <c r="G1044" s="34">
        <f>敌人!F$219</f>
        <v>0</v>
      </c>
      <c r="H1044" s="34">
        <f>敌人!G$219</f>
        <v>0</v>
      </c>
      <c r="I1044" s="34">
        <f>敌人!H$219</f>
        <v>0</v>
      </c>
      <c r="J1044" s="34">
        <f>敌人!I$219</f>
        <v>0</v>
      </c>
      <c r="K1044" s="370" t="str">
        <f ca="1">敌人!J$219</f>
        <v>钱包</v>
      </c>
      <c r="L1044" s="371"/>
      <c r="M1044" s="371"/>
      <c r="N1044" s="32"/>
      <c r="O1044" s="33" t="b">
        <v>0</v>
      </c>
      <c r="P1044" s="370" t="str">
        <f ca="1">道具!$C$11</f>
        <v>ＢＰ恢复的石榴（特大）</v>
      </c>
      <c r="Q1044" s="371"/>
      <c r="R1044" s="371"/>
      <c r="S1044" s="32"/>
      <c r="T1044" s="32"/>
      <c r="U1044" s="376"/>
      <c r="V1044" s="371"/>
      <c r="W1044" s="32"/>
      <c r="X1044" s="32"/>
      <c r="Y1044" s="32"/>
      <c r="Z1044" s="32"/>
      <c r="AA1044" s="32"/>
    </row>
    <row r="1045" spans="1:27" ht="12.75" x14ac:dyDescent="0.2">
      <c r="A1045" s="32"/>
      <c r="B1045" s="33" t="b">
        <v>0</v>
      </c>
      <c r="C1045" s="370" t="str">
        <f ca="1">敌人!C$149</f>
        <v>魔导机兵・异型</v>
      </c>
      <c r="D1045" s="371"/>
      <c r="E1045" s="34">
        <f>敌人!D$149</f>
        <v>5</v>
      </c>
      <c r="F1045" s="34">
        <f>敌人!E$149</f>
        <v>0</v>
      </c>
      <c r="G1045" s="34">
        <f>敌人!F$149</f>
        <v>0</v>
      </c>
      <c r="H1045" s="34">
        <f>敌人!G$149</f>
        <v>0</v>
      </c>
      <c r="I1045" s="34">
        <f>敌人!H$149</f>
        <v>0</v>
      </c>
      <c r="J1045" s="34">
        <f>敌人!I$149</f>
        <v>0</v>
      </c>
      <c r="K1045" s="370" t="str">
        <f ca="1">敌人!J$149</f>
        <v>复活的橄榄（大）</v>
      </c>
      <c r="L1045" s="371"/>
      <c r="M1045" s="371"/>
      <c r="N1045" s="32"/>
      <c r="O1045" s="33" t="b">
        <v>0</v>
      </c>
      <c r="P1045" s="370" t="str">
        <f ca="1">道具!$C$356</f>
        <v>水晶头盔</v>
      </c>
      <c r="Q1045" s="371"/>
      <c r="R1045" s="371"/>
      <c r="S1045" s="32"/>
      <c r="T1045" s="32"/>
      <c r="U1045" s="376"/>
      <c r="V1045" s="371"/>
      <c r="W1045" s="32"/>
      <c r="X1045" s="32"/>
      <c r="Y1045" s="32"/>
      <c r="Z1045" s="32"/>
      <c r="AA1045" s="32"/>
    </row>
    <row r="1046" spans="1:27" ht="12.75" x14ac:dyDescent="0.2">
      <c r="A1046" s="32"/>
      <c r="B1046" s="33" t="b">
        <v>0</v>
      </c>
      <c r="C1046" s="370" t="str">
        <f ca="1">敌人!C$256</f>
        <v>古代遗物・兵</v>
      </c>
      <c r="D1046" s="371"/>
      <c r="E1046" s="34">
        <f>敌人!D$256</f>
        <v>9</v>
      </c>
      <c r="F1046" s="34">
        <f>敌人!E$256</f>
        <v>0</v>
      </c>
      <c r="G1046" s="34">
        <f>敌人!F$256</f>
        <v>0</v>
      </c>
      <c r="H1046" s="34">
        <f>敌人!G$256</f>
        <v>0</v>
      </c>
      <c r="I1046" s="34">
        <f>敌人!H$256</f>
        <v>0</v>
      </c>
      <c r="J1046" s="34">
        <f>敌人!I$256</f>
        <v>0</v>
      </c>
      <c r="K1046" s="370" t="str">
        <f ca="1">敌人!J$256</f>
        <v>ＨＰ／ＳＰ／ＢＰ恢复的果酱</v>
      </c>
      <c r="L1046" s="371"/>
      <c r="M1046" s="371"/>
      <c r="N1046" s="32"/>
      <c r="O1046" s="33" t="b">
        <v>0</v>
      </c>
      <c r="P1046" s="370" t="str">
        <f ca="1">道具!$C$276&amp;" ("&amp;语言!$A$20&amp;")"</f>
        <v>弓圣的大弓 (上锁宝箱)</v>
      </c>
      <c r="Q1046" s="371"/>
      <c r="R1046" s="371"/>
      <c r="S1046" s="32"/>
      <c r="T1046" s="32"/>
      <c r="U1046" s="376"/>
      <c r="V1046" s="371"/>
      <c r="W1046" s="32"/>
      <c r="X1046" s="32"/>
      <c r="Y1046" s="32"/>
      <c r="Z1046" s="32"/>
      <c r="AA1046" s="32"/>
    </row>
    <row r="1047" spans="1:27" ht="12.75" x14ac:dyDescent="0.2">
      <c r="A1047" s="32"/>
      <c r="B1047" s="33" t="b">
        <v>0</v>
      </c>
      <c r="C1047" s="370" t="str">
        <f ca="1">敌人!C$101</f>
        <v>魔导机兵（火）・异型</v>
      </c>
      <c r="D1047" s="371"/>
      <c r="E1047" s="34">
        <f>敌人!D$101</f>
        <v>5</v>
      </c>
      <c r="F1047" s="34">
        <f>敌人!E$101</f>
        <v>0</v>
      </c>
      <c r="G1047" s="34">
        <f>敌人!F$101</f>
        <v>0</v>
      </c>
      <c r="H1047" s="34">
        <f>敌人!G$101</f>
        <v>0</v>
      </c>
      <c r="I1047" s="34">
        <f>敌人!H$101</f>
        <v>0</v>
      </c>
      <c r="J1047" s="34">
        <f>敌人!I$101</f>
        <v>0</v>
      </c>
      <c r="K1047" s="370" t="str">
        <f ca="1">敌人!J$101</f>
        <v>火之精灵石（大）</v>
      </c>
      <c r="L1047" s="371"/>
      <c r="M1047" s="371"/>
      <c r="N1047" s="32"/>
      <c r="O1047" s="33" t="b">
        <v>0</v>
      </c>
      <c r="P1047" s="370" t="str">
        <f ca="1">道具!$C$5</f>
        <v>ＨＰ全体恢复的葡萄</v>
      </c>
      <c r="Q1047" s="371"/>
      <c r="R1047" s="371"/>
      <c r="S1047" s="32"/>
      <c r="T1047" s="32"/>
      <c r="U1047" s="376"/>
      <c r="V1047" s="371"/>
      <c r="W1047" s="32"/>
      <c r="X1047" s="32"/>
      <c r="Y1047" s="32"/>
      <c r="Z1047" s="32"/>
      <c r="AA1047" s="32"/>
    </row>
    <row r="1048" spans="1:27" ht="12.75" x14ac:dyDescent="0.2">
      <c r="A1048" s="32"/>
      <c r="B1048" s="33" t="b">
        <v>0</v>
      </c>
      <c r="C1048" s="370" t="str">
        <f ca="1">敌人!C$337</f>
        <v>魔导机兵（雷）・异型</v>
      </c>
      <c r="D1048" s="371"/>
      <c r="E1048" s="34">
        <f>敌人!D$337</f>
        <v>5</v>
      </c>
      <c r="F1048" s="34">
        <f>敌人!E$337</f>
        <v>0</v>
      </c>
      <c r="G1048" s="34">
        <f>敌人!F$337</f>
        <v>0</v>
      </c>
      <c r="H1048" s="34">
        <f>敌人!G$337</f>
        <v>0</v>
      </c>
      <c r="I1048" s="34">
        <f>敌人!H$337</f>
        <v>0</v>
      </c>
      <c r="J1048" s="34">
        <f>敌人!I$337</f>
        <v>0</v>
      </c>
      <c r="K1048" s="370" t="str">
        <f ca="1">敌人!J$337</f>
        <v>雷之精灵石（大）</v>
      </c>
      <c r="L1048" s="371"/>
      <c r="M1048" s="371"/>
      <c r="N1048" s="32"/>
      <c r="O1048" s="33" t="b">
        <v>0</v>
      </c>
      <c r="P1048" s="370" t="str">
        <f ca="1">道具!$C$17</f>
        <v>复活的橄榄（特大）</v>
      </c>
      <c r="Q1048" s="371"/>
      <c r="R1048" s="371"/>
      <c r="S1048" s="32"/>
      <c r="T1048" s="32"/>
      <c r="U1048" s="376"/>
      <c r="V1048" s="371"/>
      <c r="W1048" s="32"/>
      <c r="X1048" s="32"/>
      <c r="Y1048" s="32"/>
      <c r="Z1048" s="32"/>
      <c r="AA1048" s="32"/>
    </row>
    <row r="1049" spans="1:27" ht="12.75" x14ac:dyDescent="0.2">
      <c r="A1049" s="32"/>
      <c r="B1049" s="33" t="b">
        <v>0</v>
      </c>
      <c r="C1049" s="370" t="str">
        <f ca="1">敌人!C$184</f>
        <v>古代遗物（冰兽）・异型</v>
      </c>
      <c r="D1049" s="371"/>
      <c r="E1049" s="34">
        <f>敌人!D$184</f>
        <v>4</v>
      </c>
      <c r="F1049" s="34">
        <f>敌人!E$184</f>
        <v>0</v>
      </c>
      <c r="G1049" s="34">
        <f>敌人!F$184</f>
        <v>0</v>
      </c>
      <c r="H1049" s="34">
        <f>敌人!G$184</f>
        <v>0</v>
      </c>
      <c r="I1049" s="34">
        <f>敌人!H$184</f>
        <v>0</v>
      </c>
      <c r="J1049" s="34">
        <f>敌人!I$184</f>
        <v>0</v>
      </c>
      <c r="K1049" s="370" t="str">
        <f ca="1">敌人!J$184</f>
        <v>冰之精灵石（特大）</v>
      </c>
      <c r="L1049" s="371"/>
      <c r="M1049" s="371"/>
      <c r="N1049" s="32"/>
      <c r="O1049" s="33" t="b">
        <v>0</v>
      </c>
      <c r="P1049" s="370" t="str">
        <f ca="1">道具!$C$526</f>
        <v>昏迷耐性石</v>
      </c>
      <c r="Q1049" s="371"/>
      <c r="R1049" s="371"/>
      <c r="S1049" s="32"/>
      <c r="T1049" s="32"/>
      <c r="U1049" s="376"/>
      <c r="V1049" s="371"/>
      <c r="W1049" s="32"/>
      <c r="X1049" s="32"/>
      <c r="Y1049" s="32"/>
      <c r="Z1049" s="32"/>
      <c r="AA1049" s="32"/>
    </row>
    <row r="1050" spans="1:27" ht="12.75" x14ac:dyDescent="0.2">
      <c r="A1050" s="32"/>
      <c r="B1050" s="33" t="b">
        <v>0</v>
      </c>
      <c r="C1050" s="370" t="str">
        <f ca="1">敌人!C$364</f>
        <v>古代遗物（风兽）・异型</v>
      </c>
      <c r="D1050" s="371"/>
      <c r="E1050" s="34">
        <f>敌人!D$364</f>
        <v>2</v>
      </c>
      <c r="F1050" s="34">
        <f>敌人!E$364</f>
        <v>0</v>
      </c>
      <c r="G1050" s="34">
        <f>敌人!F$364</f>
        <v>0</v>
      </c>
      <c r="H1050" s="34">
        <f>敌人!G$364</f>
        <v>0</v>
      </c>
      <c r="I1050" s="34">
        <f>敌人!H$364</f>
        <v>0</v>
      </c>
      <c r="J1050" s="34">
        <f>敌人!I$364</f>
        <v>0</v>
      </c>
      <c r="K1050" s="370" t="str">
        <f ca="1">敌人!J$364</f>
        <v>风之精灵石（特大）</v>
      </c>
      <c r="L1050" s="371"/>
      <c r="M1050" s="371"/>
      <c r="N1050" s="32"/>
      <c r="O1050" s="32"/>
      <c r="P1050" s="376"/>
      <c r="Q1050" s="371"/>
      <c r="R1050" s="371"/>
      <c r="S1050" s="32"/>
      <c r="T1050" s="32"/>
      <c r="U1050" s="376"/>
      <c r="V1050" s="371"/>
      <c r="W1050" s="32"/>
      <c r="X1050" s="32"/>
      <c r="Y1050" s="32"/>
      <c r="Z1050" s="32"/>
      <c r="AA1050" s="32"/>
    </row>
    <row r="1051" spans="1:27" ht="12.75" x14ac:dyDescent="0.2">
      <c r="A1051" s="32"/>
      <c r="B1051" s="33" t="b">
        <v>0</v>
      </c>
      <c r="C1051" s="370" t="str">
        <f ca="1">敌人!C$203</f>
        <v>古代遗物・光兵</v>
      </c>
      <c r="D1051" s="371"/>
      <c r="E1051" s="34">
        <f>敌人!D$203</f>
        <v>8</v>
      </c>
      <c r="F1051" s="34">
        <f>敌人!E$203</f>
        <v>0</v>
      </c>
      <c r="G1051" s="34">
        <f>敌人!F$203</f>
        <v>0</v>
      </c>
      <c r="H1051" s="34">
        <f>敌人!G$203</f>
        <v>0</v>
      </c>
      <c r="I1051" s="34">
        <f>敌人!H$203</f>
        <v>0</v>
      </c>
      <c r="J1051" s="34">
        <f>敌人!I$203</f>
        <v>0</v>
      </c>
      <c r="K1051" s="370" t="str">
        <f ca="1">敌人!J$203</f>
        <v>ＳＰ全体恢复的李子</v>
      </c>
      <c r="L1051" s="371"/>
      <c r="M1051" s="371"/>
      <c r="N1051" s="32"/>
      <c r="O1051" s="32"/>
      <c r="P1051" s="376"/>
      <c r="Q1051" s="371"/>
      <c r="R1051" s="371"/>
      <c r="S1051" s="32"/>
      <c r="T1051" s="32"/>
      <c r="U1051" s="376"/>
      <c r="V1051" s="371"/>
      <c r="W1051" s="32"/>
      <c r="X1051" s="32"/>
      <c r="Y1051" s="32"/>
      <c r="Z1051" s="32"/>
      <c r="AA1051" s="32"/>
    </row>
    <row r="1052" spans="1:27" ht="12.75" x14ac:dyDescent="0.2">
      <c r="A1052" s="32"/>
      <c r="B1052" s="33" t="b">
        <v>0</v>
      </c>
      <c r="C1052" s="370" t="str">
        <f ca="1">敌人!C$310</f>
        <v>古代遗物・暗兵</v>
      </c>
      <c r="D1052" s="371"/>
      <c r="E1052" s="34">
        <f>敌人!D$310</f>
        <v>9</v>
      </c>
      <c r="F1052" s="34">
        <f>敌人!E$310</f>
        <v>0</v>
      </c>
      <c r="G1052" s="34">
        <f>敌人!F$310</f>
        <v>0</v>
      </c>
      <c r="H1052" s="34">
        <f>敌人!G$310</f>
        <v>0</v>
      </c>
      <c r="I1052" s="34">
        <f>敌人!H$310</f>
        <v>0</v>
      </c>
      <c r="J1052" s="34">
        <f>敌人!I$310</f>
        <v>0</v>
      </c>
      <c r="K1052" s="370" t="str">
        <f ca="1">敌人!J$310</f>
        <v>ＳＰ全体恢复的李子</v>
      </c>
      <c r="L1052" s="371"/>
      <c r="M1052" s="371"/>
      <c r="N1052" s="32"/>
      <c r="O1052" s="32"/>
      <c r="P1052" s="376"/>
      <c r="Q1052" s="371"/>
      <c r="R1052" s="371"/>
      <c r="S1052" s="32"/>
      <c r="T1052" s="32"/>
      <c r="U1052" s="376"/>
      <c r="V1052" s="371"/>
      <c r="W1052" s="32"/>
      <c r="X1052" s="32"/>
      <c r="Y1052" s="32"/>
      <c r="Z1052" s="32"/>
      <c r="AA1052" s="32"/>
    </row>
    <row r="1053" spans="1:27" ht="12.75" x14ac:dyDescent="0.2">
      <c r="A1053" s="32"/>
      <c r="B1053" s="32"/>
      <c r="C1053" s="376"/>
      <c r="D1053" s="371"/>
      <c r="E1053" s="32"/>
      <c r="F1053" s="32"/>
      <c r="G1053" s="32"/>
      <c r="H1053" s="32"/>
      <c r="I1053" s="32"/>
      <c r="J1053" s="32"/>
      <c r="K1053" s="376"/>
      <c r="L1053" s="371"/>
      <c r="M1053" s="371"/>
      <c r="N1053" s="32"/>
      <c r="O1053" s="32"/>
      <c r="P1053" s="391"/>
      <c r="Q1053" s="371"/>
      <c r="R1053" s="371"/>
      <c r="S1053" s="32"/>
      <c r="T1053" s="32"/>
      <c r="U1053" s="376"/>
      <c r="V1053" s="371"/>
      <c r="W1053" s="32"/>
      <c r="X1053" s="32"/>
      <c r="Y1053" s="32"/>
      <c r="Z1053" s="32"/>
      <c r="AA1053" s="32"/>
    </row>
    <row r="1054" spans="1:27" ht="12.75" x14ac:dyDescent="0.2">
      <c r="A1054" s="32"/>
      <c r="B1054" s="374" t="str">
        <f ca="1">语言!$A$40&amp;" "&amp;语言!$A$14&amp;" 4"</f>
        <v>亚芬 章节 4</v>
      </c>
      <c r="C1054" s="371"/>
      <c r="D1054" s="371"/>
      <c r="E1054" s="371"/>
      <c r="F1054" s="371"/>
      <c r="G1054" s="371"/>
      <c r="H1054" s="371"/>
      <c r="I1054" s="371"/>
      <c r="J1054" s="371"/>
      <c r="K1054" s="371"/>
      <c r="L1054" s="371"/>
      <c r="M1054" s="371"/>
      <c r="N1054" s="32"/>
      <c r="O1054" s="374" t="str">
        <f ca="1">语言!$A$40&amp;" "&amp;语言!$A$14&amp;" 4"</f>
        <v>亚芬 章节 4</v>
      </c>
      <c r="P1054" s="371"/>
      <c r="Q1054" s="371"/>
      <c r="R1054" s="371"/>
      <c r="S1054" s="32"/>
      <c r="T1054" s="32"/>
      <c r="U1054" s="376"/>
      <c r="V1054" s="371"/>
      <c r="W1054" s="32"/>
      <c r="X1054" s="32"/>
      <c r="Y1054" s="32"/>
      <c r="Z1054" s="32"/>
      <c r="AA1054" s="32"/>
    </row>
    <row r="1055" spans="1:27" ht="12.75" x14ac:dyDescent="0.2">
      <c r="A1055" s="32"/>
      <c r="B1055" s="373" t="str">
        <f ca="1">语言!A$474&amp;" ("&amp;语言!$A$12&amp;" 45)"</f>
        <v>通往卢贝之森的道路 (危险度 45)</v>
      </c>
      <c r="C1055" s="371"/>
      <c r="D1055" s="371"/>
      <c r="E1055" s="371"/>
      <c r="F1055" s="371"/>
      <c r="G1055" s="371"/>
      <c r="H1055" s="371"/>
      <c r="I1055" s="371"/>
      <c r="J1055" s="371"/>
      <c r="K1055" s="371"/>
      <c r="L1055" s="371"/>
      <c r="M1055" s="371"/>
      <c r="N1055" s="32"/>
      <c r="O1055" s="373" t="str">
        <f ca="1">语言!A$474&amp;" (3 "&amp;语言!$A$19&amp;")"</f>
        <v>通往卢贝之森的道路 (3 宝箱)</v>
      </c>
      <c r="P1055" s="371"/>
      <c r="Q1055" s="371"/>
      <c r="R1055" s="371"/>
      <c r="S1055" s="32"/>
      <c r="T1055" s="32"/>
      <c r="U1055" s="376"/>
      <c r="V1055" s="371"/>
      <c r="W1055" s="32"/>
      <c r="X1055" s="32"/>
      <c r="Y1055" s="32"/>
      <c r="Z1055" s="32"/>
      <c r="AA1055" s="32"/>
    </row>
    <row r="1056" spans="1:27" ht="12.75" x14ac:dyDescent="0.2">
      <c r="A1056" s="32"/>
      <c r="B1056" s="33" t="b">
        <v>0</v>
      </c>
      <c r="C1056" s="370" t="str">
        <f ca="1">敌人!C$30</f>
        <v>红猛角犀牛</v>
      </c>
      <c r="D1056" s="371"/>
      <c r="E1056" s="34">
        <f>敌人!D$30</f>
        <v>6</v>
      </c>
      <c r="F1056" s="34">
        <f>敌人!E$30</f>
        <v>0</v>
      </c>
      <c r="G1056" s="34">
        <f>敌人!F$30</f>
        <v>0</v>
      </c>
      <c r="H1056" s="34">
        <f>敌人!G$30</f>
        <v>0</v>
      </c>
      <c r="I1056" s="34">
        <f>敌人!H$30</f>
        <v>0</v>
      </c>
      <c r="J1056" s="34">
        <f>敌人!I$30</f>
        <v>0</v>
      </c>
      <c r="K1056" s="370" t="str">
        <f ca="1">敌人!J$30</f>
        <v>复活的橄榄</v>
      </c>
      <c r="L1056" s="371"/>
      <c r="M1056" s="371"/>
      <c r="N1056" s="32"/>
      <c r="O1056" s="33" t="b">
        <v>0</v>
      </c>
      <c r="P1056" s="370" t="str">
        <f ca="1">道具!$C$531</f>
        <v>秘药的素材（扩散）</v>
      </c>
      <c r="Q1056" s="371"/>
      <c r="R1056" s="371"/>
      <c r="S1056" s="32"/>
      <c r="T1056" s="32"/>
      <c r="U1056" s="376"/>
      <c r="V1056" s="371"/>
      <c r="W1056" s="32"/>
      <c r="X1056" s="32"/>
      <c r="Y1056" s="32"/>
      <c r="Z1056" s="32"/>
      <c r="AA1056" s="32"/>
    </row>
    <row r="1057" spans="1:27" ht="12.75" x14ac:dyDescent="0.2">
      <c r="A1057" s="32"/>
      <c r="B1057" s="33" t="b">
        <v>0</v>
      </c>
      <c r="C1057" s="370" t="str">
        <f ca="1">敌人!C$373</f>
        <v>四丈蜘蛛</v>
      </c>
      <c r="D1057" s="371"/>
      <c r="E1057" s="34">
        <f>敌人!D$373</f>
        <v>5</v>
      </c>
      <c r="F1057" s="34">
        <f>敌人!E$373</f>
        <v>0</v>
      </c>
      <c r="G1057" s="34">
        <f>敌人!F$373</f>
        <v>0</v>
      </c>
      <c r="H1057" s="34">
        <f>敌人!G$373</f>
        <v>0</v>
      </c>
      <c r="I1057" s="34">
        <f>敌人!H$373</f>
        <v>0</v>
      </c>
      <c r="J1057" s="34">
        <f>敌人!I$373</f>
        <v>0</v>
      </c>
      <c r="K1057" s="370" t="str">
        <f ca="1">敌人!J$373</f>
        <v>混乱多之叶</v>
      </c>
      <c r="L1057" s="371"/>
      <c r="M1057" s="371"/>
      <c r="N1057" s="32"/>
      <c r="O1057" s="33" t="b">
        <v>0</v>
      </c>
      <c r="P1057" s="370" t="s">
        <v>22</v>
      </c>
      <c r="Q1057" s="371"/>
      <c r="R1057" s="371"/>
      <c r="S1057" s="32"/>
      <c r="T1057" s="32"/>
      <c r="U1057" s="376"/>
      <c r="V1057" s="371"/>
      <c r="W1057" s="32"/>
      <c r="X1057" s="32"/>
      <c r="Y1057" s="32"/>
      <c r="Z1057" s="32"/>
      <c r="AA1057" s="32"/>
    </row>
    <row r="1058" spans="1:27" ht="12.75" x14ac:dyDescent="0.2">
      <c r="A1058" s="32"/>
      <c r="B1058" s="33" t="b">
        <v>0</v>
      </c>
      <c r="C1058" s="370" t="str">
        <f ca="1">敌人!C$94</f>
        <v>诡异的鸟</v>
      </c>
      <c r="D1058" s="371"/>
      <c r="E1058" s="34">
        <f>敌人!D$94</f>
        <v>2</v>
      </c>
      <c r="F1058" s="34">
        <f>敌人!E$94</f>
        <v>0</v>
      </c>
      <c r="G1058" s="34">
        <f>敌人!F$94</f>
        <v>0</v>
      </c>
      <c r="H1058" s="34">
        <f>敌人!G$94</f>
        <v>0</v>
      </c>
      <c r="I1058" s="34">
        <f>敌人!H$94</f>
        <v>0</v>
      </c>
      <c r="J1058" s="34">
        <f>敌人!I$94</f>
        <v>0</v>
      </c>
      <c r="K1058" s="370" t="str">
        <f ca="1">敌人!J$94</f>
        <v>大鸟的羽毛</v>
      </c>
      <c r="L1058" s="371"/>
      <c r="M1058" s="371"/>
      <c r="N1058" s="32"/>
      <c r="O1058" s="33" t="b">
        <v>0</v>
      </c>
      <c r="P1058" s="370" t="str">
        <f ca="1">道具!$C$10</f>
        <v>ＢＰ恢复的石榴（大）</v>
      </c>
      <c r="Q1058" s="371"/>
      <c r="R1058" s="371"/>
      <c r="S1058" s="32"/>
      <c r="T1058" s="32"/>
      <c r="U1058" s="376"/>
      <c r="V1058" s="371"/>
      <c r="W1058" s="32"/>
      <c r="X1058" s="32"/>
      <c r="Y1058" s="32"/>
      <c r="Z1058" s="32"/>
      <c r="AA1058" s="32"/>
    </row>
    <row r="1059" spans="1:27" ht="12.75" x14ac:dyDescent="0.2">
      <c r="A1059" s="32"/>
      <c r="B1059" s="33" t="b">
        <v>0</v>
      </c>
      <c r="C1059" s="370" t="str">
        <f ca="1">敌人!C$68</f>
        <v>诡异的幼体</v>
      </c>
      <c r="D1059" s="371"/>
      <c r="E1059" s="34">
        <f>敌人!D$68</f>
        <v>3</v>
      </c>
      <c r="F1059" s="34">
        <f>敌人!E$68</f>
        <v>0</v>
      </c>
      <c r="G1059" s="34">
        <f>敌人!F$68</f>
        <v>0</v>
      </c>
      <c r="H1059" s="34">
        <f>敌人!G$68</f>
        <v>0</v>
      </c>
      <c r="I1059" s="34">
        <f>敌人!H$68</f>
        <v>0</v>
      </c>
      <c r="J1059" s="34">
        <f>敌人!I$68</f>
        <v>0</v>
      </c>
      <c r="K1059" s="370" t="str">
        <f ca="1">敌人!J$68</f>
        <v>ＨＰ恢复的葡萄（大）</v>
      </c>
      <c r="L1059" s="371"/>
      <c r="M1059" s="371"/>
      <c r="N1059" s="32"/>
      <c r="O1059" s="373" t="str">
        <f ca="1">语言!A$475&amp;" (45) (10 "&amp;语言!$A$19&amp;")"</f>
        <v>卢贝之森 (45) (10 宝箱)</v>
      </c>
      <c r="P1059" s="371"/>
      <c r="Q1059" s="371"/>
      <c r="R1059" s="371"/>
      <c r="S1059" s="32"/>
      <c r="T1059" s="32"/>
      <c r="U1059" s="376"/>
      <c r="V1059" s="371"/>
      <c r="W1059" s="32"/>
      <c r="X1059" s="32"/>
      <c r="Y1059" s="32"/>
      <c r="Z1059" s="32"/>
      <c r="AA1059" s="32"/>
    </row>
    <row r="1060" spans="1:27" ht="12.75" x14ac:dyDescent="0.2">
      <c r="A1060" s="32"/>
      <c r="B1060" s="373" t="str">
        <f ca="1">语言!A$475&amp;" ("&amp;语言!$A$12&amp;" 45)"</f>
        <v>卢贝之森 (危险度 45)</v>
      </c>
      <c r="C1060" s="371"/>
      <c r="D1060" s="371"/>
      <c r="E1060" s="371"/>
      <c r="F1060" s="371"/>
      <c r="G1060" s="371"/>
      <c r="H1060" s="371"/>
      <c r="I1060" s="371"/>
      <c r="J1060" s="371"/>
      <c r="K1060" s="371"/>
      <c r="L1060" s="371"/>
      <c r="M1060" s="371"/>
      <c r="N1060" s="32"/>
      <c r="O1060" s="33" t="b">
        <v>0</v>
      </c>
      <c r="P1060" s="370" t="str">
        <f ca="1">道具!$C$506&amp;" ("&amp;语言!$A$20&amp;")"</f>
        <v>火焰避邪符 (上锁宝箱)</v>
      </c>
      <c r="Q1060" s="371"/>
      <c r="R1060" s="371"/>
      <c r="S1060" s="32"/>
      <c r="T1060" s="32"/>
      <c r="U1060" s="376"/>
      <c r="V1060" s="371"/>
      <c r="W1060" s="32"/>
      <c r="X1060" s="32"/>
      <c r="Y1060" s="32"/>
      <c r="Z1060" s="32"/>
      <c r="AA1060" s="32"/>
    </row>
    <row r="1061" spans="1:27" ht="12.75" x14ac:dyDescent="0.2">
      <c r="A1061" s="32"/>
      <c r="B1061" s="33" t="b">
        <v>0</v>
      </c>
      <c r="C1061" s="370" t="str">
        <f ca="1">敌人!C$87</f>
        <v>邪鹿怪异种</v>
      </c>
      <c r="D1061" s="371"/>
      <c r="E1061" s="34">
        <f>敌人!D$87</f>
        <v>5</v>
      </c>
      <c r="F1061" s="34">
        <f>敌人!E$87</f>
        <v>0</v>
      </c>
      <c r="G1061" s="34">
        <f>敌人!F$87</f>
        <v>0</v>
      </c>
      <c r="H1061" s="34">
        <f>敌人!G$87</f>
        <v>0</v>
      </c>
      <c r="I1061" s="34">
        <f>敌人!H$87</f>
        <v>0</v>
      </c>
      <c r="J1061" s="34">
        <f>敌人!I$87</f>
        <v>0</v>
      </c>
      <c r="K1061" s="370" t="str">
        <f ca="1">敌人!J$87</f>
        <v>复活的橄榄（特大）</v>
      </c>
      <c r="L1061" s="371"/>
      <c r="M1061" s="371"/>
      <c r="N1061" s="32"/>
      <c r="O1061" s="33" t="b">
        <v>0</v>
      </c>
      <c r="P1061" s="370" t="str">
        <f ca="1">道具!$C$40</f>
        <v>风之精灵石（大）</v>
      </c>
      <c r="Q1061" s="371"/>
      <c r="R1061" s="371"/>
      <c r="S1061" s="32"/>
      <c r="T1061" s="32"/>
      <c r="U1061" s="376"/>
      <c r="V1061" s="371"/>
      <c r="W1061" s="32"/>
      <c r="X1061" s="32"/>
      <c r="Y1061" s="32"/>
      <c r="Z1061" s="32"/>
      <c r="AA1061" s="32"/>
    </row>
    <row r="1062" spans="1:27" ht="12.75" x14ac:dyDescent="0.2">
      <c r="A1062" s="32"/>
      <c r="B1062" s="33" t="b">
        <v>0</v>
      </c>
      <c r="C1062" s="370" t="str">
        <f ca="1">敌人!C$221</f>
        <v>法尔帕斯异种</v>
      </c>
      <c r="D1062" s="371"/>
      <c r="E1062" s="34">
        <f>敌人!D$221</f>
        <v>5</v>
      </c>
      <c r="F1062" s="34">
        <f>敌人!E$221</f>
        <v>0</v>
      </c>
      <c r="G1062" s="34">
        <f>敌人!F$221</f>
        <v>0</v>
      </c>
      <c r="H1062" s="34">
        <f>敌人!G$221</f>
        <v>0</v>
      </c>
      <c r="I1062" s="34">
        <f>敌人!H$221</f>
        <v>0</v>
      </c>
      <c r="J1062" s="34">
        <f>敌人!I$221</f>
        <v>0</v>
      </c>
      <c r="K1062" s="370" t="str">
        <f ca="1">敌人!J$221</f>
        <v>ＨＰ全体恢复的葡萄</v>
      </c>
      <c r="L1062" s="371"/>
      <c r="M1062" s="371"/>
      <c r="N1062" s="32"/>
      <c r="O1062" s="33" t="b">
        <v>0</v>
      </c>
      <c r="P1062" s="370" t="str">
        <f ca="1">道具!$C$10</f>
        <v>ＢＰ恢复的石榴（大）</v>
      </c>
      <c r="Q1062" s="371"/>
      <c r="R1062" s="371"/>
      <c r="S1062" s="32"/>
      <c r="T1062" s="32"/>
      <c r="U1062" s="376"/>
      <c r="V1062" s="371"/>
      <c r="W1062" s="32"/>
      <c r="X1062" s="32"/>
      <c r="Y1062" s="32"/>
      <c r="Z1062" s="32"/>
      <c r="AA1062" s="32"/>
    </row>
    <row r="1063" spans="1:27" ht="12.75" x14ac:dyDescent="0.2">
      <c r="A1063" s="32"/>
      <c r="B1063" s="33" t="b">
        <v>0</v>
      </c>
      <c r="C1063" s="370" t="str">
        <f ca="1">敌人!C$137</f>
        <v>大鹫</v>
      </c>
      <c r="D1063" s="371"/>
      <c r="E1063" s="34">
        <f>敌人!D$137</f>
        <v>1</v>
      </c>
      <c r="F1063" s="34">
        <f>敌人!E$137</f>
        <v>0</v>
      </c>
      <c r="G1063" s="34">
        <f>敌人!F$137</f>
        <v>0</v>
      </c>
      <c r="H1063" s="34">
        <f>敌人!G$137</f>
        <v>0</v>
      </c>
      <c r="I1063" s="34">
        <f>敌人!H$137</f>
        <v>0</v>
      </c>
      <c r="J1063" s="34">
        <f>敌人!I$137</f>
        <v>0</v>
      </c>
      <c r="K1063" s="370" t="str">
        <f ca="1">敌人!J$137</f>
        <v>大鸟的羽毛</v>
      </c>
      <c r="L1063" s="371"/>
      <c r="M1063" s="371"/>
      <c r="N1063" s="32"/>
      <c r="O1063" s="33" t="b">
        <v>0</v>
      </c>
      <c r="P1063" s="370" t="str">
        <f ca="1">道具!$C$21</f>
        <v>混乱治疗药草</v>
      </c>
      <c r="Q1063" s="371"/>
      <c r="R1063" s="371"/>
      <c r="S1063" s="32"/>
      <c r="T1063" s="32"/>
      <c r="U1063" s="376"/>
      <c r="V1063" s="371"/>
      <c r="W1063" s="32"/>
      <c r="X1063" s="32"/>
      <c r="Y1063" s="32"/>
      <c r="Z1063" s="32"/>
      <c r="AA1063" s="32"/>
    </row>
    <row r="1064" spans="1:27" ht="12.75" x14ac:dyDescent="0.2">
      <c r="A1064" s="32"/>
      <c r="B1064" s="33" t="b">
        <v>0</v>
      </c>
      <c r="C1064" s="370" t="str">
        <f ca="1">敌人!C$360</f>
        <v>风元素</v>
      </c>
      <c r="D1064" s="371"/>
      <c r="E1064" s="34">
        <f>敌人!D$360</f>
        <v>4</v>
      </c>
      <c r="F1064" s="34">
        <f>敌人!E$360</f>
        <v>0</v>
      </c>
      <c r="G1064" s="34">
        <f>敌人!F$360</f>
        <v>0</v>
      </c>
      <c r="H1064" s="34">
        <f>敌人!G$360</f>
        <v>0</v>
      </c>
      <c r="I1064" s="34">
        <f>敌人!H$360</f>
        <v>0</v>
      </c>
      <c r="J1064" s="34">
        <f>敌人!I$360</f>
        <v>0</v>
      </c>
      <c r="K1064" s="370" t="str">
        <f ca="1">敌人!J$360</f>
        <v>风之精灵石（特大）</v>
      </c>
      <c r="L1064" s="371"/>
      <c r="M1064" s="371"/>
      <c r="N1064" s="32"/>
      <c r="O1064" s="33" t="b">
        <v>0</v>
      </c>
      <c r="P1064" s="370" t="str">
        <f ca="1">道具!$C$530</f>
        <v>秘药的素材</v>
      </c>
      <c r="Q1064" s="371"/>
      <c r="R1064" s="371"/>
      <c r="S1064" s="32"/>
      <c r="T1064" s="32"/>
      <c r="U1064" s="376"/>
      <c r="V1064" s="371"/>
      <c r="W1064" s="32"/>
      <c r="X1064" s="32"/>
      <c r="Y1064" s="32"/>
      <c r="Z1064" s="32"/>
      <c r="AA1064" s="32"/>
    </row>
    <row r="1065" spans="1:27" ht="12.75" x14ac:dyDescent="0.2">
      <c r="A1065" s="32"/>
      <c r="B1065" s="373" t="str">
        <f ca="1">语言!A$475&amp;" ("&amp;语言!$A$12&amp;" 46)"</f>
        <v>卢贝之森 (危险度 46)</v>
      </c>
      <c r="C1065" s="371"/>
      <c r="D1065" s="371"/>
      <c r="E1065" s="371"/>
      <c r="F1065" s="371"/>
      <c r="G1065" s="371"/>
      <c r="H1065" s="371"/>
      <c r="I1065" s="371"/>
      <c r="J1065" s="371"/>
      <c r="K1065" s="371"/>
      <c r="L1065" s="371"/>
      <c r="M1065" s="371"/>
      <c r="N1065" s="32"/>
      <c r="O1065" s="33" t="b">
        <v>0</v>
      </c>
      <c r="P1065" s="370" t="str">
        <f ca="1">道具!$C$7</f>
        <v>ＳＰ恢复的李子（大）</v>
      </c>
      <c r="Q1065" s="371"/>
      <c r="R1065" s="371"/>
      <c r="S1065" s="32"/>
      <c r="T1065" s="32"/>
      <c r="U1065" s="376"/>
      <c r="V1065" s="371"/>
      <c r="W1065" s="32"/>
      <c r="X1065" s="32"/>
      <c r="Y1065" s="32"/>
      <c r="Z1065" s="32"/>
      <c r="AA1065" s="32"/>
    </row>
    <row r="1066" spans="1:27" ht="12.75" x14ac:dyDescent="0.2">
      <c r="A1066" s="32"/>
      <c r="B1066" s="33" t="b">
        <v>0</v>
      </c>
      <c r="C1066" s="370" t="str">
        <f ca="1">敌人!C$192</f>
        <v>雷普塔利欧尔</v>
      </c>
      <c r="D1066" s="371"/>
      <c r="E1066" s="34">
        <f>敌人!D$192</f>
        <v>3</v>
      </c>
      <c r="F1066" s="34">
        <f>敌人!E$192</f>
        <v>0</v>
      </c>
      <c r="G1066" s="34">
        <f>敌人!F$192</f>
        <v>0</v>
      </c>
      <c r="H1066" s="34">
        <f>敌人!G$192</f>
        <v>0</v>
      </c>
      <c r="I1066" s="34">
        <f>敌人!H$192</f>
        <v>0</v>
      </c>
      <c r="J1066" s="34">
        <f>敌人!I$192</f>
        <v>0</v>
      </c>
      <c r="K1066" s="370" t="str">
        <f ca="1">敌人!J$192</f>
        <v>橄榄花</v>
      </c>
      <c r="L1066" s="371"/>
      <c r="M1066" s="371"/>
      <c r="N1066" s="32"/>
      <c r="O1066" s="33" t="b">
        <v>0</v>
      </c>
      <c r="P1066" s="370" t="str">
        <f ca="1">道具!$C$534</f>
        <v>超含毒的素材</v>
      </c>
      <c r="Q1066" s="371"/>
      <c r="R1066" s="371"/>
      <c r="S1066" s="32"/>
      <c r="T1066" s="32"/>
      <c r="U1066" s="376"/>
      <c r="V1066" s="371"/>
      <c r="W1066" s="32"/>
      <c r="X1066" s="32"/>
      <c r="Y1066" s="32"/>
      <c r="Z1066" s="32"/>
      <c r="AA1066" s="32"/>
    </row>
    <row r="1067" spans="1:27" ht="12.75" x14ac:dyDescent="0.2">
      <c r="A1067" s="32"/>
      <c r="B1067" s="33" t="b">
        <v>0</v>
      </c>
      <c r="C1067" s="370" t="str">
        <f ca="1">敌人!C$87</f>
        <v>邪鹿怪异种</v>
      </c>
      <c r="D1067" s="371"/>
      <c r="E1067" s="34">
        <f>敌人!D$87</f>
        <v>5</v>
      </c>
      <c r="F1067" s="34">
        <f>敌人!E$87</f>
        <v>0</v>
      </c>
      <c r="G1067" s="34">
        <f>敌人!F$87</f>
        <v>0</v>
      </c>
      <c r="H1067" s="34">
        <f>敌人!G$87</f>
        <v>0</v>
      </c>
      <c r="I1067" s="34">
        <f>敌人!H$87</f>
        <v>0</v>
      </c>
      <c r="J1067" s="34">
        <f>敌人!I$87</f>
        <v>0</v>
      </c>
      <c r="K1067" s="370" t="str">
        <f ca="1">敌人!J$87</f>
        <v>复活的橄榄（特大）</v>
      </c>
      <c r="L1067" s="371"/>
      <c r="M1067" s="371"/>
      <c r="N1067" s="32"/>
      <c r="O1067" s="33" t="b">
        <v>0</v>
      </c>
      <c r="P1067" s="370" t="str">
        <f ca="1">道具!$C$120</f>
        <v>放了银块的皮袋</v>
      </c>
      <c r="Q1067" s="371"/>
      <c r="R1067" s="371"/>
      <c r="S1067" s="32"/>
      <c r="T1067" s="32"/>
      <c r="U1067" s="376"/>
      <c r="V1067" s="371"/>
      <c r="W1067" s="32"/>
      <c r="X1067" s="32"/>
      <c r="Y1067" s="32"/>
      <c r="Z1067" s="32"/>
      <c r="AA1067" s="32"/>
    </row>
    <row r="1068" spans="1:27" ht="12.75" x14ac:dyDescent="0.2">
      <c r="A1068" s="32"/>
      <c r="B1068" s="33" t="b">
        <v>0</v>
      </c>
      <c r="C1068" s="370" t="str">
        <f ca="1">敌人!C$221</f>
        <v>法尔帕斯异种</v>
      </c>
      <c r="D1068" s="371"/>
      <c r="E1068" s="34">
        <f>敌人!D$221</f>
        <v>5</v>
      </c>
      <c r="F1068" s="34">
        <f>敌人!E$221</f>
        <v>0</v>
      </c>
      <c r="G1068" s="34">
        <f>敌人!F$221</f>
        <v>0</v>
      </c>
      <c r="H1068" s="34">
        <f>敌人!G$221</f>
        <v>0</v>
      </c>
      <c r="I1068" s="34">
        <f>敌人!H$221</f>
        <v>0</v>
      </c>
      <c r="J1068" s="34">
        <f>敌人!I$221</f>
        <v>0</v>
      </c>
      <c r="K1068" s="370" t="str">
        <f ca="1">敌人!J$221</f>
        <v>ＨＰ全体恢复的葡萄</v>
      </c>
      <c r="L1068" s="371"/>
      <c r="M1068" s="371"/>
      <c r="N1068" s="32"/>
      <c r="O1068" s="33" t="b">
        <v>0</v>
      </c>
      <c r="P1068" s="370" t="str">
        <f ca="1">道具!$C$536</f>
        <v>超含毒的素材（扩散）</v>
      </c>
      <c r="Q1068" s="371"/>
      <c r="R1068" s="371"/>
      <c r="S1068" s="32"/>
      <c r="T1068" s="32"/>
      <c r="U1068" s="376"/>
      <c r="V1068" s="371"/>
      <c r="W1068" s="32"/>
      <c r="X1068" s="32"/>
      <c r="Y1068" s="32"/>
      <c r="Z1068" s="32"/>
      <c r="AA1068" s="32"/>
    </row>
    <row r="1069" spans="1:27" ht="12.75" x14ac:dyDescent="0.2">
      <c r="A1069" s="32"/>
      <c r="B1069" s="33" t="b">
        <v>0</v>
      </c>
      <c r="C1069" s="370" t="str">
        <f ca="1">敌人!C$99</f>
        <v>双颈蛇</v>
      </c>
      <c r="D1069" s="371"/>
      <c r="E1069" s="34">
        <f>敌人!D$99</f>
        <v>2</v>
      </c>
      <c r="F1069" s="34">
        <f>敌人!E$99</f>
        <v>0</v>
      </c>
      <c r="G1069" s="34">
        <f>敌人!F$99</f>
        <v>0</v>
      </c>
      <c r="H1069" s="34">
        <f>敌人!G$99</f>
        <v>0</v>
      </c>
      <c r="I1069" s="34">
        <f>敌人!H$99</f>
        <v>0</v>
      </c>
      <c r="J1069" s="34">
        <f>敌人!I$99</f>
        <v>0</v>
      </c>
      <c r="K1069" s="370" t="str">
        <f ca="1">敌人!J$99</f>
        <v>混乱瓶</v>
      </c>
      <c r="L1069" s="371"/>
      <c r="M1069" s="371"/>
      <c r="N1069" s="32"/>
      <c r="O1069" s="33" t="b">
        <v>0</v>
      </c>
      <c r="P1069" s="370" t="str">
        <f ca="1">道具!$C$10</f>
        <v>ＢＰ恢复的石榴（大）</v>
      </c>
      <c r="Q1069" s="371"/>
      <c r="R1069" s="371"/>
      <c r="S1069" s="32"/>
      <c r="T1069" s="32"/>
      <c r="U1069" s="376"/>
      <c r="V1069" s="371"/>
      <c r="W1069" s="32"/>
      <c r="X1069" s="32"/>
      <c r="Y1069" s="32"/>
      <c r="Z1069" s="32"/>
      <c r="AA1069" s="32"/>
    </row>
    <row r="1070" spans="1:27" ht="12.75" x14ac:dyDescent="0.2">
      <c r="A1070" s="32"/>
      <c r="B1070" s="33" t="b">
        <v>0</v>
      </c>
      <c r="C1070" s="370" t="str">
        <f ca="1">敌人!C$360</f>
        <v>风元素</v>
      </c>
      <c r="D1070" s="371"/>
      <c r="E1070" s="34">
        <f>敌人!D$360</f>
        <v>4</v>
      </c>
      <c r="F1070" s="34">
        <f>敌人!E$360</f>
        <v>0</v>
      </c>
      <c r="G1070" s="34">
        <f>敌人!F$360</f>
        <v>0</v>
      </c>
      <c r="H1070" s="34">
        <f>敌人!G$360</f>
        <v>0</v>
      </c>
      <c r="I1070" s="34">
        <f>敌人!H$360</f>
        <v>0</v>
      </c>
      <c r="J1070" s="34">
        <f>敌人!I$360</f>
        <v>0</v>
      </c>
      <c r="K1070" s="370" t="str">
        <f ca="1">敌人!J$360</f>
        <v>风之精灵石（特大）</v>
      </c>
      <c r="L1070" s="371"/>
      <c r="M1070" s="371"/>
      <c r="N1070" s="32"/>
      <c r="O1070" s="373" t="str">
        <f ca="1">语言!A$475&amp;" (46) (8 "&amp;语言!$A$19&amp;")"</f>
        <v>卢贝之森 (46) (8 宝箱)</v>
      </c>
      <c r="P1070" s="371"/>
      <c r="Q1070" s="371"/>
      <c r="R1070" s="371"/>
      <c r="S1070" s="32"/>
      <c r="T1070" s="32"/>
      <c r="U1070" s="376"/>
      <c r="V1070" s="371"/>
      <c r="W1070" s="32"/>
      <c r="X1070" s="32"/>
      <c r="Y1070" s="32"/>
      <c r="Z1070" s="32"/>
      <c r="AA1070" s="32"/>
    </row>
    <row r="1071" spans="1:27" ht="12.75" x14ac:dyDescent="0.2">
      <c r="A1071" s="32"/>
      <c r="B1071" s="377" t="str">
        <f ca="1">语言!$A$15</f>
        <v>Boss</v>
      </c>
      <c r="C1071" s="371"/>
      <c r="D1071" s="371"/>
      <c r="E1071" s="371"/>
      <c r="F1071" s="371"/>
      <c r="G1071" s="371"/>
      <c r="H1071" s="371"/>
      <c r="I1071" s="371"/>
      <c r="J1071" s="371"/>
      <c r="K1071" s="371"/>
      <c r="L1071" s="371"/>
      <c r="M1071" s="371"/>
      <c r="N1071" s="32"/>
      <c r="O1071" s="33" t="b">
        <v>0</v>
      </c>
      <c r="P1071" s="370" t="str">
        <f ca="1">道具!$C$526</f>
        <v>昏迷耐性石</v>
      </c>
      <c r="Q1071" s="371"/>
      <c r="R1071" s="371"/>
      <c r="S1071" s="32"/>
      <c r="T1071" s="32"/>
      <c r="U1071" s="376"/>
      <c r="V1071" s="371"/>
      <c r="W1071" s="32"/>
      <c r="X1071" s="32"/>
      <c r="Y1071" s="32"/>
      <c r="Z1071" s="32"/>
      <c r="AA1071" s="32"/>
    </row>
    <row r="1072" spans="1:27" ht="12.75" x14ac:dyDescent="0.2">
      <c r="A1072" s="32"/>
      <c r="B1072" s="33" t="b">
        <v>0</v>
      </c>
      <c r="C1072" s="372" t="str">
        <f ca="1">敌人!C$478</f>
        <v>天狗鹫</v>
      </c>
      <c r="D1072" s="371"/>
      <c r="E1072" s="33">
        <f>敌人!D$478</f>
        <v>4</v>
      </c>
      <c r="F1072" s="33">
        <f>敌人!E$478</f>
        <v>0</v>
      </c>
      <c r="G1072" s="33">
        <f>敌人!F$478</f>
        <v>0</v>
      </c>
      <c r="H1072" s="33">
        <f>敌人!G$478</f>
        <v>0</v>
      </c>
      <c r="I1072" s="33">
        <f>敌人!H$478</f>
        <v>0</v>
      </c>
      <c r="J1072" s="33">
        <f>敌人!I$478</f>
        <v>0</v>
      </c>
      <c r="K1072" s="372" t="str">
        <f ca="1">敌人!J$478</f>
        <v>ＨＰ／ＳＰ恢复的果酱</v>
      </c>
      <c r="L1072" s="371"/>
      <c r="M1072" s="371"/>
      <c r="N1072" s="32"/>
      <c r="O1072" s="33" t="b">
        <v>0</v>
      </c>
      <c r="P1072" s="370" t="str">
        <f ca="1">道具!$C$280</f>
        <v>强化弓・隼</v>
      </c>
      <c r="Q1072" s="371"/>
      <c r="R1072" s="371"/>
      <c r="S1072" s="32"/>
      <c r="T1072" s="32"/>
      <c r="U1072" s="376"/>
      <c r="V1072" s="371"/>
      <c r="W1072" s="32"/>
      <c r="X1072" s="32"/>
      <c r="Y1072" s="32"/>
      <c r="Z1072" s="32"/>
      <c r="AA1072" s="32"/>
    </row>
    <row r="1073" spans="1:27" ht="12.75" x14ac:dyDescent="0.2">
      <c r="A1073" s="32"/>
      <c r="B1073" s="32"/>
      <c r="C1073" s="376"/>
      <c r="D1073" s="371"/>
      <c r="E1073" s="32"/>
      <c r="F1073" s="32"/>
      <c r="G1073" s="32"/>
      <c r="H1073" s="32"/>
      <c r="I1073" s="32"/>
      <c r="J1073" s="32"/>
      <c r="K1073" s="376"/>
      <c r="L1073" s="371"/>
      <c r="M1073" s="371"/>
      <c r="N1073" s="32"/>
      <c r="O1073" s="33" t="b">
        <v>0</v>
      </c>
      <c r="P1073" s="370" t="s">
        <v>17</v>
      </c>
      <c r="Q1073" s="371"/>
      <c r="R1073" s="371"/>
      <c r="S1073" s="32"/>
      <c r="T1073" s="32"/>
      <c r="U1073" s="376"/>
      <c r="V1073" s="371"/>
      <c r="W1073" s="32"/>
      <c r="X1073" s="32"/>
      <c r="Y1073" s="32"/>
      <c r="Z1073" s="32"/>
      <c r="AA1073" s="32"/>
    </row>
    <row r="1074" spans="1:27" ht="12.75" x14ac:dyDescent="0.2">
      <c r="A1074" s="32"/>
      <c r="B1074" s="32"/>
      <c r="C1074" s="376"/>
      <c r="D1074" s="371"/>
      <c r="E1074" s="32"/>
      <c r="F1074" s="32"/>
      <c r="G1074" s="32"/>
      <c r="H1074" s="32"/>
      <c r="I1074" s="32"/>
      <c r="J1074" s="32"/>
      <c r="K1074" s="376"/>
      <c r="L1074" s="371"/>
      <c r="M1074" s="371"/>
      <c r="N1074" s="32"/>
      <c r="O1074" s="33" t="b">
        <v>0</v>
      </c>
      <c r="P1074" s="370" t="str">
        <f ca="1">道具!$C$5</f>
        <v>ＨＰ全体恢复的葡萄</v>
      </c>
      <c r="Q1074" s="371"/>
      <c r="R1074" s="371"/>
      <c r="S1074" s="32"/>
      <c r="T1074" s="32"/>
      <c r="U1074" s="376"/>
      <c r="V1074" s="371"/>
      <c r="W1074" s="32"/>
      <c r="X1074" s="32"/>
      <c r="Y1074" s="32"/>
      <c r="Z1074" s="32"/>
      <c r="AA1074" s="32"/>
    </row>
    <row r="1075" spans="1:27" ht="12.75" x14ac:dyDescent="0.2">
      <c r="A1075" s="32"/>
      <c r="B1075" s="32"/>
      <c r="C1075" s="376"/>
      <c r="D1075" s="371"/>
      <c r="E1075" s="32"/>
      <c r="F1075" s="32"/>
      <c r="G1075" s="32"/>
      <c r="H1075" s="32"/>
      <c r="I1075" s="32"/>
      <c r="J1075" s="32"/>
      <c r="K1075" s="376"/>
      <c r="L1075" s="371"/>
      <c r="M1075" s="371"/>
      <c r="N1075" s="32"/>
      <c r="O1075" s="33" t="b">
        <v>0</v>
      </c>
      <c r="P1075" s="370" t="str">
        <f ca="1">道具!$C$13</f>
        <v>ＨＰ／ＳＰ／ＢＰ恢复的果酱</v>
      </c>
      <c r="Q1075" s="371"/>
      <c r="R1075" s="371"/>
      <c r="S1075" s="32"/>
      <c r="T1075" s="32"/>
      <c r="U1075" s="376"/>
      <c r="V1075" s="371"/>
      <c r="W1075" s="32"/>
      <c r="X1075" s="32"/>
      <c r="Y1075" s="32"/>
      <c r="Z1075" s="32"/>
      <c r="AA1075" s="32"/>
    </row>
    <row r="1076" spans="1:27" ht="12.75" x14ac:dyDescent="0.2">
      <c r="A1076" s="32"/>
      <c r="B1076" s="32"/>
      <c r="C1076" s="376"/>
      <c r="D1076" s="371"/>
      <c r="E1076" s="32"/>
      <c r="F1076" s="32"/>
      <c r="G1076" s="32"/>
      <c r="H1076" s="32"/>
      <c r="I1076" s="32"/>
      <c r="J1076" s="32"/>
      <c r="K1076" s="376"/>
      <c r="L1076" s="371"/>
      <c r="M1076" s="371"/>
      <c r="N1076" s="32"/>
      <c r="O1076" s="33" t="b">
        <v>0</v>
      </c>
      <c r="P1076" s="370" t="str">
        <f ca="1">道具!$C$4</f>
        <v>ＨＰ恢复的葡萄（大）</v>
      </c>
      <c r="Q1076" s="371"/>
      <c r="R1076" s="371"/>
      <c r="S1076" s="32"/>
      <c r="T1076" s="32"/>
      <c r="U1076" s="376"/>
      <c r="V1076" s="371"/>
      <c r="W1076" s="32"/>
      <c r="X1076" s="32"/>
      <c r="Y1076" s="32"/>
      <c r="Z1076" s="32"/>
      <c r="AA1076" s="32"/>
    </row>
    <row r="1077" spans="1:27" ht="12.75" x14ac:dyDescent="0.2">
      <c r="A1077" s="32"/>
      <c r="B1077" s="32"/>
      <c r="C1077" s="376"/>
      <c r="D1077" s="371"/>
      <c r="E1077" s="32"/>
      <c r="F1077" s="32"/>
      <c r="G1077" s="32"/>
      <c r="H1077" s="32"/>
      <c r="I1077" s="32"/>
      <c r="J1077" s="32"/>
      <c r="K1077" s="376"/>
      <c r="L1077" s="371"/>
      <c r="M1077" s="371"/>
      <c r="N1077" s="32"/>
      <c r="O1077" s="33" t="b">
        <v>0</v>
      </c>
      <c r="P1077" s="370" t="str">
        <f ca="1">道具!$C$416</f>
        <v>帝国盔甲</v>
      </c>
      <c r="Q1077" s="371"/>
      <c r="R1077" s="371"/>
      <c r="S1077" s="32"/>
      <c r="T1077" s="32"/>
      <c r="U1077" s="376"/>
      <c r="V1077" s="371"/>
      <c r="W1077" s="32"/>
      <c r="X1077" s="32"/>
      <c r="Y1077" s="32"/>
      <c r="Z1077" s="32"/>
      <c r="AA1077" s="32"/>
    </row>
    <row r="1078" spans="1:27" ht="12.75" x14ac:dyDescent="0.2">
      <c r="A1078" s="32"/>
      <c r="B1078" s="32"/>
      <c r="C1078" s="376"/>
      <c r="D1078" s="371"/>
      <c r="E1078" s="32"/>
      <c r="F1078" s="32"/>
      <c r="G1078" s="32"/>
      <c r="H1078" s="32"/>
      <c r="I1078" s="32"/>
      <c r="J1078" s="32"/>
      <c r="K1078" s="376"/>
      <c r="L1078" s="371"/>
      <c r="M1078" s="371"/>
      <c r="N1078" s="32"/>
      <c r="O1078" s="33" t="b">
        <v>0</v>
      </c>
      <c r="P1078" s="370" t="str">
        <f ca="1">道具!$C$18</f>
        <v>毒治疗药草</v>
      </c>
      <c r="Q1078" s="371"/>
      <c r="R1078" s="371"/>
      <c r="S1078" s="32"/>
      <c r="T1078" s="32"/>
      <c r="U1078" s="376"/>
      <c r="V1078" s="371"/>
      <c r="W1078" s="32"/>
      <c r="X1078" s="32"/>
      <c r="Y1078" s="32"/>
      <c r="Z1078" s="32"/>
      <c r="AA1078" s="32"/>
    </row>
    <row r="1079" spans="1:27" ht="12.75" x14ac:dyDescent="0.2">
      <c r="A1079" s="32"/>
      <c r="B1079" s="32"/>
      <c r="C1079" s="376"/>
      <c r="D1079" s="371"/>
      <c r="E1079" s="32"/>
      <c r="F1079" s="32"/>
      <c r="G1079" s="32"/>
      <c r="H1079" s="32"/>
      <c r="I1079" s="32"/>
      <c r="J1079" s="32"/>
      <c r="K1079" s="376"/>
      <c r="L1079" s="371"/>
      <c r="M1079" s="371"/>
      <c r="N1079" s="32"/>
      <c r="O1079" s="32"/>
      <c r="P1079" s="376"/>
      <c r="Q1079" s="371"/>
      <c r="R1079" s="371"/>
      <c r="S1079" s="32"/>
      <c r="T1079" s="32"/>
      <c r="U1079" s="376"/>
      <c r="V1079" s="371"/>
      <c r="W1079" s="32"/>
      <c r="X1079" s="32"/>
      <c r="Y1079" s="32"/>
      <c r="Z1079" s="32"/>
      <c r="AA1079" s="32"/>
    </row>
    <row r="1080" spans="1:27" ht="23.25" x14ac:dyDescent="0.35">
      <c r="A1080" s="414" t="str">
        <f ca="1">语言!$A$476</f>
        <v>伍多兰多地区</v>
      </c>
      <c r="B1080" s="371"/>
      <c r="C1080" s="371"/>
      <c r="D1080" s="371"/>
      <c r="E1080" s="415"/>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row>
    <row r="1081" spans="1:27" ht="18" x14ac:dyDescent="0.25">
      <c r="A1081" s="416" t="str">
        <f ca="1">语言!$A$323&amp;" 1"</f>
        <v>Tier 1</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row>
    <row r="1082" spans="1:27" ht="12.75" x14ac:dyDescent="0.2">
      <c r="A1082" s="22"/>
      <c r="B1082" s="21" t="b">
        <v>0</v>
      </c>
      <c r="C1082" s="411" t="str">
        <f ca="1">敌人!C$48</f>
        <v>凯特林</v>
      </c>
      <c r="D1082" s="371"/>
      <c r="E1082" s="21">
        <f>敌人!D$48</f>
        <v>2</v>
      </c>
      <c r="F1082" s="21">
        <f>敌人!E$48</f>
        <v>0</v>
      </c>
      <c r="G1082" s="21">
        <f>敌人!F$48</f>
        <v>0</v>
      </c>
      <c r="H1082" s="21">
        <f>敌人!G$48</f>
        <v>0</v>
      </c>
      <c r="I1082" s="21">
        <f>敌人!H$48</f>
        <v>0</v>
      </c>
      <c r="J1082" s="21">
        <f>敌人!I$48</f>
        <v>0</v>
      </c>
      <c r="K1082" s="411" t="str">
        <f ca="1">敌人!J$48</f>
        <v>ＨＰ／ＳＰ／ＢＰ恢复的果酱</v>
      </c>
      <c r="L1082" s="371"/>
      <c r="M1082" s="371"/>
      <c r="N1082" s="22"/>
      <c r="O1082" s="408" t="str">
        <f ca="1">语言!A$477&amp;" (3 "&amp;语言!$A$19&amp;")"</f>
        <v>希・沃尔基 (3 宝箱)</v>
      </c>
      <c r="P1082" s="371"/>
      <c r="Q1082" s="371"/>
      <c r="R1082" s="371"/>
      <c r="S1082" s="22"/>
      <c r="T1082" s="408" t="str">
        <f ca="1">语言!A$477</f>
        <v>希・沃尔基</v>
      </c>
      <c r="U1082" s="371"/>
      <c r="V1082" s="371"/>
      <c r="W1082" s="22"/>
      <c r="X1082" s="408" t="str">
        <f ca="1">语言!A$478</f>
        <v>北希・沃尔基森道</v>
      </c>
      <c r="Y1082" s="371"/>
      <c r="Z1082" s="371"/>
      <c r="AA1082" s="22"/>
    </row>
    <row r="1083" spans="1:27" ht="12.75" x14ac:dyDescent="0.2">
      <c r="A1083" s="22"/>
      <c r="B1083" s="417" t="str">
        <f ca="1">语言!$A$11&amp;" ("&amp;语言!$A$12&amp;" 1 - 4 - 7- 11)"</f>
        <v>以下地区的怪物都一样 (危险度 1 - 4 - 7- 11)</v>
      </c>
      <c r="C1083" s="371"/>
      <c r="D1083" s="371"/>
      <c r="E1083" s="371"/>
      <c r="F1083" s="371"/>
      <c r="G1083" s="371"/>
      <c r="H1083" s="371"/>
      <c r="I1083" s="371"/>
      <c r="J1083" s="371"/>
      <c r="K1083" s="371"/>
      <c r="L1083" s="371"/>
      <c r="M1083" s="371"/>
      <c r="N1083" s="22"/>
      <c r="O1083" s="21" t="b">
        <v>0</v>
      </c>
      <c r="P1083" s="419" t="str">
        <f ca="1">道具!$C$3</f>
        <v>ＨＰ恢复的葡萄</v>
      </c>
      <c r="Q1083" s="371"/>
      <c r="R1083" s="371"/>
      <c r="S1083" s="22"/>
      <c r="T1083" s="21" t="b">
        <v>0</v>
      </c>
      <c r="U1083" s="411" t="s">
        <v>25</v>
      </c>
      <c r="V1083" s="371"/>
      <c r="W1083" s="22"/>
      <c r="X1083" s="409" t="b">
        <v>0</v>
      </c>
      <c r="Y1083" s="409" t="str">
        <f ca="1">语言!$A$2006&amp;" (NPC)
"&amp;语言!$A$1008&amp;":
"&amp;道具!$F$46</f>
        <v>做流动贩卖的猎人 (NPC)
贵重物品:
大牙野猪的獠牙</v>
      </c>
      <c r="Z1083" s="410" t="str">
        <f ca="1">"NPC appears after "&amp;语言!$A$42&amp;" chapter 1, some people didn't go back where the NPC appear, if you want your "&amp;语言!$A$9&amp;" achievement, you need to get the "&amp;道具!$F$46&amp;" ("&amp;语言!$A$1008&amp;")"</f>
        <v>NPC appears after 海茵特 chapter 1, some people didn't go back where the NPC appear, if you want your 收藏家 achievement, you need to get the 大牙野猪的獠牙 (贵重物品)</v>
      </c>
      <c r="AA1083" s="22"/>
    </row>
    <row r="1084" spans="1:27" ht="12.75" x14ac:dyDescent="0.2">
      <c r="A1084" s="22"/>
      <c r="B1084" s="418" t="str">
        <f ca="1">语言!A$478</f>
        <v>北希・沃尔基森道</v>
      </c>
      <c r="C1084" s="371"/>
      <c r="D1084" s="371"/>
      <c r="E1084" s="371"/>
      <c r="F1084" s="371"/>
      <c r="G1084" s="371"/>
      <c r="H1084" s="371"/>
      <c r="I1084" s="371"/>
      <c r="J1084" s="371"/>
      <c r="K1084" s="371"/>
      <c r="L1084" s="371"/>
      <c r="M1084" s="371"/>
      <c r="N1084" s="22"/>
      <c r="O1084" s="21" t="b">
        <v>0</v>
      </c>
      <c r="P1084" s="419" t="str">
        <f ca="1">道具!$C$6</f>
        <v>ＳＰ恢复的李子</v>
      </c>
      <c r="Q1084" s="371"/>
      <c r="R1084" s="371"/>
      <c r="S1084" s="22"/>
      <c r="T1084" s="21" t="b">
        <v>0</v>
      </c>
      <c r="U1084" s="411" t="str">
        <f ca="1">道具!$C$33</f>
        <v>冰之精灵石</v>
      </c>
      <c r="V1084" s="371"/>
      <c r="W1084" s="22"/>
      <c r="X1084" s="371"/>
      <c r="Y1084" s="371"/>
      <c r="Z1084" s="371"/>
      <c r="AA1084" s="22"/>
    </row>
    <row r="1085" spans="1:27" ht="12.75" x14ac:dyDescent="0.2">
      <c r="A1085" s="22"/>
      <c r="B1085" s="418" t="str">
        <f ca="1">语言!A$479</f>
        <v>西希・沃尔基森道</v>
      </c>
      <c r="C1085" s="371"/>
      <c r="D1085" s="371"/>
      <c r="E1085" s="371"/>
      <c r="F1085" s="371"/>
      <c r="G1085" s="371"/>
      <c r="H1085" s="371"/>
      <c r="I1085" s="371"/>
      <c r="J1085" s="371"/>
      <c r="K1085" s="371"/>
      <c r="L1085" s="371"/>
      <c r="M1085" s="371"/>
      <c r="N1085" s="22"/>
      <c r="O1085" s="21" t="b">
        <v>0</v>
      </c>
      <c r="P1085" s="419" t="str">
        <f ca="1">道具!$C$298&amp;" ("&amp;语言!$A$20&amp;")"</f>
        <v>石弓 (上锁宝箱)</v>
      </c>
      <c r="Q1085" s="371"/>
      <c r="R1085" s="371"/>
      <c r="S1085" s="22"/>
      <c r="T1085" s="21" t="b">
        <v>0</v>
      </c>
      <c r="U1085" s="411" t="str">
        <f ca="1">道具!$C$14</f>
        <v>复活的橄榄</v>
      </c>
      <c r="V1085" s="371"/>
      <c r="W1085" s="22"/>
      <c r="X1085" s="371"/>
      <c r="Y1085" s="371"/>
      <c r="Z1085" s="371"/>
      <c r="AA1085" s="22"/>
    </row>
    <row r="1086" spans="1:27" ht="12.75" x14ac:dyDescent="0.2">
      <c r="A1086" s="22"/>
      <c r="B1086" s="418" t="str">
        <f ca="1">语言!A$481&amp;" ("&amp;语言!$A$42&amp;" "&amp;语言!$A$14&amp;" 1)"</f>
        <v>通往耳语之森的道路 (海茵特 章节 1)</v>
      </c>
      <c r="C1086" s="371"/>
      <c r="D1086" s="371"/>
      <c r="E1086" s="371"/>
      <c r="F1086" s="371"/>
      <c r="G1086" s="371"/>
      <c r="H1086" s="371"/>
      <c r="I1086" s="371"/>
      <c r="J1086" s="371"/>
      <c r="K1086" s="371"/>
      <c r="L1086" s="371"/>
      <c r="M1086" s="371"/>
      <c r="N1086" s="22"/>
      <c r="O1086" s="408" t="str">
        <f ca="1">语言!A$478&amp;" (4 "&amp;语言!$A$19&amp;")"</f>
        <v>北希・沃尔基森道 (4 宝箱)</v>
      </c>
      <c r="P1086" s="371"/>
      <c r="Q1086" s="371"/>
      <c r="R1086" s="371"/>
      <c r="S1086" s="22"/>
      <c r="T1086" s="21" t="b">
        <v>0</v>
      </c>
      <c r="U1086" s="403" t="str">
        <f ca="1">道具!$C$7</f>
        <v>ＳＰ恢复的李子（大）</v>
      </c>
      <c r="V1086" s="371"/>
      <c r="W1086" s="22"/>
      <c r="X1086" s="371"/>
      <c r="Y1086" s="371"/>
      <c r="Z1086" s="371"/>
      <c r="AA1086" s="22"/>
    </row>
    <row r="1087" spans="1:27" ht="12.75" x14ac:dyDescent="0.2">
      <c r="A1087" s="22"/>
      <c r="B1087" s="21" t="b">
        <v>0</v>
      </c>
      <c r="C1087" s="419" t="str">
        <f ca="1">敌人!C$121</f>
        <v>森林鼠人 I</v>
      </c>
      <c r="D1087" s="371"/>
      <c r="E1087" s="23">
        <f>敌人!D$121</f>
        <v>1</v>
      </c>
      <c r="F1087" s="23">
        <f>敌人!E$121</f>
        <v>0</v>
      </c>
      <c r="G1087" s="23">
        <f>敌人!F$121</f>
        <v>0</v>
      </c>
      <c r="H1087" s="23">
        <f>敌人!G$121</f>
        <v>0</v>
      </c>
      <c r="I1087" s="23">
        <f>敌人!H$121</f>
        <v>0</v>
      </c>
      <c r="J1087" s="23">
        <f>敌人!I$121</f>
        <v>0</v>
      </c>
      <c r="K1087" s="419" t="str">
        <f ca="1">敌人!J$121</f>
        <v>ＨＰ恢复的葡萄</v>
      </c>
      <c r="L1087" s="371"/>
      <c r="M1087" s="371"/>
      <c r="N1087" s="22"/>
      <c r="O1087" s="21" t="b">
        <v>0</v>
      </c>
      <c r="P1087" s="419" t="str">
        <f ca="1">道具!$C$14</f>
        <v>复活的橄榄</v>
      </c>
      <c r="Q1087" s="371"/>
      <c r="R1087" s="371"/>
      <c r="S1087" s="22"/>
      <c r="T1087" s="22"/>
      <c r="U1087" s="413" t="str">
        <f ca="1">"Available only during "&amp;语言!$A$42&amp;" chapter 1 ("&amp;语言!$A$1959&amp;")"</f>
        <v>Available only during 海茵特 chapter 1 (贵族奇兰的使者)</v>
      </c>
      <c r="V1087" s="371"/>
      <c r="W1087" s="22"/>
      <c r="X1087" s="409" t="b">
        <v>0</v>
      </c>
      <c r="Y1087" s="409" t="str">
        <f ca="1">语言!$A$2048&amp;" (NPC)
"&amp;语言!$A$1088&amp;":
"&amp;道具!$I$59&amp;"
Item:
"&amp;道具!$C$329</f>
        <v>流浪的学者 (NPC)
资讯:
大牙野猪的生态
Item:
权杖</v>
      </c>
      <c r="Z1087" s="410" t="str">
        <f ca="1">"NPC appears after completing "&amp;语言!$A$42&amp;" chapter 1. "&amp;语言!$A$45&amp;" / "&amp;语言!$A$49&amp;" him to get "&amp;道具!I$59&amp;" and "&amp;语言!$A$47&amp;" / "&amp;语言!$A$51&amp;" him to get a "&amp;道具!$C$329&amp;"."</f>
        <v>NPC appears after completing 海茵特 chapter 1. 探查 / 打听 him to get 大牙野猪的生态 and 比试 / 唆使 him to get a 权杖.</v>
      </c>
      <c r="AA1087" s="22"/>
    </row>
    <row r="1088" spans="1:27" ht="12.75" x14ac:dyDescent="0.2">
      <c r="A1088" s="22"/>
      <c r="B1088" s="21" t="b">
        <v>0</v>
      </c>
      <c r="C1088" s="419" t="str">
        <f ca="1">敌人!C$122</f>
        <v>森林鼠人 II</v>
      </c>
      <c r="D1088" s="371"/>
      <c r="E1088" s="23">
        <f>敌人!D$122</f>
        <v>2</v>
      </c>
      <c r="F1088" s="23">
        <f>敌人!E$122</f>
        <v>0</v>
      </c>
      <c r="G1088" s="23">
        <f>敌人!F$122</f>
        <v>0</v>
      </c>
      <c r="H1088" s="23">
        <f>敌人!G$122</f>
        <v>0</v>
      </c>
      <c r="I1088" s="23">
        <f>敌人!H$122</f>
        <v>0</v>
      </c>
      <c r="J1088" s="23">
        <f>敌人!I$122</f>
        <v>0</v>
      </c>
      <c r="K1088" s="419" t="str">
        <f ca="1">敌人!J$122</f>
        <v>葡萄树液</v>
      </c>
      <c r="L1088" s="371"/>
      <c r="M1088" s="371"/>
      <c r="N1088" s="22"/>
      <c r="O1088" s="21" t="b">
        <v>0</v>
      </c>
      <c r="P1088" s="419" t="str">
        <f ca="1">道具!$C$22</f>
        <v>睡眠治疗药草</v>
      </c>
      <c r="Q1088" s="371"/>
      <c r="R1088" s="371"/>
      <c r="S1088" s="22"/>
      <c r="T1088" s="22"/>
      <c r="U1088" s="371"/>
      <c r="V1088" s="371"/>
      <c r="W1088" s="22"/>
      <c r="X1088" s="371"/>
      <c r="Y1088" s="371"/>
      <c r="Z1088" s="371"/>
      <c r="AA1088" s="22"/>
    </row>
    <row r="1089" spans="1:27" ht="12.75" x14ac:dyDescent="0.2">
      <c r="A1089" s="22"/>
      <c r="B1089" s="21" t="b">
        <v>0</v>
      </c>
      <c r="C1089" s="419" t="str">
        <f ca="1">敌人!C$123&amp;" (7+)"</f>
        <v>森林鼠人 III (7+)</v>
      </c>
      <c r="D1089" s="371"/>
      <c r="E1089" s="23">
        <f>敌人!D$123</f>
        <v>4</v>
      </c>
      <c r="F1089" s="23">
        <f>敌人!E$123</f>
        <v>0</v>
      </c>
      <c r="G1089" s="23">
        <f>敌人!F$123</f>
        <v>0</v>
      </c>
      <c r="H1089" s="23">
        <f>敌人!G$123</f>
        <v>0</v>
      </c>
      <c r="I1089" s="23">
        <f>敌人!H$123</f>
        <v>0</v>
      </c>
      <c r="J1089" s="23">
        <f>敌人!I$123</f>
        <v>0</v>
      </c>
      <c r="K1089" s="419" t="str">
        <f ca="1">敌人!J$123</f>
        <v>ＳＰ恢复的李子</v>
      </c>
      <c r="L1089" s="371"/>
      <c r="M1089" s="371"/>
      <c r="N1089" s="22"/>
      <c r="O1089" s="21" t="b">
        <v>0</v>
      </c>
      <c r="P1089" s="419" t="str">
        <f ca="1">道具!$C$3</f>
        <v>ＨＰ恢复的葡萄</v>
      </c>
      <c r="Q1089" s="371"/>
      <c r="R1089" s="371"/>
      <c r="S1089" s="22"/>
      <c r="T1089" s="22"/>
      <c r="U1089" s="412"/>
      <c r="V1089" s="371"/>
      <c r="W1089" s="22"/>
      <c r="X1089" s="371"/>
      <c r="Y1089" s="371"/>
      <c r="Z1089" s="371"/>
      <c r="AA1089" s="22"/>
    </row>
    <row r="1090" spans="1:27" ht="12.75" x14ac:dyDescent="0.2">
      <c r="A1090" s="22"/>
      <c r="B1090" s="21" t="b">
        <v>0</v>
      </c>
      <c r="C1090" s="419" t="str">
        <f ca="1">敌人!C$225</f>
        <v>摩斯比仆</v>
      </c>
      <c r="D1090" s="371"/>
      <c r="E1090" s="23">
        <f>敌人!D$225</f>
        <v>2</v>
      </c>
      <c r="F1090" s="23">
        <f>敌人!E$225</f>
        <v>0</v>
      </c>
      <c r="G1090" s="23">
        <f>敌人!F$225</f>
        <v>0</v>
      </c>
      <c r="H1090" s="23">
        <f>敌人!G$225</f>
        <v>0</v>
      </c>
      <c r="I1090" s="23">
        <f>敌人!H$225</f>
        <v>0</v>
      </c>
      <c r="J1090" s="23">
        <f>敌人!I$225</f>
        <v>0</v>
      </c>
      <c r="K1090" s="419" t="str">
        <f ca="1">敌人!J$225</f>
        <v>石榴树液</v>
      </c>
      <c r="L1090" s="371"/>
      <c r="M1090" s="371"/>
      <c r="N1090" s="22"/>
      <c r="O1090" s="21" t="b">
        <v>0</v>
      </c>
      <c r="P1090" s="419" t="str">
        <f ca="1">道具!$C$72</f>
        <v>增强回避的坚果</v>
      </c>
      <c r="Q1090" s="371"/>
      <c r="R1090" s="371"/>
      <c r="S1090" s="22"/>
      <c r="T1090" s="22"/>
      <c r="U1090" s="412"/>
      <c r="V1090" s="371"/>
      <c r="W1090" s="22"/>
      <c r="X1090" s="371"/>
      <c r="Y1090" s="371"/>
      <c r="Z1090" s="371"/>
      <c r="AA1090" s="22"/>
    </row>
    <row r="1091" spans="1:27" ht="12.75" x14ac:dyDescent="0.2">
      <c r="A1091" s="22"/>
      <c r="B1091" s="21" t="b">
        <v>0</v>
      </c>
      <c r="C1091" s="419" t="str">
        <f ca="1">敌人!C$217</f>
        <v>土拨鼠</v>
      </c>
      <c r="D1091" s="371"/>
      <c r="E1091" s="23">
        <f>敌人!D$217</f>
        <v>1</v>
      </c>
      <c r="F1091" s="23">
        <f>敌人!E$217</f>
        <v>0</v>
      </c>
      <c r="G1091" s="23">
        <f>敌人!F$217</f>
        <v>0</v>
      </c>
      <c r="H1091" s="23">
        <f>敌人!G$217</f>
        <v>0</v>
      </c>
      <c r="I1091" s="23">
        <f>敌人!H$217</f>
        <v>0</v>
      </c>
      <c r="J1091" s="23">
        <f>敌人!I$217</f>
        <v>0</v>
      </c>
      <c r="K1091" s="419" t="str">
        <f ca="1">敌人!J$217</f>
        <v>石榴树液</v>
      </c>
      <c r="L1091" s="371"/>
      <c r="M1091" s="371"/>
      <c r="N1091" s="22"/>
      <c r="O1091" s="408" t="str">
        <f ca="1">语言!A$479&amp;" (3 "&amp;语言!$A$19&amp;")"</f>
        <v>西希・沃尔基森道 (3 宝箱)</v>
      </c>
      <c r="P1091" s="371"/>
      <c r="Q1091" s="371"/>
      <c r="R1091" s="371"/>
      <c r="S1091" s="22"/>
      <c r="T1091" s="22"/>
      <c r="U1091" s="412"/>
      <c r="V1091" s="371"/>
      <c r="W1091" s="22"/>
      <c r="X1091" s="371"/>
      <c r="Y1091" s="371"/>
      <c r="Z1091" s="371"/>
      <c r="AA1091" s="22"/>
    </row>
    <row r="1092" spans="1:27" ht="12.75" x14ac:dyDescent="0.2">
      <c r="A1092" s="22"/>
      <c r="B1092" s="21" t="b">
        <v>0</v>
      </c>
      <c r="C1092" s="419" t="str">
        <f ca="1">敌人!C$212&amp;" (7+)"</f>
        <v>大尾土拨鼠 (7+)</v>
      </c>
      <c r="D1092" s="371"/>
      <c r="E1092" s="23">
        <f>敌人!D$212</f>
        <v>3</v>
      </c>
      <c r="F1092" s="23">
        <f>敌人!E$212</f>
        <v>0</v>
      </c>
      <c r="G1092" s="23">
        <f>敌人!F$212</f>
        <v>0</v>
      </c>
      <c r="H1092" s="23">
        <f>敌人!G$212</f>
        <v>0</v>
      </c>
      <c r="I1092" s="23">
        <f>敌人!H$212</f>
        <v>0</v>
      </c>
      <c r="J1092" s="23">
        <f>敌人!I$212</f>
        <v>0</v>
      </c>
      <c r="K1092" s="419" t="str">
        <f ca="1">敌人!J$212</f>
        <v>石榴树液</v>
      </c>
      <c r="L1092" s="371"/>
      <c r="M1092" s="371"/>
      <c r="N1092" s="22"/>
      <c r="O1092" s="21" t="b">
        <v>0</v>
      </c>
      <c r="P1092" s="419" t="str">
        <f ca="1">道具!$C$6</f>
        <v>ＳＰ恢复的李子</v>
      </c>
      <c r="Q1092" s="371"/>
      <c r="R1092" s="371"/>
      <c r="S1092" s="22"/>
      <c r="T1092" s="22"/>
      <c r="U1092" s="412"/>
      <c r="V1092" s="371"/>
      <c r="W1092" s="22"/>
      <c r="X1092" s="408" t="str">
        <f ca="1">语言!A$479</f>
        <v>西希・沃尔基森道</v>
      </c>
      <c r="Y1092" s="371"/>
      <c r="Z1092" s="371"/>
      <c r="AA1092" s="22"/>
    </row>
    <row r="1093" spans="1:27" ht="12.75" x14ac:dyDescent="0.2">
      <c r="A1093" s="22"/>
      <c r="B1093" s="21" t="b">
        <v>0</v>
      </c>
      <c r="C1093" s="419" t="str">
        <f ca="1">敌人!C$136&amp;" (11)"</f>
        <v>大牙野猪 (11)</v>
      </c>
      <c r="D1093" s="371"/>
      <c r="E1093" s="23">
        <f>敌人!D$136</f>
        <v>2</v>
      </c>
      <c r="F1093" s="23">
        <f>敌人!E$136</f>
        <v>0</v>
      </c>
      <c r="G1093" s="23">
        <f>敌人!F$136</f>
        <v>0</v>
      </c>
      <c r="H1093" s="23">
        <f>敌人!G$136</f>
        <v>0</v>
      </c>
      <c r="I1093" s="23">
        <f>敌人!H$136</f>
        <v>0</v>
      </c>
      <c r="J1093" s="23">
        <f>敌人!I$136</f>
        <v>0</v>
      </c>
      <c r="K1093" s="419" t="str">
        <f ca="1">敌人!J$136</f>
        <v>橄榄花</v>
      </c>
      <c r="L1093" s="371"/>
      <c r="M1093" s="371"/>
      <c r="N1093" s="22"/>
      <c r="O1093" s="21" t="b">
        <v>0</v>
      </c>
      <c r="P1093" s="419" t="str">
        <f ca="1">道具!$C$14</f>
        <v>复活的橄榄</v>
      </c>
      <c r="Q1093" s="371"/>
      <c r="R1093" s="371"/>
      <c r="S1093" s="22"/>
      <c r="T1093" s="22"/>
      <c r="U1093" s="412"/>
      <c r="V1093" s="371"/>
      <c r="W1093" s="22"/>
      <c r="X1093" s="409" t="b">
        <v>0</v>
      </c>
      <c r="Y1093" s="401" t="str">
        <f ca="1">语言!$A$1766&amp;" (NPC)
Item:
"&amp;道具!$C$137</f>
        <v>阿尔法丝 (NPC)
Item:
魔力之剑</v>
      </c>
      <c r="Z1093" s="410" t="str">
        <f ca="1">"NPC at this location during quest: "&amp;支线!$C$136&amp;". Last chance to get "&amp;道具!$C$137&amp;" through "&amp;语言!$A$47&amp;" / "&amp;语言!$A$51&amp;"."</f>
        <v>NPC at this location during quest: 团长与阿尔法丝，在那之后. Last chance to get 魔力之剑 through 比试 / 唆使.</v>
      </c>
      <c r="AA1093" s="22"/>
    </row>
    <row r="1094" spans="1:27" ht="12.75" x14ac:dyDescent="0.2">
      <c r="A1094" s="22"/>
      <c r="B1094" s="420" t="str">
        <f ca="1">语言!$A$17&amp;" (West S'warkii Trail, quest: Alphas and the Impresario)"</f>
        <v>特殊怪 (West S'warkii Trail, quest: Alphas and the Impresario)</v>
      </c>
      <c r="C1094" s="371"/>
      <c r="D1094" s="371"/>
      <c r="E1094" s="371"/>
      <c r="F1094" s="371"/>
      <c r="G1094" s="371"/>
      <c r="H1094" s="371"/>
      <c r="I1094" s="371"/>
      <c r="J1094" s="371"/>
      <c r="K1094" s="371"/>
      <c r="L1094" s="371"/>
      <c r="M1094" s="371"/>
      <c r="N1094" s="22"/>
      <c r="O1094" s="21" t="b">
        <v>0</v>
      </c>
      <c r="P1094" s="419" t="str">
        <f ca="1">道具!$C$20</f>
        <v>黑暗治疗药草</v>
      </c>
      <c r="Q1094" s="371"/>
      <c r="R1094" s="371"/>
      <c r="S1094" s="22"/>
      <c r="T1094" s="22"/>
      <c r="U1094" s="412"/>
      <c r="V1094" s="371"/>
      <c r="W1094" s="22"/>
      <c r="X1094" s="371"/>
      <c r="Y1094" s="371"/>
      <c r="Z1094" s="371"/>
      <c r="AA1094" s="22"/>
    </row>
    <row r="1095" spans="1:27" ht="12.75" x14ac:dyDescent="0.2">
      <c r="A1095" s="22"/>
      <c r="B1095" s="21" t="b">
        <v>0</v>
      </c>
      <c r="C1095" s="411" t="str">
        <f ca="1">敌人!C$505</f>
        <v>碧眼之虎</v>
      </c>
      <c r="D1095" s="371"/>
      <c r="E1095" s="21">
        <f>敌人!D$505</f>
        <v>4</v>
      </c>
      <c r="F1095" s="21">
        <f>敌人!E$505</f>
        <v>0</v>
      </c>
      <c r="G1095" s="21">
        <f>敌人!F$505</f>
        <v>0</v>
      </c>
      <c r="H1095" s="21">
        <f>敌人!G$505</f>
        <v>0</v>
      </c>
      <c r="I1095" s="21">
        <f>敌人!H$505</f>
        <v>0</v>
      </c>
      <c r="J1095" s="21">
        <f>敌人!I$505</f>
        <v>0</v>
      </c>
      <c r="K1095" s="411" t="str">
        <f ca="1">敌人!J$505</f>
        <v>ＳＰ全体恢复的李子</v>
      </c>
      <c r="L1095" s="371"/>
      <c r="M1095" s="371"/>
      <c r="N1095" s="22"/>
      <c r="O1095" s="408" t="str">
        <f ca="1">语言!A$480&amp;" (4 "&amp;语言!$A$19&amp;")"</f>
        <v>兽径 (4 宝箱)</v>
      </c>
      <c r="P1095" s="371"/>
      <c r="Q1095" s="371"/>
      <c r="R1095" s="371"/>
      <c r="S1095" s="22"/>
      <c r="T1095" s="22"/>
      <c r="U1095" s="412"/>
      <c r="V1095" s="371"/>
      <c r="W1095" s="22"/>
      <c r="X1095" s="371"/>
      <c r="Y1095" s="371"/>
      <c r="Z1095" s="371"/>
      <c r="AA1095" s="22"/>
    </row>
    <row r="1096" spans="1:27" ht="12.75" x14ac:dyDescent="0.2">
      <c r="A1096" s="22"/>
      <c r="B1096" s="22"/>
      <c r="C1096" s="412"/>
      <c r="D1096" s="371"/>
      <c r="E1096" s="22"/>
      <c r="F1096" s="22"/>
      <c r="G1096" s="22"/>
      <c r="H1096" s="22"/>
      <c r="I1096" s="22"/>
      <c r="J1096" s="22"/>
      <c r="K1096" s="412"/>
      <c r="L1096" s="371"/>
      <c r="M1096" s="371"/>
      <c r="N1096" s="22"/>
      <c r="O1096" s="21" t="b">
        <v>0</v>
      </c>
      <c r="P1096" s="419" t="str">
        <f ca="1">道具!$C$7</f>
        <v>ＳＰ恢复的李子（大）</v>
      </c>
      <c r="Q1096" s="371"/>
      <c r="R1096" s="371"/>
      <c r="S1096" s="22"/>
      <c r="T1096" s="22"/>
      <c r="U1096" s="412"/>
      <c r="V1096" s="371"/>
      <c r="W1096" s="22"/>
      <c r="X1096" s="371"/>
      <c r="Y1096" s="371"/>
      <c r="Z1096" s="371"/>
      <c r="AA1096" s="22"/>
    </row>
    <row r="1097" spans="1:27" ht="12.75" x14ac:dyDescent="0.2">
      <c r="A1097" s="22"/>
      <c r="B1097" s="408" t="str">
        <f ca="1">语言!A$480&amp;" ("&amp;语言!$A$12&amp;" 15)"</f>
        <v>兽径 (危险度 15)</v>
      </c>
      <c r="C1097" s="371"/>
      <c r="D1097" s="371"/>
      <c r="E1097" s="371"/>
      <c r="F1097" s="371"/>
      <c r="G1097" s="371"/>
      <c r="H1097" s="371"/>
      <c r="I1097" s="371"/>
      <c r="J1097" s="371"/>
      <c r="K1097" s="371"/>
      <c r="L1097" s="371"/>
      <c r="M1097" s="371"/>
      <c r="N1097" s="22"/>
      <c r="O1097" s="21" t="b">
        <v>0</v>
      </c>
      <c r="P1097" s="419" t="s">
        <v>20</v>
      </c>
      <c r="Q1097" s="371"/>
      <c r="R1097" s="371"/>
      <c r="S1097" s="22"/>
      <c r="T1097" s="22"/>
      <c r="U1097" s="412"/>
      <c r="V1097" s="371"/>
      <c r="W1097" s="22"/>
      <c r="X1097" s="64"/>
      <c r="Y1097" s="64"/>
      <c r="Z1097" s="65"/>
      <c r="AA1097" s="22"/>
    </row>
    <row r="1098" spans="1:27" ht="12.75" x14ac:dyDescent="0.2">
      <c r="A1098" s="22"/>
      <c r="B1098" s="21" t="b">
        <v>0</v>
      </c>
      <c r="C1098" s="419" t="str">
        <f ca="1">敌人!C$136</f>
        <v>大牙野猪</v>
      </c>
      <c r="D1098" s="371"/>
      <c r="E1098" s="23">
        <f>敌人!D$136</f>
        <v>2</v>
      </c>
      <c r="F1098" s="23">
        <f>敌人!E$136</f>
        <v>0</v>
      </c>
      <c r="G1098" s="23">
        <f>敌人!F$136</f>
        <v>0</v>
      </c>
      <c r="H1098" s="23">
        <f>敌人!G$136</f>
        <v>0</v>
      </c>
      <c r="I1098" s="23">
        <f>敌人!H$136</f>
        <v>0</v>
      </c>
      <c r="J1098" s="23">
        <f>敌人!I$136</f>
        <v>0</v>
      </c>
      <c r="K1098" s="419" t="str">
        <f ca="1">敌人!J$136</f>
        <v>橄榄花</v>
      </c>
      <c r="L1098" s="371"/>
      <c r="M1098" s="371"/>
      <c r="N1098" s="22"/>
      <c r="O1098" s="21" t="b">
        <v>0</v>
      </c>
      <c r="P1098" s="419" t="str">
        <f ca="1">道具!$C$59</f>
        <v>增强物防的坚果</v>
      </c>
      <c r="Q1098" s="371"/>
      <c r="R1098" s="371"/>
      <c r="S1098" s="22"/>
      <c r="T1098" s="22"/>
      <c r="U1098" s="412"/>
      <c r="V1098" s="371"/>
      <c r="W1098" s="22"/>
      <c r="X1098" s="64"/>
      <c r="Y1098" s="64"/>
      <c r="Z1098" s="65"/>
      <c r="AA1098" s="22"/>
    </row>
    <row r="1099" spans="1:27" ht="12.75" x14ac:dyDescent="0.2">
      <c r="A1099" s="22"/>
      <c r="B1099" s="21" t="b">
        <v>0</v>
      </c>
      <c r="C1099" s="419" t="str">
        <f ca="1">敌人!C$247</f>
        <v>红森林狐狸</v>
      </c>
      <c r="D1099" s="371"/>
      <c r="E1099" s="23">
        <f>敌人!D$247</f>
        <v>2</v>
      </c>
      <c r="F1099" s="23">
        <f>敌人!E$247</f>
        <v>0</v>
      </c>
      <c r="G1099" s="23">
        <f>敌人!F$247</f>
        <v>0</v>
      </c>
      <c r="H1099" s="23">
        <f>敌人!G$247</f>
        <v>0</v>
      </c>
      <c r="I1099" s="23">
        <f>敌人!H$247</f>
        <v>0</v>
      </c>
      <c r="J1099" s="23">
        <f>敌人!I$247</f>
        <v>0</v>
      </c>
      <c r="K1099" s="419" t="str">
        <f ca="1">敌人!J$247</f>
        <v>ＳＰ恢复的李子</v>
      </c>
      <c r="L1099" s="371"/>
      <c r="M1099" s="371"/>
      <c r="N1099" s="22"/>
      <c r="O1099" s="21" t="b">
        <v>0</v>
      </c>
      <c r="P1099" s="419" t="str">
        <f ca="1">道具!$C$194&amp;" ("&amp;语言!$A$20&amp;")"</f>
        <v>战争骑枪 (上锁宝箱)</v>
      </c>
      <c r="Q1099" s="371"/>
      <c r="R1099" s="371"/>
      <c r="S1099" s="22"/>
      <c r="T1099" s="22"/>
      <c r="U1099" s="412"/>
      <c r="V1099" s="371"/>
      <c r="W1099" s="22"/>
      <c r="X1099" s="22"/>
      <c r="Y1099" s="22"/>
      <c r="Z1099" s="22"/>
      <c r="AA1099" s="22"/>
    </row>
    <row r="1100" spans="1:27" ht="12.75" x14ac:dyDescent="0.2">
      <c r="A1100" s="22"/>
      <c r="B1100" s="21" t="b">
        <v>0</v>
      </c>
      <c r="C1100" s="419" t="str">
        <f ca="1">敌人!C$212</f>
        <v>大尾土拨鼠</v>
      </c>
      <c r="D1100" s="371"/>
      <c r="E1100" s="23">
        <f>敌人!D$212</f>
        <v>3</v>
      </c>
      <c r="F1100" s="23">
        <f>敌人!E$212</f>
        <v>0</v>
      </c>
      <c r="G1100" s="23">
        <f>敌人!F$212</f>
        <v>0</v>
      </c>
      <c r="H1100" s="23">
        <f>敌人!G$212</f>
        <v>0</v>
      </c>
      <c r="I1100" s="23">
        <f>敌人!H$212</f>
        <v>0</v>
      </c>
      <c r="J1100" s="23">
        <f>敌人!I$212</f>
        <v>0</v>
      </c>
      <c r="K1100" s="419" t="str">
        <f ca="1">敌人!J$212</f>
        <v>石榴树液</v>
      </c>
      <c r="L1100" s="371"/>
      <c r="M1100" s="371"/>
      <c r="N1100" s="22"/>
      <c r="O1100" s="22"/>
      <c r="P1100" s="412"/>
      <c r="Q1100" s="371"/>
      <c r="R1100" s="371"/>
      <c r="S1100" s="22"/>
      <c r="T1100" s="22"/>
      <c r="U1100" s="412"/>
      <c r="V1100" s="371"/>
      <c r="W1100" s="22"/>
      <c r="X1100" s="22"/>
      <c r="Y1100" s="22"/>
      <c r="Z1100" s="22"/>
      <c r="AA1100" s="22"/>
    </row>
    <row r="1101" spans="1:27" ht="12.75" x14ac:dyDescent="0.2">
      <c r="A1101" s="22"/>
      <c r="B1101" s="21" t="b">
        <v>0</v>
      </c>
      <c r="C1101" s="419" t="str">
        <f ca="1">敌人!C$326</f>
        <v>薯虫</v>
      </c>
      <c r="D1101" s="371"/>
      <c r="E1101" s="23">
        <f>敌人!D$326</f>
        <v>3</v>
      </c>
      <c r="F1101" s="23">
        <f>敌人!E$326</f>
        <v>0</v>
      </c>
      <c r="G1101" s="23">
        <f>敌人!F$326</f>
        <v>0</v>
      </c>
      <c r="H1101" s="23">
        <f>敌人!G$326</f>
        <v>0</v>
      </c>
      <c r="I1101" s="23">
        <f>敌人!H$326</f>
        <v>0</v>
      </c>
      <c r="J1101" s="23">
        <f>敌人!I$326</f>
        <v>0</v>
      </c>
      <c r="K1101" s="419" t="str">
        <f ca="1">敌人!J$326</f>
        <v>ＨＰ恢复的葡萄（大）</v>
      </c>
      <c r="L1101" s="371"/>
      <c r="M1101" s="371"/>
      <c r="N1101" s="22"/>
      <c r="O1101" s="22"/>
      <c r="P1101" s="412"/>
      <c r="Q1101" s="371"/>
      <c r="R1101" s="371"/>
      <c r="S1101" s="22"/>
      <c r="T1101" s="22"/>
      <c r="U1101" s="412"/>
      <c r="V1101" s="371"/>
      <c r="W1101" s="22"/>
      <c r="X1101" s="22"/>
      <c r="Y1101" s="22"/>
      <c r="Z1101" s="22"/>
      <c r="AA1101" s="22"/>
    </row>
    <row r="1102" spans="1:27" ht="12.75" x14ac:dyDescent="0.2">
      <c r="A1102" s="22"/>
      <c r="B1102" s="21" t="b">
        <v>0</v>
      </c>
      <c r="C1102" s="419" t="str">
        <f ca="1">敌人!C$347</f>
        <v>风来草</v>
      </c>
      <c r="D1102" s="371"/>
      <c r="E1102" s="23">
        <f>敌人!D$347</f>
        <v>3</v>
      </c>
      <c r="F1102" s="23">
        <f>敌人!E$347</f>
        <v>0</v>
      </c>
      <c r="G1102" s="23">
        <f>敌人!F$347</f>
        <v>0</v>
      </c>
      <c r="H1102" s="23">
        <f>敌人!G$347</f>
        <v>0</v>
      </c>
      <c r="I1102" s="23">
        <f>敌人!H$347</f>
        <v>0</v>
      </c>
      <c r="J1102" s="23">
        <f>敌人!I$347</f>
        <v>0</v>
      </c>
      <c r="K1102" s="419" t="str">
        <f ca="1">敌人!J$347</f>
        <v>混乱多之叶</v>
      </c>
      <c r="L1102" s="371"/>
      <c r="M1102" s="371"/>
      <c r="N1102" s="22"/>
      <c r="O1102" s="22"/>
      <c r="P1102" s="412"/>
      <c r="Q1102" s="371"/>
      <c r="R1102" s="371"/>
      <c r="S1102" s="22"/>
      <c r="T1102" s="22"/>
      <c r="U1102" s="412"/>
      <c r="V1102" s="371"/>
      <c r="W1102" s="22"/>
      <c r="X1102" s="22"/>
      <c r="Y1102" s="22"/>
      <c r="Z1102" s="22"/>
      <c r="AA1102" s="22"/>
    </row>
    <row r="1103" spans="1:27" ht="12.75" x14ac:dyDescent="0.2">
      <c r="A1103" s="22"/>
      <c r="B1103" s="21" t="b">
        <v>0</v>
      </c>
      <c r="C1103" s="419" t="str">
        <f ca="1">敌人!C$168</f>
        <v>咆哮者</v>
      </c>
      <c r="D1103" s="371"/>
      <c r="E1103" s="23">
        <f>敌人!D$168</f>
        <v>1</v>
      </c>
      <c r="F1103" s="23">
        <f>敌人!E$168</f>
        <v>0</v>
      </c>
      <c r="G1103" s="23">
        <f>敌人!F$168</f>
        <v>0</v>
      </c>
      <c r="H1103" s="23">
        <f>敌人!G$168</f>
        <v>0</v>
      </c>
      <c r="I1103" s="23">
        <f>敌人!H$168</f>
        <v>0</v>
      </c>
      <c r="J1103" s="23">
        <f>敌人!I$168</f>
        <v>0</v>
      </c>
      <c r="K1103" s="419" t="str">
        <f ca="1">敌人!J$168</f>
        <v>石榴树液</v>
      </c>
      <c r="L1103" s="371"/>
      <c r="M1103" s="371"/>
      <c r="N1103" s="22"/>
      <c r="O1103" s="22"/>
      <c r="P1103" s="494"/>
      <c r="Q1103" s="371"/>
      <c r="R1103" s="371"/>
      <c r="S1103" s="22"/>
      <c r="T1103" s="22"/>
      <c r="U1103" s="412"/>
      <c r="V1103" s="371"/>
      <c r="W1103" s="22"/>
      <c r="X1103" s="22"/>
      <c r="Y1103" s="22"/>
      <c r="Z1103" s="22"/>
      <c r="AA1103" s="22"/>
    </row>
    <row r="1104" spans="1:27" ht="12.75" x14ac:dyDescent="0.2">
      <c r="A1104" s="22"/>
      <c r="B1104" s="22"/>
      <c r="C1104" s="412"/>
      <c r="D1104" s="371"/>
      <c r="E1104" s="22"/>
      <c r="F1104" s="22"/>
      <c r="G1104" s="22"/>
      <c r="H1104" s="22"/>
      <c r="I1104" s="22"/>
      <c r="J1104" s="22"/>
      <c r="K1104" s="412"/>
      <c r="L1104" s="371"/>
      <c r="M1104" s="371"/>
      <c r="N1104" s="22"/>
      <c r="O1104" s="22"/>
      <c r="P1104" s="494"/>
      <c r="Q1104" s="371"/>
      <c r="R1104" s="371"/>
      <c r="S1104" s="22"/>
      <c r="T1104" s="22"/>
      <c r="U1104" s="412"/>
      <c r="V1104" s="371"/>
      <c r="W1104" s="22"/>
      <c r="X1104" s="22"/>
      <c r="Y1104" s="22"/>
      <c r="Z1104" s="22"/>
      <c r="AA1104" s="22"/>
    </row>
    <row r="1105" spans="1:27" ht="12.75" x14ac:dyDescent="0.2">
      <c r="A1105" s="22"/>
      <c r="B1105" s="417" t="str">
        <f ca="1">语言!$A$42&amp;" "&amp;语言!$A$14&amp;" 1"</f>
        <v>海茵特 章节 1</v>
      </c>
      <c r="C1105" s="371"/>
      <c r="D1105" s="371"/>
      <c r="E1105" s="371"/>
      <c r="F1105" s="371"/>
      <c r="G1105" s="371"/>
      <c r="H1105" s="371"/>
      <c r="I1105" s="371"/>
      <c r="J1105" s="371"/>
      <c r="K1105" s="371"/>
      <c r="L1105" s="371"/>
      <c r="M1105" s="371"/>
      <c r="N1105" s="22"/>
      <c r="O1105" s="417" t="str">
        <f ca="1">语言!$A$42&amp;" "&amp;语言!$A$14&amp;" 1"</f>
        <v>海茵特 章节 1</v>
      </c>
      <c r="P1105" s="371"/>
      <c r="Q1105" s="371"/>
      <c r="R1105" s="371"/>
      <c r="S1105" s="22"/>
      <c r="T1105" s="22"/>
      <c r="U1105" s="412"/>
      <c r="V1105" s="371"/>
      <c r="W1105" s="22"/>
      <c r="X1105" s="22"/>
      <c r="Y1105" s="22"/>
      <c r="Z1105" s="22"/>
      <c r="AA1105" s="22"/>
    </row>
    <row r="1106" spans="1:27" ht="12.75" x14ac:dyDescent="0.2">
      <c r="A1106" s="22"/>
      <c r="B1106" s="408" t="str">
        <f ca="1">语言!A$482&amp;" ("&amp;语言!$A$12&amp;" 1 - 4 - 7 - 11)"</f>
        <v>耳语之森 (危险度 1 - 4 - 7 - 11)</v>
      </c>
      <c r="C1106" s="371"/>
      <c r="D1106" s="371"/>
      <c r="E1106" s="371"/>
      <c r="F1106" s="371"/>
      <c r="G1106" s="371"/>
      <c r="H1106" s="371"/>
      <c r="I1106" s="371"/>
      <c r="J1106" s="371"/>
      <c r="K1106" s="371"/>
      <c r="L1106" s="371"/>
      <c r="M1106" s="371"/>
      <c r="N1106" s="22"/>
      <c r="O1106" s="408" t="str">
        <f ca="1">语言!A$481&amp;" (4 "&amp;语言!$A$19&amp;")"</f>
        <v>通往耳语之森的道路 (4 宝箱)</v>
      </c>
      <c r="P1106" s="371"/>
      <c r="Q1106" s="371"/>
      <c r="R1106" s="371"/>
      <c r="S1106" s="22"/>
      <c r="T1106" s="22"/>
      <c r="U1106" s="412"/>
      <c r="V1106" s="371"/>
      <c r="W1106" s="22"/>
      <c r="X1106" s="22"/>
      <c r="Y1106" s="22"/>
      <c r="Z1106" s="22"/>
      <c r="AA1106" s="22"/>
    </row>
    <row r="1107" spans="1:27" ht="12.75" x14ac:dyDescent="0.2">
      <c r="A1107" s="22"/>
      <c r="B1107" s="21" t="b">
        <v>0</v>
      </c>
      <c r="C1107" s="419" t="str">
        <f ca="1">敌人!C$121</f>
        <v>森林鼠人 I</v>
      </c>
      <c r="D1107" s="371"/>
      <c r="E1107" s="23">
        <f>敌人!D$121</f>
        <v>1</v>
      </c>
      <c r="F1107" s="23">
        <f>敌人!E$121</f>
        <v>0</v>
      </c>
      <c r="G1107" s="23">
        <f>敌人!F$121</f>
        <v>0</v>
      </c>
      <c r="H1107" s="23">
        <f>敌人!G$121</f>
        <v>0</v>
      </c>
      <c r="I1107" s="23">
        <f>敌人!H$121</f>
        <v>0</v>
      </c>
      <c r="J1107" s="23">
        <f>敌人!I$121</f>
        <v>0</v>
      </c>
      <c r="K1107" s="419" t="str">
        <f ca="1">敌人!J$121</f>
        <v>ＨＰ恢复的葡萄</v>
      </c>
      <c r="L1107" s="371"/>
      <c r="M1107" s="371"/>
      <c r="N1107" s="22"/>
      <c r="O1107" s="21" t="b">
        <v>0</v>
      </c>
      <c r="P1107" s="419" t="str">
        <f ca="1">道具!$C$46</f>
        <v>暗之精灵石</v>
      </c>
      <c r="Q1107" s="371"/>
      <c r="R1107" s="371"/>
      <c r="S1107" s="22"/>
      <c r="T1107" s="22"/>
      <c r="U1107" s="412"/>
      <c r="V1107" s="371"/>
      <c r="W1107" s="22"/>
      <c r="X1107" s="22"/>
      <c r="Y1107" s="22"/>
      <c r="Z1107" s="22"/>
      <c r="AA1107" s="22"/>
    </row>
    <row r="1108" spans="1:27" ht="12.75" x14ac:dyDescent="0.2">
      <c r="A1108" s="22"/>
      <c r="B1108" s="21" t="b">
        <v>0</v>
      </c>
      <c r="C1108" s="419" t="str">
        <f ca="1">敌人!C$122</f>
        <v>森林鼠人 II</v>
      </c>
      <c r="D1108" s="371"/>
      <c r="E1108" s="23">
        <f>敌人!D$122</f>
        <v>2</v>
      </c>
      <c r="F1108" s="23">
        <f>敌人!E$122</f>
        <v>0</v>
      </c>
      <c r="G1108" s="23">
        <f>敌人!F$122</f>
        <v>0</v>
      </c>
      <c r="H1108" s="23">
        <f>敌人!G$122</f>
        <v>0</v>
      </c>
      <c r="I1108" s="23">
        <f>敌人!H$122</f>
        <v>0</v>
      </c>
      <c r="J1108" s="23">
        <f>敌人!I$122</f>
        <v>0</v>
      </c>
      <c r="K1108" s="419" t="str">
        <f ca="1">敌人!J$122</f>
        <v>葡萄树液</v>
      </c>
      <c r="L1108" s="371"/>
      <c r="M1108" s="371"/>
      <c r="N1108" s="22"/>
      <c r="O1108" s="21" t="b">
        <v>0</v>
      </c>
      <c r="P1108" s="419" t="str">
        <f ca="1">道具!$C$3</f>
        <v>ＨＰ恢复的葡萄</v>
      </c>
      <c r="Q1108" s="371"/>
      <c r="R1108" s="371"/>
      <c r="S1108" s="22"/>
      <c r="T1108" s="22"/>
      <c r="U1108" s="412"/>
      <c r="V1108" s="371"/>
      <c r="W1108" s="22"/>
      <c r="X1108" s="22"/>
      <c r="Y1108" s="22"/>
      <c r="Z1108" s="22"/>
      <c r="AA1108" s="22"/>
    </row>
    <row r="1109" spans="1:27" ht="12.75" x14ac:dyDescent="0.2">
      <c r="A1109" s="22"/>
      <c r="B1109" s="21" t="b">
        <v>0</v>
      </c>
      <c r="C1109" s="419" t="str">
        <f ca="1">敌人!C$123&amp;" (7+)"</f>
        <v>森林鼠人 III (7+)</v>
      </c>
      <c r="D1109" s="371"/>
      <c r="E1109" s="23">
        <f>敌人!D$123</f>
        <v>4</v>
      </c>
      <c r="F1109" s="23">
        <f>敌人!E$123</f>
        <v>0</v>
      </c>
      <c r="G1109" s="23">
        <f>敌人!F$123</f>
        <v>0</v>
      </c>
      <c r="H1109" s="23">
        <f>敌人!G$123</f>
        <v>0</v>
      </c>
      <c r="I1109" s="23">
        <f>敌人!H$123</f>
        <v>0</v>
      </c>
      <c r="J1109" s="23">
        <f>敌人!I$123</f>
        <v>0</v>
      </c>
      <c r="K1109" s="419" t="str">
        <f ca="1">敌人!J$123</f>
        <v>ＳＰ恢复的李子</v>
      </c>
      <c r="L1109" s="371"/>
      <c r="M1109" s="371"/>
      <c r="N1109" s="22"/>
      <c r="O1109" s="21" t="b">
        <v>0</v>
      </c>
      <c r="P1109" s="458">
        <v>500</v>
      </c>
      <c r="Q1109" s="371"/>
      <c r="R1109" s="371"/>
      <c r="S1109" s="22"/>
      <c r="T1109" s="22"/>
      <c r="U1109" s="412"/>
      <c r="V1109" s="371"/>
      <c r="W1109" s="22"/>
      <c r="X1109" s="22"/>
      <c r="Y1109" s="22"/>
      <c r="Z1109" s="22"/>
      <c r="AA1109" s="22"/>
    </row>
    <row r="1110" spans="1:27" ht="12.75" x14ac:dyDescent="0.2">
      <c r="A1110" s="22"/>
      <c r="B1110" s="21" t="b">
        <v>0</v>
      </c>
      <c r="C1110" s="419" t="str">
        <f ca="1">敌人!C$120</f>
        <v>森林狐狸</v>
      </c>
      <c r="D1110" s="371"/>
      <c r="E1110" s="23">
        <f>敌人!D$120</f>
        <v>1</v>
      </c>
      <c r="F1110" s="23">
        <f>敌人!E$120</f>
        <v>0</v>
      </c>
      <c r="G1110" s="23">
        <f>敌人!F$120</f>
        <v>0</v>
      </c>
      <c r="H1110" s="23">
        <f>敌人!G$120</f>
        <v>0</v>
      </c>
      <c r="I1110" s="23">
        <f>敌人!H$120</f>
        <v>0</v>
      </c>
      <c r="J1110" s="23">
        <f>敌人!I$120</f>
        <v>0</v>
      </c>
      <c r="K1110" s="419" t="str">
        <f ca="1">敌人!J$120</f>
        <v>ＳＰ恢复的李子</v>
      </c>
      <c r="L1110" s="371"/>
      <c r="M1110" s="371"/>
      <c r="N1110" s="22"/>
      <c r="O1110" s="21" t="b">
        <v>0</v>
      </c>
      <c r="P1110" s="419" t="str">
        <f ca="1">道具!$C$6</f>
        <v>ＳＰ恢复的李子</v>
      </c>
      <c r="Q1110" s="371"/>
      <c r="R1110" s="371"/>
      <c r="S1110" s="22"/>
      <c r="T1110" s="22"/>
      <c r="U1110" s="412"/>
      <c r="V1110" s="371"/>
      <c r="W1110" s="22"/>
      <c r="X1110" s="22"/>
      <c r="Y1110" s="22"/>
      <c r="Z1110" s="22"/>
      <c r="AA1110" s="22"/>
    </row>
    <row r="1111" spans="1:27" ht="12.75" x14ac:dyDescent="0.2">
      <c r="A1111" s="22"/>
      <c r="B1111" s="21" t="b">
        <v>0</v>
      </c>
      <c r="C1111" s="419" t="str">
        <f ca="1">敌人!C$247&amp;" (7+)"</f>
        <v>红森林狐狸 (7+)</v>
      </c>
      <c r="D1111" s="371"/>
      <c r="E1111" s="23">
        <f>敌人!D$247</f>
        <v>2</v>
      </c>
      <c r="F1111" s="23">
        <f>敌人!E$247</f>
        <v>0</v>
      </c>
      <c r="G1111" s="23">
        <f>敌人!F$247</f>
        <v>0</v>
      </c>
      <c r="H1111" s="23">
        <f>敌人!G$247</f>
        <v>0</v>
      </c>
      <c r="I1111" s="23">
        <f>敌人!H$247</f>
        <v>0</v>
      </c>
      <c r="J1111" s="23">
        <f>敌人!I$247</f>
        <v>0</v>
      </c>
      <c r="K1111" s="419" t="str">
        <f ca="1">敌人!J$247</f>
        <v>ＳＰ恢复的李子</v>
      </c>
      <c r="L1111" s="371"/>
      <c r="M1111" s="371"/>
      <c r="N1111" s="22"/>
      <c r="O1111" s="408" t="str">
        <f ca="1">语言!A$482&amp;" (6 "&amp;语言!$A$19&amp;")"</f>
        <v>耳语之森 (6 宝箱)</v>
      </c>
      <c r="P1111" s="371"/>
      <c r="Q1111" s="371"/>
      <c r="R1111" s="371"/>
      <c r="S1111" s="22"/>
      <c r="T1111" s="22"/>
      <c r="U1111" s="412"/>
      <c r="V1111" s="371"/>
      <c r="W1111" s="22"/>
      <c r="X1111" s="22"/>
      <c r="Y1111" s="22"/>
      <c r="Z1111" s="22"/>
      <c r="AA1111" s="22"/>
    </row>
    <row r="1112" spans="1:27" ht="12.75" x14ac:dyDescent="0.2">
      <c r="A1112" s="22"/>
      <c r="B1112" s="21" t="b">
        <v>0</v>
      </c>
      <c r="C1112" s="419" t="str">
        <f ca="1">敌人!C$215&amp;" (4+)"</f>
        <v>法尔帕斯 (4+)</v>
      </c>
      <c r="D1112" s="371"/>
      <c r="E1112" s="23">
        <f>敌人!D$215</f>
        <v>3</v>
      </c>
      <c r="F1112" s="23">
        <f>敌人!E$215</f>
        <v>0</v>
      </c>
      <c r="G1112" s="23">
        <f>敌人!F$215</f>
        <v>0</v>
      </c>
      <c r="H1112" s="23">
        <f>敌人!G$215</f>
        <v>0</v>
      </c>
      <c r="I1112" s="23">
        <f>敌人!H$215</f>
        <v>0</v>
      </c>
      <c r="J1112" s="23">
        <f>敌人!I$215</f>
        <v>0</v>
      </c>
      <c r="K1112" s="419" t="str">
        <f ca="1">敌人!J$215</f>
        <v>ＨＰ恢复的葡萄（大）</v>
      </c>
      <c r="L1112" s="371"/>
      <c r="M1112" s="371"/>
      <c r="N1112" s="22"/>
      <c r="O1112" s="21" t="b">
        <v>0</v>
      </c>
      <c r="P1112" s="419" t="str">
        <f ca="1">道具!$C$3</f>
        <v>ＨＰ恢复的葡萄</v>
      </c>
      <c r="Q1112" s="371"/>
      <c r="R1112" s="371"/>
      <c r="S1112" s="22"/>
      <c r="T1112" s="22"/>
      <c r="U1112" s="412"/>
      <c r="V1112" s="371"/>
      <c r="W1112" s="22"/>
      <c r="X1112" s="22"/>
      <c r="Y1112" s="22"/>
      <c r="Z1112" s="22"/>
      <c r="AA1112" s="22"/>
    </row>
    <row r="1113" spans="1:27" ht="12.75" x14ac:dyDescent="0.2">
      <c r="A1113" s="22"/>
      <c r="B1113" s="21" t="b">
        <v>0</v>
      </c>
      <c r="C1113" s="419" t="str">
        <f ca="1">敌人!C$134</f>
        <v>辉长岩犰狳</v>
      </c>
      <c r="D1113" s="371"/>
      <c r="E1113" s="23">
        <f>敌人!D$134</f>
        <v>2</v>
      </c>
      <c r="F1113" s="23">
        <f>敌人!E$134</f>
        <v>0</v>
      </c>
      <c r="G1113" s="23">
        <f>敌人!F$134</f>
        <v>0</v>
      </c>
      <c r="H1113" s="23">
        <f>敌人!G$134</f>
        <v>0</v>
      </c>
      <c r="I1113" s="23">
        <f>敌人!H$134</f>
        <v>0</v>
      </c>
      <c r="J1113" s="23">
        <f>敌人!I$134</f>
        <v>0</v>
      </c>
      <c r="K1113" s="419" t="str">
        <f ca="1">敌人!J$134</f>
        <v>葡萄树液</v>
      </c>
      <c r="L1113" s="371"/>
      <c r="M1113" s="371"/>
      <c r="N1113" s="22"/>
      <c r="O1113" s="21" t="b">
        <v>0</v>
      </c>
      <c r="P1113" s="419" t="str">
        <f ca="1">道具!$C$46</f>
        <v>暗之精灵石</v>
      </c>
      <c r="Q1113" s="371"/>
      <c r="R1113" s="371"/>
      <c r="S1113" s="22"/>
      <c r="T1113" s="22"/>
      <c r="U1113" s="412"/>
      <c r="V1113" s="371"/>
      <c r="W1113" s="22"/>
      <c r="X1113" s="22"/>
      <c r="Y1113" s="22"/>
      <c r="Z1113" s="22"/>
      <c r="AA1113" s="22"/>
    </row>
    <row r="1114" spans="1:27" ht="12.75" x14ac:dyDescent="0.2">
      <c r="A1114" s="22"/>
      <c r="B1114" s="420" t="str">
        <f ca="1">语言!$A$15</f>
        <v>Boss</v>
      </c>
      <c r="C1114" s="371"/>
      <c r="D1114" s="371"/>
      <c r="E1114" s="371"/>
      <c r="F1114" s="371"/>
      <c r="G1114" s="371"/>
      <c r="H1114" s="371"/>
      <c r="I1114" s="371"/>
      <c r="J1114" s="371"/>
      <c r="K1114" s="371"/>
      <c r="L1114" s="371"/>
      <c r="M1114" s="371"/>
      <c r="N1114" s="22"/>
      <c r="O1114" s="21" t="b">
        <v>0</v>
      </c>
      <c r="P1114" s="419" t="str">
        <f ca="1">道具!$C$6</f>
        <v>ＳＰ恢复的李子</v>
      </c>
      <c r="Q1114" s="371"/>
      <c r="R1114" s="371"/>
      <c r="S1114" s="22"/>
      <c r="T1114" s="22"/>
      <c r="U1114" s="412"/>
      <c r="V1114" s="371"/>
      <c r="W1114" s="22"/>
      <c r="X1114" s="22"/>
      <c r="Y1114" s="22"/>
      <c r="Z1114" s="22"/>
      <c r="AA1114" s="22"/>
    </row>
    <row r="1115" spans="1:27" ht="12.75" x14ac:dyDescent="0.2">
      <c r="A1115" s="22"/>
      <c r="B1115" s="21" t="b">
        <v>0</v>
      </c>
      <c r="C1115" s="411" t="str">
        <f ca="1">敌人!C$406</f>
        <v>基萨鲁玛</v>
      </c>
      <c r="D1115" s="371"/>
      <c r="E1115" s="21" t="str">
        <f>敌人!D$406</f>
        <v>5+</v>
      </c>
      <c r="F1115" s="21">
        <f>敌人!E$406</f>
        <v>0</v>
      </c>
      <c r="G1115" s="21">
        <f>敌人!F$406</f>
        <v>0</v>
      </c>
      <c r="H1115" s="21">
        <f>敌人!G$406</f>
        <v>0</v>
      </c>
      <c r="I1115" s="21">
        <f>敌人!H$406</f>
        <v>0</v>
      </c>
      <c r="J1115" s="21">
        <f>敌人!I$406</f>
        <v>0</v>
      </c>
      <c r="K1115" s="411" t="str">
        <f ca="1">敌人!J$406</f>
        <v>ＨＰ全体恢复的葡萄</v>
      </c>
      <c r="L1115" s="371"/>
      <c r="M1115" s="371"/>
      <c r="N1115" s="22"/>
      <c r="O1115" s="21" t="b">
        <v>0</v>
      </c>
      <c r="P1115" s="458">
        <v>600</v>
      </c>
      <c r="Q1115" s="371"/>
      <c r="R1115" s="371"/>
      <c r="S1115" s="22"/>
      <c r="T1115" s="22"/>
      <c r="U1115" s="412"/>
      <c r="V1115" s="371"/>
      <c r="W1115" s="22"/>
      <c r="X1115" s="22"/>
      <c r="Y1115" s="22"/>
      <c r="Z1115" s="22"/>
      <c r="AA1115" s="22"/>
    </row>
    <row r="1116" spans="1:27" ht="12.75" x14ac:dyDescent="0.2">
      <c r="A1116" s="22"/>
      <c r="B1116" s="22"/>
      <c r="C1116" s="412"/>
      <c r="D1116" s="371"/>
      <c r="E1116" s="22"/>
      <c r="F1116" s="22"/>
      <c r="G1116" s="22"/>
      <c r="H1116" s="22"/>
      <c r="I1116" s="22"/>
      <c r="J1116" s="22"/>
      <c r="K1116" s="412"/>
      <c r="L1116" s="371"/>
      <c r="M1116" s="371"/>
      <c r="N1116" s="22"/>
      <c r="O1116" s="21" t="b">
        <v>0</v>
      </c>
      <c r="P1116" s="419" t="str">
        <f ca="1">道具!$C$450</f>
        <v>青铜背心</v>
      </c>
      <c r="Q1116" s="371"/>
      <c r="R1116" s="371"/>
      <c r="S1116" s="22"/>
      <c r="T1116" s="22"/>
      <c r="U1116" s="412"/>
      <c r="V1116" s="371"/>
      <c r="W1116" s="22"/>
      <c r="X1116" s="22"/>
      <c r="Y1116" s="22"/>
      <c r="Z1116" s="22"/>
      <c r="AA1116" s="22"/>
    </row>
    <row r="1117" spans="1:27" ht="12.75" x14ac:dyDescent="0.2">
      <c r="A1117" s="22"/>
      <c r="B1117" s="22"/>
      <c r="C1117" s="412"/>
      <c r="D1117" s="371"/>
      <c r="E1117" s="22"/>
      <c r="F1117" s="22"/>
      <c r="G1117" s="22"/>
      <c r="H1117" s="22"/>
      <c r="I1117" s="22"/>
      <c r="J1117" s="22"/>
      <c r="K1117" s="412"/>
      <c r="L1117" s="371"/>
      <c r="M1117" s="371"/>
      <c r="N1117" s="22"/>
      <c r="O1117" s="21" t="b">
        <v>0</v>
      </c>
      <c r="P1117" s="419" t="str">
        <f ca="1">道具!$C$9</f>
        <v>ＢＰ恢复的石榴</v>
      </c>
      <c r="Q1117" s="371"/>
      <c r="R1117" s="371"/>
      <c r="S1117" s="22"/>
      <c r="T1117" s="22"/>
      <c r="U1117" s="412"/>
      <c r="V1117" s="371"/>
      <c r="W1117" s="22"/>
      <c r="X1117" s="22"/>
      <c r="Y1117" s="22"/>
      <c r="Z1117" s="22"/>
      <c r="AA1117" s="22"/>
    </row>
    <row r="1118" spans="1:27" ht="12.75" x14ac:dyDescent="0.2">
      <c r="A1118" s="22"/>
      <c r="B1118" s="22"/>
      <c r="C1118" s="412"/>
      <c r="D1118" s="371"/>
      <c r="E1118" s="22"/>
      <c r="F1118" s="22"/>
      <c r="G1118" s="22"/>
      <c r="H1118" s="22"/>
      <c r="I1118" s="22"/>
      <c r="J1118" s="22"/>
      <c r="K1118" s="412"/>
      <c r="L1118" s="371"/>
      <c r="M1118" s="371"/>
      <c r="N1118" s="22"/>
      <c r="O1118" s="22"/>
      <c r="P1118" s="412"/>
      <c r="Q1118" s="371"/>
      <c r="R1118" s="371"/>
      <c r="S1118" s="22"/>
      <c r="T1118" s="22"/>
      <c r="U1118" s="412"/>
      <c r="V1118" s="371"/>
      <c r="W1118" s="22"/>
      <c r="X1118" s="22"/>
      <c r="Y1118" s="22"/>
      <c r="Z1118" s="22"/>
      <c r="AA1118" s="22"/>
    </row>
    <row r="1119" spans="1:27" ht="18" x14ac:dyDescent="0.25">
      <c r="A1119" s="416" t="str">
        <f ca="1">语言!$A$323&amp;" 2"</f>
        <v>Tier 2</v>
      </c>
      <c r="B1119" s="371"/>
      <c r="C1119" s="371"/>
      <c r="D1119" s="371"/>
      <c r="E1119" s="371"/>
      <c r="F1119" s="371"/>
      <c r="G1119" s="371"/>
      <c r="H1119" s="371"/>
      <c r="I1119" s="371"/>
      <c r="J1119" s="371"/>
      <c r="K1119" s="371"/>
      <c r="L1119" s="371"/>
      <c r="M1119" s="371"/>
      <c r="N1119" s="371"/>
      <c r="O1119" s="371"/>
      <c r="P1119" s="371"/>
      <c r="Q1119" s="371"/>
      <c r="R1119" s="371"/>
      <c r="S1119" s="371"/>
      <c r="T1119" s="371"/>
      <c r="U1119" s="371"/>
      <c r="V1119" s="371"/>
      <c r="W1119" s="371"/>
      <c r="X1119" s="371"/>
      <c r="Y1119" s="371"/>
      <c r="Z1119" s="371"/>
      <c r="AA1119" s="371"/>
    </row>
    <row r="1120" spans="1:27" ht="12.75" x14ac:dyDescent="0.2">
      <c r="A1120" s="22"/>
      <c r="B1120" s="21" t="b">
        <v>0</v>
      </c>
      <c r="C1120" s="411" t="str">
        <f ca="1">敌人!C$69</f>
        <v>绅士凯特林</v>
      </c>
      <c r="D1120" s="371"/>
      <c r="E1120" s="21">
        <f>敌人!D$69</f>
        <v>4</v>
      </c>
      <c r="F1120" s="21">
        <f>敌人!E$69</f>
        <v>0</v>
      </c>
      <c r="G1120" s="21">
        <f>敌人!F$69</f>
        <v>0</v>
      </c>
      <c r="H1120" s="21">
        <f>敌人!G$69</f>
        <v>0</v>
      </c>
      <c r="I1120" s="21">
        <f>敌人!H$69</f>
        <v>0</v>
      </c>
      <c r="J1120" s="21">
        <f>敌人!I$69</f>
        <v>0</v>
      </c>
      <c r="K1120" s="411" t="str">
        <f ca="1">敌人!J$69</f>
        <v>ＨＰ／ＳＰ／ＢＰ恢复的果酱</v>
      </c>
      <c r="L1120" s="371"/>
      <c r="M1120" s="371"/>
      <c r="N1120" s="22"/>
      <c r="O1120" s="408" t="str">
        <f ca="1">语言!A$483&amp;" (4 "&amp;语言!$A$19&amp;")"</f>
        <v>维克塔霍洛 (4 宝箱)</v>
      </c>
      <c r="P1120" s="371"/>
      <c r="Q1120" s="371"/>
      <c r="R1120" s="371"/>
      <c r="S1120" s="22"/>
      <c r="T1120" s="408" t="str">
        <f ca="1">语言!A$483</f>
        <v>维克塔霍洛</v>
      </c>
      <c r="U1120" s="371"/>
      <c r="V1120" s="371"/>
      <c r="W1120" s="22"/>
      <c r="X1120" s="408" t="str">
        <f ca="1">语言!A$483</f>
        <v>维克塔霍洛</v>
      </c>
      <c r="Y1120" s="371"/>
      <c r="Z1120" s="371"/>
      <c r="AA1120" s="22"/>
    </row>
    <row r="1121" spans="1:27" ht="12.75" x14ac:dyDescent="0.2">
      <c r="A1121" s="22"/>
      <c r="B1121" s="408" t="str">
        <f ca="1">语言!A$486&amp;" ("&amp;语言!$A$12&amp;" 21 - 24 - 29 - 34)"</f>
        <v>东维克塔霍洛森道 (危险度 21 - 24 - 29 - 34)</v>
      </c>
      <c r="C1121" s="371"/>
      <c r="D1121" s="371"/>
      <c r="E1121" s="371"/>
      <c r="F1121" s="371"/>
      <c r="G1121" s="371"/>
      <c r="H1121" s="371"/>
      <c r="I1121" s="371"/>
      <c r="J1121" s="371"/>
      <c r="K1121" s="371"/>
      <c r="L1121" s="371"/>
      <c r="M1121" s="371"/>
      <c r="N1121" s="22"/>
      <c r="O1121" s="21" t="b">
        <v>0</v>
      </c>
      <c r="P1121" s="419" t="str">
        <f ca="1">道具!$C$6</f>
        <v>ＳＰ恢复的李子</v>
      </c>
      <c r="Q1121" s="371"/>
      <c r="R1121" s="371"/>
      <c r="S1121" s="22"/>
      <c r="T1121" s="21" t="b">
        <v>0</v>
      </c>
      <c r="U1121" s="411" t="str">
        <f ca="1">道具!$C$12</f>
        <v>ＨＰ／ＳＰ恢复的果酱</v>
      </c>
      <c r="V1121" s="371"/>
      <c r="W1121" s="22"/>
      <c r="X1121" s="409" t="b">
        <v>0</v>
      </c>
      <c r="Y1121" s="409" t="str">
        <f ca="1">语言!$A$1794&amp;" (NPC)
Item:
"&amp;道具!$C$204</f>
        <v>盗贼团头目 (NPC)
Item:
大蛇短剑</v>
      </c>
      <c r="Z1121" s="410" t="str">
        <f ca="1">"NPC available only during quest: "&amp;支线!$C$142&amp;". "&amp;语言!$A$46&amp;" / "&amp;语言!$A$50&amp;" the "&amp;道具!$C$204&amp;". It's not a Missable or Limited item as it can drop from a NPC in Duskbarrow through "&amp;语言!$A$47&amp;" / "&amp;语言!$A$51&amp;", but the drop rate is low so might want to get this one."</f>
        <v>NPC available only during quest: 亚雷克，在那之后. 购买 / 偷取 the 大蛇短剑. It's not a Missable or Limited item as it can drop from a NPC in Duskbarrow through 比试 / 唆使, but the drop rate is low so might want to get this one.</v>
      </c>
      <c r="AA1121" s="22"/>
    </row>
    <row r="1122" spans="1:27" ht="12.75" x14ac:dyDescent="0.2">
      <c r="A1122" s="22"/>
      <c r="B1122" s="21" t="b">
        <v>0</v>
      </c>
      <c r="C1122" s="419" t="str">
        <f ca="1">敌人!C$124</f>
        <v>森林鼠人 IV</v>
      </c>
      <c r="D1122" s="371"/>
      <c r="E1122" s="23">
        <f>敌人!D$124</f>
        <v>2</v>
      </c>
      <c r="F1122" s="23">
        <f>敌人!E$124</f>
        <v>0</v>
      </c>
      <c r="G1122" s="23">
        <f>敌人!F$124</f>
        <v>0</v>
      </c>
      <c r="H1122" s="23">
        <f>敌人!G$124</f>
        <v>0</v>
      </c>
      <c r="I1122" s="23">
        <f>敌人!H$124</f>
        <v>0</v>
      </c>
      <c r="J1122" s="23">
        <f>敌人!I$124</f>
        <v>0</v>
      </c>
      <c r="K1122" s="419" t="str">
        <f ca="1">敌人!J$124</f>
        <v>ＨＰ恢复的葡萄</v>
      </c>
      <c r="L1122" s="371"/>
      <c r="M1122" s="371"/>
      <c r="N1122" s="22"/>
      <c r="O1122" s="21" t="b">
        <v>0</v>
      </c>
      <c r="P1122" s="419" t="str">
        <f ca="1">道具!$C$517&amp;" ("&amp;语言!$A$20&amp;")"</f>
        <v>暗之避邪符 (上锁宝箱)</v>
      </c>
      <c r="Q1122" s="371"/>
      <c r="R1122" s="371"/>
      <c r="S1122" s="22"/>
      <c r="T1122" s="21" t="b">
        <v>0</v>
      </c>
      <c r="U1122" s="411" t="str">
        <f ca="1">道具!$C$7</f>
        <v>ＳＰ恢复的李子（大）</v>
      </c>
      <c r="V1122" s="371"/>
      <c r="W1122" s="22"/>
      <c r="X1122" s="371"/>
      <c r="Y1122" s="371"/>
      <c r="Z1122" s="371"/>
      <c r="AA1122" s="22"/>
    </row>
    <row r="1123" spans="1:27" ht="12.75" x14ac:dyDescent="0.2">
      <c r="A1123" s="22"/>
      <c r="B1123" s="21" t="b">
        <v>0</v>
      </c>
      <c r="C1123" s="419" t="str">
        <f ca="1">敌人!C$125</f>
        <v>森林鼠人 V</v>
      </c>
      <c r="D1123" s="371"/>
      <c r="E1123" s="23">
        <f>敌人!D$125</f>
        <v>3</v>
      </c>
      <c r="F1123" s="23">
        <f>敌人!E$125</f>
        <v>0</v>
      </c>
      <c r="G1123" s="23">
        <f>敌人!F$125</f>
        <v>0</v>
      </c>
      <c r="H1123" s="23">
        <f>敌人!G$125</f>
        <v>0</v>
      </c>
      <c r="I1123" s="23">
        <f>敌人!H$125</f>
        <v>0</v>
      </c>
      <c r="J1123" s="23">
        <f>敌人!I$125</f>
        <v>0</v>
      </c>
      <c r="K1123" s="419" t="str">
        <f ca="1">敌人!J$125</f>
        <v>葡萄树液</v>
      </c>
      <c r="L1123" s="371"/>
      <c r="M1123" s="371"/>
      <c r="N1123" s="22"/>
      <c r="O1123" s="21" t="b">
        <v>0</v>
      </c>
      <c r="P1123" s="419" t="str">
        <f ca="1">道具!$C$117</f>
        <v>鼓胀的钱包</v>
      </c>
      <c r="Q1123" s="371"/>
      <c r="R1123" s="371"/>
      <c r="S1123" s="22"/>
      <c r="T1123" s="21" t="b">
        <v>0</v>
      </c>
      <c r="U1123" s="411" t="str">
        <f ca="1">道具!$C$10</f>
        <v>ＢＰ恢复的石榴（大）</v>
      </c>
      <c r="V1123" s="371"/>
      <c r="W1123" s="22"/>
      <c r="X1123" s="371"/>
      <c r="Y1123" s="371"/>
      <c r="Z1123" s="371"/>
      <c r="AA1123" s="22"/>
    </row>
    <row r="1124" spans="1:27" ht="12.75" x14ac:dyDescent="0.2">
      <c r="A1124" s="22"/>
      <c r="B1124" s="21" t="b">
        <v>0</v>
      </c>
      <c r="C1124" s="419" t="str">
        <f ca="1">敌人!C$126&amp;" (24+)"</f>
        <v>森林鼠人 VI (24+)</v>
      </c>
      <c r="D1124" s="371"/>
      <c r="E1124" s="23">
        <f>敌人!D$126</f>
        <v>1</v>
      </c>
      <c r="F1124" s="23">
        <f>敌人!E$126</f>
        <v>0</v>
      </c>
      <c r="G1124" s="23">
        <f>敌人!F$126</f>
        <v>0</v>
      </c>
      <c r="H1124" s="23">
        <f>敌人!G$126</f>
        <v>0</v>
      </c>
      <c r="I1124" s="23">
        <f>敌人!H$126</f>
        <v>0</v>
      </c>
      <c r="J1124" s="23">
        <f>敌人!I$126</f>
        <v>0</v>
      </c>
      <c r="K1124" s="419" t="str">
        <f ca="1">敌人!J$126</f>
        <v>ＳＰ恢复的李子</v>
      </c>
      <c r="L1124" s="371"/>
      <c r="M1124" s="371"/>
      <c r="N1124" s="22"/>
      <c r="O1124" s="21" t="b">
        <v>0</v>
      </c>
      <c r="P1124" s="419" t="str">
        <f ca="1">道具!$C$120</f>
        <v>放了银块的皮袋</v>
      </c>
      <c r="Q1124" s="371"/>
      <c r="R1124" s="371"/>
      <c r="S1124" s="22"/>
      <c r="T1124" s="21" t="b">
        <v>0</v>
      </c>
      <c r="U1124" s="411" t="str">
        <f ca="1">道具!$C$16</f>
        <v>复活的橄榄（大）</v>
      </c>
      <c r="V1124" s="371"/>
      <c r="W1124" s="22"/>
      <c r="X1124" s="371"/>
      <c r="Y1124" s="371"/>
      <c r="Z1124" s="371"/>
      <c r="AA1124" s="22"/>
    </row>
    <row r="1125" spans="1:27" ht="12.75" x14ac:dyDescent="0.2">
      <c r="A1125" s="22"/>
      <c r="B1125" s="21" t="b">
        <v>0</v>
      </c>
      <c r="C1125" s="419" t="str">
        <f ca="1">敌人!C$127&amp;" (29+)"</f>
        <v>森林大鼠人 I (29+)</v>
      </c>
      <c r="D1125" s="371"/>
      <c r="E1125" s="23">
        <f>敌人!D$127</f>
        <v>3</v>
      </c>
      <c r="F1125" s="23">
        <f>敌人!E$127</f>
        <v>0</v>
      </c>
      <c r="G1125" s="23">
        <f>敌人!F$127</f>
        <v>0</v>
      </c>
      <c r="H1125" s="23">
        <f>敌人!G$127</f>
        <v>0</v>
      </c>
      <c r="I1125" s="23">
        <f>敌人!H$127</f>
        <v>0</v>
      </c>
      <c r="J1125" s="23">
        <f>敌人!I$127</f>
        <v>0</v>
      </c>
      <c r="K1125" s="419" t="str">
        <f ca="1">敌人!J$127</f>
        <v>ＳＰ恢复的李子</v>
      </c>
      <c r="L1125" s="371"/>
      <c r="M1125" s="371"/>
      <c r="N1125" s="22"/>
      <c r="O1125" s="408" t="str">
        <f ca="1">语言!A$486&amp;" (3 "&amp;语言!$A$19&amp;")"</f>
        <v>东维克塔霍洛森道 (3 宝箱)</v>
      </c>
      <c r="P1125" s="371"/>
      <c r="Q1125" s="371"/>
      <c r="R1125" s="371"/>
      <c r="S1125" s="22"/>
      <c r="T1125" s="21" t="b">
        <v>0</v>
      </c>
      <c r="U1125" s="411" t="str">
        <f ca="1">道具!$C$516</f>
        <v>雷之避邪符</v>
      </c>
      <c r="V1125" s="371"/>
      <c r="W1125" s="22"/>
      <c r="X1125" s="371"/>
      <c r="Y1125" s="371"/>
      <c r="Z1125" s="371"/>
      <c r="AA1125" s="22"/>
    </row>
    <row r="1126" spans="1:27" ht="12.75" x14ac:dyDescent="0.2">
      <c r="A1126" s="22"/>
      <c r="B1126" s="21" t="b">
        <v>0</v>
      </c>
      <c r="C1126" s="419" t="str">
        <f ca="1">敌人!C$136&amp;" (24-)"</f>
        <v>大牙野猪 (24-)</v>
      </c>
      <c r="D1126" s="371"/>
      <c r="E1126" s="23">
        <f>敌人!D$136</f>
        <v>2</v>
      </c>
      <c r="F1126" s="23">
        <f>敌人!E$136</f>
        <v>0</v>
      </c>
      <c r="G1126" s="23">
        <f>敌人!F$136</f>
        <v>0</v>
      </c>
      <c r="H1126" s="23">
        <f>敌人!G$136</f>
        <v>0</v>
      </c>
      <c r="I1126" s="23">
        <f>敌人!H$136</f>
        <v>0</v>
      </c>
      <c r="J1126" s="23">
        <f>敌人!I$136</f>
        <v>0</v>
      </c>
      <c r="K1126" s="419" t="str">
        <f ca="1">敌人!J$136</f>
        <v>橄榄花</v>
      </c>
      <c r="L1126" s="371"/>
      <c r="M1126" s="371"/>
      <c r="N1126" s="22"/>
      <c r="O1126" s="21" t="b">
        <v>0</v>
      </c>
      <c r="P1126" s="419" t="str">
        <f ca="1">道具!$C$6</f>
        <v>ＳＰ恢复的李子</v>
      </c>
      <c r="Q1126" s="371"/>
      <c r="R1126" s="371"/>
      <c r="S1126" s="22"/>
      <c r="T1126" s="21" t="b">
        <v>0</v>
      </c>
      <c r="U1126" s="411" t="str">
        <f ca="1">道具!$C$35</f>
        <v>冰之精灵石（特大）</v>
      </c>
      <c r="V1126" s="371"/>
      <c r="W1126" s="22"/>
      <c r="X1126" s="22"/>
      <c r="Y1126" s="22"/>
      <c r="Z1126" s="22"/>
      <c r="AA1126" s="22"/>
    </row>
    <row r="1127" spans="1:27" ht="12.75" x14ac:dyDescent="0.2">
      <c r="A1127" s="22"/>
      <c r="B1127" s="21" t="b">
        <v>0</v>
      </c>
      <c r="C1127" s="419" t="str">
        <f ca="1">敌人!C$135&amp;" (29+)"</f>
        <v>大牙野猪异种 (29+)</v>
      </c>
      <c r="D1127" s="371"/>
      <c r="E1127" s="23">
        <f>敌人!D$135</f>
        <v>3</v>
      </c>
      <c r="F1127" s="23">
        <f>敌人!E$135</f>
        <v>0</v>
      </c>
      <c r="G1127" s="23">
        <f>敌人!F$135</f>
        <v>0</v>
      </c>
      <c r="H1127" s="23">
        <f>敌人!G$135</f>
        <v>0</v>
      </c>
      <c r="I1127" s="23">
        <f>敌人!H$135</f>
        <v>0</v>
      </c>
      <c r="J1127" s="23">
        <f>敌人!I$135</f>
        <v>0</v>
      </c>
      <c r="K1127" s="419" t="str">
        <f ca="1">敌人!J$135</f>
        <v>橄榄花</v>
      </c>
      <c r="L1127" s="371"/>
      <c r="M1127" s="371"/>
      <c r="N1127" s="22"/>
      <c r="O1127" s="21" t="b">
        <v>0</v>
      </c>
      <c r="P1127" s="419" t="str">
        <f ca="1">道具!$C$4</f>
        <v>ＨＰ恢复的葡萄（大）</v>
      </c>
      <c r="Q1127" s="371"/>
      <c r="R1127" s="371"/>
      <c r="S1127" s="22"/>
      <c r="T1127" s="22"/>
      <c r="U1127" s="412"/>
      <c r="V1127" s="371"/>
      <c r="W1127" s="22"/>
      <c r="X1127" s="22"/>
      <c r="Y1127" s="22"/>
      <c r="Z1127" s="22"/>
      <c r="AA1127" s="22"/>
    </row>
    <row r="1128" spans="1:27" ht="12.75" x14ac:dyDescent="0.2">
      <c r="A1128" s="22"/>
      <c r="B1128" s="21" t="b">
        <v>0</v>
      </c>
      <c r="C1128" s="419" t="str">
        <f ca="1">敌人!C$67</f>
        <v>蠢动的树木</v>
      </c>
      <c r="D1128" s="371"/>
      <c r="E1128" s="23">
        <f>敌人!D$67</f>
        <v>3</v>
      </c>
      <c r="F1128" s="23">
        <f>敌人!E$67</f>
        <v>0</v>
      </c>
      <c r="G1128" s="23">
        <f>敌人!F$67</f>
        <v>0</v>
      </c>
      <c r="H1128" s="23">
        <f>敌人!G$67</f>
        <v>0</v>
      </c>
      <c r="I1128" s="23">
        <f>敌人!H$67</f>
        <v>0</v>
      </c>
      <c r="J1128" s="23">
        <f>敌人!I$67</f>
        <v>0</v>
      </c>
      <c r="K1128" s="419" t="str">
        <f ca="1">敌人!J$67</f>
        <v>石榴树液</v>
      </c>
      <c r="L1128" s="371"/>
      <c r="M1128" s="371"/>
      <c r="N1128" s="22"/>
      <c r="O1128" s="21" t="b">
        <v>0</v>
      </c>
      <c r="P1128" s="419" t="s">
        <v>19</v>
      </c>
      <c r="Q1128" s="371"/>
      <c r="R1128" s="371"/>
      <c r="S1128" s="22"/>
      <c r="T1128" s="22"/>
      <c r="U1128" s="412"/>
      <c r="V1128" s="371"/>
      <c r="W1128" s="22"/>
      <c r="X1128" s="22"/>
      <c r="Y1128" s="22"/>
      <c r="Z1128" s="22"/>
      <c r="AA1128" s="22"/>
    </row>
    <row r="1129" spans="1:27" ht="12.75" x14ac:dyDescent="0.2">
      <c r="A1129" s="22"/>
      <c r="B1129" s="21" t="b">
        <v>0</v>
      </c>
      <c r="C1129" s="419" t="str">
        <f ca="1">敌人!C$242</f>
        <v>狂暴植物</v>
      </c>
      <c r="D1129" s="371"/>
      <c r="E1129" s="23">
        <f>敌人!D$242</f>
        <v>2</v>
      </c>
      <c r="F1129" s="23">
        <f>敌人!E$242</f>
        <v>0</v>
      </c>
      <c r="G1129" s="23">
        <f>敌人!F$242</f>
        <v>0</v>
      </c>
      <c r="H1129" s="23">
        <f>敌人!G$242</f>
        <v>0</v>
      </c>
      <c r="I1129" s="23">
        <f>敌人!H$242</f>
        <v>0</v>
      </c>
      <c r="J1129" s="23">
        <f>敌人!I$242</f>
        <v>0</v>
      </c>
      <c r="K1129" s="419" t="str">
        <f ca="1">敌人!J$242</f>
        <v>石榴树液</v>
      </c>
      <c r="L1129" s="371"/>
      <c r="M1129" s="371"/>
      <c r="N1129" s="22"/>
      <c r="O1129" s="408" t="str">
        <f ca="1">语言!A$487&amp;" (1 "&amp;语言!$A$19&amp;")"</f>
        <v>狩猎女王的祠堂 (1 宝箱)</v>
      </c>
      <c r="P1129" s="371"/>
      <c r="Q1129" s="371"/>
      <c r="R1129" s="371"/>
      <c r="S1129" s="22"/>
      <c r="T1129" s="22"/>
      <c r="U1129" s="412"/>
      <c r="V1129" s="371"/>
      <c r="W1129" s="22"/>
      <c r="X1129" s="22"/>
      <c r="Y1129" s="22"/>
      <c r="Z1129" s="22"/>
      <c r="AA1129" s="22"/>
    </row>
    <row r="1130" spans="1:27" ht="12.75" x14ac:dyDescent="0.2">
      <c r="A1130" s="22"/>
      <c r="B1130" s="21" t="b">
        <v>0</v>
      </c>
      <c r="C1130" s="419" t="str">
        <f ca="1">敌人!C$229&amp;" (29+)"</f>
        <v>怪异菇 (29+)</v>
      </c>
      <c r="D1130" s="371"/>
      <c r="E1130" s="23">
        <f>敌人!D$229</f>
        <v>2</v>
      </c>
      <c r="F1130" s="23">
        <f>敌人!E$229</f>
        <v>0</v>
      </c>
      <c r="G1130" s="23">
        <f>敌人!F$229</f>
        <v>0</v>
      </c>
      <c r="H1130" s="23">
        <f>敌人!G$229</f>
        <v>0</v>
      </c>
      <c r="I1130" s="23">
        <f>敌人!H$229</f>
        <v>0</v>
      </c>
      <c r="J1130" s="23">
        <f>敌人!I$229</f>
        <v>0</v>
      </c>
      <c r="K1130" s="419" t="str">
        <f ca="1">敌人!J$229</f>
        <v>毒治疗药草</v>
      </c>
      <c r="L1130" s="371"/>
      <c r="M1130" s="371"/>
      <c r="N1130" s="22"/>
      <c r="O1130" s="21" t="b">
        <v>0</v>
      </c>
      <c r="P1130" s="498" t="str">
        <f ca="1">道具!$C$17</f>
        <v>复活的橄榄（特大）</v>
      </c>
      <c r="Q1130" s="371"/>
      <c r="R1130" s="371"/>
      <c r="S1130" s="22"/>
      <c r="T1130" s="22"/>
      <c r="U1130" s="412"/>
      <c r="V1130" s="371"/>
      <c r="W1130" s="22"/>
      <c r="X1130" s="22"/>
      <c r="Y1130" s="22"/>
      <c r="Z1130" s="22"/>
      <c r="AA1130" s="22"/>
    </row>
    <row r="1131" spans="1:27" ht="12.75" x14ac:dyDescent="0.2">
      <c r="A1131" s="22"/>
      <c r="B1131" s="21" t="b">
        <v>0</v>
      </c>
      <c r="C1131" s="419" t="str">
        <f ca="1">敌人!C$168&amp;" (29-)"</f>
        <v>咆哮者 (29-)</v>
      </c>
      <c r="D1131" s="371"/>
      <c r="E1131" s="23">
        <f>敌人!D$168</f>
        <v>1</v>
      </c>
      <c r="F1131" s="23">
        <f>敌人!E$168</f>
        <v>0</v>
      </c>
      <c r="G1131" s="23">
        <f>敌人!F$168</f>
        <v>0</v>
      </c>
      <c r="H1131" s="23">
        <f>敌人!G$168</f>
        <v>0</v>
      </c>
      <c r="I1131" s="23">
        <f>敌人!H$168</f>
        <v>0</v>
      </c>
      <c r="J1131" s="23">
        <f>敌人!I$168</f>
        <v>0</v>
      </c>
      <c r="K1131" s="419" t="str">
        <f ca="1">敌人!J$168</f>
        <v>石榴树液</v>
      </c>
      <c r="L1131" s="371"/>
      <c r="M1131" s="371"/>
      <c r="N1131" s="22"/>
      <c r="O1131" s="408" t="str">
        <f ca="1">语言!A$488&amp;" (6 "&amp;语言!$A$19&amp;")"</f>
        <v>不归之森 (6 宝箱)</v>
      </c>
      <c r="P1131" s="371"/>
      <c r="Q1131" s="371"/>
      <c r="R1131" s="371"/>
      <c r="S1131" s="22"/>
      <c r="T1131" s="22"/>
      <c r="U1131" s="412"/>
      <c r="V1131" s="371"/>
      <c r="W1131" s="22"/>
      <c r="X1131" s="22"/>
      <c r="Y1131" s="22"/>
      <c r="Z1131" s="22"/>
      <c r="AA1131" s="22"/>
    </row>
    <row r="1132" spans="1:27" ht="12.75" x14ac:dyDescent="0.2">
      <c r="A1132" s="22"/>
      <c r="B1132" s="21" t="b">
        <v>0</v>
      </c>
      <c r="C1132" s="419" t="str">
        <f ca="1">敌人!C$166&amp;" (29+)"</f>
        <v>咆啸者异种 (29+)</v>
      </c>
      <c r="D1132" s="371"/>
      <c r="E1132" s="23">
        <f>敌人!D$166</f>
        <v>3</v>
      </c>
      <c r="F1132" s="23">
        <f>敌人!E$166</f>
        <v>0</v>
      </c>
      <c r="G1132" s="23">
        <f>敌人!F$166</f>
        <v>0</v>
      </c>
      <c r="H1132" s="23">
        <f>敌人!G$166</f>
        <v>0</v>
      </c>
      <c r="I1132" s="23">
        <f>敌人!H$166</f>
        <v>0</v>
      </c>
      <c r="J1132" s="23">
        <f>敌人!I$166</f>
        <v>0</v>
      </c>
      <c r="K1132" s="419" t="str">
        <f ca="1">敌人!J$166</f>
        <v>石榴树液</v>
      </c>
      <c r="L1132" s="371"/>
      <c r="M1132" s="371"/>
      <c r="N1132" s="22"/>
      <c r="O1132" s="21" t="b">
        <v>0</v>
      </c>
      <c r="P1132" s="419" t="str">
        <f ca="1">道具!$C$5</f>
        <v>ＨＰ全体恢复的葡萄</v>
      </c>
      <c r="Q1132" s="371"/>
      <c r="R1132" s="371"/>
      <c r="S1132" s="22"/>
      <c r="T1132" s="22"/>
      <c r="U1132" s="412"/>
      <c r="V1132" s="371"/>
      <c r="W1132" s="22"/>
      <c r="X1132" s="22"/>
      <c r="Y1132" s="22"/>
      <c r="Z1132" s="22"/>
      <c r="AA1132" s="22"/>
    </row>
    <row r="1133" spans="1:27" ht="12.75" x14ac:dyDescent="0.2">
      <c r="A1133" s="22"/>
      <c r="B1133" s="408" t="str">
        <f ca="1">语言!A$488&amp;" ("&amp;语言!$A$12&amp;" 48)"</f>
        <v>不归之森 (危险度 48)</v>
      </c>
      <c r="C1133" s="371"/>
      <c r="D1133" s="371"/>
      <c r="E1133" s="371"/>
      <c r="F1133" s="371"/>
      <c r="G1133" s="371"/>
      <c r="H1133" s="371"/>
      <c r="I1133" s="371"/>
      <c r="J1133" s="371"/>
      <c r="K1133" s="371"/>
      <c r="L1133" s="371"/>
      <c r="M1133" s="371"/>
      <c r="N1133" s="22"/>
      <c r="O1133" s="21" t="b">
        <v>0</v>
      </c>
      <c r="P1133" s="419" t="str">
        <f ca="1">道具!$C$8</f>
        <v>ＳＰ全体恢复的李子</v>
      </c>
      <c r="Q1133" s="371"/>
      <c r="R1133" s="371"/>
      <c r="S1133" s="22"/>
      <c r="T1133" s="22"/>
      <c r="U1133" s="412"/>
      <c r="V1133" s="371"/>
      <c r="W1133" s="22"/>
      <c r="X1133" s="22"/>
      <c r="Y1133" s="22"/>
      <c r="Z1133" s="22"/>
      <c r="AA1133" s="22"/>
    </row>
    <row r="1134" spans="1:27" ht="12.75" x14ac:dyDescent="0.2">
      <c r="A1134" s="22"/>
      <c r="B1134" s="21" t="b">
        <v>0</v>
      </c>
      <c r="C1134" s="419" t="str">
        <f ca="1">敌人!C$241</f>
        <v>狂暴树木</v>
      </c>
      <c r="D1134" s="371"/>
      <c r="E1134" s="23">
        <f>敌人!D$241</f>
        <v>1</v>
      </c>
      <c r="F1134" s="23">
        <f>敌人!E$241</f>
        <v>0</v>
      </c>
      <c r="G1134" s="23">
        <f>敌人!F$241</f>
        <v>0</v>
      </c>
      <c r="H1134" s="23">
        <f>敌人!G$241</f>
        <v>0</v>
      </c>
      <c r="I1134" s="23">
        <f>敌人!H$241</f>
        <v>0</v>
      </c>
      <c r="J1134" s="23">
        <f>敌人!I$241</f>
        <v>0</v>
      </c>
      <c r="K1134" s="419" t="str">
        <f ca="1">敌人!J$241</f>
        <v>石榴树液</v>
      </c>
      <c r="L1134" s="371"/>
      <c r="M1134" s="371"/>
      <c r="N1134" s="22"/>
      <c r="O1134" s="21" t="b">
        <v>0</v>
      </c>
      <c r="P1134" s="419" t="str">
        <f ca="1">道具!$C$188&amp;" ("&amp;语言!$A$20&amp;")"</f>
        <v>元素长柄刀 (上锁宝箱)</v>
      </c>
      <c r="Q1134" s="371"/>
      <c r="R1134" s="371"/>
      <c r="S1134" s="22"/>
      <c r="T1134" s="22"/>
      <c r="U1134" s="412"/>
      <c r="V1134" s="371"/>
      <c r="W1134" s="22"/>
      <c r="X1134" s="22"/>
      <c r="Y1134" s="22"/>
      <c r="Z1134" s="22"/>
      <c r="AA1134" s="22"/>
    </row>
    <row r="1135" spans="1:27" ht="12.75" x14ac:dyDescent="0.2">
      <c r="A1135" s="22"/>
      <c r="B1135" s="21" t="b">
        <v>0</v>
      </c>
      <c r="C1135" s="419" t="str">
        <f ca="1">敌人!C$224</f>
        <v>猛毒菇</v>
      </c>
      <c r="D1135" s="371"/>
      <c r="E1135" s="23">
        <f>敌人!D$224</f>
        <v>1</v>
      </c>
      <c r="F1135" s="23">
        <f>敌人!E$224</f>
        <v>0</v>
      </c>
      <c r="G1135" s="23">
        <f>敌人!F$224</f>
        <v>0</v>
      </c>
      <c r="H1135" s="23">
        <f>敌人!G$224</f>
        <v>0</v>
      </c>
      <c r="I1135" s="23">
        <f>敌人!H$224</f>
        <v>0</v>
      </c>
      <c r="J1135" s="23">
        <f>敌人!I$224</f>
        <v>0</v>
      </c>
      <c r="K1135" s="419" t="str">
        <f ca="1">敌人!J$224</f>
        <v>毒治疗药草</v>
      </c>
      <c r="L1135" s="371"/>
      <c r="M1135" s="371"/>
      <c r="N1135" s="22"/>
      <c r="O1135" s="21" t="b">
        <v>0</v>
      </c>
      <c r="P1135" s="419" t="str">
        <f ca="1">道具!$C$369</f>
        <v>静寂头巾</v>
      </c>
      <c r="Q1135" s="371"/>
      <c r="R1135" s="371"/>
      <c r="S1135" s="22"/>
      <c r="T1135" s="22"/>
      <c r="U1135" s="412"/>
      <c r="V1135" s="371"/>
      <c r="W1135" s="22"/>
      <c r="X1135" s="22"/>
      <c r="Y1135" s="22"/>
      <c r="Z1135" s="22"/>
      <c r="AA1135" s="22"/>
    </row>
    <row r="1136" spans="1:27" ht="12.75" x14ac:dyDescent="0.2">
      <c r="A1136" s="22"/>
      <c r="B1136" s="21" t="b">
        <v>0</v>
      </c>
      <c r="C1136" s="419" t="str">
        <f ca="1">敌人!C$133</f>
        <v>狂暴菌类</v>
      </c>
      <c r="D1136" s="371"/>
      <c r="E1136" s="23">
        <f>敌人!D$133</f>
        <v>2</v>
      </c>
      <c r="F1136" s="23">
        <f>敌人!E$133</f>
        <v>0</v>
      </c>
      <c r="G1136" s="23">
        <f>敌人!F$133</f>
        <v>0</v>
      </c>
      <c r="H1136" s="23">
        <f>敌人!G$133</f>
        <v>0</v>
      </c>
      <c r="I1136" s="23">
        <f>敌人!H$133</f>
        <v>0</v>
      </c>
      <c r="J1136" s="23">
        <f>敌人!I$133</f>
        <v>0</v>
      </c>
      <c r="K1136" s="419" t="str">
        <f ca="1">敌人!J$133</f>
        <v>昏迷治疗药草</v>
      </c>
      <c r="L1136" s="371"/>
      <c r="M1136" s="371"/>
      <c r="N1136" s="22"/>
      <c r="O1136" s="21" t="b">
        <v>0</v>
      </c>
      <c r="P1136" s="419" t="str">
        <f ca="1">道具!$C$48</f>
        <v>暗之精灵石（特大）</v>
      </c>
      <c r="Q1136" s="371"/>
      <c r="R1136" s="371"/>
      <c r="S1136" s="22"/>
      <c r="T1136" s="22"/>
      <c r="U1136" s="412"/>
      <c r="V1136" s="371"/>
      <c r="W1136" s="22"/>
      <c r="X1136" s="22"/>
      <c r="Y1136" s="22"/>
      <c r="Z1136" s="22"/>
      <c r="AA1136" s="22"/>
    </row>
    <row r="1137" spans="1:27" ht="12.75" x14ac:dyDescent="0.2">
      <c r="A1137" s="22"/>
      <c r="B1137" s="21" t="b">
        <v>0</v>
      </c>
      <c r="C1137" s="419" t="str">
        <f ca="1">敌人!C$233</f>
        <v>九命树</v>
      </c>
      <c r="D1137" s="371"/>
      <c r="E1137" s="23">
        <f>敌人!D$233</f>
        <v>4</v>
      </c>
      <c r="F1137" s="23">
        <f>敌人!E$233</f>
        <v>0</v>
      </c>
      <c r="G1137" s="23">
        <f>敌人!F$233</f>
        <v>0</v>
      </c>
      <c r="H1137" s="23">
        <f>敌人!G$233</f>
        <v>0</v>
      </c>
      <c r="I1137" s="23">
        <f>敌人!H$233</f>
        <v>0</v>
      </c>
      <c r="J1137" s="23">
        <f>敌人!I$233</f>
        <v>0</v>
      </c>
      <c r="K1137" s="419" t="str">
        <f ca="1">敌人!J$233</f>
        <v>复活的橄榄（大）</v>
      </c>
      <c r="L1137" s="371"/>
      <c r="M1137" s="371"/>
      <c r="N1137" s="22"/>
      <c r="O1137" s="21" t="b">
        <v>0</v>
      </c>
      <c r="P1137" s="419" t="str">
        <f ca="1">道具!$C$527</f>
        <v>即死耐性石</v>
      </c>
      <c r="Q1137" s="371"/>
      <c r="R1137" s="371"/>
      <c r="S1137" s="22"/>
      <c r="T1137" s="22"/>
      <c r="U1137" s="412"/>
      <c r="V1137" s="371"/>
      <c r="W1137" s="22"/>
      <c r="X1137" s="22"/>
      <c r="Y1137" s="22"/>
      <c r="Z1137" s="22"/>
      <c r="AA1137" s="22"/>
    </row>
    <row r="1138" spans="1:27" ht="12.75" x14ac:dyDescent="0.2">
      <c r="A1138" s="22"/>
      <c r="B1138" s="21" t="b">
        <v>0</v>
      </c>
      <c r="C1138" s="419" t="str">
        <f ca="1">敌人!C$94</f>
        <v>诡异的鸟</v>
      </c>
      <c r="D1138" s="371"/>
      <c r="E1138" s="23">
        <f>敌人!D$94</f>
        <v>2</v>
      </c>
      <c r="F1138" s="23">
        <f>敌人!E$94</f>
        <v>0</v>
      </c>
      <c r="G1138" s="23">
        <f>敌人!F$94</f>
        <v>0</v>
      </c>
      <c r="H1138" s="23">
        <f>敌人!G$94</f>
        <v>0</v>
      </c>
      <c r="I1138" s="23">
        <f>敌人!H$94</f>
        <v>0</v>
      </c>
      <c r="J1138" s="23">
        <f>敌人!I$94</f>
        <v>0</v>
      </c>
      <c r="K1138" s="419" t="str">
        <f ca="1">敌人!J$94</f>
        <v>大鸟的羽毛</v>
      </c>
      <c r="L1138" s="371"/>
      <c r="M1138" s="371"/>
      <c r="N1138" s="22"/>
      <c r="O1138" s="22"/>
      <c r="P1138" s="412"/>
      <c r="Q1138" s="371"/>
      <c r="R1138" s="371"/>
      <c r="S1138" s="22"/>
      <c r="T1138" s="22"/>
      <c r="U1138" s="412"/>
      <c r="V1138" s="371"/>
      <c r="W1138" s="22"/>
      <c r="X1138" s="22"/>
      <c r="Y1138" s="22"/>
      <c r="Z1138" s="22"/>
      <c r="AA1138" s="22"/>
    </row>
    <row r="1139" spans="1:27" ht="12.75" x14ac:dyDescent="0.2">
      <c r="A1139" s="22"/>
      <c r="B1139" s="21" t="b">
        <v>0</v>
      </c>
      <c r="C1139" s="419" t="str">
        <f ca="1">敌人!C$24</f>
        <v>黑咆哮者</v>
      </c>
      <c r="D1139" s="371"/>
      <c r="E1139" s="23">
        <f>敌人!D$24</f>
        <v>1</v>
      </c>
      <c r="F1139" s="23">
        <f>敌人!E$24</f>
        <v>0</v>
      </c>
      <c r="G1139" s="23">
        <f>敌人!F$24</f>
        <v>0</v>
      </c>
      <c r="H1139" s="23">
        <f>敌人!G$24</f>
        <v>0</v>
      </c>
      <c r="I1139" s="23">
        <f>敌人!H$24</f>
        <v>0</v>
      </c>
      <c r="J1139" s="23">
        <f>敌人!I$24</f>
        <v>0</v>
      </c>
      <c r="K1139" s="419" t="str">
        <f ca="1">敌人!J$24</f>
        <v>石榴树液</v>
      </c>
      <c r="L1139" s="371"/>
      <c r="M1139" s="371"/>
      <c r="N1139" s="22"/>
      <c r="O1139" s="22"/>
      <c r="P1139" s="412"/>
      <c r="Q1139" s="371"/>
      <c r="R1139" s="371"/>
      <c r="S1139" s="22"/>
      <c r="T1139" s="22"/>
      <c r="U1139" s="412"/>
      <c r="V1139" s="371"/>
      <c r="W1139" s="22"/>
      <c r="X1139" s="22"/>
      <c r="Y1139" s="22"/>
      <c r="Z1139" s="22"/>
      <c r="AA1139" s="22"/>
    </row>
    <row r="1140" spans="1:27" ht="12.75" x14ac:dyDescent="0.2">
      <c r="A1140" s="22"/>
      <c r="B1140" s="21" t="b">
        <v>0</v>
      </c>
      <c r="C1140" s="419" t="str">
        <f ca="1">敌人!C$308</f>
        <v>暗乌鸦</v>
      </c>
      <c r="D1140" s="371"/>
      <c r="E1140" s="23">
        <f>敌人!D$308</f>
        <v>2</v>
      </c>
      <c r="F1140" s="23">
        <f>敌人!E$308</f>
        <v>0</v>
      </c>
      <c r="G1140" s="23">
        <f>敌人!F$308</f>
        <v>0</v>
      </c>
      <c r="H1140" s="23">
        <f>敌人!G$308</f>
        <v>0</v>
      </c>
      <c r="I1140" s="23">
        <f>敌人!H$308</f>
        <v>0</v>
      </c>
      <c r="J1140" s="23">
        <f>敌人!I$308</f>
        <v>0</v>
      </c>
      <c r="K1140" s="419" t="str">
        <f ca="1">敌人!J$308</f>
        <v>混乱多之叶</v>
      </c>
      <c r="L1140" s="371"/>
      <c r="M1140" s="371"/>
      <c r="N1140" s="22"/>
      <c r="O1140" s="22"/>
      <c r="P1140" s="412"/>
      <c r="Q1140" s="371"/>
      <c r="R1140" s="371"/>
      <c r="S1140" s="22"/>
      <c r="T1140" s="22"/>
      <c r="U1140" s="412"/>
      <c r="V1140" s="371"/>
      <c r="W1140" s="22"/>
      <c r="X1140" s="22"/>
      <c r="Y1140" s="22"/>
      <c r="Z1140" s="22"/>
      <c r="AA1140" s="22"/>
    </row>
    <row r="1141" spans="1:27" ht="12.75" x14ac:dyDescent="0.2">
      <c r="A1141" s="22"/>
      <c r="B1141" s="409" t="b">
        <v>0</v>
      </c>
      <c r="C1141" s="496" t="str">
        <f ca="1">敌人!C$51&amp;"
(kill "&amp;敌人!C$507&amp;" first)"</f>
        <v>蠢动的大花
(kill 食人花 first)</v>
      </c>
      <c r="D1141" s="371"/>
      <c r="E1141" s="495">
        <f>敌人!D$51</f>
        <v>10</v>
      </c>
      <c r="F1141" s="495">
        <f>敌人!E$51</f>
        <v>0</v>
      </c>
      <c r="G1141" s="495">
        <f>敌人!F$51</f>
        <v>0</v>
      </c>
      <c r="H1141" s="495">
        <f>敌人!G$51</f>
        <v>0</v>
      </c>
      <c r="I1141" s="495">
        <f>敌人!H$51</f>
        <v>0</v>
      </c>
      <c r="J1141" s="495">
        <f>敌人!I$51</f>
        <v>0</v>
      </c>
      <c r="K1141" s="495" t="str">
        <f ca="1">敌人!J$51</f>
        <v>ＨＰ／ＳＰ／ＢＰ恢复的果酱</v>
      </c>
      <c r="L1141" s="371"/>
      <c r="M1141" s="371"/>
      <c r="N1141" s="22"/>
      <c r="O1141" s="22"/>
      <c r="P1141" s="494"/>
      <c r="Q1141" s="371"/>
      <c r="R1141" s="371"/>
      <c r="S1141" s="22"/>
      <c r="T1141" s="22"/>
      <c r="U1141" s="412"/>
      <c r="V1141" s="371"/>
      <c r="W1141" s="22"/>
      <c r="X1141" s="22"/>
      <c r="Y1141" s="22"/>
      <c r="Z1141" s="22"/>
      <c r="AA1141" s="22"/>
    </row>
    <row r="1142" spans="1:27" ht="12.75" x14ac:dyDescent="0.2">
      <c r="A1142" s="22"/>
      <c r="B1142" s="371"/>
      <c r="C1142" s="371"/>
      <c r="D1142" s="371"/>
      <c r="E1142" s="371"/>
      <c r="F1142" s="371"/>
      <c r="G1142" s="371"/>
      <c r="H1142" s="371"/>
      <c r="I1142" s="371"/>
      <c r="J1142" s="371"/>
      <c r="K1142" s="371"/>
      <c r="L1142" s="371"/>
      <c r="M1142" s="371"/>
      <c r="N1142" s="22"/>
      <c r="O1142" s="22"/>
      <c r="P1142" s="494"/>
      <c r="Q1142" s="371"/>
      <c r="R1142" s="371"/>
      <c r="S1142" s="22"/>
      <c r="T1142" s="22"/>
      <c r="U1142" s="412"/>
      <c r="V1142" s="371"/>
      <c r="W1142" s="22"/>
      <c r="X1142" s="22"/>
      <c r="Y1142" s="22"/>
      <c r="Z1142" s="22"/>
      <c r="AA1142" s="22"/>
    </row>
    <row r="1143" spans="1:27" ht="12.75" x14ac:dyDescent="0.2">
      <c r="A1143" s="22"/>
      <c r="B1143" s="420" t="str">
        <f ca="1">语言!$A$15&amp;" (quest: Into Thin Air)"</f>
        <v>Boss (quest: Into Thin Air)</v>
      </c>
      <c r="C1143" s="371"/>
      <c r="D1143" s="371"/>
      <c r="E1143" s="371"/>
      <c r="F1143" s="371"/>
      <c r="G1143" s="371"/>
      <c r="H1143" s="371"/>
      <c r="I1143" s="371"/>
      <c r="J1143" s="371"/>
      <c r="K1143" s="371"/>
      <c r="L1143" s="371"/>
      <c r="M1143" s="371"/>
      <c r="N1143" s="22"/>
      <c r="O1143" s="22"/>
      <c r="P1143" s="494"/>
      <c r="Q1143" s="371"/>
      <c r="R1143" s="371"/>
      <c r="S1143" s="22"/>
      <c r="T1143" s="22"/>
      <c r="U1143" s="412"/>
      <c r="V1143" s="371"/>
      <c r="W1143" s="22"/>
      <c r="X1143" s="22"/>
      <c r="Y1143" s="22"/>
      <c r="Z1143" s="22"/>
      <c r="AA1143" s="22"/>
    </row>
    <row r="1144" spans="1:27" ht="12.75" x14ac:dyDescent="0.2">
      <c r="A1144" s="22"/>
      <c r="B1144" s="411" t="b">
        <v>0</v>
      </c>
      <c r="C1144" s="495" t="str">
        <f ca="1">敌人!C$507</f>
        <v>食人花</v>
      </c>
      <c r="D1144" s="371"/>
      <c r="E1144" s="495">
        <f>敌人!D$507</f>
        <v>4</v>
      </c>
      <c r="F1144" s="23">
        <f>敌人!E$507</f>
        <v>0</v>
      </c>
      <c r="G1144" s="23">
        <f>敌人!F$507</f>
        <v>0</v>
      </c>
      <c r="H1144" s="23">
        <f>敌人!G$507</f>
        <v>0</v>
      </c>
      <c r="I1144" s="23">
        <f>敌人!H$507</f>
        <v>0</v>
      </c>
      <c r="J1144" s="23">
        <f>敌人!I$507</f>
        <v>0</v>
      </c>
      <c r="K1144" s="495" t="str">
        <f ca="1">敌人!J$507</f>
        <v>ＨＰ／ＳＰ恢复的果酱</v>
      </c>
      <c r="L1144" s="371"/>
      <c r="M1144" s="371"/>
      <c r="N1144" s="22"/>
      <c r="O1144" s="22"/>
      <c r="P1144" s="412"/>
      <c r="Q1144" s="371"/>
      <c r="R1144" s="371"/>
      <c r="S1144" s="22"/>
      <c r="T1144" s="22"/>
      <c r="U1144" s="412"/>
      <c r="V1144" s="371"/>
      <c r="W1144" s="22"/>
      <c r="X1144" s="22"/>
      <c r="Y1144" s="22"/>
      <c r="Z1144" s="22"/>
      <c r="AA1144" s="22"/>
    </row>
    <row r="1145" spans="1:27" ht="12.75" x14ac:dyDescent="0.2">
      <c r="A1145" s="22"/>
      <c r="B1145" s="371"/>
      <c r="C1145" s="371"/>
      <c r="D1145" s="371"/>
      <c r="E1145" s="371"/>
      <c r="F1145" s="23">
        <f>敌人!E$508</f>
        <v>0</v>
      </c>
      <c r="G1145" s="23">
        <f>敌人!F$508</f>
        <v>0</v>
      </c>
      <c r="H1145" s="23">
        <f>敌人!G$508</f>
        <v>0</v>
      </c>
      <c r="I1145" s="23">
        <f>敌人!H$508</f>
        <v>0</v>
      </c>
      <c r="J1145" s="23">
        <f>敌人!I$508</f>
        <v>0</v>
      </c>
      <c r="K1145" s="371"/>
      <c r="L1145" s="371"/>
      <c r="M1145" s="371"/>
      <c r="N1145" s="22"/>
      <c r="O1145" s="22"/>
      <c r="P1145" s="494"/>
      <c r="Q1145" s="371"/>
      <c r="R1145" s="371"/>
      <c r="S1145" s="22"/>
      <c r="T1145" s="22"/>
      <c r="U1145" s="412"/>
      <c r="V1145" s="371"/>
      <c r="W1145" s="22"/>
      <c r="X1145" s="22"/>
      <c r="Y1145" s="22"/>
      <c r="Z1145" s="22"/>
      <c r="AA1145" s="22"/>
    </row>
    <row r="1146" spans="1:27" ht="12.75" x14ac:dyDescent="0.2">
      <c r="A1146" s="22"/>
      <c r="B1146" s="371"/>
      <c r="C1146" s="371"/>
      <c r="D1146" s="371"/>
      <c r="E1146" s="371"/>
      <c r="F1146" s="23">
        <f>敌人!E$509</f>
        <v>0</v>
      </c>
      <c r="G1146" s="23">
        <f>敌人!F$509</f>
        <v>0</v>
      </c>
      <c r="H1146" s="23">
        <f>敌人!G$509</f>
        <v>0</v>
      </c>
      <c r="I1146" s="23">
        <f>敌人!H$509</f>
        <v>0</v>
      </c>
      <c r="J1146" s="23">
        <f>敌人!I$509</f>
        <v>0</v>
      </c>
      <c r="K1146" s="371"/>
      <c r="L1146" s="371"/>
      <c r="M1146" s="371"/>
      <c r="N1146" s="22"/>
      <c r="O1146" s="22"/>
      <c r="P1146" s="494"/>
      <c r="Q1146" s="371"/>
      <c r="R1146" s="371"/>
      <c r="S1146" s="22"/>
      <c r="T1146" s="22"/>
      <c r="U1146" s="412"/>
      <c r="V1146" s="371"/>
      <c r="W1146" s="22"/>
      <c r="X1146" s="22"/>
      <c r="Y1146" s="22"/>
      <c r="Z1146" s="22"/>
      <c r="AA1146" s="22"/>
    </row>
    <row r="1147" spans="1:27" ht="12.75" x14ac:dyDescent="0.2">
      <c r="A1147" s="22"/>
      <c r="B1147" s="21" t="b">
        <v>0</v>
      </c>
      <c r="C1147" s="419" t="str">
        <f ca="1">敌人!C$510</f>
        <v>食人猛菌</v>
      </c>
      <c r="D1147" s="371"/>
      <c r="E1147" s="23">
        <f>敌人!D$510</f>
        <v>7</v>
      </c>
      <c r="F1147" s="23">
        <f>敌人!E$510</f>
        <v>0</v>
      </c>
      <c r="G1147" s="23">
        <f>敌人!F$510</f>
        <v>0</v>
      </c>
      <c r="H1147" s="23">
        <f>敌人!G$510</f>
        <v>0</v>
      </c>
      <c r="I1147" s="23">
        <f>敌人!H$510</f>
        <v>0</v>
      </c>
      <c r="J1147" s="23">
        <f>敌人!I$510</f>
        <v>0</v>
      </c>
      <c r="K1147" s="419" t="str">
        <f ca="1">敌人!J$510</f>
        <v>ＳＰ全体恢复的李子</v>
      </c>
      <c r="L1147" s="371"/>
      <c r="M1147" s="371"/>
      <c r="N1147" s="22"/>
      <c r="O1147" s="22"/>
      <c r="P1147" s="494"/>
      <c r="Q1147" s="371"/>
      <c r="R1147" s="371"/>
      <c r="S1147" s="22"/>
      <c r="T1147" s="22"/>
      <c r="U1147" s="412"/>
      <c r="V1147" s="371"/>
      <c r="W1147" s="22"/>
      <c r="X1147" s="22"/>
      <c r="Y1147" s="22"/>
      <c r="Z1147" s="22"/>
      <c r="AA1147" s="22"/>
    </row>
    <row r="1148" spans="1:27" ht="12.75" x14ac:dyDescent="0.2">
      <c r="A1148" s="22"/>
      <c r="B1148" s="420" t="str">
        <f ca="1">语言!$A$17&amp;" (quest: Again with Alaic)"</f>
        <v>特殊怪 (quest: Again with Alaic)</v>
      </c>
      <c r="C1148" s="371"/>
      <c r="D1148" s="371"/>
      <c r="E1148" s="371"/>
      <c r="F1148" s="371"/>
      <c r="G1148" s="371"/>
      <c r="H1148" s="371"/>
      <c r="I1148" s="371"/>
      <c r="J1148" s="371"/>
      <c r="K1148" s="371"/>
      <c r="L1148" s="371"/>
      <c r="M1148" s="371"/>
      <c r="N1148" s="22"/>
      <c r="O1148" s="22"/>
      <c r="P1148" s="494"/>
      <c r="Q1148" s="371"/>
      <c r="R1148" s="371"/>
      <c r="S1148" s="22"/>
      <c r="T1148" s="22"/>
      <c r="U1148" s="412"/>
      <c r="V1148" s="371"/>
      <c r="W1148" s="22"/>
      <c r="X1148" s="22"/>
      <c r="Y1148" s="22"/>
      <c r="Z1148" s="22"/>
      <c r="AA1148" s="22"/>
    </row>
    <row r="1149" spans="1:27" ht="12.75" x14ac:dyDescent="0.2">
      <c r="A1149" s="22"/>
      <c r="B1149" s="21" t="b">
        <v>0</v>
      </c>
      <c r="C1149" s="411" t="str">
        <f ca="1">敌人!C$506</f>
        <v>盗贼团头目</v>
      </c>
      <c r="D1149" s="371"/>
      <c r="E1149" s="21">
        <f>敌人!D$506</f>
        <v>5</v>
      </c>
      <c r="F1149" s="21">
        <f>敌人!E$506</f>
        <v>0</v>
      </c>
      <c r="G1149" s="21">
        <f>敌人!F$506</f>
        <v>0</v>
      </c>
      <c r="H1149" s="21">
        <f>敌人!G$506</f>
        <v>0</v>
      </c>
      <c r="I1149" s="21">
        <f>敌人!H$506</f>
        <v>0</v>
      </c>
      <c r="J1149" s="21">
        <f>敌人!I$506</f>
        <v>0</v>
      </c>
      <c r="K1149" s="411" t="str">
        <f ca="1">敌人!J$506</f>
        <v>ＨＰ恢复的葡萄</v>
      </c>
      <c r="L1149" s="371"/>
      <c r="M1149" s="371"/>
      <c r="N1149" s="22"/>
      <c r="O1149" s="22"/>
      <c r="P1149" s="494"/>
      <c r="Q1149" s="371"/>
      <c r="R1149" s="371"/>
      <c r="S1149" s="22"/>
      <c r="T1149" s="22"/>
      <c r="U1149" s="412"/>
      <c r="V1149" s="371"/>
      <c r="W1149" s="22"/>
      <c r="X1149" s="22"/>
      <c r="Y1149" s="22"/>
      <c r="Z1149" s="22"/>
      <c r="AA1149" s="22"/>
    </row>
    <row r="1150" spans="1:27" ht="12.75" x14ac:dyDescent="0.2">
      <c r="A1150" s="22"/>
      <c r="B1150" s="22"/>
      <c r="C1150" s="412"/>
      <c r="D1150" s="371"/>
      <c r="E1150" s="22"/>
      <c r="F1150" s="22"/>
      <c r="G1150" s="22"/>
      <c r="H1150" s="22"/>
      <c r="I1150" s="22"/>
      <c r="J1150" s="22"/>
      <c r="K1150" s="412"/>
      <c r="L1150" s="371"/>
      <c r="M1150" s="371"/>
      <c r="N1150" s="22"/>
      <c r="O1150" s="22"/>
      <c r="P1150" s="494"/>
      <c r="Q1150" s="371"/>
      <c r="R1150" s="371"/>
      <c r="S1150" s="22"/>
      <c r="T1150" s="22"/>
      <c r="U1150" s="412"/>
      <c r="V1150" s="371"/>
      <c r="W1150" s="22"/>
      <c r="X1150" s="22"/>
      <c r="Y1150" s="22"/>
      <c r="Z1150" s="22"/>
      <c r="AA1150" s="22"/>
    </row>
    <row r="1151" spans="1:27" ht="12.75" x14ac:dyDescent="0.2">
      <c r="A1151" s="22"/>
      <c r="B1151" s="417" t="str">
        <f ca="1">语言!$A$38&amp;" "&amp;语言!$A$14&amp;" 2"</f>
        <v>欧尔贝克 章节 2</v>
      </c>
      <c r="C1151" s="371"/>
      <c r="D1151" s="371"/>
      <c r="E1151" s="371"/>
      <c r="F1151" s="371"/>
      <c r="G1151" s="371"/>
      <c r="H1151" s="371"/>
      <c r="I1151" s="371"/>
      <c r="J1151" s="371"/>
      <c r="K1151" s="371"/>
      <c r="L1151" s="371"/>
      <c r="M1151" s="371"/>
      <c r="N1151" s="22"/>
      <c r="O1151" s="22"/>
      <c r="P1151" s="494"/>
      <c r="Q1151" s="371"/>
      <c r="R1151" s="371"/>
      <c r="S1151" s="22"/>
      <c r="T1151" s="22"/>
      <c r="U1151" s="412"/>
      <c r="V1151" s="371"/>
      <c r="W1151" s="22"/>
      <c r="X1151" s="417" t="str">
        <f ca="1">语言!$A$38&amp;" "&amp;语言!$A$14&amp;" 2"</f>
        <v>欧尔贝克 章节 2</v>
      </c>
      <c r="Y1151" s="371"/>
      <c r="Z1151" s="371"/>
      <c r="AA1151" s="22"/>
    </row>
    <row r="1152" spans="1:27" ht="12.75" x14ac:dyDescent="0.2">
      <c r="A1152" s="22"/>
      <c r="B1152" s="408" t="str">
        <f ca="1">语言!A$483</f>
        <v>维克塔霍洛</v>
      </c>
      <c r="C1152" s="371"/>
      <c r="D1152" s="371"/>
      <c r="E1152" s="371"/>
      <c r="F1152" s="371"/>
      <c r="G1152" s="371"/>
      <c r="H1152" s="371"/>
      <c r="I1152" s="371"/>
      <c r="J1152" s="371"/>
      <c r="K1152" s="371"/>
      <c r="L1152" s="371"/>
      <c r="M1152" s="371"/>
      <c r="N1152" s="22"/>
      <c r="O1152" s="22"/>
      <c r="P1152" s="494"/>
      <c r="Q1152" s="371"/>
      <c r="R1152" s="371"/>
      <c r="S1152" s="22"/>
      <c r="T1152" s="22"/>
      <c r="U1152" s="412"/>
      <c r="V1152" s="371"/>
      <c r="W1152" s="22"/>
      <c r="X1152" s="408" t="str">
        <f ca="1">语言!A$483</f>
        <v>维克塔霍洛</v>
      </c>
      <c r="Y1152" s="371"/>
      <c r="Z1152" s="371"/>
      <c r="AA1152" s="22"/>
    </row>
    <row r="1153" spans="1:27" ht="12.75" x14ac:dyDescent="0.2">
      <c r="A1153" s="22"/>
      <c r="B1153" s="420" t="str">
        <f ca="1">语言!$A$15</f>
        <v>Boss</v>
      </c>
      <c r="C1153" s="371"/>
      <c r="D1153" s="371"/>
      <c r="E1153" s="371"/>
      <c r="F1153" s="371"/>
      <c r="G1153" s="371"/>
      <c r="H1153" s="371"/>
      <c r="I1153" s="371"/>
      <c r="J1153" s="371"/>
      <c r="K1153" s="371"/>
      <c r="L1153" s="371"/>
      <c r="M1153" s="371"/>
      <c r="N1153" s="22"/>
      <c r="O1153" s="22"/>
      <c r="P1153" s="412"/>
      <c r="Q1153" s="371"/>
      <c r="R1153" s="371"/>
      <c r="S1153" s="22"/>
      <c r="T1153" s="22"/>
      <c r="U1153" s="412"/>
      <c r="V1153" s="371"/>
      <c r="W1153" s="22"/>
      <c r="X1153" s="409" t="b">
        <v>0</v>
      </c>
      <c r="Y1153" s="401" t="str">
        <f ca="1">语言!$A$2037&amp;" (NPC)
Item:
"&amp;道具!$C$426</f>
        <v>傲慢的强者 (NPC)
Item:
异国之服</v>
      </c>
      <c r="Z1153" s="410" t="str">
        <f ca="1">"During "&amp;语言!$A$38&amp;" chapter 2 you'll have to "&amp;语言!$A$47&amp;" 2 guys. One of them is named "&amp;语言!$A$2037&amp;" and can drop an "&amp;道具!$C$426&amp;" which is a Limited Item. Reset your game if he doesn't drop it. I don't have the exact drop rate but I estimate it to be somewhere around 10% drop chance."</f>
        <v>During 欧尔贝克 chapter 2 you'll have to 比试 2 guys. One of them is named 傲慢的强者 and can drop an 异国之服 which is a Limited Item. Reset your game if he doesn't drop it. I don't have the exact drop rate but I estimate it to be somewhere around 10% drop chance.</v>
      </c>
      <c r="AA1153" s="22"/>
    </row>
    <row r="1154" spans="1:27" ht="12.75" x14ac:dyDescent="0.2">
      <c r="A1154" s="22"/>
      <c r="B1154" s="21" t="b">
        <v>0</v>
      </c>
      <c r="C1154" s="419" t="str">
        <f ca="1">敌人!C$412</f>
        <v>维克托里诺</v>
      </c>
      <c r="D1154" s="371"/>
      <c r="E1154" s="23">
        <f>敌人!D$412</f>
        <v>5</v>
      </c>
      <c r="F1154" s="23">
        <f>敌人!E$412</f>
        <v>0</v>
      </c>
      <c r="G1154" s="23">
        <f>敌人!F$412</f>
        <v>0</v>
      </c>
      <c r="H1154" s="23">
        <f>敌人!G$412</f>
        <v>0</v>
      </c>
      <c r="I1154" s="23">
        <f>敌人!H$412</f>
        <v>0</v>
      </c>
      <c r="J1154" s="23">
        <f>敌人!I$412</f>
        <v>0</v>
      </c>
      <c r="K1154" s="419" t="str">
        <f ca="1">敌人!J$412</f>
        <v>ＢＰ恢复的石榴</v>
      </c>
      <c r="L1154" s="371"/>
      <c r="M1154" s="371"/>
      <c r="N1154" s="22"/>
      <c r="O1154" s="22"/>
      <c r="P1154" s="412"/>
      <c r="Q1154" s="371"/>
      <c r="R1154" s="371"/>
      <c r="S1154" s="22"/>
      <c r="T1154" s="22"/>
      <c r="U1154" s="412"/>
      <c r="V1154" s="371"/>
      <c r="W1154" s="22"/>
      <c r="X1154" s="371"/>
      <c r="Y1154" s="371"/>
      <c r="Z1154" s="371"/>
      <c r="AA1154" s="22"/>
    </row>
    <row r="1155" spans="1:27" ht="12.75" x14ac:dyDescent="0.2">
      <c r="A1155" s="22"/>
      <c r="B1155" s="21" t="b">
        <v>0</v>
      </c>
      <c r="C1155" s="419" t="str">
        <f ca="1">敌人!C$413</f>
        <v>维克托里诺的手下</v>
      </c>
      <c r="D1155" s="371"/>
      <c r="E1155" s="23">
        <f>敌人!D$413</f>
        <v>2</v>
      </c>
      <c r="F1155" s="23">
        <f>敌人!E$413</f>
        <v>0</v>
      </c>
      <c r="G1155" s="23">
        <f>敌人!F$413</f>
        <v>0</v>
      </c>
      <c r="H1155" s="23">
        <f>敌人!G$413</f>
        <v>0</v>
      </c>
      <c r="I1155" s="23">
        <f>敌人!H$413</f>
        <v>0</v>
      </c>
      <c r="J1155" s="23">
        <f>敌人!I$413</f>
        <v>0</v>
      </c>
      <c r="K1155" s="419" t="str">
        <f ca="1">敌人!J$413</f>
        <v>ＨＰ恢复的葡萄</v>
      </c>
      <c r="L1155" s="371"/>
      <c r="M1155" s="371"/>
      <c r="N1155" s="22"/>
      <c r="O1155" s="22"/>
      <c r="P1155" s="412"/>
      <c r="Q1155" s="371"/>
      <c r="R1155" s="371"/>
      <c r="S1155" s="22"/>
      <c r="T1155" s="22"/>
      <c r="U1155" s="412"/>
      <c r="V1155" s="371"/>
      <c r="W1155" s="22"/>
      <c r="X1155" s="371"/>
      <c r="Y1155" s="371"/>
      <c r="Z1155" s="371"/>
      <c r="AA1155" s="22"/>
    </row>
    <row r="1156" spans="1:27" ht="12.75" x14ac:dyDescent="0.2">
      <c r="A1156" s="22"/>
      <c r="B1156" s="420" t="str">
        <f ca="1">语言!$A$15</f>
        <v>Boss</v>
      </c>
      <c r="C1156" s="371"/>
      <c r="D1156" s="371"/>
      <c r="E1156" s="371"/>
      <c r="F1156" s="371"/>
      <c r="G1156" s="371"/>
      <c r="H1156" s="371"/>
      <c r="I1156" s="371"/>
      <c r="J1156" s="371"/>
      <c r="K1156" s="371"/>
      <c r="L1156" s="371"/>
      <c r="M1156" s="371"/>
      <c r="N1156" s="22"/>
      <c r="O1156" s="22"/>
      <c r="P1156" s="412"/>
      <c r="Q1156" s="371"/>
      <c r="R1156" s="371"/>
      <c r="S1156" s="22"/>
      <c r="T1156" s="22"/>
      <c r="U1156" s="412"/>
      <c r="V1156" s="371"/>
      <c r="W1156" s="22"/>
      <c r="X1156" s="371"/>
      <c r="Y1156" s="371"/>
      <c r="Z1156" s="371"/>
      <c r="AA1156" s="22"/>
    </row>
    <row r="1157" spans="1:27" ht="12.75" x14ac:dyDescent="0.2">
      <c r="A1157" s="22"/>
      <c r="B1157" s="21" t="b">
        <v>0</v>
      </c>
      <c r="C1157" s="419" t="str">
        <f ca="1">敌人!C$414</f>
        <v>约书亚</v>
      </c>
      <c r="D1157" s="371"/>
      <c r="E1157" s="23">
        <f>敌人!D$414</f>
        <v>6</v>
      </c>
      <c r="F1157" s="23">
        <f>敌人!E$414</f>
        <v>0</v>
      </c>
      <c r="G1157" s="23">
        <f>敌人!F$414</f>
        <v>0</v>
      </c>
      <c r="H1157" s="23">
        <f>敌人!G$414</f>
        <v>0</v>
      </c>
      <c r="I1157" s="23">
        <f>敌人!H$414</f>
        <v>0</v>
      </c>
      <c r="J1157" s="23">
        <f>敌人!I$414</f>
        <v>0</v>
      </c>
      <c r="K1157" s="419" t="str">
        <f ca="1">敌人!J$414</f>
        <v>ＳＰ恢复的李子（大）</v>
      </c>
      <c r="L1157" s="371"/>
      <c r="M1157" s="371"/>
      <c r="N1157" s="22"/>
      <c r="O1157" s="22"/>
      <c r="P1157" s="412"/>
      <c r="Q1157" s="371"/>
      <c r="R1157" s="371"/>
      <c r="S1157" s="22"/>
      <c r="T1157" s="22"/>
      <c r="U1157" s="412"/>
      <c r="V1157" s="371"/>
      <c r="W1157" s="22"/>
      <c r="X1157" s="371"/>
      <c r="Y1157" s="371"/>
      <c r="Z1157" s="371"/>
      <c r="AA1157" s="22"/>
    </row>
    <row r="1158" spans="1:27" ht="12.75" x14ac:dyDescent="0.2">
      <c r="A1158" s="22"/>
      <c r="B1158" s="21" t="b">
        <v>0</v>
      </c>
      <c r="C1158" s="419" t="str">
        <f ca="1">敌人!C$415</f>
        <v>剑斗士（英俊）</v>
      </c>
      <c r="D1158" s="371"/>
      <c r="E1158" s="23">
        <f>敌人!D$415</f>
        <v>4</v>
      </c>
      <c r="F1158" s="23">
        <f>敌人!E$415</f>
        <v>0</v>
      </c>
      <c r="G1158" s="23">
        <f>敌人!F$415</f>
        <v>0</v>
      </c>
      <c r="H1158" s="23">
        <f>敌人!G$415</f>
        <v>0</v>
      </c>
      <c r="I1158" s="23">
        <f>敌人!H$415</f>
        <v>0</v>
      </c>
      <c r="J1158" s="23">
        <f>敌人!I$415</f>
        <v>0</v>
      </c>
      <c r="K1158" s="419" t="str">
        <f ca="1">敌人!J$415</f>
        <v>冰之精灵石（大）</v>
      </c>
      <c r="L1158" s="371"/>
      <c r="M1158" s="371"/>
      <c r="N1158" s="22"/>
      <c r="O1158" s="22"/>
      <c r="P1158" s="412"/>
      <c r="Q1158" s="371"/>
      <c r="R1158" s="371"/>
      <c r="S1158" s="22"/>
      <c r="T1158" s="22"/>
      <c r="U1158" s="412"/>
      <c r="V1158" s="371"/>
      <c r="W1158" s="22"/>
      <c r="X1158" s="371"/>
      <c r="Y1158" s="371"/>
      <c r="Z1158" s="371"/>
      <c r="AA1158" s="22"/>
    </row>
    <row r="1159" spans="1:27" ht="12.75" x14ac:dyDescent="0.2">
      <c r="A1159" s="22"/>
      <c r="B1159" s="420" t="str">
        <f ca="1">语言!$A$15</f>
        <v>Boss</v>
      </c>
      <c r="C1159" s="371"/>
      <c r="D1159" s="371"/>
      <c r="E1159" s="371"/>
      <c r="F1159" s="371"/>
      <c r="G1159" s="371"/>
      <c r="H1159" s="371"/>
      <c r="I1159" s="371"/>
      <c r="J1159" s="371"/>
      <c r="K1159" s="371"/>
      <c r="L1159" s="371"/>
      <c r="M1159" s="371"/>
      <c r="N1159" s="22"/>
      <c r="O1159" s="22"/>
      <c r="P1159" s="412"/>
      <c r="Q1159" s="371"/>
      <c r="R1159" s="371"/>
      <c r="S1159" s="22"/>
      <c r="T1159" s="22"/>
      <c r="U1159" s="412"/>
      <c r="V1159" s="371"/>
      <c r="W1159" s="22"/>
      <c r="X1159" s="409" t="b">
        <v>0</v>
      </c>
      <c r="Y1159" s="401" t="str">
        <f ca="1">语言!$A$1933&amp;" (NPC)
"&amp;语言!$A$1776&amp;" (NPC)
"&amp;语言!$A$1908&amp;" (NPC)
Weak Points x 3"</f>
        <v>冰冻剑士约书亚 (NPC)
粉碎者阿奇博德 (NPC)
黑骑士古斯塔夫 (NPC)
Weak Points x 3</v>
      </c>
      <c r="Z1159" s="410" t="str">
        <f ca="1">语言!$A$45&amp;" / "&amp;语言!$A$49&amp;": "&amp;道具!$I$31&amp;" &amp; "&amp;道具!$I$7&amp;" &amp; "&amp;道具!$I$26&amp;" right before you fight each one of them. Those 3 weak points are missable. (Not required for your "&amp;语言!$A$9&amp;" achievement)"</f>
        <v>探查 / 打听: 约书亚的弱点 &amp; 阿奇博德的弱点 &amp; 古斯塔夫的弱点 right before you fight each one of them. Those 3 weak points are missable. (Not required for your 收藏家 achievement)</v>
      </c>
      <c r="AA1159" s="22"/>
    </row>
    <row r="1160" spans="1:27" ht="12.75" x14ac:dyDescent="0.2">
      <c r="A1160" s="22"/>
      <c r="B1160" s="21" t="b">
        <v>0</v>
      </c>
      <c r="C1160" s="419" t="str">
        <f ca="1">敌人!C$416</f>
        <v>阿奇博德</v>
      </c>
      <c r="D1160" s="371"/>
      <c r="E1160" s="23">
        <f>敌人!D$416</f>
        <v>7</v>
      </c>
      <c r="F1160" s="23">
        <f>敌人!E$416</f>
        <v>0</v>
      </c>
      <c r="G1160" s="23">
        <f>敌人!F$416</f>
        <v>0</v>
      </c>
      <c r="H1160" s="23">
        <f>敌人!G$416</f>
        <v>0</v>
      </c>
      <c r="I1160" s="23">
        <f>敌人!H$416</f>
        <v>0</v>
      </c>
      <c r="J1160" s="23">
        <f>敌人!I$416</f>
        <v>0</v>
      </c>
      <c r="K1160" s="419" t="str">
        <f ca="1">敌人!J$416</f>
        <v>复活的橄榄（大）</v>
      </c>
      <c r="L1160" s="371"/>
      <c r="M1160" s="371"/>
      <c r="N1160" s="22"/>
      <c r="O1160" s="22"/>
      <c r="P1160" s="412"/>
      <c r="Q1160" s="371"/>
      <c r="R1160" s="371"/>
      <c r="S1160" s="22"/>
      <c r="T1160" s="22"/>
      <c r="U1160" s="412"/>
      <c r="V1160" s="371"/>
      <c r="W1160" s="22"/>
      <c r="X1160" s="371"/>
      <c r="Y1160" s="371"/>
      <c r="Z1160" s="371"/>
      <c r="AA1160" s="22"/>
    </row>
    <row r="1161" spans="1:27" ht="12.75" x14ac:dyDescent="0.2">
      <c r="A1161" s="22"/>
      <c r="B1161" s="21" t="b">
        <v>0</v>
      </c>
      <c r="C1161" s="419" t="str">
        <f ca="1">敌人!C$417</f>
        <v>剑斗士（面具）</v>
      </c>
      <c r="D1161" s="371"/>
      <c r="E1161" s="23">
        <f>敌人!D$417</f>
        <v>5</v>
      </c>
      <c r="F1161" s="23">
        <f>敌人!E$417</f>
        <v>0</v>
      </c>
      <c r="G1161" s="23">
        <f>敌人!F$417</f>
        <v>0</v>
      </c>
      <c r="H1161" s="23">
        <f>敌人!G$417</f>
        <v>0</v>
      </c>
      <c r="I1161" s="23">
        <f>敌人!H$417</f>
        <v>0</v>
      </c>
      <c r="J1161" s="23">
        <f>敌人!I$417</f>
        <v>0</v>
      </c>
      <c r="K1161" s="419" t="str">
        <f ca="1">敌人!J$417</f>
        <v>复活的橄榄</v>
      </c>
      <c r="L1161" s="371"/>
      <c r="M1161" s="371"/>
      <c r="N1161" s="22"/>
      <c r="O1161" s="22"/>
      <c r="P1161" s="412"/>
      <c r="Q1161" s="371"/>
      <c r="R1161" s="371"/>
      <c r="S1161" s="22"/>
      <c r="T1161" s="22"/>
      <c r="U1161" s="412"/>
      <c r="V1161" s="371"/>
      <c r="W1161" s="22"/>
      <c r="X1161" s="371"/>
      <c r="Y1161" s="371"/>
      <c r="Z1161" s="371"/>
      <c r="AA1161" s="22"/>
    </row>
    <row r="1162" spans="1:27" ht="12.75" x14ac:dyDescent="0.2">
      <c r="A1162" s="22"/>
      <c r="B1162" s="420" t="str">
        <f ca="1">语言!$A$15</f>
        <v>Boss</v>
      </c>
      <c r="C1162" s="371"/>
      <c r="D1162" s="371"/>
      <c r="E1162" s="371"/>
      <c r="F1162" s="371"/>
      <c r="G1162" s="371"/>
      <c r="H1162" s="371"/>
      <c r="I1162" s="371"/>
      <c r="J1162" s="371"/>
      <c r="K1162" s="371"/>
      <c r="L1162" s="371"/>
      <c r="M1162" s="371"/>
      <c r="N1162" s="22"/>
      <c r="O1162" s="22"/>
      <c r="P1162" s="412"/>
      <c r="Q1162" s="371"/>
      <c r="R1162" s="371"/>
      <c r="S1162" s="22"/>
      <c r="T1162" s="22"/>
      <c r="U1162" s="412"/>
      <c r="V1162" s="371"/>
      <c r="W1162" s="22"/>
      <c r="X1162" s="371"/>
      <c r="Y1162" s="371"/>
      <c r="Z1162" s="371"/>
      <c r="AA1162" s="22"/>
    </row>
    <row r="1163" spans="1:27" ht="12.75" x14ac:dyDescent="0.2">
      <c r="A1163" s="22"/>
      <c r="B1163" s="21" t="b">
        <v>0</v>
      </c>
      <c r="C1163" s="419" t="str">
        <f ca="1">敌人!C$418</f>
        <v>古斯塔夫</v>
      </c>
      <c r="D1163" s="371"/>
      <c r="E1163" s="23">
        <f>敌人!D$418</f>
        <v>8</v>
      </c>
      <c r="F1163" s="23">
        <f>敌人!E$418</f>
        <v>0</v>
      </c>
      <c r="G1163" s="23">
        <f>敌人!F$418</f>
        <v>0</v>
      </c>
      <c r="H1163" s="23">
        <f>敌人!G$418</f>
        <v>0</v>
      </c>
      <c r="I1163" s="23">
        <f>敌人!H$418</f>
        <v>0</v>
      </c>
      <c r="J1163" s="23">
        <f>敌人!I$418</f>
        <v>0</v>
      </c>
      <c r="K1163" s="419" t="str">
        <f ca="1">敌人!J$418</f>
        <v>古斯塔夫之盾 (can't steal)</v>
      </c>
      <c r="L1163" s="371"/>
      <c r="M1163" s="371"/>
      <c r="N1163" s="22"/>
      <c r="O1163" s="22"/>
      <c r="P1163" s="412"/>
      <c r="Q1163" s="371"/>
      <c r="R1163" s="371"/>
      <c r="S1163" s="22"/>
      <c r="T1163" s="22"/>
      <c r="U1163" s="412"/>
      <c r="V1163" s="371"/>
      <c r="W1163" s="22"/>
      <c r="X1163" s="409" t="b">
        <v>0</v>
      </c>
      <c r="Y1163" s="409" t="str">
        <f ca="1">语言!$A$1908&amp;" (NPC)
Item:
"&amp;道具!$C$486</f>
        <v>黑骑士古斯塔夫 (NPC)
Item:
灵敏手环</v>
      </c>
      <c r="Z1163" s="410" t="str">
        <f ca="1">语言!$A$46&amp;" / "&amp;语言!$A$50&amp;" him, the "&amp;道具!$C$486&amp;" will be missing later on when you see him in The Whistlewood. This is not a missable or limited item because you can still buy it in Riverford but it's worth a mention."</f>
        <v>购买 / 偷取 him, the 灵敏手环 will be missing later on when you see him in The Whistlewood. This is not a missable or limited item because you can still buy it in Riverford but it's worth a mention.</v>
      </c>
      <c r="AA1163" s="22"/>
    </row>
    <row r="1164" spans="1:27" ht="12.75" x14ac:dyDescent="0.2">
      <c r="A1164" s="22"/>
      <c r="B1164" s="21" t="b">
        <v>0</v>
      </c>
      <c r="C1164" s="419" t="str">
        <f ca="1">敌人!C$419</f>
        <v>盾斗士</v>
      </c>
      <c r="D1164" s="371"/>
      <c r="E1164" s="23">
        <f>敌人!D$419</f>
        <v>5</v>
      </c>
      <c r="F1164" s="23">
        <f>敌人!E$419</f>
        <v>0</v>
      </c>
      <c r="G1164" s="23">
        <f>敌人!F$419</f>
        <v>0</v>
      </c>
      <c r="H1164" s="23">
        <f>敌人!G$419</f>
        <v>0</v>
      </c>
      <c r="I1164" s="23">
        <f>敌人!H$419</f>
        <v>0</v>
      </c>
      <c r="J1164" s="23">
        <f>敌人!I$419</f>
        <v>0</v>
      </c>
      <c r="K1164" s="419" t="str">
        <f ca="1">敌人!J$419</f>
        <v>尖刺盾</v>
      </c>
      <c r="L1164" s="371"/>
      <c r="M1164" s="371"/>
      <c r="N1164" s="22"/>
      <c r="O1164" s="22"/>
      <c r="P1164" s="412"/>
      <c r="Q1164" s="371"/>
      <c r="R1164" s="371"/>
      <c r="S1164" s="22"/>
      <c r="T1164" s="22"/>
      <c r="U1164" s="412"/>
      <c r="V1164" s="371"/>
      <c r="W1164" s="22"/>
      <c r="X1164" s="371"/>
      <c r="Y1164" s="371"/>
      <c r="Z1164" s="371"/>
      <c r="AA1164" s="22"/>
    </row>
    <row r="1165" spans="1:27" ht="12.75" x14ac:dyDescent="0.2">
      <c r="A1165" s="22"/>
      <c r="B1165" s="22"/>
      <c r="C1165" s="412"/>
      <c r="D1165" s="371"/>
      <c r="E1165" s="22"/>
      <c r="F1165" s="22"/>
      <c r="G1165" s="22"/>
      <c r="H1165" s="22"/>
      <c r="I1165" s="22"/>
      <c r="J1165" s="22"/>
      <c r="K1165" s="412"/>
      <c r="L1165" s="371"/>
      <c r="M1165" s="371"/>
      <c r="N1165" s="22"/>
      <c r="O1165" s="22"/>
      <c r="P1165" s="412"/>
      <c r="Q1165" s="371"/>
      <c r="R1165" s="371"/>
      <c r="S1165" s="22"/>
      <c r="T1165" s="22"/>
      <c r="U1165" s="412"/>
      <c r="V1165" s="371"/>
      <c r="W1165" s="22"/>
      <c r="X1165" s="371"/>
      <c r="Y1165" s="371"/>
      <c r="Z1165" s="371"/>
      <c r="AA1165" s="22"/>
    </row>
    <row r="1166" spans="1:27" ht="12.75" x14ac:dyDescent="0.2">
      <c r="A1166" s="22"/>
      <c r="B1166" s="22"/>
      <c r="C1166" s="412"/>
      <c r="D1166" s="371"/>
      <c r="E1166" s="22"/>
      <c r="F1166" s="22"/>
      <c r="G1166" s="22"/>
      <c r="H1166" s="22"/>
      <c r="I1166" s="22"/>
      <c r="J1166" s="22"/>
      <c r="K1166" s="412"/>
      <c r="L1166" s="371"/>
      <c r="M1166" s="371"/>
      <c r="N1166" s="22"/>
      <c r="O1166" s="22"/>
      <c r="P1166" s="412"/>
      <c r="Q1166" s="371"/>
      <c r="R1166" s="371"/>
      <c r="S1166" s="22"/>
      <c r="T1166" s="22"/>
      <c r="U1166" s="412"/>
      <c r="V1166" s="371"/>
      <c r="W1166" s="22"/>
      <c r="X1166" s="22"/>
      <c r="Y1166" s="22"/>
      <c r="Z1166" s="22"/>
      <c r="AA1166" s="22"/>
    </row>
    <row r="1167" spans="1:27" ht="12.75" x14ac:dyDescent="0.2">
      <c r="A1167" s="22"/>
      <c r="B1167" s="417" t="str">
        <f ca="1">语言!$A$37&amp;" "&amp;语言!$A$14&amp;" 3"</f>
        <v>特蕾莎 章节 3</v>
      </c>
      <c r="C1167" s="371"/>
      <c r="D1167" s="371"/>
      <c r="E1167" s="371"/>
      <c r="F1167" s="371"/>
      <c r="G1167" s="371"/>
      <c r="H1167" s="371"/>
      <c r="I1167" s="371"/>
      <c r="J1167" s="371"/>
      <c r="K1167" s="371"/>
      <c r="L1167" s="371"/>
      <c r="M1167" s="371"/>
      <c r="N1167" s="22"/>
      <c r="O1167" s="417" t="str">
        <f ca="1">语言!$A$37&amp;" "&amp;语言!$A$14&amp;" 3"</f>
        <v>特蕾莎 章节 3</v>
      </c>
      <c r="P1167" s="371"/>
      <c r="Q1167" s="371"/>
      <c r="R1167" s="371"/>
      <c r="S1167" s="22"/>
      <c r="T1167" s="22"/>
      <c r="U1167" s="412"/>
      <c r="V1167" s="371"/>
      <c r="W1167" s="22"/>
      <c r="X1167" s="417" t="str">
        <f ca="1">语言!$A$37&amp;" "&amp;语言!$A$14&amp;" 3"</f>
        <v>特蕾莎 章节 3</v>
      </c>
      <c r="Y1167" s="371"/>
      <c r="Z1167" s="371"/>
      <c r="AA1167" s="22"/>
    </row>
    <row r="1168" spans="1:27" ht="12.75" x14ac:dyDescent="0.2">
      <c r="A1168" s="22"/>
      <c r="B1168" s="408" t="str">
        <f ca="1">语言!A$489&amp;" ("&amp;语言!$A$12&amp;" 33)"</f>
        <v>通往被遗忘的洞窟的道路 (危险度 33)</v>
      </c>
      <c r="C1168" s="371"/>
      <c r="D1168" s="371"/>
      <c r="E1168" s="371"/>
      <c r="F1168" s="371"/>
      <c r="G1168" s="371"/>
      <c r="H1168" s="371"/>
      <c r="I1168" s="371"/>
      <c r="J1168" s="371"/>
      <c r="K1168" s="371"/>
      <c r="L1168" s="371"/>
      <c r="M1168" s="371"/>
      <c r="N1168" s="22"/>
      <c r="O1168" s="408" t="str">
        <f ca="1">语言!A$489&amp;" (3 "&amp;语言!$A$19&amp;")"</f>
        <v>通往被遗忘的洞窟的道路 (3 宝箱)</v>
      </c>
      <c r="P1168" s="371"/>
      <c r="Q1168" s="371"/>
      <c r="R1168" s="371"/>
      <c r="S1168" s="22"/>
      <c r="T1168" s="22"/>
      <c r="U1168" s="412"/>
      <c r="V1168" s="371"/>
      <c r="W1168" s="22"/>
      <c r="X1168" s="408" t="str">
        <f ca="1">语言!A$483</f>
        <v>维克塔霍洛</v>
      </c>
      <c r="Y1168" s="371"/>
      <c r="Z1168" s="371"/>
      <c r="AA1168" s="22"/>
    </row>
    <row r="1169" spans="1:27" ht="12.75" x14ac:dyDescent="0.2">
      <c r="A1169" s="22"/>
      <c r="B1169" s="21" t="b">
        <v>0</v>
      </c>
      <c r="C1169" s="419" t="str">
        <f ca="1">敌人!C$146</f>
        <v>绿剪虫</v>
      </c>
      <c r="D1169" s="371"/>
      <c r="E1169" s="23">
        <f>敌人!D$146</f>
        <v>1</v>
      </c>
      <c r="F1169" s="23">
        <f>敌人!E$146</f>
        <v>0</v>
      </c>
      <c r="G1169" s="23">
        <f>敌人!F$146</f>
        <v>0</v>
      </c>
      <c r="H1169" s="23">
        <f>敌人!G$146</f>
        <v>0</v>
      </c>
      <c r="I1169" s="23">
        <f>敌人!H$146</f>
        <v>0</v>
      </c>
      <c r="J1169" s="23">
        <f>敌人!I$146</f>
        <v>0</v>
      </c>
      <c r="K1169" s="419" t="str">
        <f ca="1">敌人!J$146</f>
        <v>混乱多之叶</v>
      </c>
      <c r="L1169" s="371"/>
      <c r="M1169" s="371"/>
      <c r="N1169" s="22"/>
      <c r="O1169" s="21" t="b">
        <v>0</v>
      </c>
      <c r="P1169" s="419" t="str">
        <f ca="1">道具!$C$14</f>
        <v>复活的橄榄</v>
      </c>
      <c r="Q1169" s="371"/>
      <c r="R1169" s="371"/>
      <c r="S1169" s="22"/>
      <c r="T1169" s="22"/>
      <c r="U1169" s="412"/>
      <c r="V1169" s="371"/>
      <c r="W1169" s="22"/>
      <c r="X1169" s="409" t="b">
        <v>0</v>
      </c>
      <c r="Y1169" s="401" t="str">
        <f ca="1">语言!$A$1820&amp;" (NPC)
Item:
"&amp;道具!$C$183&amp;",
"&amp;道具!$C$188</f>
        <v>商船船长雷欧 (NPC)
Item:
帝国骑枪,
元素长柄刀</v>
      </c>
      <c r="Z1169" s="410" t="str">
        <f ca="1">语言!$A$46&amp;" / "&amp;语言!$A$50&amp;" his inventory. The "&amp;道具!$C$183&amp;" &amp; "&amp;道具!$C$188&amp;" are Limited items and next time you see him in "&amp;语言!$A$366&amp;", his inventory won't be the same."</f>
        <v>购买 / 偷取 his inventory. The 帝国骑枪 &amp; 元素长柄刀 are Limited items and next time you see him in 利布尔泰德, his inventory won't be the same.</v>
      </c>
      <c r="AA1169" s="22"/>
    </row>
    <row r="1170" spans="1:27" ht="12.75" x14ac:dyDescent="0.2">
      <c r="A1170" s="22"/>
      <c r="B1170" s="21" t="b">
        <v>0</v>
      </c>
      <c r="C1170" s="419" t="str">
        <f ca="1">敌人!C$242</f>
        <v>狂暴植物</v>
      </c>
      <c r="D1170" s="371"/>
      <c r="E1170" s="23">
        <f>敌人!D$242</f>
        <v>2</v>
      </c>
      <c r="F1170" s="23">
        <f>敌人!E$242</f>
        <v>0</v>
      </c>
      <c r="G1170" s="23">
        <f>敌人!F$242</f>
        <v>0</v>
      </c>
      <c r="H1170" s="23">
        <f>敌人!G$242</f>
        <v>0</v>
      </c>
      <c r="I1170" s="23">
        <f>敌人!H$242</f>
        <v>0</v>
      </c>
      <c r="J1170" s="23">
        <f>敌人!I$242</f>
        <v>0</v>
      </c>
      <c r="K1170" s="419" t="str">
        <f ca="1">敌人!J$242</f>
        <v>石榴树液</v>
      </c>
      <c r="L1170" s="371"/>
      <c r="M1170" s="371"/>
      <c r="N1170" s="22"/>
      <c r="O1170" s="21" t="b">
        <v>0</v>
      </c>
      <c r="P1170" s="419" t="str">
        <f ca="1">道具!$C$47</f>
        <v>暗之精灵石（大）</v>
      </c>
      <c r="Q1170" s="371"/>
      <c r="R1170" s="371"/>
      <c r="S1170" s="22"/>
      <c r="T1170" s="22"/>
      <c r="U1170" s="412"/>
      <c r="V1170" s="371"/>
      <c r="W1170" s="22"/>
      <c r="X1170" s="371"/>
      <c r="Y1170" s="371"/>
      <c r="Z1170" s="371"/>
      <c r="AA1170" s="22"/>
    </row>
    <row r="1171" spans="1:27" ht="12.75" x14ac:dyDescent="0.2">
      <c r="A1171" s="22"/>
      <c r="B1171" s="21" t="b">
        <v>0</v>
      </c>
      <c r="C1171" s="419" t="str">
        <f ca="1">敌人!C$229</f>
        <v>怪异菇</v>
      </c>
      <c r="D1171" s="371"/>
      <c r="E1171" s="23">
        <f>敌人!D$229</f>
        <v>2</v>
      </c>
      <c r="F1171" s="23">
        <f>敌人!E$229</f>
        <v>0</v>
      </c>
      <c r="G1171" s="23">
        <f>敌人!F$229</f>
        <v>0</v>
      </c>
      <c r="H1171" s="23">
        <f>敌人!G$229</f>
        <v>0</v>
      </c>
      <c r="I1171" s="23">
        <f>敌人!H$229</f>
        <v>0</v>
      </c>
      <c r="J1171" s="23">
        <f>敌人!I$229</f>
        <v>0</v>
      </c>
      <c r="K1171" s="419" t="str">
        <f ca="1">敌人!J$229</f>
        <v>毒治疗药草</v>
      </c>
      <c r="L1171" s="371"/>
      <c r="M1171" s="371"/>
      <c r="N1171" s="22"/>
      <c r="O1171" s="21" t="b">
        <v>0</v>
      </c>
      <c r="P1171" s="419" t="str">
        <f ca="1">道具!$C$4</f>
        <v>ＨＰ恢复的葡萄（大）</v>
      </c>
      <c r="Q1171" s="371"/>
      <c r="R1171" s="371"/>
      <c r="S1171" s="22"/>
      <c r="T1171" s="22"/>
      <c r="U1171" s="412"/>
      <c r="V1171" s="371"/>
      <c r="W1171" s="22"/>
      <c r="X1171" s="371"/>
      <c r="Y1171" s="371"/>
      <c r="Z1171" s="371"/>
      <c r="AA1171" s="22"/>
    </row>
    <row r="1172" spans="1:27" ht="12.75" x14ac:dyDescent="0.2">
      <c r="A1172" s="22"/>
      <c r="B1172" s="21" t="b">
        <v>0</v>
      </c>
      <c r="C1172" s="419" t="str">
        <f ca="1">敌人!C$135</f>
        <v>大牙野猪异种</v>
      </c>
      <c r="D1172" s="371"/>
      <c r="E1172" s="23">
        <f>敌人!D$135</f>
        <v>3</v>
      </c>
      <c r="F1172" s="23">
        <f>敌人!E$135</f>
        <v>0</v>
      </c>
      <c r="G1172" s="23">
        <f>敌人!F$135</f>
        <v>0</v>
      </c>
      <c r="H1172" s="23">
        <f>敌人!G$135</f>
        <v>0</v>
      </c>
      <c r="I1172" s="23">
        <f>敌人!H$135</f>
        <v>0</v>
      </c>
      <c r="J1172" s="23">
        <f>敌人!I$135</f>
        <v>0</v>
      </c>
      <c r="K1172" s="419" t="str">
        <f ca="1">敌人!J$135</f>
        <v>橄榄花</v>
      </c>
      <c r="L1172" s="371"/>
      <c r="M1172" s="371"/>
      <c r="N1172" s="22"/>
      <c r="O1172" s="408" t="str">
        <f ca="1">语言!A$490&amp;" (8 "&amp;语言!$A$19&amp;")"</f>
        <v>被遗忘的洞窟 (8 宝箱)</v>
      </c>
      <c r="P1172" s="371"/>
      <c r="Q1172" s="371"/>
      <c r="R1172" s="371"/>
      <c r="S1172" s="22"/>
      <c r="T1172" s="22"/>
      <c r="U1172" s="412"/>
      <c r="V1172" s="371"/>
      <c r="W1172" s="22"/>
      <c r="X1172" s="371"/>
      <c r="Y1172" s="371"/>
      <c r="Z1172" s="371"/>
      <c r="AA1172" s="22"/>
    </row>
    <row r="1173" spans="1:27" ht="12.75" x14ac:dyDescent="0.2">
      <c r="A1173" s="22"/>
      <c r="B1173" s="21" t="b">
        <v>0</v>
      </c>
      <c r="C1173" s="419" t="str">
        <f ca="1">敌人!C$194</f>
        <v>海雀</v>
      </c>
      <c r="D1173" s="371"/>
      <c r="E1173" s="23">
        <f>敌人!D$194</f>
        <v>3</v>
      </c>
      <c r="F1173" s="23">
        <f>敌人!E$194</f>
        <v>0</v>
      </c>
      <c r="G1173" s="23">
        <f>敌人!F$194</f>
        <v>0</v>
      </c>
      <c r="H1173" s="23">
        <f>敌人!G$194</f>
        <v>0</v>
      </c>
      <c r="I1173" s="23">
        <f>敌人!H$194</f>
        <v>0</v>
      </c>
      <c r="J1173" s="23">
        <f>敌人!I$194</f>
        <v>0</v>
      </c>
      <c r="K1173" s="419" t="str">
        <f ca="1">敌人!J$194</f>
        <v>复活的橄榄</v>
      </c>
      <c r="L1173" s="371"/>
      <c r="M1173" s="371"/>
      <c r="N1173" s="22"/>
      <c r="O1173" s="21" t="b">
        <v>0</v>
      </c>
      <c r="P1173" s="419" t="str">
        <f ca="1">道具!$C$20</f>
        <v>黑暗治疗药草</v>
      </c>
      <c r="Q1173" s="371"/>
      <c r="R1173" s="371"/>
      <c r="S1173" s="22"/>
      <c r="T1173" s="22"/>
      <c r="U1173" s="412"/>
      <c r="V1173" s="371"/>
      <c r="W1173" s="22"/>
      <c r="X1173" s="409" t="b">
        <v>0</v>
      </c>
      <c r="Y1173" s="409" t="str">
        <f ca="1">语言!$A$1975&amp;" (NPC)"</f>
        <v>商人 (NPC)</v>
      </c>
      <c r="Z1173" s="410" t="str">
        <f ca="1">"This NPC having the "&amp;道具!$F$13&amp;" appears only during "&amp;语言!$A$37&amp;" chapter 3, none of the items are missable or limited but might want to "&amp;语言!$A$46&amp;" / "&amp;语言!$A$50&amp;" all his inventory anyway."</f>
        <v>This NPC having the 艾德哈尔特之盾 appears only during 特蕾莎 chapter 3, none of the items are missable or limited but might want to 购买 / 偷取 all his inventory anyway.</v>
      </c>
      <c r="AA1173" s="22"/>
    </row>
    <row r="1174" spans="1:27" ht="12.75" x14ac:dyDescent="0.2">
      <c r="A1174" s="22"/>
      <c r="B1174" s="408" t="str">
        <f ca="1">语言!A$490&amp;" ("&amp;语言!$A$12&amp;" 34)"</f>
        <v>被遗忘的洞窟 (危险度 34)</v>
      </c>
      <c r="C1174" s="371"/>
      <c r="D1174" s="371"/>
      <c r="E1174" s="371"/>
      <c r="F1174" s="371"/>
      <c r="G1174" s="371"/>
      <c r="H1174" s="371"/>
      <c r="I1174" s="371"/>
      <c r="J1174" s="371"/>
      <c r="K1174" s="371"/>
      <c r="L1174" s="371"/>
      <c r="M1174" s="371"/>
      <c r="N1174" s="22"/>
      <c r="O1174" s="21" t="b">
        <v>0</v>
      </c>
      <c r="P1174" s="419" t="str">
        <f ca="1">道具!$C$5</f>
        <v>ＨＰ全体恢复的葡萄</v>
      </c>
      <c r="Q1174" s="371"/>
      <c r="R1174" s="371"/>
      <c r="S1174" s="22"/>
      <c r="T1174" s="22"/>
      <c r="U1174" s="412"/>
      <c r="V1174" s="371"/>
      <c r="W1174" s="22"/>
      <c r="X1174" s="371"/>
      <c r="Y1174" s="371"/>
      <c r="Z1174" s="371"/>
      <c r="AA1174" s="22"/>
    </row>
    <row r="1175" spans="1:27" ht="12.75" x14ac:dyDescent="0.2">
      <c r="A1175" s="22"/>
      <c r="B1175" s="21" t="b">
        <v>0</v>
      </c>
      <c r="C1175" s="419" t="str">
        <f ca="1">敌人!C$302</f>
        <v>海蝎子</v>
      </c>
      <c r="D1175" s="371"/>
      <c r="E1175" s="23">
        <f>敌人!D$302</f>
        <v>2</v>
      </c>
      <c r="F1175" s="23">
        <f>敌人!E$302</f>
        <v>0</v>
      </c>
      <c r="G1175" s="23">
        <f>敌人!F$302</f>
        <v>0</v>
      </c>
      <c r="H1175" s="23">
        <f>敌人!G$302</f>
        <v>0</v>
      </c>
      <c r="I1175" s="23">
        <f>敌人!H$302</f>
        <v>0</v>
      </c>
      <c r="J1175" s="23">
        <f>敌人!I$302</f>
        <v>0</v>
      </c>
      <c r="K1175" s="419" t="str">
        <f ca="1">敌人!J$302</f>
        <v>石榴树液</v>
      </c>
      <c r="L1175" s="371"/>
      <c r="M1175" s="371"/>
      <c r="N1175" s="22"/>
      <c r="O1175" s="21" t="b">
        <v>0</v>
      </c>
      <c r="P1175" s="419" t="str">
        <f ca="1">道具!$C$8</f>
        <v>ＳＰ全体恢复的李子</v>
      </c>
      <c r="Q1175" s="371"/>
      <c r="R1175" s="371"/>
      <c r="S1175" s="22"/>
      <c r="T1175" s="22"/>
      <c r="U1175" s="412"/>
      <c r="V1175" s="371"/>
      <c r="W1175" s="22"/>
      <c r="X1175" s="371"/>
      <c r="Y1175" s="371"/>
      <c r="Z1175" s="371"/>
      <c r="AA1175" s="22"/>
    </row>
    <row r="1176" spans="1:27" ht="12.75" x14ac:dyDescent="0.2">
      <c r="A1176" s="22"/>
      <c r="B1176" s="21" t="b">
        <v>0</v>
      </c>
      <c r="C1176" s="419" t="str">
        <f ca="1">敌人!C$98</f>
        <v>双头蛇</v>
      </c>
      <c r="D1176" s="371"/>
      <c r="E1176" s="23">
        <f>敌人!D$98</f>
        <v>2</v>
      </c>
      <c r="F1176" s="23">
        <f>敌人!E$98</f>
        <v>0</v>
      </c>
      <c r="G1176" s="23">
        <f>敌人!F$98</f>
        <v>0</v>
      </c>
      <c r="H1176" s="23">
        <f>敌人!G$98</f>
        <v>0</v>
      </c>
      <c r="I1176" s="23">
        <f>敌人!H$98</f>
        <v>0</v>
      </c>
      <c r="J1176" s="23">
        <f>敌人!I$98</f>
        <v>0</v>
      </c>
      <c r="K1176" s="419" t="str">
        <f ca="1">敌人!J$98</f>
        <v>混乱瓶</v>
      </c>
      <c r="L1176" s="371"/>
      <c r="M1176" s="371"/>
      <c r="N1176" s="22"/>
      <c r="O1176" s="21" t="b">
        <v>0</v>
      </c>
      <c r="P1176" s="419" t="str">
        <f ca="1">道具!$C$11</f>
        <v>ＢＰ恢复的石榴（特大）</v>
      </c>
      <c r="Q1176" s="371"/>
      <c r="R1176" s="371"/>
      <c r="S1176" s="22"/>
      <c r="T1176" s="22"/>
      <c r="U1176" s="412"/>
      <c r="V1176" s="371"/>
      <c r="W1176" s="22"/>
      <c r="X1176" s="371"/>
      <c r="Y1176" s="371"/>
      <c r="Z1176" s="371"/>
      <c r="AA1176" s="22"/>
    </row>
    <row r="1177" spans="1:27" ht="12.75" x14ac:dyDescent="0.2">
      <c r="A1177" s="22"/>
      <c r="B1177" s="21" t="b">
        <v>0</v>
      </c>
      <c r="C1177" s="419" t="str">
        <f ca="1">敌人!C$46</f>
        <v>海盗骷髅</v>
      </c>
      <c r="D1177" s="371"/>
      <c r="E1177" s="23">
        <f>敌人!D$46</f>
        <v>1</v>
      </c>
      <c r="F1177" s="23">
        <f>敌人!E$46</f>
        <v>0</v>
      </c>
      <c r="G1177" s="23">
        <f>敌人!F$46</f>
        <v>0</v>
      </c>
      <c r="H1177" s="23">
        <f>敌人!G$46</f>
        <v>0</v>
      </c>
      <c r="I1177" s="23">
        <f>敌人!H$46</f>
        <v>0</v>
      </c>
      <c r="J1177" s="23">
        <f>敌人!I$46</f>
        <v>0</v>
      </c>
      <c r="K1177" s="419" t="str">
        <f ca="1">敌人!J$46</f>
        <v>发梳</v>
      </c>
      <c r="L1177" s="371"/>
      <c r="M1177" s="371"/>
      <c r="N1177" s="22"/>
      <c r="O1177" s="21" t="b">
        <v>0</v>
      </c>
      <c r="P1177" s="419" t="str">
        <f ca="1">道具!$C$317&amp;" ("&amp;语言!$A$20&amp;")"</f>
        <v>巨锤 (上锁宝箱)</v>
      </c>
      <c r="Q1177" s="371"/>
      <c r="R1177" s="371"/>
      <c r="S1177" s="22"/>
      <c r="T1177" s="22"/>
      <c r="U1177" s="412"/>
      <c r="V1177" s="371"/>
      <c r="W1177" s="22"/>
      <c r="X1177" s="22"/>
      <c r="Y1177" s="22"/>
      <c r="Z1177" s="22"/>
      <c r="AA1177" s="22"/>
    </row>
    <row r="1178" spans="1:27" ht="12.75" x14ac:dyDescent="0.2">
      <c r="A1178" s="22"/>
      <c r="B1178" s="21" t="b">
        <v>0</v>
      </c>
      <c r="C1178" s="419" t="str">
        <f ca="1">敌人!C$82</f>
        <v>海盗骷髅异种</v>
      </c>
      <c r="D1178" s="371"/>
      <c r="E1178" s="23">
        <f>敌人!D$82</f>
        <v>3</v>
      </c>
      <c r="F1178" s="23">
        <f>敌人!E$82</f>
        <v>0</v>
      </c>
      <c r="G1178" s="23">
        <f>敌人!F$82</f>
        <v>0</v>
      </c>
      <c r="H1178" s="23">
        <f>敌人!G$82</f>
        <v>0</v>
      </c>
      <c r="I1178" s="23">
        <f>敌人!H$82</f>
        <v>0</v>
      </c>
      <c r="J1178" s="23">
        <f>敌人!I$82</f>
        <v>0</v>
      </c>
      <c r="K1178" s="419" t="str">
        <f ca="1">敌人!J$82</f>
        <v>铜制提灯</v>
      </c>
      <c r="L1178" s="371"/>
      <c r="M1178" s="371"/>
      <c r="N1178" s="22"/>
      <c r="O1178" s="21" t="b">
        <v>0</v>
      </c>
      <c r="P1178" s="419" t="s">
        <v>38</v>
      </c>
      <c r="Q1178" s="371"/>
      <c r="R1178" s="371"/>
      <c r="S1178" s="22"/>
      <c r="T1178" s="22"/>
      <c r="U1178" s="412"/>
      <c r="V1178" s="371"/>
      <c r="W1178" s="22"/>
      <c r="X1178" s="22"/>
      <c r="Y1178" s="22"/>
      <c r="Z1178" s="22"/>
      <c r="AA1178" s="22"/>
    </row>
    <row r="1179" spans="1:27" ht="12.75" x14ac:dyDescent="0.2">
      <c r="A1179" s="22"/>
      <c r="B1179" s="21" t="b">
        <v>0</v>
      </c>
      <c r="C1179" s="419" t="str">
        <f ca="1">敌人!C$345</f>
        <v>食人蝙蝠</v>
      </c>
      <c r="D1179" s="371"/>
      <c r="E1179" s="23">
        <f>敌人!D$345</f>
        <v>1</v>
      </c>
      <c r="F1179" s="23">
        <f>敌人!E$345</f>
        <v>0</v>
      </c>
      <c r="G1179" s="23">
        <f>敌人!F$345</f>
        <v>0</v>
      </c>
      <c r="H1179" s="23">
        <f>敌人!G$345</f>
        <v>0</v>
      </c>
      <c r="I1179" s="23">
        <f>敌人!H$345</f>
        <v>0</v>
      </c>
      <c r="J1179" s="23">
        <f>敌人!I$345</f>
        <v>0</v>
      </c>
      <c r="K1179" s="419" t="str">
        <f ca="1">敌人!J$345</f>
        <v>神秘之花</v>
      </c>
      <c r="L1179" s="371"/>
      <c r="M1179" s="371"/>
      <c r="N1179" s="22"/>
      <c r="O1179" s="21" t="b">
        <v>0</v>
      </c>
      <c r="P1179" s="419" t="str">
        <f ca="1">道具!$C$16</f>
        <v>复活的橄榄（大）</v>
      </c>
      <c r="Q1179" s="371"/>
      <c r="R1179" s="371"/>
      <c r="S1179" s="22"/>
      <c r="T1179" s="22"/>
      <c r="U1179" s="412"/>
      <c r="V1179" s="371"/>
      <c r="W1179" s="22"/>
      <c r="X1179" s="22"/>
      <c r="Y1179" s="22"/>
      <c r="Z1179" s="22"/>
      <c r="AA1179" s="22"/>
    </row>
    <row r="1180" spans="1:27" ht="12.75" x14ac:dyDescent="0.2">
      <c r="A1180" s="22"/>
      <c r="B1180" s="21" t="b">
        <v>0</v>
      </c>
      <c r="C1180" s="419" t="str">
        <f ca="1">敌人!C$207</f>
        <v>雷元素</v>
      </c>
      <c r="D1180" s="371"/>
      <c r="E1180" s="23">
        <f>敌人!D$207</f>
        <v>4</v>
      </c>
      <c r="F1180" s="23">
        <f>敌人!E$207</f>
        <v>0</v>
      </c>
      <c r="G1180" s="23">
        <f>敌人!F$207</f>
        <v>0</v>
      </c>
      <c r="H1180" s="23">
        <f>敌人!G$207</f>
        <v>0</v>
      </c>
      <c r="I1180" s="23">
        <f>敌人!H$207</f>
        <v>0</v>
      </c>
      <c r="J1180" s="23">
        <f>敌人!I$207</f>
        <v>0</v>
      </c>
      <c r="K1180" s="419" t="str">
        <f ca="1">敌人!J$207</f>
        <v>雷之精灵石（特大）</v>
      </c>
      <c r="L1180" s="371"/>
      <c r="M1180" s="371"/>
      <c r="N1180" s="22"/>
      <c r="O1180" s="21" t="b">
        <v>0</v>
      </c>
      <c r="P1180" s="419" t="str">
        <f ca="1">道具!$C$527</f>
        <v>即死耐性石</v>
      </c>
      <c r="Q1180" s="371"/>
      <c r="R1180" s="371"/>
      <c r="S1180" s="22"/>
      <c r="T1180" s="22"/>
      <c r="U1180" s="412"/>
      <c r="V1180" s="371"/>
      <c r="W1180" s="22"/>
      <c r="X1180" s="22"/>
      <c r="Y1180" s="22"/>
      <c r="Z1180" s="22"/>
      <c r="AA1180" s="22"/>
    </row>
    <row r="1181" spans="1:27" ht="12.75" x14ac:dyDescent="0.2">
      <c r="A1181" s="22"/>
      <c r="B1181" s="420" t="str">
        <f ca="1">语言!$A$15</f>
        <v>Boss</v>
      </c>
      <c r="C1181" s="371"/>
      <c r="D1181" s="371"/>
      <c r="E1181" s="371"/>
      <c r="F1181" s="371"/>
      <c r="G1181" s="371"/>
      <c r="H1181" s="371"/>
      <c r="I1181" s="371"/>
      <c r="J1181" s="371"/>
      <c r="K1181" s="371"/>
      <c r="L1181" s="371"/>
      <c r="M1181" s="371"/>
      <c r="N1181" s="22"/>
      <c r="O1181" s="22"/>
      <c r="P1181" s="412"/>
      <c r="Q1181" s="371"/>
      <c r="R1181" s="371"/>
      <c r="S1181" s="22"/>
      <c r="T1181" s="22"/>
      <c r="U1181" s="412"/>
      <c r="V1181" s="371"/>
      <c r="W1181" s="22"/>
      <c r="X1181" s="22"/>
      <c r="Y1181" s="22"/>
      <c r="Z1181" s="22"/>
      <c r="AA1181" s="22"/>
    </row>
    <row r="1182" spans="1:27" ht="12.75" x14ac:dyDescent="0.2">
      <c r="A1182" s="22"/>
      <c r="B1182" s="21" t="b">
        <v>0</v>
      </c>
      <c r="C1182" s="411" t="str">
        <f ca="1">敌人!C$441</f>
        <v>猛毒虎</v>
      </c>
      <c r="D1182" s="371"/>
      <c r="E1182" s="21">
        <f>敌人!D$441</f>
        <v>6</v>
      </c>
      <c r="F1182" s="21">
        <f>敌人!E$441</f>
        <v>0</v>
      </c>
      <c r="G1182" s="21">
        <f>敌人!F$441</f>
        <v>0</v>
      </c>
      <c r="H1182" s="21">
        <f>敌人!G$441</f>
        <v>0</v>
      </c>
      <c r="I1182" s="21">
        <f>敌人!H$441</f>
        <v>0</v>
      </c>
      <c r="J1182" s="21">
        <f>敌人!I$441</f>
        <v>0</v>
      </c>
      <c r="K1182" s="411" t="str">
        <f ca="1">敌人!J$441</f>
        <v>复活的橄榄（特大）</v>
      </c>
      <c r="L1182" s="371"/>
      <c r="M1182" s="371"/>
      <c r="N1182" s="22"/>
      <c r="O1182" s="22"/>
      <c r="P1182" s="412"/>
      <c r="Q1182" s="371"/>
      <c r="R1182" s="371"/>
      <c r="S1182" s="22"/>
      <c r="T1182" s="22"/>
      <c r="U1182" s="412"/>
      <c r="V1182" s="371"/>
      <c r="W1182" s="22"/>
      <c r="X1182" s="22"/>
      <c r="Y1182" s="22"/>
      <c r="Z1182" s="22"/>
      <c r="AA1182" s="22"/>
    </row>
    <row r="1183" spans="1:27" ht="18" x14ac:dyDescent="0.25">
      <c r="A1183" s="68"/>
      <c r="B1183" s="22"/>
      <c r="C1183" s="412"/>
      <c r="D1183" s="371"/>
      <c r="E1183" s="22"/>
      <c r="F1183" s="22"/>
      <c r="G1183" s="22"/>
      <c r="H1183" s="22"/>
      <c r="I1183" s="22"/>
      <c r="J1183" s="22"/>
      <c r="K1183" s="412"/>
      <c r="L1183" s="371"/>
      <c r="M1183" s="371"/>
      <c r="N1183" s="68"/>
      <c r="O1183" s="68"/>
      <c r="P1183" s="497"/>
      <c r="Q1183" s="371"/>
      <c r="R1183" s="371"/>
      <c r="S1183" s="68"/>
      <c r="T1183" s="68"/>
      <c r="U1183" s="497"/>
      <c r="V1183" s="371"/>
      <c r="W1183" s="68"/>
      <c r="X1183" s="68"/>
      <c r="Y1183" s="68"/>
      <c r="Z1183" s="68"/>
      <c r="AA1183" s="68"/>
    </row>
    <row r="1184" spans="1:27" ht="18" x14ac:dyDescent="0.25">
      <c r="A1184" s="416" t="str">
        <f ca="1">语言!$A$323&amp;" 3"</f>
        <v>Tier 3</v>
      </c>
      <c r="B1184" s="371"/>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row>
    <row r="1185" spans="1:27" ht="12.75" x14ac:dyDescent="0.2">
      <c r="A1185" s="22"/>
      <c r="B1185" s="21" t="b">
        <v>0</v>
      </c>
      <c r="C1185" s="411" t="str">
        <f ca="1">敌人!C$53</f>
        <v>布尔乔亚凯特林</v>
      </c>
      <c r="D1185" s="371"/>
      <c r="E1185" s="21">
        <f>敌人!D$53</f>
        <v>4</v>
      </c>
      <c r="F1185" s="21">
        <f>敌人!E$53</f>
        <v>0</v>
      </c>
      <c r="G1185" s="21">
        <f>敌人!F$53</f>
        <v>0</v>
      </c>
      <c r="H1185" s="21">
        <f>敌人!G$53</f>
        <v>0</v>
      </c>
      <c r="I1185" s="21">
        <f>敌人!H$53</f>
        <v>0</v>
      </c>
      <c r="J1185" s="21">
        <f>敌人!I$53</f>
        <v>0</v>
      </c>
      <c r="K1185" s="411" t="str">
        <f ca="1">敌人!J$53</f>
        <v>ＨＰ／ＳＰ／ＢＰ恢复的果酱</v>
      </c>
      <c r="L1185" s="371"/>
      <c r="M1185" s="371"/>
      <c r="N1185" s="22"/>
      <c r="O1185" s="408" t="str">
        <f ca="1">语言!A$491&amp;" (3 "&amp;语言!$A$19&amp;")"</f>
        <v>达斯克瓦罗 (3 宝箱)</v>
      </c>
      <c r="P1185" s="371"/>
      <c r="Q1185" s="371"/>
      <c r="R1185" s="371"/>
      <c r="S1185" s="22"/>
      <c r="T1185" s="408" t="str">
        <f ca="1">语言!A$491</f>
        <v>达斯克瓦罗</v>
      </c>
      <c r="U1185" s="371"/>
      <c r="V1185" s="371"/>
      <c r="W1185" s="22"/>
      <c r="X1185" s="408" t="str">
        <f ca="1">语言!A$491</f>
        <v>达斯克瓦罗</v>
      </c>
      <c r="Y1185" s="371"/>
      <c r="Z1185" s="371"/>
      <c r="AA1185" s="22"/>
    </row>
    <row r="1186" spans="1:27" ht="12.75" x14ac:dyDescent="0.2">
      <c r="A1186" s="22"/>
      <c r="B1186" s="408" t="str">
        <f ca="1">语言!A$492&amp;" ("&amp;语言!$A$12&amp;" 45)"</f>
        <v>东达斯克瓦罗森道 (危险度 45)</v>
      </c>
      <c r="C1186" s="371"/>
      <c r="D1186" s="371"/>
      <c r="E1186" s="371"/>
      <c r="F1186" s="371"/>
      <c r="G1186" s="371"/>
      <c r="H1186" s="371"/>
      <c r="I1186" s="371"/>
      <c r="J1186" s="371"/>
      <c r="K1186" s="371"/>
      <c r="L1186" s="371"/>
      <c r="M1186" s="371"/>
      <c r="N1186" s="22"/>
      <c r="O1186" s="21" t="b">
        <v>0</v>
      </c>
      <c r="P1186" s="419" t="str">
        <f ca="1">"30 000$ ("&amp;语言!$A$20&amp;")"</f>
        <v>30 000$ (上锁宝箱)</v>
      </c>
      <c r="Q1186" s="371"/>
      <c r="R1186" s="371"/>
      <c r="S1186" s="22"/>
      <c r="T1186" s="21" t="b">
        <v>0</v>
      </c>
      <c r="U1186" s="403" t="str">
        <f ca="1">道具!$C$126</f>
        <v>旧硬币</v>
      </c>
      <c r="V1186" s="371"/>
      <c r="W1186" s="22"/>
      <c r="X1186" s="409" t="b">
        <v>0</v>
      </c>
      <c r="Y1186" s="480" t="str">
        <f ca="1">语言!$A$1839&amp;" (NPC)
Hidden Item (same highlight as in the previous column):
"&amp;道具!$C$126&amp;"
Item:
"&amp;道具!$C$85</f>
        <v>持有勋章的可疑商人 (NPC)
Hidden Item (same highlight as in the previous column):
旧硬币
Item:
玻璃珠</v>
      </c>
      <c r="Z1186" s="410" t="str">
        <f ca="1">"NPC disapear after you "&amp;语言!$A$47&amp;" / "&amp;语言!$A$51&amp;" him, so get his Hidden Item and "&amp;语言!$A$46&amp;" / "&amp;语言!$A$50&amp;" at least to get the "&amp;道具!$C$85&amp;" which is a Limited Item."</f>
        <v>NPC disapear after you 比试 / 唆使 him, so get his Hidden Item and 购买 / 偷取 at least to get the 玻璃珠 which is a Limited Item.</v>
      </c>
      <c r="AA1186" s="22"/>
    </row>
    <row r="1187" spans="1:27" ht="12.75" x14ac:dyDescent="0.2">
      <c r="A1187" s="22"/>
      <c r="B1187" s="21" t="b">
        <v>0</v>
      </c>
      <c r="C1187" s="419" t="str">
        <f ca="1">敌人!C$127</f>
        <v>森林大鼠人 I</v>
      </c>
      <c r="D1187" s="371"/>
      <c r="E1187" s="23">
        <f>敌人!D$127</f>
        <v>3</v>
      </c>
      <c r="F1187" s="23">
        <f>敌人!E$127</f>
        <v>0</v>
      </c>
      <c r="G1187" s="23">
        <f>敌人!F$127</f>
        <v>0</v>
      </c>
      <c r="H1187" s="23">
        <f>敌人!G$127</f>
        <v>0</v>
      </c>
      <c r="I1187" s="23">
        <f>敌人!H$127</f>
        <v>0</v>
      </c>
      <c r="J1187" s="23">
        <f>敌人!I$127</f>
        <v>0</v>
      </c>
      <c r="K1187" s="419" t="str">
        <f ca="1">敌人!J$127</f>
        <v>ＳＰ恢复的李子</v>
      </c>
      <c r="L1187" s="371"/>
      <c r="M1187" s="371"/>
      <c r="N1187" s="22"/>
      <c r="O1187" s="21" t="b">
        <v>0</v>
      </c>
      <c r="P1187" s="419" t="str">
        <f ca="1">道具!$C$25</f>
        <v>毒瓶</v>
      </c>
      <c r="Q1187" s="371"/>
      <c r="R1187" s="371"/>
      <c r="S1187" s="22"/>
      <c r="T1187" s="21" t="b">
        <v>0</v>
      </c>
      <c r="U1187" s="411" t="str">
        <f ca="1">道具!$C$96</f>
        <v>装了破烂儿的小袋子</v>
      </c>
      <c r="V1187" s="371"/>
      <c r="W1187" s="22"/>
      <c r="X1187" s="371"/>
      <c r="Y1187" s="371"/>
      <c r="Z1187" s="371"/>
      <c r="AA1187" s="22"/>
    </row>
    <row r="1188" spans="1:27" ht="12.75" x14ac:dyDescent="0.2">
      <c r="A1188" s="22"/>
      <c r="B1188" s="21" t="b">
        <v>0</v>
      </c>
      <c r="C1188" s="419" t="str">
        <f ca="1">敌人!C$128</f>
        <v>森林大鼠人 II</v>
      </c>
      <c r="D1188" s="371"/>
      <c r="E1188" s="23">
        <f>敌人!D$128</f>
        <v>2</v>
      </c>
      <c r="F1188" s="23">
        <f>敌人!E$128</f>
        <v>0</v>
      </c>
      <c r="G1188" s="23">
        <f>敌人!F$128</f>
        <v>0</v>
      </c>
      <c r="H1188" s="23">
        <f>敌人!G$128</f>
        <v>0</v>
      </c>
      <c r="I1188" s="23">
        <f>敌人!H$128</f>
        <v>0</v>
      </c>
      <c r="J1188" s="23">
        <f>敌人!I$128</f>
        <v>0</v>
      </c>
      <c r="K1188" s="419" t="str">
        <f ca="1">敌人!J$128</f>
        <v>葡萄树液</v>
      </c>
      <c r="L1188" s="371"/>
      <c r="M1188" s="371"/>
      <c r="N1188" s="22"/>
      <c r="O1188" s="21" t="b">
        <v>0</v>
      </c>
      <c r="P1188" s="419" t="str">
        <f ca="1">道具!$C$129</f>
        <v>奇特的古董</v>
      </c>
      <c r="Q1188" s="371"/>
      <c r="R1188" s="371"/>
      <c r="S1188" s="22"/>
      <c r="T1188" s="21" t="b">
        <v>0</v>
      </c>
      <c r="U1188" s="411" t="str">
        <f ca="1">道具!$C$34</f>
        <v>冰之精灵石（大）</v>
      </c>
      <c r="V1188" s="371"/>
      <c r="W1188" s="22"/>
      <c r="X1188" s="371"/>
      <c r="Y1188" s="371"/>
      <c r="Z1188" s="371"/>
      <c r="AA1188" s="22"/>
    </row>
    <row r="1189" spans="1:27" ht="12.75" x14ac:dyDescent="0.2">
      <c r="A1189" s="22"/>
      <c r="B1189" s="21" t="b">
        <v>0</v>
      </c>
      <c r="C1189" s="419" t="str">
        <f ca="1">敌人!C$129</f>
        <v>森林大鼠人 III</v>
      </c>
      <c r="D1189" s="371"/>
      <c r="E1189" s="23">
        <f>敌人!D$129</f>
        <v>4</v>
      </c>
      <c r="F1189" s="23">
        <f>敌人!E$129</f>
        <v>0</v>
      </c>
      <c r="G1189" s="23">
        <f>敌人!F$129</f>
        <v>0</v>
      </c>
      <c r="H1189" s="23">
        <f>敌人!G$129</f>
        <v>0</v>
      </c>
      <c r="I1189" s="23">
        <f>敌人!H$129</f>
        <v>0</v>
      </c>
      <c r="J1189" s="23">
        <f>敌人!I$129</f>
        <v>0</v>
      </c>
      <c r="K1189" s="419" t="str">
        <f ca="1">敌人!J$129</f>
        <v>ＢＰ恢复的石榴（大）</v>
      </c>
      <c r="L1189" s="371"/>
      <c r="M1189" s="371"/>
      <c r="N1189" s="22"/>
      <c r="O1189" s="408" t="str">
        <f ca="1">语言!A$492&amp;" (4 "&amp;语言!$A$19&amp;")"</f>
        <v>东达斯克瓦罗森道 (4 宝箱)</v>
      </c>
      <c r="P1189" s="371"/>
      <c r="Q1189" s="371"/>
      <c r="R1189" s="371"/>
      <c r="S1189" s="22"/>
      <c r="T1189" s="21" t="b">
        <v>0</v>
      </c>
      <c r="U1189" s="411" t="str">
        <f ca="1">道具!$C$272</f>
        <v>进化弓・鹰</v>
      </c>
      <c r="V1189" s="371"/>
      <c r="W1189" s="22"/>
      <c r="X1189" s="371"/>
      <c r="Y1189" s="371"/>
      <c r="Z1189" s="371"/>
      <c r="AA1189" s="22"/>
    </row>
    <row r="1190" spans="1:27" ht="12.75" x14ac:dyDescent="0.2">
      <c r="A1190" s="22"/>
      <c r="B1190" s="21" t="b">
        <v>0</v>
      </c>
      <c r="C1190" s="419" t="str">
        <f ca="1">敌人!C$241</f>
        <v>狂暴树木</v>
      </c>
      <c r="D1190" s="371"/>
      <c r="E1190" s="23">
        <f>敌人!D$241</f>
        <v>1</v>
      </c>
      <c r="F1190" s="23">
        <f>敌人!E$241</f>
        <v>0</v>
      </c>
      <c r="G1190" s="23">
        <f>敌人!F$241</f>
        <v>0</v>
      </c>
      <c r="H1190" s="23">
        <f>敌人!G$241</f>
        <v>0</v>
      </c>
      <c r="I1190" s="23">
        <f>敌人!H$241</f>
        <v>0</v>
      </c>
      <c r="J1190" s="23">
        <f>敌人!I$241</f>
        <v>0</v>
      </c>
      <c r="K1190" s="419" t="str">
        <f ca="1">敌人!J$241</f>
        <v>石榴树液</v>
      </c>
      <c r="L1190" s="371"/>
      <c r="M1190" s="371"/>
      <c r="N1190" s="22"/>
      <c r="O1190" s="21" t="b">
        <v>0</v>
      </c>
      <c r="P1190" s="419" t="str">
        <f ca="1">道具!$C$24</f>
        <v>昏迷治疗药草</v>
      </c>
      <c r="Q1190" s="371"/>
      <c r="R1190" s="371"/>
      <c r="S1190" s="22"/>
      <c r="T1190" s="22"/>
      <c r="U1190" s="412"/>
      <c r="V1190" s="371"/>
      <c r="W1190" s="22"/>
      <c r="X1190" s="371"/>
      <c r="Y1190" s="371"/>
      <c r="Z1190" s="371"/>
      <c r="AA1190" s="22"/>
    </row>
    <row r="1191" spans="1:27" ht="12.75" x14ac:dyDescent="0.2">
      <c r="A1191" s="22"/>
      <c r="B1191" s="21" t="b">
        <v>0</v>
      </c>
      <c r="C1191" s="419" t="str">
        <f ca="1">敌人!C$97</f>
        <v>双子蛇异种</v>
      </c>
      <c r="D1191" s="371"/>
      <c r="E1191" s="23">
        <f>敌人!D$97</f>
        <v>3</v>
      </c>
      <c r="F1191" s="23">
        <f>敌人!E$97</f>
        <v>0</v>
      </c>
      <c r="G1191" s="23">
        <f>敌人!F$97</f>
        <v>0</v>
      </c>
      <c r="H1191" s="23">
        <f>敌人!G$97</f>
        <v>0</v>
      </c>
      <c r="I1191" s="23">
        <f>敌人!H$97</f>
        <v>0</v>
      </c>
      <c r="J1191" s="23">
        <f>敌人!I$97</f>
        <v>0</v>
      </c>
      <c r="K1191" s="419" t="str">
        <f ca="1">敌人!J$97</f>
        <v>睡眠瓶</v>
      </c>
      <c r="L1191" s="371"/>
      <c r="M1191" s="371"/>
      <c r="N1191" s="22"/>
      <c r="O1191" s="21" t="b">
        <v>0</v>
      </c>
      <c r="P1191" s="419" t="str">
        <f ca="1">道具!$C$19</f>
        <v>沉默治疗药草</v>
      </c>
      <c r="Q1191" s="371"/>
      <c r="R1191" s="371"/>
      <c r="S1191" s="22"/>
      <c r="T1191" s="22"/>
      <c r="U1191" s="412"/>
      <c r="V1191" s="371"/>
      <c r="W1191" s="22"/>
      <c r="X1191" s="371"/>
      <c r="Y1191" s="371"/>
      <c r="Z1191" s="371"/>
      <c r="AA1191" s="22"/>
    </row>
    <row r="1192" spans="1:27" ht="12.75" x14ac:dyDescent="0.2">
      <c r="A1192" s="22"/>
      <c r="B1192" s="21" t="b">
        <v>0</v>
      </c>
      <c r="C1192" s="419" t="str">
        <f ca="1">敌人!C$233</f>
        <v>九命树</v>
      </c>
      <c r="D1192" s="371"/>
      <c r="E1192" s="23">
        <f>敌人!D$233</f>
        <v>4</v>
      </c>
      <c r="F1192" s="23">
        <f>敌人!E$233</f>
        <v>0</v>
      </c>
      <c r="G1192" s="23">
        <f>敌人!F$233</f>
        <v>0</v>
      </c>
      <c r="H1192" s="23">
        <f>敌人!G$233</f>
        <v>0</v>
      </c>
      <c r="I1192" s="23">
        <f>敌人!H$233</f>
        <v>0</v>
      </c>
      <c r="J1192" s="23">
        <f>敌人!I$233</f>
        <v>0</v>
      </c>
      <c r="K1192" s="419" t="str">
        <f ca="1">敌人!J$233</f>
        <v>复活的橄榄（大）</v>
      </c>
      <c r="L1192" s="371"/>
      <c r="M1192" s="371"/>
      <c r="N1192" s="22"/>
      <c r="O1192" s="21" t="b">
        <v>0</v>
      </c>
      <c r="P1192" s="419" t="str">
        <f ca="1">道具!$C$16</f>
        <v>复活的橄榄（大）</v>
      </c>
      <c r="Q1192" s="371"/>
      <c r="R1192" s="371"/>
      <c r="S1192" s="22"/>
      <c r="T1192" s="22"/>
      <c r="U1192" s="412"/>
      <c r="V1192" s="371"/>
      <c r="W1192" s="22"/>
      <c r="X1192" s="408" t="str">
        <f ca="1">语言!A$493</f>
        <v>失落的遗迹</v>
      </c>
      <c r="Y1192" s="371"/>
      <c r="Z1192" s="371"/>
      <c r="AA1192" s="22"/>
    </row>
    <row r="1193" spans="1:27" ht="12.75" x14ac:dyDescent="0.2">
      <c r="A1193" s="22"/>
      <c r="B1193" s="21" t="b">
        <v>0</v>
      </c>
      <c r="C1193" s="419" t="str">
        <f ca="1">敌人!C$24</f>
        <v>黑咆哮者</v>
      </c>
      <c r="D1193" s="371"/>
      <c r="E1193" s="23">
        <f>敌人!D$24</f>
        <v>1</v>
      </c>
      <c r="F1193" s="23">
        <f>敌人!E$24</f>
        <v>0</v>
      </c>
      <c r="G1193" s="23">
        <f>敌人!F$24</f>
        <v>0</v>
      </c>
      <c r="H1193" s="23">
        <f>敌人!G$24</f>
        <v>0</v>
      </c>
      <c r="I1193" s="23">
        <f>敌人!H$24</f>
        <v>0</v>
      </c>
      <c r="J1193" s="23">
        <f>敌人!I$24</f>
        <v>0</v>
      </c>
      <c r="K1193" s="419" t="str">
        <f ca="1">敌人!J$24</f>
        <v>石榴树液</v>
      </c>
      <c r="L1193" s="371"/>
      <c r="M1193" s="371"/>
      <c r="N1193" s="22"/>
      <c r="O1193" s="21" t="b">
        <v>0</v>
      </c>
      <c r="P1193" s="419" t="str">
        <f ca="1">道具!$C$127</f>
        <v>放了铜块的麻袋</v>
      </c>
      <c r="Q1193" s="371"/>
      <c r="R1193" s="371"/>
      <c r="S1193" s="22"/>
      <c r="T1193" s="22"/>
      <c r="U1193" s="412"/>
      <c r="V1193" s="371"/>
      <c r="W1193" s="22"/>
      <c r="X1193" s="409" t="b">
        <v>0</v>
      </c>
      <c r="Y1193" s="401" t="str">
        <f ca="1">语言!$A$1901&amp;" (NPC)
Items:
"&amp;道具!$C$71&amp;"
"&amp;道具!$C$478</f>
        <v>盗挖者 (NPC)
Items:
增强命中的坚果（特大）
灵敏项链</v>
      </c>
      <c r="Z1193" s="410" t="str">
        <f ca="1">"NPC disapear after you "&amp;语言!$A$47&amp;" / "&amp;语言!$A$51&amp;" him. Make sure you "&amp;语言!$A$46&amp;" / "&amp;语言!$A$50&amp;" his inventory. Both items are Limited items."""</f>
        <v>NPC disapear after you 比试 / 唆使 him. Make sure you 购买 / 偷取 his inventory. Both items are Limited items."</v>
      </c>
      <c r="AA1193" s="22"/>
    </row>
    <row r="1194" spans="1:27" ht="12.75" x14ac:dyDescent="0.2">
      <c r="A1194" s="22"/>
      <c r="B1194" s="408" t="str">
        <f ca="1">语言!A$493&amp;" ("&amp;语言!$A$12&amp;" 45)"</f>
        <v>失落的遗迹 (危险度 45)</v>
      </c>
      <c r="C1194" s="371"/>
      <c r="D1194" s="371"/>
      <c r="E1194" s="371"/>
      <c r="F1194" s="371"/>
      <c r="G1194" s="371"/>
      <c r="H1194" s="371"/>
      <c r="I1194" s="371"/>
      <c r="J1194" s="371"/>
      <c r="K1194" s="371"/>
      <c r="L1194" s="371"/>
      <c r="M1194" s="371"/>
      <c r="N1194" s="22"/>
      <c r="O1194" s="408" t="str">
        <f ca="1">语言!A$493&amp;" (7 "&amp;语言!$A$19&amp;")"</f>
        <v>失落的遗迹 (7 宝箱)</v>
      </c>
      <c r="P1194" s="371"/>
      <c r="Q1194" s="371"/>
      <c r="R1194" s="371"/>
      <c r="S1194" s="22"/>
      <c r="T1194" s="22"/>
      <c r="U1194" s="412"/>
      <c r="V1194" s="371"/>
      <c r="W1194" s="22"/>
      <c r="X1194" s="371"/>
      <c r="Y1194" s="371"/>
      <c r="Z1194" s="371"/>
      <c r="AA1194" s="22"/>
    </row>
    <row r="1195" spans="1:27" ht="12.75" x14ac:dyDescent="0.2">
      <c r="A1195" s="22"/>
      <c r="B1195" s="21" t="b">
        <v>0</v>
      </c>
      <c r="C1195" s="419" t="str">
        <f ca="1">敌人!C$218</f>
        <v>上级盗贼 I</v>
      </c>
      <c r="D1195" s="371"/>
      <c r="E1195" s="23">
        <f>敌人!D$218</f>
        <v>5</v>
      </c>
      <c r="F1195" s="23">
        <f>敌人!E$218</f>
        <v>0</v>
      </c>
      <c r="G1195" s="23">
        <f>敌人!F$218</f>
        <v>0</v>
      </c>
      <c r="H1195" s="23">
        <f>敌人!G$218</f>
        <v>0</v>
      </c>
      <c r="I1195" s="23">
        <f>敌人!H$218</f>
        <v>0</v>
      </c>
      <c r="J1195" s="23">
        <f>敌人!I$218</f>
        <v>0</v>
      </c>
      <c r="K1195" s="419" t="str">
        <f ca="1">敌人!J$218</f>
        <v>钱包</v>
      </c>
      <c r="L1195" s="371"/>
      <c r="M1195" s="371"/>
      <c r="N1195" s="22"/>
      <c r="O1195" s="21" t="b">
        <v>0</v>
      </c>
      <c r="P1195" s="419" t="str">
        <f ca="1">道具!$C$7</f>
        <v>ＳＰ恢复的李子（大）</v>
      </c>
      <c r="Q1195" s="371"/>
      <c r="R1195" s="371"/>
      <c r="S1195" s="22"/>
      <c r="T1195" s="22"/>
      <c r="U1195" s="412"/>
      <c r="V1195" s="371"/>
      <c r="W1195" s="22"/>
      <c r="X1195" s="371"/>
      <c r="Y1195" s="371"/>
      <c r="Z1195" s="371"/>
      <c r="AA1195" s="22"/>
    </row>
    <row r="1196" spans="1:27" ht="12.75" x14ac:dyDescent="0.2">
      <c r="A1196" s="22"/>
      <c r="B1196" s="21" t="b">
        <v>0</v>
      </c>
      <c r="C1196" s="419" t="str">
        <f ca="1">敌人!C$219</f>
        <v>上级盗贼 II</v>
      </c>
      <c r="D1196" s="371"/>
      <c r="E1196" s="23">
        <f>敌人!D$219</f>
        <v>4</v>
      </c>
      <c r="F1196" s="23">
        <f>敌人!E$219</f>
        <v>0</v>
      </c>
      <c r="G1196" s="23">
        <f>敌人!F$219</f>
        <v>0</v>
      </c>
      <c r="H1196" s="23">
        <f>敌人!G$219</f>
        <v>0</v>
      </c>
      <c r="I1196" s="23">
        <f>敌人!H$219</f>
        <v>0</v>
      </c>
      <c r="J1196" s="23">
        <f>敌人!I$219</f>
        <v>0</v>
      </c>
      <c r="K1196" s="419" t="str">
        <f ca="1">敌人!J$219</f>
        <v>钱包</v>
      </c>
      <c r="L1196" s="371"/>
      <c r="M1196" s="371"/>
      <c r="N1196" s="22"/>
      <c r="O1196" s="21" t="b">
        <v>0</v>
      </c>
      <c r="P1196" s="419" t="str">
        <f ca="1">道具!$C$48</f>
        <v>暗之精灵石（特大）</v>
      </c>
      <c r="Q1196" s="371"/>
      <c r="R1196" s="371"/>
      <c r="S1196" s="22"/>
      <c r="T1196" s="22"/>
      <c r="U1196" s="412"/>
      <c r="V1196" s="371"/>
      <c r="W1196" s="22"/>
      <c r="X1196" s="371"/>
      <c r="Y1196" s="371"/>
      <c r="Z1196" s="371"/>
      <c r="AA1196" s="22"/>
    </row>
    <row r="1197" spans="1:27" ht="12.75" x14ac:dyDescent="0.2">
      <c r="A1197" s="22"/>
      <c r="B1197" s="21" t="b">
        <v>0</v>
      </c>
      <c r="C1197" s="419" t="str">
        <f ca="1">敌人!C$101</f>
        <v>魔导机兵（火）・异型</v>
      </c>
      <c r="D1197" s="371"/>
      <c r="E1197" s="23">
        <f>敌人!D$101</f>
        <v>5</v>
      </c>
      <c r="F1197" s="23">
        <f>敌人!E$101</f>
        <v>0</v>
      </c>
      <c r="G1197" s="23">
        <f>敌人!F$101</f>
        <v>0</v>
      </c>
      <c r="H1197" s="23">
        <f>敌人!G$101</f>
        <v>0</v>
      </c>
      <c r="I1197" s="23">
        <f>敌人!H$101</f>
        <v>0</v>
      </c>
      <c r="J1197" s="23">
        <f>敌人!I$101</f>
        <v>0</v>
      </c>
      <c r="K1197" s="419" t="str">
        <f ca="1">敌人!J$101</f>
        <v>火之精灵石（大）</v>
      </c>
      <c r="L1197" s="371"/>
      <c r="M1197" s="371"/>
      <c r="N1197" s="22"/>
      <c r="O1197" s="21" t="b">
        <v>0</v>
      </c>
      <c r="P1197" s="419" t="str">
        <f ca="1">道具!$C$5</f>
        <v>ＨＰ全体恢复的葡萄</v>
      </c>
      <c r="Q1197" s="371"/>
      <c r="R1197" s="371"/>
      <c r="S1197" s="22"/>
      <c r="T1197" s="22"/>
      <c r="U1197" s="412"/>
      <c r="V1197" s="371"/>
      <c r="W1197" s="22"/>
      <c r="X1197" s="371"/>
      <c r="Y1197" s="371"/>
      <c r="Z1197" s="371"/>
      <c r="AA1197" s="22"/>
    </row>
    <row r="1198" spans="1:27" ht="12.75" x14ac:dyDescent="0.2">
      <c r="A1198" s="22"/>
      <c r="B1198" s="21" t="b">
        <v>0</v>
      </c>
      <c r="C1198" s="419" t="str">
        <f ca="1">敌人!C$105</f>
        <v>魔导飞器（火）・异型</v>
      </c>
      <c r="D1198" s="371"/>
      <c r="E1198" s="23">
        <f>敌人!D$105</f>
        <v>3</v>
      </c>
      <c r="F1198" s="23">
        <f>敌人!E$105</f>
        <v>0</v>
      </c>
      <c r="G1198" s="23">
        <f>敌人!F$105</f>
        <v>0</v>
      </c>
      <c r="H1198" s="23">
        <f>敌人!G$105</f>
        <v>0</v>
      </c>
      <c r="I1198" s="23">
        <f>敌人!H$105</f>
        <v>0</v>
      </c>
      <c r="J1198" s="23">
        <f>敌人!I$105</f>
        <v>0</v>
      </c>
      <c r="K1198" s="419" t="str">
        <f ca="1">敌人!J$105</f>
        <v>火之精灵石（大）</v>
      </c>
      <c r="L1198" s="371"/>
      <c r="M1198" s="371"/>
      <c r="N1198" s="22"/>
      <c r="O1198" s="21" t="b">
        <v>0</v>
      </c>
      <c r="P1198" s="419" t="str">
        <f ca="1">道具!$C$11</f>
        <v>ＢＰ恢复的石榴（特大）</v>
      </c>
      <c r="Q1198" s="371"/>
      <c r="R1198" s="371"/>
      <c r="S1198" s="22"/>
      <c r="T1198" s="22"/>
      <c r="U1198" s="412"/>
      <c r="V1198" s="371"/>
      <c r="W1198" s="22"/>
      <c r="X1198" s="22"/>
      <c r="Y1198" s="22"/>
      <c r="Z1198" s="22"/>
      <c r="AA1198" s="22"/>
    </row>
    <row r="1199" spans="1:27" ht="12.75" x14ac:dyDescent="0.2">
      <c r="A1199" s="22"/>
      <c r="B1199" s="21" t="b">
        <v>0</v>
      </c>
      <c r="C1199" s="419" t="str">
        <f ca="1">敌人!C$173</f>
        <v>魔导机兵（冰）・异型</v>
      </c>
      <c r="D1199" s="371"/>
      <c r="E1199" s="23">
        <f>敌人!D$173</f>
        <v>4</v>
      </c>
      <c r="F1199" s="23">
        <f>敌人!E$173</f>
        <v>0</v>
      </c>
      <c r="G1199" s="23">
        <f>敌人!F$173</f>
        <v>0</v>
      </c>
      <c r="H1199" s="23">
        <f>敌人!G$173</f>
        <v>0</v>
      </c>
      <c r="I1199" s="23">
        <f>敌人!H$173</f>
        <v>0</v>
      </c>
      <c r="J1199" s="23">
        <f>敌人!I$173</f>
        <v>0</v>
      </c>
      <c r="K1199" s="419" t="str">
        <f ca="1">敌人!J$173</f>
        <v>冰之精灵石（大）</v>
      </c>
      <c r="L1199" s="371"/>
      <c r="M1199" s="371"/>
      <c r="N1199" s="22"/>
      <c r="O1199" s="21" t="b">
        <v>0</v>
      </c>
      <c r="P1199" s="419" t="str">
        <f ca="1">道具!$C$510</f>
        <v>雷电避邪符</v>
      </c>
      <c r="Q1199" s="371"/>
      <c r="R1199" s="371"/>
      <c r="S1199" s="22"/>
      <c r="T1199" s="22"/>
      <c r="U1199" s="412"/>
      <c r="V1199" s="371"/>
      <c r="W1199" s="22"/>
      <c r="X1199" s="22"/>
      <c r="Y1199" s="22"/>
      <c r="Z1199" s="22"/>
      <c r="AA1199" s="22"/>
    </row>
    <row r="1200" spans="1:27" ht="12.75" x14ac:dyDescent="0.2">
      <c r="A1200" s="22"/>
      <c r="B1200" s="21" t="b">
        <v>0</v>
      </c>
      <c r="C1200" s="419" t="str">
        <f ca="1">敌人!C$170</f>
        <v>魔导飞器（冰）・异型</v>
      </c>
      <c r="D1200" s="371"/>
      <c r="E1200" s="23">
        <f>敌人!D$170</f>
        <v>3</v>
      </c>
      <c r="F1200" s="23">
        <f>敌人!E$170</f>
        <v>0</v>
      </c>
      <c r="G1200" s="23">
        <f>敌人!F$170</f>
        <v>0</v>
      </c>
      <c r="H1200" s="23">
        <f>敌人!G$170</f>
        <v>0</v>
      </c>
      <c r="I1200" s="23">
        <f>敌人!H$170</f>
        <v>0</v>
      </c>
      <c r="J1200" s="23">
        <f>敌人!I$170</f>
        <v>0</v>
      </c>
      <c r="K1200" s="419" t="str">
        <f ca="1">敌人!J$170</f>
        <v>冰之精灵石（大）</v>
      </c>
      <c r="L1200" s="371"/>
      <c r="M1200" s="371"/>
      <c r="N1200" s="22"/>
      <c r="O1200" s="21" t="b">
        <v>0</v>
      </c>
      <c r="P1200" s="419" t="str">
        <f ca="1">道具!$C$527</f>
        <v>即死耐性石</v>
      </c>
      <c r="Q1200" s="371"/>
      <c r="R1200" s="371"/>
      <c r="S1200" s="22"/>
      <c r="T1200" s="22"/>
      <c r="U1200" s="412"/>
      <c r="V1200" s="371"/>
      <c r="W1200" s="22"/>
      <c r="X1200" s="22"/>
      <c r="Y1200" s="22"/>
      <c r="Z1200" s="22"/>
      <c r="AA1200" s="22"/>
    </row>
    <row r="1201" spans="1:27" ht="12.75" x14ac:dyDescent="0.2">
      <c r="A1201" s="22"/>
      <c r="B1201" s="21" t="b">
        <v>0</v>
      </c>
      <c r="C1201" s="419" t="str">
        <f ca="1">敌人!C$17</f>
        <v>山贼骷髅</v>
      </c>
      <c r="D1201" s="371"/>
      <c r="E1201" s="23">
        <f>敌人!D$17</f>
        <v>2</v>
      </c>
      <c r="F1201" s="23">
        <f>敌人!E$17</f>
        <v>0</v>
      </c>
      <c r="G1201" s="23">
        <f>敌人!F$17</f>
        <v>0</v>
      </c>
      <c r="H1201" s="23">
        <f>敌人!G$17</f>
        <v>0</v>
      </c>
      <c r="I1201" s="23">
        <f>敌人!H$17</f>
        <v>0</v>
      </c>
      <c r="J1201" s="23">
        <f>敌人!I$17</f>
        <v>0</v>
      </c>
      <c r="K1201" s="419" t="str">
        <f ca="1">敌人!J$17</f>
        <v>装了破烂儿的小袋子</v>
      </c>
      <c r="L1201" s="371"/>
      <c r="M1201" s="371"/>
      <c r="N1201" s="22"/>
      <c r="O1201" s="21" t="b">
        <v>0</v>
      </c>
      <c r="P1201" s="419" t="str">
        <f ca="1">道具!$C$357&amp;" ("&amp;语言!$A$20&amp;")"</f>
        <v>睡神宝冠 (上锁宝箱)</v>
      </c>
      <c r="Q1201" s="371"/>
      <c r="R1201" s="371"/>
      <c r="S1201" s="22"/>
      <c r="T1201" s="22"/>
      <c r="U1201" s="412"/>
      <c r="V1201" s="371"/>
      <c r="W1201" s="22"/>
      <c r="X1201" s="22"/>
      <c r="Y1201" s="22"/>
      <c r="Z1201" s="22"/>
      <c r="AA1201" s="22"/>
    </row>
    <row r="1202" spans="1:27" ht="12.75" x14ac:dyDescent="0.2">
      <c r="A1202" s="22"/>
      <c r="B1202" s="408" t="str">
        <f ca="1">语言!A$494&amp;" ("&amp;语言!$A$12&amp;" 50)"</f>
        <v>魔大公的祠堂 (危险度 50)</v>
      </c>
      <c r="C1202" s="371"/>
      <c r="D1202" s="371"/>
      <c r="E1202" s="371"/>
      <c r="F1202" s="371"/>
      <c r="G1202" s="371"/>
      <c r="H1202" s="371"/>
      <c r="I1202" s="371"/>
      <c r="J1202" s="371"/>
      <c r="K1202" s="371"/>
      <c r="L1202" s="371"/>
      <c r="M1202" s="371"/>
      <c r="N1202" s="22"/>
      <c r="O1202" s="408" t="str">
        <f ca="1">语言!A$494&amp;" (6 "&amp;语言!$A$19&amp;")"</f>
        <v>魔大公的祠堂 (6 宝箱)</v>
      </c>
      <c r="P1202" s="371"/>
      <c r="Q1202" s="371"/>
      <c r="R1202" s="371"/>
      <c r="S1202" s="22"/>
      <c r="T1202" s="22"/>
      <c r="U1202" s="412"/>
      <c r="V1202" s="371"/>
      <c r="W1202" s="22"/>
      <c r="X1202" s="22"/>
      <c r="Y1202" s="22"/>
      <c r="Z1202" s="22"/>
      <c r="AA1202" s="22"/>
    </row>
    <row r="1203" spans="1:27" ht="12.75" x14ac:dyDescent="0.2">
      <c r="A1203" s="22"/>
      <c r="B1203" s="21" t="b">
        <v>0</v>
      </c>
      <c r="C1203" s="419" t="str">
        <f ca="1">敌人!C$107</f>
        <v>古代遗物（火兽）・异型</v>
      </c>
      <c r="D1203" s="371"/>
      <c r="E1203" s="23">
        <f>敌人!D$107</f>
        <v>3</v>
      </c>
      <c r="F1203" s="23">
        <f>敌人!E$107</f>
        <v>0</v>
      </c>
      <c r="G1203" s="23">
        <f>敌人!F$107</f>
        <v>0</v>
      </c>
      <c r="H1203" s="23">
        <f>敌人!G$107</f>
        <v>0</v>
      </c>
      <c r="I1203" s="23">
        <f>敌人!H$107</f>
        <v>0</v>
      </c>
      <c r="J1203" s="23">
        <f>敌人!I$107</f>
        <v>0</v>
      </c>
      <c r="K1203" s="419" t="str">
        <f ca="1">敌人!J$107</f>
        <v>火之精灵石（特大）</v>
      </c>
      <c r="L1203" s="371"/>
      <c r="M1203" s="371"/>
      <c r="N1203" s="22"/>
      <c r="O1203" s="21" t="b">
        <v>0</v>
      </c>
      <c r="P1203" s="419" t="str">
        <f ca="1">道具!$C$11</f>
        <v>ＢＰ恢复的石榴（特大）</v>
      </c>
      <c r="Q1203" s="371"/>
      <c r="R1203" s="371"/>
      <c r="S1203" s="22"/>
      <c r="T1203" s="22"/>
      <c r="U1203" s="412"/>
      <c r="V1203" s="371"/>
      <c r="W1203" s="22"/>
      <c r="X1203" s="22"/>
      <c r="Y1203" s="22"/>
      <c r="Z1203" s="22"/>
      <c r="AA1203" s="22"/>
    </row>
    <row r="1204" spans="1:27" ht="12.75" x14ac:dyDescent="0.2">
      <c r="A1204" s="22"/>
      <c r="B1204" s="21" t="b">
        <v>0</v>
      </c>
      <c r="C1204" s="419" t="str">
        <f ca="1">敌人!C$108</f>
        <v>古代遗物・火兵</v>
      </c>
      <c r="D1204" s="371"/>
      <c r="E1204" s="23">
        <f>敌人!D$108</f>
        <v>8</v>
      </c>
      <c r="F1204" s="23">
        <f>敌人!E$108</f>
        <v>0</v>
      </c>
      <c r="G1204" s="23">
        <f>敌人!F$108</f>
        <v>0</v>
      </c>
      <c r="H1204" s="23">
        <f>敌人!G$108</f>
        <v>0</v>
      </c>
      <c r="I1204" s="23">
        <f>敌人!H$108</f>
        <v>0</v>
      </c>
      <c r="J1204" s="23">
        <f>敌人!I$108</f>
        <v>0</v>
      </c>
      <c r="K1204" s="419" t="str">
        <f ca="1">敌人!J$108</f>
        <v>ＳＰ全体恢复的李子</v>
      </c>
      <c r="L1204" s="371"/>
      <c r="M1204" s="371"/>
      <c r="N1204" s="22"/>
      <c r="O1204" s="21" t="b">
        <v>0</v>
      </c>
      <c r="P1204" s="419" t="str">
        <f ca="1">道具!$C$47</f>
        <v>暗之精灵石（大）</v>
      </c>
      <c r="Q1204" s="371"/>
      <c r="R1204" s="371"/>
      <c r="S1204" s="22"/>
      <c r="T1204" s="22"/>
      <c r="U1204" s="412"/>
      <c r="V1204" s="371"/>
      <c r="W1204" s="22"/>
      <c r="X1204" s="22"/>
      <c r="Y1204" s="22"/>
      <c r="Z1204" s="22"/>
      <c r="AA1204" s="22"/>
    </row>
    <row r="1205" spans="1:27" ht="12.75" x14ac:dyDescent="0.2">
      <c r="A1205" s="22"/>
      <c r="B1205" s="21" t="b">
        <v>0</v>
      </c>
      <c r="C1205" s="419" t="str">
        <f ca="1">敌人!C$184</f>
        <v>古代遗物（冰兽）・异型</v>
      </c>
      <c r="D1205" s="371"/>
      <c r="E1205" s="23">
        <f>敌人!D$184</f>
        <v>4</v>
      </c>
      <c r="F1205" s="23">
        <f>敌人!E$184</f>
        <v>0</v>
      </c>
      <c r="G1205" s="23">
        <f>敌人!F$184</f>
        <v>0</v>
      </c>
      <c r="H1205" s="23">
        <f>敌人!G$184</f>
        <v>0</v>
      </c>
      <c r="I1205" s="23">
        <f>敌人!H$184</f>
        <v>0</v>
      </c>
      <c r="J1205" s="23">
        <f>敌人!I$184</f>
        <v>0</v>
      </c>
      <c r="K1205" s="419" t="str">
        <f ca="1">敌人!J$184</f>
        <v>冰之精灵石（特大）</v>
      </c>
      <c r="L1205" s="371"/>
      <c r="M1205" s="371"/>
      <c r="N1205" s="22"/>
      <c r="O1205" s="21" t="b">
        <v>0</v>
      </c>
      <c r="P1205" s="419" t="s">
        <v>22</v>
      </c>
      <c r="Q1205" s="371"/>
      <c r="R1205" s="371"/>
      <c r="S1205" s="22"/>
      <c r="T1205" s="22"/>
      <c r="U1205" s="412"/>
      <c r="V1205" s="371"/>
      <c r="W1205" s="22"/>
      <c r="X1205" s="22"/>
      <c r="Y1205" s="22"/>
      <c r="Z1205" s="22"/>
      <c r="AA1205" s="22"/>
    </row>
    <row r="1206" spans="1:27" ht="12.75" x14ac:dyDescent="0.2">
      <c r="A1206" s="22"/>
      <c r="B1206" s="21" t="b">
        <v>0</v>
      </c>
      <c r="C1206" s="419" t="str">
        <f ca="1">敌人!C$185</f>
        <v>古代遗物・冰兵</v>
      </c>
      <c r="D1206" s="371"/>
      <c r="E1206" s="23">
        <f>敌人!D$185</f>
        <v>8</v>
      </c>
      <c r="F1206" s="23">
        <f>敌人!E$185</f>
        <v>0</v>
      </c>
      <c r="G1206" s="23">
        <f>敌人!F$185</f>
        <v>0</v>
      </c>
      <c r="H1206" s="23">
        <f>敌人!G$185</f>
        <v>0</v>
      </c>
      <c r="I1206" s="23">
        <f>敌人!H$185</f>
        <v>0</v>
      </c>
      <c r="J1206" s="23">
        <f>敌人!I$185</f>
        <v>0</v>
      </c>
      <c r="K1206" s="419" t="str">
        <f ca="1">敌人!J$185</f>
        <v>ＳＰ全体恢复的李子</v>
      </c>
      <c r="L1206" s="371"/>
      <c r="M1206" s="371"/>
      <c r="N1206" s="22"/>
      <c r="O1206" s="21" t="b">
        <v>0</v>
      </c>
      <c r="P1206" s="419" t="str">
        <f ca="1">道具!$C$13</f>
        <v>ＨＰ／ＳＰ／ＢＰ恢复的果酱</v>
      </c>
      <c r="Q1206" s="371"/>
      <c r="R1206" s="371"/>
      <c r="S1206" s="22"/>
      <c r="T1206" s="22"/>
      <c r="U1206" s="412"/>
      <c r="V1206" s="371"/>
      <c r="W1206" s="22"/>
      <c r="X1206" s="22"/>
      <c r="Y1206" s="22"/>
      <c r="Z1206" s="22"/>
      <c r="AA1206" s="22"/>
    </row>
    <row r="1207" spans="1:27" ht="12.75" x14ac:dyDescent="0.2">
      <c r="A1207" s="22"/>
      <c r="B1207" s="21" t="b">
        <v>0</v>
      </c>
      <c r="C1207" s="419" t="str">
        <f ca="1">敌人!C$339</f>
        <v>古代遗物（雷兽）・异型</v>
      </c>
      <c r="D1207" s="371"/>
      <c r="E1207" s="23">
        <f>敌人!D$339</f>
        <v>2</v>
      </c>
      <c r="F1207" s="23">
        <f>敌人!E$339</f>
        <v>0</v>
      </c>
      <c r="G1207" s="23">
        <f>敌人!F$339</f>
        <v>0</v>
      </c>
      <c r="H1207" s="23">
        <f>敌人!G$339</f>
        <v>0</v>
      </c>
      <c r="I1207" s="23">
        <f>敌人!H$339</f>
        <v>0</v>
      </c>
      <c r="J1207" s="23">
        <f>敌人!I$339</f>
        <v>0</v>
      </c>
      <c r="K1207" s="419" t="str">
        <f ca="1">敌人!J$339</f>
        <v>雷之精灵石（特大）</v>
      </c>
      <c r="L1207" s="371"/>
      <c r="M1207" s="371"/>
      <c r="N1207" s="22"/>
      <c r="O1207" s="21" t="b">
        <v>0</v>
      </c>
      <c r="P1207" s="419" t="str">
        <f ca="1">道具!$C$7</f>
        <v>ＳＰ恢复的李子（大）</v>
      </c>
      <c r="Q1207" s="371"/>
      <c r="R1207" s="371"/>
      <c r="S1207" s="22"/>
      <c r="T1207" s="22"/>
      <c r="U1207" s="412"/>
      <c r="V1207" s="371"/>
      <c r="W1207" s="22"/>
      <c r="X1207" s="22"/>
      <c r="Y1207" s="22"/>
      <c r="Z1207" s="22"/>
      <c r="AA1207" s="22"/>
    </row>
    <row r="1208" spans="1:27" ht="12.75" x14ac:dyDescent="0.2">
      <c r="A1208" s="22"/>
      <c r="B1208" s="21" t="b">
        <v>0</v>
      </c>
      <c r="C1208" s="419" t="str">
        <f ca="1">敌人!C$340</f>
        <v>古代遗物。雷兵</v>
      </c>
      <c r="D1208" s="371"/>
      <c r="E1208" s="23">
        <f>敌人!D$340</f>
        <v>7</v>
      </c>
      <c r="F1208" s="23">
        <f>敌人!E$340</f>
        <v>0</v>
      </c>
      <c r="G1208" s="23">
        <f>敌人!F$340</f>
        <v>0</v>
      </c>
      <c r="H1208" s="23">
        <f>敌人!G$340</f>
        <v>0</v>
      </c>
      <c r="I1208" s="23">
        <f>敌人!H$340</f>
        <v>0</v>
      </c>
      <c r="J1208" s="23">
        <f>敌人!I$340</f>
        <v>0</v>
      </c>
      <c r="K1208" s="419" t="str">
        <f ca="1">敌人!J$340</f>
        <v>ＳＰ全体恢复的李子</v>
      </c>
      <c r="L1208" s="371"/>
      <c r="M1208" s="371"/>
      <c r="N1208" s="22"/>
      <c r="O1208" s="21" t="b">
        <v>0</v>
      </c>
      <c r="P1208" s="419" t="str">
        <f ca="1">道具!$C$305&amp;" ("&amp;语言!$A$20&amp;")"</f>
        <v>术士之杖 (上锁宝箱)</v>
      </c>
      <c r="Q1208" s="371"/>
      <c r="R1208" s="371"/>
      <c r="S1208" s="22"/>
      <c r="T1208" s="22"/>
      <c r="U1208" s="412"/>
      <c r="V1208" s="371"/>
      <c r="W1208" s="22"/>
      <c r="X1208" s="22"/>
      <c r="Y1208" s="22"/>
      <c r="Z1208" s="22"/>
      <c r="AA1208" s="22"/>
    </row>
    <row r="1209" spans="1:27" ht="12.75" x14ac:dyDescent="0.2">
      <c r="A1209" s="22"/>
      <c r="B1209" s="21" t="b">
        <v>0</v>
      </c>
      <c r="C1209" s="419" t="str">
        <f ca="1">敌人!C$9</f>
        <v>腐朽的盔甲</v>
      </c>
      <c r="D1209" s="371"/>
      <c r="E1209" s="23">
        <f>敌人!D$9</f>
        <v>6</v>
      </c>
      <c r="F1209" s="23">
        <f>敌人!E$9</f>
        <v>0</v>
      </c>
      <c r="G1209" s="23">
        <f>敌人!F$9</f>
        <v>0</v>
      </c>
      <c r="H1209" s="23">
        <f>敌人!G$9</f>
        <v>0</v>
      </c>
      <c r="I1209" s="23">
        <f>敌人!H$9</f>
        <v>0</v>
      </c>
      <c r="J1209" s="23">
        <f>敌人!I$9</f>
        <v>0</v>
      </c>
      <c r="K1209" s="419" t="str">
        <f ca="1">敌人!J$9</f>
        <v>ＨＰ／ＳＰ恢复的果酱</v>
      </c>
      <c r="L1209" s="371"/>
      <c r="M1209" s="371"/>
      <c r="N1209" s="22"/>
      <c r="O1209" s="22"/>
      <c r="P1209" s="412"/>
      <c r="Q1209" s="371"/>
      <c r="R1209" s="371"/>
      <c r="S1209" s="22"/>
      <c r="T1209" s="22"/>
      <c r="U1209" s="412"/>
      <c r="V1209" s="371"/>
      <c r="W1209" s="22"/>
      <c r="X1209" s="22"/>
      <c r="Y1209" s="22"/>
      <c r="Z1209" s="22"/>
      <c r="AA1209" s="22"/>
    </row>
    <row r="1210" spans="1:27" ht="12.75" x14ac:dyDescent="0.2">
      <c r="A1210" s="22"/>
      <c r="B1210" s="420" t="str">
        <f ca="1">语言!$A$15</f>
        <v>Boss</v>
      </c>
      <c r="C1210" s="371"/>
      <c r="D1210" s="371"/>
      <c r="E1210" s="371"/>
      <c r="F1210" s="371"/>
      <c r="G1210" s="371"/>
      <c r="H1210" s="371"/>
      <c r="I1210" s="371"/>
      <c r="J1210" s="371"/>
      <c r="K1210" s="371"/>
      <c r="L1210" s="371"/>
      <c r="M1210" s="371"/>
      <c r="N1210" s="22"/>
      <c r="O1210" s="22"/>
      <c r="P1210" s="412"/>
      <c r="Q1210" s="371"/>
      <c r="R1210" s="371"/>
      <c r="S1210" s="22"/>
      <c r="T1210" s="22"/>
      <c r="U1210" s="412"/>
      <c r="V1210" s="371"/>
      <c r="W1210" s="22"/>
      <c r="X1210" s="22"/>
      <c r="Y1210" s="22"/>
      <c r="Z1210" s="22"/>
      <c r="AA1210" s="22"/>
    </row>
    <row r="1211" spans="1:27" ht="12.75" x14ac:dyDescent="0.2">
      <c r="A1211" s="22"/>
      <c r="B1211" s="411" t="b">
        <v>0</v>
      </c>
      <c r="C1211" s="409" t="str">
        <f ca="1">敌人!C$492</f>
        <v>魔大公德雷闪克</v>
      </c>
      <c r="D1211" s="371"/>
      <c r="E1211" s="409">
        <f>敌人!D$492</f>
        <v>4</v>
      </c>
      <c r="F1211" s="21">
        <f>敌人!E$492</f>
        <v>0</v>
      </c>
      <c r="G1211" s="21">
        <f>敌人!F$492</f>
        <v>0</v>
      </c>
      <c r="H1211" s="21">
        <f>敌人!G$492</f>
        <v>0</v>
      </c>
      <c r="I1211" s="21">
        <f>敌人!H$492</f>
        <v>0</v>
      </c>
      <c r="J1211" s="21">
        <f>敌人!I$492</f>
        <v>0</v>
      </c>
      <c r="K1211" s="409" t="str">
        <f ca="1">敌人!J$492</f>
        <v>ＨＰ／ＳＰ恢复的果酱</v>
      </c>
      <c r="L1211" s="371"/>
      <c r="M1211" s="371"/>
      <c r="N1211" s="22"/>
      <c r="O1211" s="22"/>
      <c r="P1211" s="412"/>
      <c r="Q1211" s="371"/>
      <c r="R1211" s="371"/>
      <c r="S1211" s="22"/>
      <c r="T1211" s="22"/>
      <c r="U1211" s="412"/>
      <c r="V1211" s="371"/>
      <c r="W1211" s="22"/>
      <c r="X1211" s="22"/>
      <c r="Y1211" s="22"/>
      <c r="Z1211" s="22"/>
      <c r="AA1211" s="22"/>
    </row>
    <row r="1212" spans="1:27" ht="12.75" x14ac:dyDescent="0.2">
      <c r="A1212" s="22"/>
      <c r="B1212" s="371"/>
      <c r="C1212" s="371"/>
      <c r="D1212" s="371"/>
      <c r="E1212" s="371"/>
      <c r="F1212" s="21">
        <f>敌人!E$493</f>
        <v>0</v>
      </c>
      <c r="G1212" s="21">
        <f>敌人!F$493</f>
        <v>0</v>
      </c>
      <c r="H1212" s="21">
        <f>敌人!G$493</f>
        <v>0</v>
      </c>
      <c r="I1212" s="21">
        <f>敌人!H$493</f>
        <v>0</v>
      </c>
      <c r="J1212" s="21">
        <f>敌人!I$493</f>
        <v>0</v>
      </c>
      <c r="K1212" s="371"/>
      <c r="L1212" s="371"/>
      <c r="M1212" s="371"/>
      <c r="N1212" s="22"/>
      <c r="O1212" s="22"/>
      <c r="P1212" s="494"/>
      <c r="Q1212" s="371"/>
      <c r="R1212" s="371"/>
      <c r="S1212" s="22"/>
      <c r="T1212" s="22"/>
      <c r="U1212" s="412"/>
      <c r="V1212" s="371"/>
      <c r="W1212" s="22"/>
      <c r="X1212" s="22"/>
      <c r="Y1212" s="22"/>
      <c r="Z1212" s="22"/>
      <c r="AA1212" s="22"/>
    </row>
    <row r="1213" spans="1:27" ht="12.75" x14ac:dyDescent="0.2">
      <c r="A1213" s="22"/>
      <c r="B1213" s="371"/>
      <c r="C1213" s="371"/>
      <c r="D1213" s="371"/>
      <c r="E1213" s="371"/>
      <c r="F1213" s="21">
        <f>敌人!E$494</f>
        <v>0</v>
      </c>
      <c r="G1213" s="21">
        <f>敌人!F$494</f>
        <v>0</v>
      </c>
      <c r="H1213" s="21">
        <f>敌人!G$494</f>
        <v>0</v>
      </c>
      <c r="I1213" s="21">
        <f>敌人!H$494</f>
        <v>0</v>
      </c>
      <c r="J1213" s="21">
        <f>敌人!I$494</f>
        <v>0</v>
      </c>
      <c r="K1213" s="371"/>
      <c r="L1213" s="371"/>
      <c r="M1213" s="371"/>
      <c r="N1213" s="22"/>
      <c r="O1213" s="22"/>
      <c r="P1213" s="494"/>
      <c r="Q1213" s="371"/>
      <c r="R1213" s="371"/>
      <c r="S1213" s="22"/>
      <c r="T1213" s="22"/>
      <c r="U1213" s="412"/>
      <c r="V1213" s="371"/>
      <c r="W1213" s="22"/>
      <c r="X1213" s="22"/>
      <c r="Y1213" s="22"/>
      <c r="Z1213" s="22"/>
      <c r="AA1213" s="22"/>
    </row>
    <row r="1214" spans="1:27" ht="12.75" x14ac:dyDescent="0.2">
      <c r="A1214" s="22"/>
      <c r="B1214" s="371"/>
      <c r="C1214" s="371"/>
      <c r="D1214" s="371"/>
      <c r="E1214" s="371"/>
      <c r="F1214" s="21">
        <f>敌人!E$495</f>
        <v>0</v>
      </c>
      <c r="G1214" s="21">
        <f>敌人!F$495</f>
        <v>0</v>
      </c>
      <c r="H1214" s="21">
        <f>敌人!G$495</f>
        <v>0</v>
      </c>
      <c r="I1214" s="21">
        <f>敌人!H$495</f>
        <v>0</v>
      </c>
      <c r="J1214" s="21">
        <f>敌人!I$495</f>
        <v>0</v>
      </c>
      <c r="K1214" s="371"/>
      <c r="L1214" s="371"/>
      <c r="M1214" s="371"/>
      <c r="N1214" s="22"/>
      <c r="O1214" s="22"/>
      <c r="P1214" s="494"/>
      <c r="Q1214" s="371"/>
      <c r="R1214" s="371"/>
      <c r="S1214" s="22"/>
      <c r="T1214" s="22"/>
      <c r="U1214" s="412"/>
      <c r="V1214" s="371"/>
      <c r="W1214" s="22"/>
      <c r="X1214" s="22"/>
      <c r="Y1214" s="22"/>
      <c r="Z1214" s="22"/>
      <c r="AA1214" s="22"/>
    </row>
    <row r="1215" spans="1:27" ht="12.75" x14ac:dyDescent="0.2">
      <c r="A1215" s="22"/>
      <c r="B1215" s="22"/>
      <c r="C1215" s="412"/>
      <c r="D1215" s="371"/>
      <c r="E1215" s="22"/>
      <c r="F1215" s="22"/>
      <c r="G1215" s="22"/>
      <c r="H1215" s="22"/>
      <c r="I1215" s="22"/>
      <c r="J1215" s="22"/>
      <c r="K1215" s="412"/>
      <c r="L1215" s="371"/>
      <c r="M1215" s="371"/>
      <c r="N1215" s="22"/>
      <c r="O1215" s="22"/>
      <c r="P1215" s="494"/>
      <c r="Q1215" s="371"/>
      <c r="R1215" s="371"/>
      <c r="S1215" s="22"/>
      <c r="T1215" s="22"/>
      <c r="U1215" s="412"/>
      <c r="V1215" s="371"/>
      <c r="W1215" s="22"/>
      <c r="X1215" s="22"/>
      <c r="Y1215" s="22"/>
      <c r="Z1215" s="22"/>
      <c r="AA1215" s="22"/>
    </row>
    <row r="1216" spans="1:27" ht="12.75" x14ac:dyDescent="0.2">
      <c r="A1216" s="22"/>
      <c r="B1216" s="417" t="str">
        <f ca="1">语言!$A$36&amp;" "&amp;语言!$A$14&amp;" 4"</f>
        <v>赛拉斯 章节 4</v>
      </c>
      <c r="C1216" s="371"/>
      <c r="D1216" s="371"/>
      <c r="E1216" s="371"/>
      <c r="F1216" s="371"/>
      <c r="G1216" s="371"/>
      <c r="H1216" s="371"/>
      <c r="I1216" s="371"/>
      <c r="J1216" s="371"/>
      <c r="K1216" s="371"/>
      <c r="L1216" s="371"/>
      <c r="M1216" s="371"/>
      <c r="N1216" s="22"/>
      <c r="O1216" s="417" t="str">
        <f ca="1">语言!$A$36&amp;" "&amp;语言!$A$14&amp;" 4"</f>
        <v>赛拉斯 章节 4</v>
      </c>
      <c r="P1216" s="371"/>
      <c r="Q1216" s="371"/>
      <c r="R1216" s="371"/>
      <c r="S1216" s="22"/>
      <c r="T1216" s="22"/>
      <c r="U1216" s="412"/>
      <c r="V1216" s="371"/>
      <c r="W1216" s="22"/>
      <c r="X1216" s="417" t="str">
        <f ca="1">语言!$A$36&amp;" "&amp;语言!$A$14&amp;" 4"</f>
        <v>赛拉斯 章节 4</v>
      </c>
      <c r="Y1216" s="371"/>
      <c r="Z1216" s="371"/>
      <c r="AA1216" s="22"/>
    </row>
    <row r="1217" spans="1:27" ht="12.75" x14ac:dyDescent="0.2">
      <c r="A1217" s="22"/>
      <c r="B1217" s="408" t="str">
        <f ca="1">语言!A$495&amp;" ("&amp;语言!$A$12&amp;" 45)"</f>
        <v>古代的遗迹 (危险度 45)</v>
      </c>
      <c r="C1217" s="371"/>
      <c r="D1217" s="371"/>
      <c r="E1217" s="371"/>
      <c r="F1217" s="371"/>
      <c r="G1217" s="371"/>
      <c r="H1217" s="371"/>
      <c r="I1217" s="371"/>
      <c r="J1217" s="371"/>
      <c r="K1217" s="371"/>
      <c r="L1217" s="371"/>
      <c r="M1217" s="371"/>
      <c r="N1217" s="22"/>
      <c r="O1217" s="408" t="str">
        <f ca="1">语言!A$495&amp;" (45) (5 "&amp;语言!$A$19&amp;")"</f>
        <v>古代的遗迹 (45) (5 宝箱)</v>
      </c>
      <c r="P1217" s="371"/>
      <c r="Q1217" s="371"/>
      <c r="R1217" s="371"/>
      <c r="S1217" s="22"/>
      <c r="T1217" s="22"/>
      <c r="U1217" s="412"/>
      <c r="V1217" s="371"/>
      <c r="W1217" s="22"/>
      <c r="X1217" s="408" t="str">
        <f ca="1">语言!A$495</f>
        <v>古代的遗迹</v>
      </c>
      <c r="Y1217" s="371"/>
      <c r="Z1217" s="371"/>
      <c r="AA1217" s="22"/>
    </row>
    <row r="1218" spans="1:27" ht="12.75" x14ac:dyDescent="0.2">
      <c r="A1218" s="22"/>
      <c r="B1218" s="21" t="b">
        <v>0</v>
      </c>
      <c r="C1218" s="419" t="str">
        <f ca="1">敌人!C$306</f>
        <v>魔导机・异型</v>
      </c>
      <c r="D1218" s="371"/>
      <c r="E1218" s="23">
        <f>敌人!D$306</f>
        <v>2</v>
      </c>
      <c r="F1218" s="23">
        <f>敌人!E$306</f>
        <v>0</v>
      </c>
      <c r="G1218" s="23">
        <f>敌人!F$306</f>
        <v>0</v>
      </c>
      <c r="H1218" s="23">
        <f>敌人!G$306</f>
        <v>0</v>
      </c>
      <c r="I1218" s="23">
        <f>敌人!H$306</f>
        <v>0</v>
      </c>
      <c r="J1218" s="23">
        <f>敌人!I$306</f>
        <v>0</v>
      </c>
      <c r="K1218" s="419" t="str">
        <f ca="1">敌人!J$306</f>
        <v>复活的橄榄（大）</v>
      </c>
      <c r="L1218" s="371"/>
      <c r="M1218" s="371"/>
      <c r="N1218" s="22"/>
      <c r="O1218" s="21" t="b">
        <v>0</v>
      </c>
      <c r="P1218" s="419" t="str">
        <f ca="1">道具!$C$277&amp;" ("&amp;语言!$A$20&amp;")"</f>
        <v>符文弓 (上锁宝箱)</v>
      </c>
      <c r="Q1218" s="371"/>
      <c r="R1218" s="371"/>
      <c r="S1218" s="22"/>
      <c r="T1218" s="22"/>
      <c r="U1218" s="412"/>
      <c r="V1218" s="371"/>
      <c r="W1218" s="22"/>
      <c r="X1218" s="409" t="b">
        <v>0</v>
      </c>
      <c r="Y1218" s="480" t="str">
        <f ca="1">"Book where you fought "&amp;敌人!$C$464&amp;"
Valuable:
"&amp;道具!$F$4</f>
        <v>Book where you fought 露西亚
Valuable:
边狱之书</v>
      </c>
      <c r="Z1218" s="410" t="str">
        <f ca="1">"After killing "&amp;语言!$A$1600&amp;", you'll have to "&amp;语言!$A$45&amp;" 3 pieces of "&amp;语言!$A$1088&amp;":
- "&amp;道具!$I$56&amp;"
- "&amp;道具!$I$22&amp;"
- "&amp;道具!$I$23&amp;"
To get the "&amp;道具!$F$4&amp;" you need to "&amp;语言!$A$45&amp;" "&amp;道具!$I$23&amp;" last else you'll miss on the "&amp;语言!$A$9&amp;" achievement. "&amp;道具!$I$23&amp;" is the one you'll find where you fought "&amp;语言!$A$1600&amp;". Most people would get it last but some screwed it up..."</f>
        <v>After killing 露西亚, you'll have to 探查 3 pieces of 资讯:
- 《十二天之书第７卷》
- 《禁忌的黄金》
- 《边狱之书》
To get the 边狱之书 you need to 探查 《边狱之书》 last else you'll miss on the 收藏家 achievement. 《边狱之书》 is the one you'll find where you fought 露西亚. Most people would get it last but some screwed it up...</v>
      </c>
      <c r="AA1218" s="22"/>
    </row>
    <row r="1219" spans="1:27" ht="12.75" x14ac:dyDescent="0.2">
      <c r="A1219" s="22"/>
      <c r="B1219" s="21" t="b">
        <v>0</v>
      </c>
      <c r="C1219" s="419" t="str">
        <f ca="1">敌人!C$149</f>
        <v>魔导机兵・异型</v>
      </c>
      <c r="D1219" s="371"/>
      <c r="E1219" s="23">
        <f>敌人!D$149</f>
        <v>5</v>
      </c>
      <c r="F1219" s="23">
        <f>敌人!E$149</f>
        <v>0</v>
      </c>
      <c r="G1219" s="23">
        <f>敌人!F$149</f>
        <v>0</v>
      </c>
      <c r="H1219" s="23">
        <f>敌人!G$149</f>
        <v>0</v>
      </c>
      <c r="I1219" s="23">
        <f>敌人!H$149</f>
        <v>0</v>
      </c>
      <c r="J1219" s="23">
        <f>敌人!I$149</f>
        <v>0</v>
      </c>
      <c r="K1219" s="419" t="str">
        <f ca="1">敌人!J$149</f>
        <v>复活的橄榄（大）</v>
      </c>
      <c r="L1219" s="371"/>
      <c r="M1219" s="371"/>
      <c r="N1219" s="22"/>
      <c r="O1219" s="21" t="b">
        <v>0</v>
      </c>
      <c r="P1219" s="419" t="str">
        <f ca="1">道具!$C$12</f>
        <v>ＨＰ／ＳＰ恢复的果酱</v>
      </c>
      <c r="Q1219" s="371"/>
      <c r="R1219" s="371"/>
      <c r="S1219" s="22"/>
      <c r="T1219" s="22"/>
      <c r="U1219" s="412"/>
      <c r="V1219" s="371"/>
      <c r="W1219" s="22"/>
      <c r="X1219" s="371"/>
      <c r="Y1219" s="371"/>
      <c r="Z1219" s="371"/>
      <c r="AA1219" s="22"/>
    </row>
    <row r="1220" spans="1:27" ht="12.75" x14ac:dyDescent="0.2">
      <c r="A1220" s="22"/>
      <c r="B1220" s="21" t="b">
        <v>0</v>
      </c>
      <c r="C1220" s="419" t="str">
        <f ca="1">敌人!C$71</f>
        <v>魔导飞器・异型</v>
      </c>
      <c r="D1220" s="371"/>
      <c r="E1220" s="23">
        <f>敌人!D$71</f>
        <v>4</v>
      </c>
      <c r="F1220" s="23">
        <f>敌人!E$71</f>
        <v>0</v>
      </c>
      <c r="G1220" s="23">
        <f>敌人!F$71</f>
        <v>0</v>
      </c>
      <c r="H1220" s="23">
        <f>敌人!G$71</f>
        <v>0</v>
      </c>
      <c r="I1220" s="23">
        <f>敌人!H$71</f>
        <v>0</v>
      </c>
      <c r="J1220" s="23">
        <f>敌人!I$71</f>
        <v>0</v>
      </c>
      <c r="K1220" s="419" t="str">
        <f ca="1">敌人!J$71</f>
        <v>复活的橄榄（大）</v>
      </c>
      <c r="L1220" s="371"/>
      <c r="M1220" s="371"/>
      <c r="N1220" s="22"/>
      <c r="O1220" s="21" t="b">
        <v>0</v>
      </c>
      <c r="P1220" s="419" t="str">
        <f ca="1">道具!$C$48</f>
        <v>暗之精灵石（特大）</v>
      </c>
      <c r="Q1220" s="371"/>
      <c r="R1220" s="371"/>
      <c r="S1220" s="22"/>
      <c r="T1220" s="22"/>
      <c r="U1220" s="412"/>
      <c r="V1220" s="371"/>
      <c r="W1220" s="22"/>
      <c r="X1220" s="371"/>
      <c r="Y1220" s="371"/>
      <c r="Z1220" s="371"/>
      <c r="AA1220" s="22"/>
    </row>
    <row r="1221" spans="1:27" ht="12.75" x14ac:dyDescent="0.2">
      <c r="A1221" s="22"/>
      <c r="B1221" s="21" t="b">
        <v>0</v>
      </c>
      <c r="C1221" s="419" t="str">
        <f ca="1">敌人!C$367</f>
        <v>魔导机（风）・异型</v>
      </c>
      <c r="D1221" s="371"/>
      <c r="E1221" s="23">
        <f>敌人!D$367</f>
        <v>1</v>
      </c>
      <c r="F1221" s="23">
        <f>敌人!E$367</f>
        <v>0</v>
      </c>
      <c r="G1221" s="23">
        <f>敌人!F$367</f>
        <v>0</v>
      </c>
      <c r="H1221" s="23">
        <f>敌人!G$367</f>
        <v>0</v>
      </c>
      <c r="I1221" s="23">
        <f>敌人!H$367</f>
        <v>0</v>
      </c>
      <c r="J1221" s="23">
        <f>敌人!I$367</f>
        <v>0</v>
      </c>
      <c r="K1221" s="419" t="str">
        <f ca="1">敌人!J$367</f>
        <v>风之精灵石（大）</v>
      </c>
      <c r="L1221" s="371"/>
      <c r="M1221" s="371"/>
      <c r="N1221" s="22"/>
      <c r="O1221" s="21" t="b">
        <v>0</v>
      </c>
      <c r="P1221" s="419" t="s">
        <v>22</v>
      </c>
      <c r="Q1221" s="371"/>
      <c r="R1221" s="371"/>
      <c r="S1221" s="22"/>
      <c r="T1221" s="22"/>
      <c r="U1221" s="412"/>
      <c r="V1221" s="371"/>
      <c r="W1221" s="22"/>
      <c r="X1221" s="371"/>
      <c r="Y1221" s="371"/>
      <c r="Z1221" s="371"/>
      <c r="AA1221" s="22"/>
    </row>
    <row r="1222" spans="1:27" ht="12.75" x14ac:dyDescent="0.2">
      <c r="A1222" s="22"/>
      <c r="B1222" s="21" t="b">
        <v>0</v>
      </c>
      <c r="C1222" s="419" t="str">
        <f ca="1">敌人!C$362</f>
        <v>魔导机兵（风）・异型</v>
      </c>
      <c r="D1222" s="371"/>
      <c r="E1222" s="23">
        <f>敌人!D$362</f>
        <v>3</v>
      </c>
      <c r="F1222" s="23">
        <f>敌人!E$362</f>
        <v>0</v>
      </c>
      <c r="G1222" s="23">
        <f>敌人!F$362</f>
        <v>0</v>
      </c>
      <c r="H1222" s="23">
        <f>敌人!G$362</f>
        <v>0</v>
      </c>
      <c r="I1222" s="23">
        <f>敌人!H$362</f>
        <v>0</v>
      </c>
      <c r="J1222" s="23">
        <f>敌人!I$362</f>
        <v>0</v>
      </c>
      <c r="K1222" s="419" t="str">
        <f ca="1">敌人!J$362</f>
        <v>风之精灵石（大）</v>
      </c>
      <c r="L1222" s="371"/>
      <c r="M1222" s="371"/>
      <c r="N1222" s="22"/>
      <c r="O1222" s="21" t="b">
        <v>0</v>
      </c>
      <c r="P1222" s="419" t="str">
        <f ca="1">道具!$C$527</f>
        <v>即死耐性石</v>
      </c>
      <c r="Q1222" s="371"/>
      <c r="R1222" s="371"/>
      <c r="S1222" s="22"/>
      <c r="T1222" s="22"/>
      <c r="U1222" s="412"/>
      <c r="V1222" s="371"/>
      <c r="W1222" s="22"/>
      <c r="X1222" s="371"/>
      <c r="Y1222" s="371"/>
      <c r="Z1222" s="371"/>
      <c r="AA1222" s="22"/>
    </row>
    <row r="1223" spans="1:27" ht="12.75" x14ac:dyDescent="0.2">
      <c r="A1223" s="22"/>
      <c r="B1223" s="21" t="b">
        <v>0</v>
      </c>
      <c r="C1223" s="419" t="str">
        <f ca="1">敌人!C$359</f>
        <v>魔导飞器（风）・异型</v>
      </c>
      <c r="D1223" s="371"/>
      <c r="E1223" s="23">
        <f>敌人!D$359</f>
        <v>2</v>
      </c>
      <c r="F1223" s="23">
        <f>敌人!E$359</f>
        <v>0</v>
      </c>
      <c r="G1223" s="23">
        <f>敌人!F$359</f>
        <v>0</v>
      </c>
      <c r="H1223" s="23">
        <f>敌人!G$359</f>
        <v>0</v>
      </c>
      <c r="I1223" s="23">
        <f>敌人!H$359</f>
        <v>0</v>
      </c>
      <c r="J1223" s="23">
        <f>敌人!I$359</f>
        <v>0</v>
      </c>
      <c r="K1223" s="419" t="str">
        <f ca="1">敌人!J$359</f>
        <v>风之精灵石（大）</v>
      </c>
      <c r="L1223" s="371"/>
      <c r="M1223" s="371"/>
      <c r="N1223" s="22"/>
      <c r="O1223" s="408" t="str">
        <f ca="1">语言!A$495&amp;" (46) (6 "&amp;语言!$A$19&amp;")"</f>
        <v>古代的遗迹 (46) (6 宝箱)</v>
      </c>
      <c r="P1223" s="371"/>
      <c r="Q1223" s="371"/>
      <c r="R1223" s="371"/>
      <c r="S1223" s="22"/>
      <c r="T1223" s="22"/>
      <c r="U1223" s="412"/>
      <c r="V1223" s="371"/>
      <c r="W1223" s="22"/>
      <c r="X1223" s="371"/>
      <c r="Y1223" s="371"/>
      <c r="Z1223" s="371"/>
      <c r="AA1223" s="22"/>
    </row>
    <row r="1224" spans="1:27" ht="12.75" x14ac:dyDescent="0.2">
      <c r="A1224" s="22"/>
      <c r="B1224" s="21" t="b">
        <v>0</v>
      </c>
      <c r="C1224" s="419" t="str">
        <f ca="1">敌人!C$345</f>
        <v>食人蝙蝠</v>
      </c>
      <c r="D1224" s="371"/>
      <c r="E1224" s="23">
        <f>敌人!D$345</f>
        <v>1</v>
      </c>
      <c r="F1224" s="23">
        <f>敌人!E$345</f>
        <v>0</v>
      </c>
      <c r="G1224" s="23">
        <f>敌人!F$345</f>
        <v>0</v>
      </c>
      <c r="H1224" s="23">
        <f>敌人!G$345</f>
        <v>0</v>
      </c>
      <c r="I1224" s="23">
        <f>敌人!H$345</f>
        <v>0</v>
      </c>
      <c r="J1224" s="23">
        <f>敌人!I$345</f>
        <v>0</v>
      </c>
      <c r="K1224" s="419" t="str">
        <f ca="1">敌人!J$345</f>
        <v>神秘之花</v>
      </c>
      <c r="L1224" s="371"/>
      <c r="M1224" s="371"/>
      <c r="N1224" s="22"/>
      <c r="O1224" s="21" t="b">
        <v>0</v>
      </c>
      <c r="P1224" s="419" t="str">
        <f ca="1">"50 000$ ("&amp;语言!$A$20&amp;")"</f>
        <v>50 000$ (上锁宝箱)</v>
      </c>
      <c r="Q1224" s="371"/>
      <c r="R1224" s="371"/>
      <c r="S1224" s="22"/>
      <c r="T1224" s="22"/>
      <c r="U1224" s="412"/>
      <c r="V1224" s="371"/>
      <c r="W1224" s="22"/>
      <c r="X1224" s="371"/>
      <c r="Y1224" s="371"/>
      <c r="Z1224" s="371"/>
      <c r="AA1224" s="22"/>
    </row>
    <row r="1225" spans="1:27" ht="12.75" x14ac:dyDescent="0.2">
      <c r="A1225" s="22"/>
      <c r="B1225" s="408" t="str">
        <f ca="1">语言!A$495&amp;" ("&amp;语言!$A$12&amp;" 46)"</f>
        <v>古代的遗迹 (危险度 46)</v>
      </c>
      <c r="C1225" s="371"/>
      <c r="D1225" s="371"/>
      <c r="E1225" s="371"/>
      <c r="F1225" s="371"/>
      <c r="G1225" s="371"/>
      <c r="H1225" s="371"/>
      <c r="I1225" s="371"/>
      <c r="J1225" s="371"/>
      <c r="K1225" s="371"/>
      <c r="L1225" s="371"/>
      <c r="M1225" s="371"/>
      <c r="N1225" s="22"/>
      <c r="O1225" s="21" t="b">
        <v>0</v>
      </c>
      <c r="P1225" s="419" t="str">
        <f ca="1">道具!$C$511</f>
        <v>霄暗避邪符</v>
      </c>
      <c r="Q1225" s="371"/>
      <c r="R1225" s="371"/>
      <c r="S1225" s="22"/>
      <c r="T1225" s="22"/>
      <c r="U1225" s="412"/>
      <c r="V1225" s="371"/>
      <c r="W1225" s="22"/>
      <c r="X1225" s="371"/>
      <c r="Y1225" s="371"/>
      <c r="Z1225" s="371"/>
      <c r="AA1225" s="22"/>
    </row>
    <row r="1226" spans="1:27" ht="12.75" x14ac:dyDescent="0.2">
      <c r="A1226" s="22"/>
      <c r="B1226" s="21" t="b">
        <v>0</v>
      </c>
      <c r="C1226" s="419" t="str">
        <f ca="1">敌人!C$306</f>
        <v>魔导机・异型</v>
      </c>
      <c r="D1226" s="371"/>
      <c r="E1226" s="23">
        <f>敌人!D$306</f>
        <v>2</v>
      </c>
      <c r="F1226" s="23">
        <f>敌人!E$306</f>
        <v>0</v>
      </c>
      <c r="G1226" s="23">
        <f>敌人!F$306</f>
        <v>0</v>
      </c>
      <c r="H1226" s="23">
        <f>敌人!G$306</f>
        <v>0</v>
      </c>
      <c r="I1226" s="23">
        <f>敌人!H$306</f>
        <v>0</v>
      </c>
      <c r="J1226" s="23">
        <f>敌人!I$306</f>
        <v>0</v>
      </c>
      <c r="K1226" s="419" t="str">
        <f ca="1">敌人!J$306</f>
        <v>复活的橄榄（大）</v>
      </c>
      <c r="L1226" s="371"/>
      <c r="M1226" s="371"/>
      <c r="N1226" s="22"/>
      <c r="O1226" s="21" t="b">
        <v>0</v>
      </c>
      <c r="P1226" s="419" t="str">
        <f ca="1">道具!$C$5</f>
        <v>ＨＰ全体恢复的葡萄</v>
      </c>
      <c r="Q1226" s="371"/>
      <c r="R1226" s="371"/>
      <c r="S1226" s="22"/>
      <c r="T1226" s="22"/>
      <c r="U1226" s="412"/>
      <c r="V1226" s="371"/>
      <c r="W1226" s="22"/>
      <c r="X1226" s="371"/>
      <c r="Y1226" s="371"/>
      <c r="Z1226" s="371"/>
      <c r="AA1226" s="22"/>
    </row>
    <row r="1227" spans="1:27" ht="12.75" x14ac:dyDescent="0.2">
      <c r="A1227" s="22"/>
      <c r="B1227" s="21" t="b">
        <v>0</v>
      </c>
      <c r="C1227" s="419" t="str">
        <f ca="1">敌人!C$71</f>
        <v>魔导飞器・异型</v>
      </c>
      <c r="D1227" s="371"/>
      <c r="E1227" s="23">
        <f>敌人!D$71</f>
        <v>4</v>
      </c>
      <c r="F1227" s="23">
        <f>敌人!E$71</f>
        <v>0</v>
      </c>
      <c r="G1227" s="23">
        <f>敌人!F$71</f>
        <v>0</v>
      </c>
      <c r="H1227" s="23">
        <f>敌人!G$71</f>
        <v>0</v>
      </c>
      <c r="I1227" s="23">
        <f>敌人!H$71</f>
        <v>0</v>
      </c>
      <c r="J1227" s="23">
        <f>敌人!I$71</f>
        <v>0</v>
      </c>
      <c r="K1227" s="419" t="str">
        <f ca="1">敌人!J$71</f>
        <v>复活的橄榄（大）</v>
      </c>
      <c r="L1227" s="371"/>
      <c r="M1227" s="371"/>
      <c r="N1227" s="22"/>
      <c r="O1227" s="21" t="b">
        <v>0</v>
      </c>
      <c r="P1227" s="419" t="str">
        <f ca="1">道具!$C$11</f>
        <v>ＢＰ恢复的石榴（特大）</v>
      </c>
      <c r="Q1227" s="371"/>
      <c r="R1227" s="371"/>
      <c r="S1227" s="22"/>
      <c r="T1227" s="22"/>
      <c r="U1227" s="412"/>
      <c r="V1227" s="371"/>
      <c r="W1227" s="22"/>
      <c r="X1227" s="371"/>
      <c r="Y1227" s="371"/>
      <c r="Z1227" s="371"/>
      <c r="AA1227" s="22"/>
    </row>
    <row r="1228" spans="1:27" ht="12.75" x14ac:dyDescent="0.2">
      <c r="A1228" s="22"/>
      <c r="B1228" s="21" t="b">
        <v>0</v>
      </c>
      <c r="C1228" s="419" t="str">
        <f ca="1">敌人!C$367</f>
        <v>魔导机（风）・异型</v>
      </c>
      <c r="D1228" s="371"/>
      <c r="E1228" s="23">
        <f>敌人!D$367</f>
        <v>1</v>
      </c>
      <c r="F1228" s="23">
        <f>敌人!E$367</f>
        <v>0</v>
      </c>
      <c r="G1228" s="23">
        <f>敌人!F$367</f>
        <v>0</v>
      </c>
      <c r="H1228" s="23">
        <f>敌人!G$367</f>
        <v>0</v>
      </c>
      <c r="I1228" s="23">
        <f>敌人!H$367</f>
        <v>0</v>
      </c>
      <c r="J1228" s="23">
        <f>敌人!I$367</f>
        <v>0</v>
      </c>
      <c r="K1228" s="419" t="str">
        <f ca="1">敌人!J$367</f>
        <v>风之精灵石（大）</v>
      </c>
      <c r="L1228" s="371"/>
      <c r="M1228" s="371"/>
      <c r="N1228" s="22"/>
      <c r="O1228" s="21" t="b">
        <v>0</v>
      </c>
      <c r="P1228" s="419" t="str">
        <f ca="1">道具!$C$35</f>
        <v>冰之精灵石（特大）</v>
      </c>
      <c r="Q1228" s="371"/>
      <c r="R1228" s="371"/>
      <c r="S1228" s="22"/>
      <c r="T1228" s="22"/>
      <c r="U1228" s="412"/>
      <c r="V1228" s="371"/>
      <c r="W1228" s="22"/>
      <c r="X1228" s="371"/>
      <c r="Y1228" s="371"/>
      <c r="Z1228" s="371"/>
      <c r="AA1228" s="22"/>
    </row>
    <row r="1229" spans="1:27" ht="12.75" x14ac:dyDescent="0.2">
      <c r="A1229" s="22"/>
      <c r="B1229" s="21" t="b">
        <v>0</v>
      </c>
      <c r="C1229" s="419" t="str">
        <f ca="1">敌人!C$359</f>
        <v>魔导飞器（风）・异型</v>
      </c>
      <c r="D1229" s="371"/>
      <c r="E1229" s="23">
        <f>敌人!D$359</f>
        <v>2</v>
      </c>
      <c r="F1229" s="23">
        <f>敌人!E$359</f>
        <v>0</v>
      </c>
      <c r="G1229" s="23">
        <f>敌人!F$359</f>
        <v>0</v>
      </c>
      <c r="H1229" s="23">
        <f>敌人!G$359</f>
        <v>0</v>
      </c>
      <c r="I1229" s="23">
        <f>敌人!H$359</f>
        <v>0</v>
      </c>
      <c r="J1229" s="23">
        <f>敌人!I$359</f>
        <v>0</v>
      </c>
      <c r="K1229" s="419" t="str">
        <f ca="1">敌人!J$359</f>
        <v>风之精灵石（大）</v>
      </c>
      <c r="L1229" s="371"/>
      <c r="M1229" s="371"/>
      <c r="N1229" s="22"/>
      <c r="O1229" s="21" t="b">
        <v>0</v>
      </c>
      <c r="P1229" s="419" t="str">
        <f ca="1">道具!$C$343</f>
        <v>骑士盾</v>
      </c>
      <c r="Q1229" s="371"/>
      <c r="R1229" s="371"/>
      <c r="S1229" s="22"/>
      <c r="T1229" s="22"/>
      <c r="U1229" s="412"/>
      <c r="V1229" s="371"/>
      <c r="W1229" s="22"/>
      <c r="X1229" s="22"/>
      <c r="Y1229" s="22"/>
      <c r="Z1229" s="22"/>
      <c r="AA1229" s="22"/>
    </row>
    <row r="1230" spans="1:27" ht="12.75" x14ac:dyDescent="0.2">
      <c r="A1230" s="22"/>
      <c r="B1230" s="21" t="b">
        <v>0</v>
      </c>
      <c r="C1230" s="419" t="str">
        <f ca="1">敌人!C$78</f>
        <v>古代遗物・黑兵</v>
      </c>
      <c r="D1230" s="371"/>
      <c r="E1230" s="23">
        <f>敌人!D$78</f>
        <v>9</v>
      </c>
      <c r="F1230" s="23">
        <f>敌人!E$78</f>
        <v>0</v>
      </c>
      <c r="G1230" s="23">
        <f>敌人!F$78</f>
        <v>0</v>
      </c>
      <c r="H1230" s="23">
        <f>敌人!G$78</f>
        <v>0</v>
      </c>
      <c r="I1230" s="23">
        <f>敌人!H$78</f>
        <v>0</v>
      </c>
      <c r="J1230" s="23">
        <f>敌人!I$78</f>
        <v>0</v>
      </c>
      <c r="K1230" s="419" t="str">
        <f ca="1">敌人!J$78</f>
        <v>ＳＰ全体恢复的李子</v>
      </c>
      <c r="L1230" s="371"/>
      <c r="M1230" s="371"/>
      <c r="N1230" s="22"/>
      <c r="O1230" s="22"/>
      <c r="P1230" s="412"/>
      <c r="Q1230" s="371"/>
      <c r="R1230" s="371"/>
      <c r="S1230" s="22"/>
      <c r="T1230" s="22"/>
      <c r="U1230" s="412"/>
      <c r="V1230" s="371"/>
      <c r="W1230" s="22"/>
      <c r="X1230" s="22"/>
      <c r="Y1230" s="22"/>
      <c r="Z1230" s="22"/>
      <c r="AA1230" s="22"/>
    </row>
    <row r="1231" spans="1:27" ht="12.75" x14ac:dyDescent="0.2">
      <c r="A1231" s="22"/>
      <c r="B1231" s="21" t="b">
        <v>0</v>
      </c>
      <c r="C1231" s="419" t="str">
        <f ca="1">敌人!C$27</f>
        <v>古代遗物・赤兵</v>
      </c>
      <c r="D1231" s="371"/>
      <c r="E1231" s="23">
        <f>敌人!D$27</f>
        <v>9</v>
      </c>
      <c r="F1231" s="23">
        <f>敌人!E$27</f>
        <v>0</v>
      </c>
      <c r="G1231" s="23">
        <f>敌人!F$27</f>
        <v>0</v>
      </c>
      <c r="H1231" s="23">
        <f>敌人!G$27</f>
        <v>0</v>
      </c>
      <c r="I1231" s="23">
        <f>敌人!H$27</f>
        <v>0</v>
      </c>
      <c r="J1231" s="23">
        <f>敌人!I$27</f>
        <v>0</v>
      </c>
      <c r="K1231" s="419" t="str">
        <f ca="1">敌人!J$27</f>
        <v>ＳＰ全体恢复的李子</v>
      </c>
      <c r="L1231" s="371"/>
      <c r="M1231" s="371"/>
      <c r="N1231" s="22"/>
      <c r="O1231" s="22"/>
      <c r="P1231" s="412"/>
      <c r="Q1231" s="371"/>
      <c r="R1231" s="371"/>
      <c r="S1231" s="22"/>
      <c r="T1231" s="22"/>
      <c r="U1231" s="412"/>
      <c r="V1231" s="371"/>
      <c r="W1231" s="22"/>
      <c r="X1231" s="22"/>
      <c r="Y1231" s="22"/>
      <c r="Z1231" s="22"/>
      <c r="AA1231" s="22"/>
    </row>
    <row r="1232" spans="1:27" ht="12.75" x14ac:dyDescent="0.2">
      <c r="A1232" s="22"/>
      <c r="B1232" s="21" t="b">
        <v>0</v>
      </c>
      <c r="C1232" s="419" t="str">
        <f ca="1">敌人!C$345</f>
        <v>食人蝙蝠</v>
      </c>
      <c r="D1232" s="371"/>
      <c r="E1232" s="23">
        <f>敌人!D$345</f>
        <v>1</v>
      </c>
      <c r="F1232" s="23">
        <f>敌人!E$345</f>
        <v>0</v>
      </c>
      <c r="G1232" s="23">
        <f>敌人!F$345</f>
        <v>0</v>
      </c>
      <c r="H1232" s="23">
        <f>敌人!G$345</f>
        <v>0</v>
      </c>
      <c r="I1232" s="23">
        <f>敌人!H$345</f>
        <v>0</v>
      </c>
      <c r="J1232" s="23">
        <f>敌人!I$345</f>
        <v>0</v>
      </c>
      <c r="K1232" s="419" t="str">
        <f ca="1">敌人!J$345</f>
        <v>神秘之花</v>
      </c>
      <c r="L1232" s="371"/>
      <c r="M1232" s="371"/>
      <c r="N1232" s="22"/>
      <c r="O1232" s="22"/>
      <c r="P1232" s="412"/>
      <c r="Q1232" s="371"/>
      <c r="R1232" s="371"/>
      <c r="S1232" s="22"/>
      <c r="T1232" s="22"/>
      <c r="U1232" s="412"/>
      <c r="V1232" s="371"/>
      <c r="W1232" s="22"/>
      <c r="X1232" s="22"/>
      <c r="Y1232" s="22"/>
      <c r="Z1232" s="22"/>
      <c r="AA1232" s="22"/>
    </row>
    <row r="1233" spans="1:27" ht="12.75" x14ac:dyDescent="0.2">
      <c r="A1233" s="22"/>
      <c r="B1233" s="420" t="str">
        <f ca="1">语言!$A$15</f>
        <v>Boss</v>
      </c>
      <c r="C1233" s="371"/>
      <c r="D1233" s="371"/>
      <c r="E1233" s="371"/>
      <c r="F1233" s="371"/>
      <c r="G1233" s="371"/>
      <c r="H1233" s="371"/>
      <c r="I1233" s="371"/>
      <c r="J1233" s="371"/>
      <c r="K1233" s="371"/>
      <c r="L1233" s="371"/>
      <c r="M1233" s="371"/>
      <c r="N1233" s="22"/>
      <c r="O1233" s="22"/>
      <c r="P1233" s="412"/>
      <c r="Q1233" s="371"/>
      <c r="R1233" s="371"/>
      <c r="S1233" s="22"/>
      <c r="T1233" s="22"/>
      <c r="U1233" s="412"/>
      <c r="V1233" s="371"/>
      <c r="W1233" s="22"/>
      <c r="X1233" s="22"/>
      <c r="Y1233" s="22"/>
      <c r="Z1233" s="22"/>
      <c r="AA1233" s="22"/>
    </row>
    <row r="1234" spans="1:27" ht="12.75" x14ac:dyDescent="0.2">
      <c r="A1234" s="22"/>
      <c r="B1234" s="411" t="b">
        <v>0</v>
      </c>
      <c r="C1234" s="409" t="str">
        <f ca="1">敌人!C$464</f>
        <v>露西亚</v>
      </c>
      <c r="D1234" s="371"/>
      <c r="E1234" s="21">
        <f>敌人!D$464</f>
        <v>30</v>
      </c>
      <c r="F1234" s="21">
        <f>敌人!E$464</f>
        <v>0</v>
      </c>
      <c r="G1234" s="21">
        <f>敌人!F$464</f>
        <v>0</v>
      </c>
      <c r="H1234" s="21">
        <f>敌人!G$464</f>
        <v>0</v>
      </c>
      <c r="I1234" s="21">
        <f>敌人!H$464</f>
        <v>0</v>
      </c>
      <c r="J1234" s="21">
        <f>敌人!I$464</f>
        <v>0</v>
      </c>
      <c r="K1234" s="409" t="str">
        <f ca="1">敌人!J$464</f>
        <v>ＢＰ恢复的石榴（特大）</v>
      </c>
      <c r="L1234" s="371"/>
      <c r="M1234" s="371"/>
      <c r="N1234" s="22"/>
      <c r="O1234" s="22"/>
      <c r="P1234" s="412"/>
      <c r="Q1234" s="371"/>
      <c r="R1234" s="371"/>
      <c r="S1234" s="22"/>
      <c r="T1234" s="22"/>
      <c r="U1234" s="412"/>
      <c r="V1234" s="371"/>
      <c r="W1234" s="22"/>
      <c r="X1234" s="22"/>
      <c r="Y1234" s="22"/>
      <c r="Z1234" s="22"/>
      <c r="AA1234" s="22"/>
    </row>
    <row r="1235" spans="1:27" ht="12.75" x14ac:dyDescent="0.2">
      <c r="A1235" s="22"/>
      <c r="B1235" s="371"/>
      <c r="C1235" s="371"/>
      <c r="D1235" s="371"/>
      <c r="E1235" s="21">
        <f>敌人!D$465</f>
        <v>15</v>
      </c>
      <c r="F1235" s="21">
        <f>敌人!E$465</f>
        <v>0</v>
      </c>
      <c r="G1235" s="21">
        <f>敌人!F$465</f>
        <v>0</v>
      </c>
      <c r="H1235" s="21">
        <f>敌人!G$465</f>
        <v>0</v>
      </c>
      <c r="I1235" s="21">
        <f>敌人!H$465</f>
        <v>0</v>
      </c>
      <c r="J1235" s="21">
        <f>敌人!I$465</f>
        <v>0</v>
      </c>
      <c r="K1235" s="371"/>
      <c r="L1235" s="371"/>
      <c r="M1235" s="371"/>
      <c r="N1235" s="22"/>
      <c r="O1235" s="22"/>
      <c r="P1235" s="412"/>
      <c r="Q1235" s="371"/>
      <c r="R1235" s="371"/>
      <c r="S1235" s="22"/>
      <c r="T1235" s="22"/>
      <c r="U1235" s="412"/>
      <c r="V1235" s="371"/>
      <c r="W1235" s="22"/>
      <c r="X1235" s="22"/>
      <c r="Y1235" s="22"/>
      <c r="Z1235" s="22"/>
      <c r="AA1235" s="22"/>
    </row>
    <row r="1236" spans="1:27" ht="12.75" x14ac:dyDescent="0.2">
      <c r="A1236" s="22"/>
      <c r="B1236" s="371"/>
      <c r="C1236" s="371"/>
      <c r="D1236" s="371"/>
      <c r="E1236" s="21">
        <f>敌人!D$466</f>
        <v>8</v>
      </c>
      <c r="F1236" s="21">
        <f>敌人!E$466</f>
        <v>0</v>
      </c>
      <c r="G1236" s="21">
        <f>敌人!F$466</f>
        <v>0</v>
      </c>
      <c r="H1236" s="21">
        <f>敌人!G$466</f>
        <v>0</v>
      </c>
      <c r="I1236" s="21">
        <f>敌人!H$466</f>
        <v>0</v>
      </c>
      <c r="J1236" s="21">
        <f>敌人!I$466</f>
        <v>0</v>
      </c>
      <c r="K1236" s="371"/>
      <c r="L1236" s="371"/>
      <c r="M1236" s="371"/>
      <c r="N1236" s="22"/>
      <c r="O1236" s="22"/>
      <c r="P1236" s="412"/>
      <c r="Q1236" s="371"/>
      <c r="R1236" s="371"/>
      <c r="S1236" s="22"/>
      <c r="T1236" s="22"/>
      <c r="U1236" s="412"/>
      <c r="V1236" s="371"/>
      <c r="W1236" s="22"/>
      <c r="X1236" s="22"/>
      <c r="Y1236" s="22"/>
      <c r="Z1236" s="22"/>
      <c r="AA1236" s="22"/>
    </row>
    <row r="1237" spans="1:27" ht="12.75" x14ac:dyDescent="0.2">
      <c r="A1237" s="22"/>
      <c r="B1237" s="22"/>
      <c r="C1237" s="412"/>
      <c r="D1237" s="371"/>
      <c r="E1237" s="22"/>
      <c r="F1237" s="22"/>
      <c r="G1237" s="22"/>
      <c r="H1237" s="22"/>
      <c r="I1237" s="22"/>
      <c r="J1237" s="22"/>
      <c r="K1237" s="412"/>
      <c r="L1237" s="371"/>
      <c r="M1237" s="371"/>
      <c r="N1237" s="22"/>
      <c r="O1237" s="22"/>
      <c r="P1237" s="412"/>
      <c r="Q1237" s="371"/>
      <c r="R1237" s="371"/>
      <c r="S1237" s="22"/>
      <c r="T1237" s="22"/>
      <c r="U1237" s="412"/>
      <c r="V1237" s="371"/>
      <c r="W1237" s="22"/>
      <c r="X1237" s="22"/>
      <c r="Y1237" s="22"/>
      <c r="Z1237" s="22"/>
      <c r="AA1237" s="22"/>
    </row>
  </sheetData>
  <mergeCells count="4765">
    <mergeCell ref="C1219:D1219"/>
    <mergeCell ref="C1220:D1220"/>
    <mergeCell ref="C1221:D1221"/>
    <mergeCell ref="C1222:D1222"/>
    <mergeCell ref="C1231:D1231"/>
    <mergeCell ref="C1232:D1232"/>
    <mergeCell ref="B1234:B1236"/>
    <mergeCell ref="C1234:D1236"/>
    <mergeCell ref="C1237:D1237"/>
    <mergeCell ref="C1223:D1223"/>
    <mergeCell ref="C1224:D1224"/>
    <mergeCell ref="C1226:D1226"/>
    <mergeCell ref="C1227:D1227"/>
    <mergeCell ref="C1228:D1228"/>
    <mergeCell ref="C1229:D1229"/>
    <mergeCell ref="C1230:D1230"/>
    <mergeCell ref="P1221:R1221"/>
    <mergeCell ref="P1222:R1222"/>
    <mergeCell ref="O1223:R1223"/>
    <mergeCell ref="P1224:R1224"/>
    <mergeCell ref="P1225:R1225"/>
    <mergeCell ref="P1226:R1226"/>
    <mergeCell ref="P1227:R1227"/>
    <mergeCell ref="K1234:M1236"/>
    <mergeCell ref="K1237:M1237"/>
    <mergeCell ref="P1228:R1228"/>
    <mergeCell ref="P1229:R1229"/>
    <mergeCell ref="B1233:M1233"/>
    <mergeCell ref="P1233:R1233"/>
    <mergeCell ref="P1234:R1234"/>
    <mergeCell ref="P1235:R1235"/>
    <mergeCell ref="P1236:R1236"/>
    <mergeCell ref="U1196:V1196"/>
    <mergeCell ref="K1193:M1193"/>
    <mergeCell ref="B1194:M1194"/>
    <mergeCell ref="C1195:D1195"/>
    <mergeCell ref="K1195:M1195"/>
    <mergeCell ref="C1196:D1196"/>
    <mergeCell ref="K1196:M1196"/>
    <mergeCell ref="K1197:M1197"/>
    <mergeCell ref="K1209:M1209"/>
    <mergeCell ref="B1210:M1210"/>
    <mergeCell ref="P1210:R1210"/>
    <mergeCell ref="U1210:V1210"/>
    <mergeCell ref="C1205:D1205"/>
    <mergeCell ref="C1206:D1206"/>
    <mergeCell ref="C1207:D1207"/>
    <mergeCell ref="C1208:D1208"/>
    <mergeCell ref="C1209:D1209"/>
    <mergeCell ref="P1209:R1209"/>
    <mergeCell ref="U1209:V1209"/>
    <mergeCell ref="K1200:M1200"/>
    <mergeCell ref="K1201:M1201"/>
    <mergeCell ref="B1202:M1202"/>
    <mergeCell ref="K1203:M1203"/>
    <mergeCell ref="K1204:M1204"/>
    <mergeCell ref="C1197:D1197"/>
    <mergeCell ref="C1198:D1198"/>
    <mergeCell ref="C1199:D1199"/>
    <mergeCell ref="C1200:D1200"/>
    <mergeCell ref="C1201:D1201"/>
    <mergeCell ref="C1203:D1203"/>
    <mergeCell ref="C1204:D1204"/>
    <mergeCell ref="O1185:R1185"/>
    <mergeCell ref="T1185:V1185"/>
    <mergeCell ref="P1186:R1186"/>
    <mergeCell ref="U1186:V1186"/>
    <mergeCell ref="P1187:R1187"/>
    <mergeCell ref="P1188:R1188"/>
    <mergeCell ref="O1189:R1189"/>
    <mergeCell ref="P1190:R1190"/>
    <mergeCell ref="P1191:R1191"/>
    <mergeCell ref="C1192:D1192"/>
    <mergeCell ref="K1192:M1192"/>
    <mergeCell ref="U1192:V1192"/>
    <mergeCell ref="C1193:D1193"/>
    <mergeCell ref="U1193:V1193"/>
    <mergeCell ref="P1192:R1192"/>
    <mergeCell ref="P1193:R1193"/>
    <mergeCell ref="O1194:R1194"/>
    <mergeCell ref="U1194:V1194"/>
    <mergeCell ref="P1195:R1195"/>
    <mergeCell ref="U1195:V1195"/>
    <mergeCell ref="U1233:V1233"/>
    <mergeCell ref="U1234:V1234"/>
    <mergeCell ref="U1235:V1235"/>
    <mergeCell ref="U1236:V1236"/>
    <mergeCell ref="U1237:V1237"/>
    <mergeCell ref="U1204:V1204"/>
    <mergeCell ref="U1205:V1205"/>
    <mergeCell ref="X1218:X1228"/>
    <mergeCell ref="Y1218:Y1228"/>
    <mergeCell ref="Z1218:Z1228"/>
    <mergeCell ref="U1219:V1219"/>
    <mergeCell ref="U1220:V1220"/>
    <mergeCell ref="K1207:M1207"/>
    <mergeCell ref="K1208:M1208"/>
    <mergeCell ref="P1208:R1208"/>
    <mergeCell ref="U1208:V1208"/>
    <mergeCell ref="K1205:M1205"/>
    <mergeCell ref="P1205:R1205"/>
    <mergeCell ref="K1206:M1206"/>
    <mergeCell ref="P1206:R1206"/>
    <mergeCell ref="U1206:V1206"/>
    <mergeCell ref="P1207:R1207"/>
    <mergeCell ref="U1207:V1207"/>
    <mergeCell ref="P1212:R1212"/>
    <mergeCell ref="P1213:R1213"/>
    <mergeCell ref="P1237:R1237"/>
    <mergeCell ref="B1225:M1225"/>
    <mergeCell ref="K1226:M1226"/>
    <mergeCell ref="K1231:M1231"/>
    <mergeCell ref="K1232:M1232"/>
    <mergeCell ref="P1232:R1232"/>
    <mergeCell ref="U1232:V1232"/>
    <mergeCell ref="P1203:R1203"/>
    <mergeCell ref="P1204:R1204"/>
    <mergeCell ref="P1196:R1196"/>
    <mergeCell ref="P1197:R1197"/>
    <mergeCell ref="P1198:R1198"/>
    <mergeCell ref="P1199:R1199"/>
    <mergeCell ref="P1200:R1200"/>
    <mergeCell ref="P1201:R1201"/>
    <mergeCell ref="O1202:R1202"/>
    <mergeCell ref="U1197:V1197"/>
    <mergeCell ref="U1198:V1198"/>
    <mergeCell ref="U1199:V1199"/>
    <mergeCell ref="U1200:V1200"/>
    <mergeCell ref="U1201:V1201"/>
    <mergeCell ref="U1202:V1202"/>
    <mergeCell ref="U1203:V1203"/>
    <mergeCell ref="U1221:V1221"/>
    <mergeCell ref="U1222:V1222"/>
    <mergeCell ref="U1223:V1223"/>
    <mergeCell ref="U1224:V1224"/>
    <mergeCell ref="U1225:V1225"/>
    <mergeCell ref="U1226:V1226"/>
    <mergeCell ref="U1227:V1227"/>
    <mergeCell ref="U1228:V1228"/>
    <mergeCell ref="K1198:M1198"/>
    <mergeCell ref="K1199:M1199"/>
    <mergeCell ref="B1211:B1214"/>
    <mergeCell ref="E1211:E1214"/>
    <mergeCell ref="K1211:M1214"/>
    <mergeCell ref="U1211:V1211"/>
    <mergeCell ref="U1212:V1212"/>
    <mergeCell ref="U1213:V1213"/>
    <mergeCell ref="U1214:V1214"/>
    <mergeCell ref="X1216:Z1216"/>
    <mergeCell ref="X1217:Z1217"/>
    <mergeCell ref="U1218:V1218"/>
    <mergeCell ref="K1215:M1215"/>
    <mergeCell ref="P1215:R1215"/>
    <mergeCell ref="U1215:V1215"/>
    <mergeCell ref="B1216:M1216"/>
    <mergeCell ref="U1216:V1216"/>
    <mergeCell ref="B1217:M1217"/>
    <mergeCell ref="U1217:V1217"/>
    <mergeCell ref="O1216:R1216"/>
    <mergeCell ref="O1217:R1217"/>
    <mergeCell ref="K1218:M1218"/>
    <mergeCell ref="P1218:R1218"/>
    <mergeCell ref="C1211:D1214"/>
    <mergeCell ref="C1215:D1215"/>
    <mergeCell ref="C1218:D1218"/>
    <mergeCell ref="U1173:V1173"/>
    <mergeCell ref="U1174:V1174"/>
    <mergeCell ref="U1175:V1175"/>
    <mergeCell ref="U1176:V1176"/>
    <mergeCell ref="U1177:V1177"/>
    <mergeCell ref="U1178:V1178"/>
    <mergeCell ref="U1188:V1188"/>
    <mergeCell ref="U1189:V1189"/>
    <mergeCell ref="Z1186:Z1191"/>
    <mergeCell ref="X1192:Z1192"/>
    <mergeCell ref="X1193:X1197"/>
    <mergeCell ref="Y1193:Y1197"/>
    <mergeCell ref="Z1193:Z1197"/>
    <mergeCell ref="P1230:R1230"/>
    <mergeCell ref="P1231:R1231"/>
    <mergeCell ref="K1227:M1227"/>
    <mergeCell ref="K1228:M1228"/>
    <mergeCell ref="K1229:M1229"/>
    <mergeCell ref="U1229:V1229"/>
    <mergeCell ref="K1230:M1230"/>
    <mergeCell ref="U1230:V1230"/>
    <mergeCell ref="U1231:V1231"/>
    <mergeCell ref="P1211:R1211"/>
    <mergeCell ref="P1214:R1214"/>
    <mergeCell ref="K1219:M1219"/>
    <mergeCell ref="P1219:R1219"/>
    <mergeCell ref="P1220:R1220"/>
    <mergeCell ref="K1220:M1220"/>
    <mergeCell ref="K1221:M1221"/>
    <mergeCell ref="K1222:M1222"/>
    <mergeCell ref="K1223:M1223"/>
    <mergeCell ref="K1224:M1224"/>
    <mergeCell ref="X1186:X1191"/>
    <mergeCell ref="Y1186:Y1191"/>
    <mergeCell ref="U1190:V1190"/>
    <mergeCell ref="X1151:Z1151"/>
    <mergeCell ref="X1152:Z1152"/>
    <mergeCell ref="U1153:V1153"/>
    <mergeCell ref="X1153:X1158"/>
    <mergeCell ref="Y1153:Y1158"/>
    <mergeCell ref="Z1153:Z1158"/>
    <mergeCell ref="U1154:V1154"/>
    <mergeCell ref="X1163:X1165"/>
    <mergeCell ref="X1169:X1172"/>
    <mergeCell ref="Y1169:Y1172"/>
    <mergeCell ref="Z1169:Z1172"/>
    <mergeCell ref="X1173:X1176"/>
    <mergeCell ref="Y1173:Y1176"/>
    <mergeCell ref="Z1173:Z1176"/>
    <mergeCell ref="X1159:X1162"/>
    <mergeCell ref="Y1159:Y1162"/>
    <mergeCell ref="Z1159:Z1162"/>
    <mergeCell ref="Y1163:Y1165"/>
    <mergeCell ref="Z1163:Z1165"/>
    <mergeCell ref="X1167:Z1167"/>
    <mergeCell ref="X1168:Z1168"/>
    <mergeCell ref="U1160:V1160"/>
    <mergeCell ref="U1161:V1161"/>
    <mergeCell ref="U1162:V1162"/>
    <mergeCell ref="U1164:V1164"/>
    <mergeCell ref="U1165:V1165"/>
    <mergeCell ref="U1170:V1170"/>
    <mergeCell ref="U1171:V1171"/>
    <mergeCell ref="U1172:V1172"/>
    <mergeCell ref="U1167:V1167"/>
    <mergeCell ref="U1168:V1168"/>
    <mergeCell ref="P1169:R1169"/>
    <mergeCell ref="U1169:V1169"/>
    <mergeCell ref="P1170:R1170"/>
    <mergeCell ref="P1163:R1163"/>
    <mergeCell ref="U1163:V1163"/>
    <mergeCell ref="P1165:R1165"/>
    <mergeCell ref="P1166:R1166"/>
    <mergeCell ref="U1166:V1166"/>
    <mergeCell ref="O1167:R1167"/>
    <mergeCell ref="O1168:R1168"/>
    <mergeCell ref="K1169:M1169"/>
    <mergeCell ref="K1170:M1170"/>
    <mergeCell ref="C1164:D1164"/>
    <mergeCell ref="C1165:D1165"/>
    <mergeCell ref="C1166:D1166"/>
    <mergeCell ref="B1167:M1167"/>
    <mergeCell ref="B1168:M1168"/>
    <mergeCell ref="C1169:D1169"/>
    <mergeCell ref="C1170:D1170"/>
    <mergeCell ref="K1158:M1158"/>
    <mergeCell ref="K1160:M1160"/>
    <mergeCell ref="K1154:M1154"/>
    <mergeCell ref="K1155:M1155"/>
    <mergeCell ref="C1157:D1157"/>
    <mergeCell ref="K1157:M1157"/>
    <mergeCell ref="C1158:D1158"/>
    <mergeCell ref="B1159:M1159"/>
    <mergeCell ref="C1160:D1160"/>
    <mergeCell ref="K1163:M1163"/>
    <mergeCell ref="K1164:M1164"/>
    <mergeCell ref="K1165:M1165"/>
    <mergeCell ref="K1166:M1166"/>
    <mergeCell ref="C1161:D1161"/>
    <mergeCell ref="K1161:M1161"/>
    <mergeCell ref="P1161:R1161"/>
    <mergeCell ref="B1162:M1162"/>
    <mergeCell ref="P1162:R1162"/>
    <mergeCell ref="C1163:D1163"/>
    <mergeCell ref="P1164:R1164"/>
    <mergeCell ref="P1159:R1159"/>
    <mergeCell ref="P1160:R1160"/>
    <mergeCell ref="U1155:V1155"/>
    <mergeCell ref="U1156:V1156"/>
    <mergeCell ref="P1157:R1157"/>
    <mergeCell ref="U1157:V1157"/>
    <mergeCell ref="P1158:R1158"/>
    <mergeCell ref="U1158:V1158"/>
    <mergeCell ref="U1159:V1159"/>
    <mergeCell ref="P1132:R1132"/>
    <mergeCell ref="P1133:R1133"/>
    <mergeCell ref="K1134:M1134"/>
    <mergeCell ref="P1134:R1134"/>
    <mergeCell ref="U1134:V1134"/>
    <mergeCell ref="P1135:R1135"/>
    <mergeCell ref="U1135:V1135"/>
    <mergeCell ref="K1135:M1135"/>
    <mergeCell ref="K1136:M1136"/>
    <mergeCell ref="P1136:R1136"/>
    <mergeCell ref="U1136:V1136"/>
    <mergeCell ref="K1137:M1137"/>
    <mergeCell ref="U1137:V1137"/>
    <mergeCell ref="U1138:V1138"/>
    <mergeCell ref="K1140:M1140"/>
    <mergeCell ref="P1140:R1140"/>
    <mergeCell ref="U1140:V1140"/>
    <mergeCell ref="U1141:V1141"/>
    <mergeCell ref="U1142:V1142"/>
    <mergeCell ref="P1141:R1141"/>
    <mergeCell ref="P1142:R1142"/>
    <mergeCell ref="P1143:R1143"/>
    <mergeCell ref="U1143:V1143"/>
    <mergeCell ref="K1131:M1131"/>
    <mergeCell ref="O1131:R1131"/>
    <mergeCell ref="U1131:V1131"/>
    <mergeCell ref="K1132:M1132"/>
    <mergeCell ref="U1132:V1132"/>
    <mergeCell ref="B1133:M1133"/>
    <mergeCell ref="U1133:V1133"/>
    <mergeCell ref="P1137:R1137"/>
    <mergeCell ref="P1138:R1138"/>
    <mergeCell ref="P1139:R1139"/>
    <mergeCell ref="U1139:V1139"/>
    <mergeCell ref="K1138:M1138"/>
    <mergeCell ref="K1139:M1139"/>
    <mergeCell ref="C1155:D1155"/>
    <mergeCell ref="B1156:M1156"/>
    <mergeCell ref="P1156:R1156"/>
    <mergeCell ref="B1151:M1151"/>
    <mergeCell ref="B1152:M1152"/>
    <mergeCell ref="B1153:M1153"/>
    <mergeCell ref="P1153:R1153"/>
    <mergeCell ref="C1154:D1154"/>
    <mergeCell ref="P1154:R1154"/>
    <mergeCell ref="P1155:R1155"/>
    <mergeCell ref="I1141:I1142"/>
    <mergeCell ref="J1141:J1142"/>
    <mergeCell ref="P1144:R1144"/>
    <mergeCell ref="U1144:V1144"/>
    <mergeCell ref="U1145:V1145"/>
    <mergeCell ref="K1141:M1142"/>
    <mergeCell ref="B1143:M1143"/>
    <mergeCell ref="K1144:M1146"/>
    <mergeCell ref="K1147:M1147"/>
    <mergeCell ref="Y1121:Y1125"/>
    <mergeCell ref="Z1121:Z1125"/>
    <mergeCell ref="U1122:V1122"/>
    <mergeCell ref="U1123:V1123"/>
    <mergeCell ref="U1113:V1113"/>
    <mergeCell ref="U1114:V1114"/>
    <mergeCell ref="U1115:V1115"/>
    <mergeCell ref="U1116:V1116"/>
    <mergeCell ref="U1117:V1117"/>
    <mergeCell ref="U1118:V1118"/>
    <mergeCell ref="X1121:X1125"/>
    <mergeCell ref="U1124:V1124"/>
    <mergeCell ref="U1125:V1125"/>
    <mergeCell ref="K1129:M1129"/>
    <mergeCell ref="O1129:R1129"/>
    <mergeCell ref="U1129:V1129"/>
    <mergeCell ref="P1130:R1130"/>
    <mergeCell ref="U1130:V1130"/>
    <mergeCell ref="K1130:M1130"/>
    <mergeCell ref="K1185:M1185"/>
    <mergeCell ref="B1186:M1186"/>
    <mergeCell ref="K1187:M1187"/>
    <mergeCell ref="K1188:M1188"/>
    <mergeCell ref="K1189:M1189"/>
    <mergeCell ref="K1190:M1190"/>
    <mergeCell ref="K1191:M1191"/>
    <mergeCell ref="U1191:V1191"/>
    <mergeCell ref="C1185:D1185"/>
    <mergeCell ref="C1187:D1187"/>
    <mergeCell ref="C1188:D1188"/>
    <mergeCell ref="C1189:D1189"/>
    <mergeCell ref="C1190:D1190"/>
    <mergeCell ref="C1191:D1191"/>
    <mergeCell ref="C1176:D1176"/>
    <mergeCell ref="C1177:D1177"/>
    <mergeCell ref="C1178:D1178"/>
    <mergeCell ref="C1179:D1179"/>
    <mergeCell ref="C1180:D1180"/>
    <mergeCell ref="C1182:D1182"/>
    <mergeCell ref="C1183:D1183"/>
    <mergeCell ref="U1183:V1183"/>
    <mergeCell ref="U1187:V1187"/>
    <mergeCell ref="U1179:V1179"/>
    <mergeCell ref="U1180:V1180"/>
    <mergeCell ref="U1181:V1181"/>
    <mergeCell ref="U1182:V1182"/>
    <mergeCell ref="K1178:M1178"/>
    <mergeCell ref="P1178:R1178"/>
    <mergeCell ref="K1179:M1179"/>
    <mergeCell ref="P1179:R1179"/>
    <mergeCell ref="P1180:R1180"/>
    <mergeCell ref="B1181:M1181"/>
    <mergeCell ref="P1181:R1181"/>
    <mergeCell ref="K1180:M1180"/>
    <mergeCell ref="K1182:M1182"/>
    <mergeCell ref="P1182:R1182"/>
    <mergeCell ref="K1183:M1183"/>
    <mergeCell ref="P1183:R1183"/>
    <mergeCell ref="A1184:AA1184"/>
    <mergeCell ref="X1185:Z1185"/>
    <mergeCell ref="O1172:R1172"/>
    <mergeCell ref="P1173:R1173"/>
    <mergeCell ref="C1171:D1171"/>
    <mergeCell ref="K1171:M1171"/>
    <mergeCell ref="P1171:R1171"/>
    <mergeCell ref="C1172:D1172"/>
    <mergeCell ref="K1172:M1172"/>
    <mergeCell ref="C1173:D1173"/>
    <mergeCell ref="K1173:M1173"/>
    <mergeCell ref="P1176:R1176"/>
    <mergeCell ref="P1177:R1177"/>
    <mergeCell ref="B1174:M1174"/>
    <mergeCell ref="P1174:R1174"/>
    <mergeCell ref="C1175:D1175"/>
    <mergeCell ref="K1175:M1175"/>
    <mergeCell ref="P1175:R1175"/>
    <mergeCell ref="K1176:M1176"/>
    <mergeCell ref="K1177:M1177"/>
    <mergeCell ref="C1150:D1150"/>
    <mergeCell ref="C1138:D1138"/>
    <mergeCell ref="C1139:D1139"/>
    <mergeCell ref="C1140:D1140"/>
    <mergeCell ref="B1141:B1142"/>
    <mergeCell ref="C1141:D1142"/>
    <mergeCell ref="E1141:E1142"/>
    <mergeCell ref="F1141:F1142"/>
    <mergeCell ref="P1145:R1145"/>
    <mergeCell ref="P1146:R1146"/>
    <mergeCell ref="P1147:R1147"/>
    <mergeCell ref="P1148:R1148"/>
    <mergeCell ref="P1149:R1149"/>
    <mergeCell ref="P1150:R1150"/>
    <mergeCell ref="P1151:R1151"/>
    <mergeCell ref="P1152:R1152"/>
    <mergeCell ref="U1146:V1146"/>
    <mergeCell ref="U1147:V1147"/>
    <mergeCell ref="U1148:V1148"/>
    <mergeCell ref="U1149:V1149"/>
    <mergeCell ref="U1150:V1150"/>
    <mergeCell ref="U1151:V1151"/>
    <mergeCell ref="U1152:V1152"/>
    <mergeCell ref="B1148:M1148"/>
    <mergeCell ref="K1149:M1149"/>
    <mergeCell ref="K1150:M1150"/>
    <mergeCell ref="C1127:D1127"/>
    <mergeCell ref="C1128:D1128"/>
    <mergeCell ref="C1129:D1129"/>
    <mergeCell ref="C1130:D1130"/>
    <mergeCell ref="C1131:D1131"/>
    <mergeCell ref="C1132:D1132"/>
    <mergeCell ref="C1134:D1134"/>
    <mergeCell ref="C1135:D1135"/>
    <mergeCell ref="C1136:D1136"/>
    <mergeCell ref="C1137:D1137"/>
    <mergeCell ref="G1141:G1142"/>
    <mergeCell ref="H1141:H1142"/>
    <mergeCell ref="B1144:B1146"/>
    <mergeCell ref="C1144:D1146"/>
    <mergeCell ref="E1144:E1146"/>
    <mergeCell ref="C1147:D1147"/>
    <mergeCell ref="C1149:D1149"/>
    <mergeCell ref="C1107:D1107"/>
    <mergeCell ref="C1108:D1108"/>
    <mergeCell ref="C1109:D1109"/>
    <mergeCell ref="C1110:D1110"/>
    <mergeCell ref="C1111:D1111"/>
    <mergeCell ref="C1112:D1112"/>
    <mergeCell ref="C1113:D1113"/>
    <mergeCell ref="C1115:D1115"/>
    <mergeCell ref="C1116:D1116"/>
    <mergeCell ref="C1117:D1117"/>
    <mergeCell ref="C1118:D1118"/>
    <mergeCell ref="C1120:D1120"/>
    <mergeCell ref="C1122:D1122"/>
    <mergeCell ref="C1123:D1123"/>
    <mergeCell ref="C1124:D1124"/>
    <mergeCell ref="C1125:D1125"/>
    <mergeCell ref="C1126:D1126"/>
    <mergeCell ref="P1099:R1099"/>
    <mergeCell ref="P1100:R1100"/>
    <mergeCell ref="P1103:R1103"/>
    <mergeCell ref="P1104:R1104"/>
    <mergeCell ref="K1101:M1101"/>
    <mergeCell ref="K1102:M1102"/>
    <mergeCell ref="P1102:R1102"/>
    <mergeCell ref="U1102:V1102"/>
    <mergeCell ref="K1103:M1103"/>
    <mergeCell ref="U1103:V1103"/>
    <mergeCell ref="K1104:M1104"/>
    <mergeCell ref="U1104:V1104"/>
    <mergeCell ref="C1096:D1096"/>
    <mergeCell ref="C1098:D1098"/>
    <mergeCell ref="C1099:D1099"/>
    <mergeCell ref="C1100:D1100"/>
    <mergeCell ref="C1101:D1101"/>
    <mergeCell ref="C1102:D1102"/>
    <mergeCell ref="C1103:D1103"/>
    <mergeCell ref="C1104:D1104"/>
    <mergeCell ref="K1036:M1036"/>
    <mergeCell ref="P1036:R1036"/>
    <mergeCell ref="U1036:V1036"/>
    <mergeCell ref="C1036:D1036"/>
    <mergeCell ref="C1037:D1037"/>
    <mergeCell ref="K1037:M1037"/>
    <mergeCell ref="C1038:D1038"/>
    <mergeCell ref="K1038:M1038"/>
    <mergeCell ref="K1039:M1039"/>
    <mergeCell ref="X1039:Z1039"/>
    <mergeCell ref="C1039:D1039"/>
    <mergeCell ref="C1040:D1040"/>
    <mergeCell ref="K1040:M1040"/>
    <mergeCell ref="C1041:D1041"/>
    <mergeCell ref="K1041:M1041"/>
    <mergeCell ref="B1042:M1042"/>
    <mergeCell ref="K1043:M1043"/>
    <mergeCell ref="P1012:R1012"/>
    <mergeCell ref="P1013:R1013"/>
    <mergeCell ref="P1014:R1014"/>
    <mergeCell ref="P1015:R1015"/>
    <mergeCell ref="P1016:R1016"/>
    <mergeCell ref="P1017:R1017"/>
    <mergeCell ref="P1018:R1018"/>
    <mergeCell ref="O1019:R1019"/>
    <mergeCell ref="O1020:R1020"/>
    <mergeCell ref="P1021:R1021"/>
    <mergeCell ref="P1022:R1022"/>
    <mergeCell ref="P1023:R1023"/>
    <mergeCell ref="U1023:V1023"/>
    <mergeCell ref="U1024:V1024"/>
    <mergeCell ref="A1032:AA1032"/>
    <mergeCell ref="C1035:D1035"/>
    <mergeCell ref="K1035:M1035"/>
    <mergeCell ref="U1035:V1035"/>
    <mergeCell ref="K1062:M1062"/>
    <mergeCell ref="K1063:M1063"/>
    <mergeCell ref="P1057:R1057"/>
    <mergeCell ref="P1058:R1058"/>
    <mergeCell ref="O1059:R1059"/>
    <mergeCell ref="P1061:R1061"/>
    <mergeCell ref="P1062:R1062"/>
    <mergeCell ref="P1063:R1063"/>
    <mergeCell ref="P1064:R1064"/>
    <mergeCell ref="K1064:M1064"/>
    <mergeCell ref="K1066:M1066"/>
    <mergeCell ref="K1067:M1067"/>
    <mergeCell ref="K1068:M1068"/>
    <mergeCell ref="K1069:M1069"/>
    <mergeCell ref="K1070:M1070"/>
    <mergeCell ref="K1072:M1072"/>
    <mergeCell ref="K1079:M1079"/>
    <mergeCell ref="P1079:R1079"/>
    <mergeCell ref="B1060:M1060"/>
    <mergeCell ref="P1060:R1060"/>
    <mergeCell ref="B1065:M1065"/>
    <mergeCell ref="P1065:R1065"/>
    <mergeCell ref="P1071:R1071"/>
    <mergeCell ref="P1127:R1127"/>
    <mergeCell ref="U1127:V1127"/>
    <mergeCell ref="P1128:R1128"/>
    <mergeCell ref="U1128:V1128"/>
    <mergeCell ref="O1120:R1120"/>
    <mergeCell ref="T1120:V1120"/>
    <mergeCell ref="P1121:R1121"/>
    <mergeCell ref="U1121:V1121"/>
    <mergeCell ref="P1122:R1122"/>
    <mergeCell ref="P1123:R1123"/>
    <mergeCell ref="P1124:R1124"/>
    <mergeCell ref="P1047:R1047"/>
    <mergeCell ref="P1048:R1048"/>
    <mergeCell ref="K1044:M1044"/>
    <mergeCell ref="K1045:M1045"/>
    <mergeCell ref="P1045:R1045"/>
    <mergeCell ref="K1046:M1046"/>
    <mergeCell ref="P1046:R1046"/>
    <mergeCell ref="K1047:M1047"/>
    <mergeCell ref="K1048:M1048"/>
    <mergeCell ref="K1051:M1051"/>
    <mergeCell ref="P1051:R1051"/>
    <mergeCell ref="K1052:M1052"/>
    <mergeCell ref="P1052:R1052"/>
    <mergeCell ref="K1053:M1053"/>
    <mergeCell ref="P1053:R1053"/>
    <mergeCell ref="P1056:R1056"/>
    <mergeCell ref="K1056:M1056"/>
    <mergeCell ref="K1057:M1057"/>
    <mergeCell ref="K1058:M1058"/>
    <mergeCell ref="K1059:M1059"/>
    <mergeCell ref="K1061:M1061"/>
    <mergeCell ref="K1128:M1128"/>
    <mergeCell ref="K1120:M1120"/>
    <mergeCell ref="B1121:M1121"/>
    <mergeCell ref="K1122:M1122"/>
    <mergeCell ref="K1123:M1123"/>
    <mergeCell ref="K1124:M1124"/>
    <mergeCell ref="K1125:M1125"/>
    <mergeCell ref="K1126:M1126"/>
    <mergeCell ref="B1105:M1105"/>
    <mergeCell ref="O1105:R1105"/>
    <mergeCell ref="U1105:V1105"/>
    <mergeCell ref="B1106:M1106"/>
    <mergeCell ref="O1106:R1106"/>
    <mergeCell ref="K1107:M1107"/>
    <mergeCell ref="K1108:M1108"/>
    <mergeCell ref="U1108:V1108"/>
    <mergeCell ref="P1107:R1107"/>
    <mergeCell ref="P1108:R1108"/>
    <mergeCell ref="K1109:M1109"/>
    <mergeCell ref="P1109:R1109"/>
    <mergeCell ref="U1109:V1109"/>
    <mergeCell ref="P1110:R1110"/>
    <mergeCell ref="U1110:V1110"/>
    <mergeCell ref="K1110:M1110"/>
    <mergeCell ref="K1111:M1111"/>
    <mergeCell ref="O1111:R1111"/>
    <mergeCell ref="U1111:V1111"/>
    <mergeCell ref="K1112:M1112"/>
    <mergeCell ref="U1112:V1112"/>
    <mergeCell ref="K1113:M1113"/>
    <mergeCell ref="P1112:R1112"/>
    <mergeCell ref="P1113:R1113"/>
    <mergeCell ref="P1066:R1066"/>
    <mergeCell ref="P1067:R1067"/>
    <mergeCell ref="P1068:R1068"/>
    <mergeCell ref="P1069:R1069"/>
    <mergeCell ref="O1070:R1070"/>
    <mergeCell ref="P1072:R1072"/>
    <mergeCell ref="P1073:R1073"/>
    <mergeCell ref="P1077:R1077"/>
    <mergeCell ref="P1078:R1078"/>
    <mergeCell ref="K1073:M1073"/>
    <mergeCell ref="K1074:M1074"/>
    <mergeCell ref="K1075:M1075"/>
    <mergeCell ref="K1076:M1076"/>
    <mergeCell ref="P1076:R1076"/>
    <mergeCell ref="K1077:M1077"/>
    <mergeCell ref="K1078:M1078"/>
    <mergeCell ref="K1127:M1127"/>
    <mergeCell ref="B1114:M1114"/>
    <mergeCell ref="P1114:R1114"/>
    <mergeCell ref="K1115:M1115"/>
    <mergeCell ref="P1115:R1115"/>
    <mergeCell ref="P1116:R1116"/>
    <mergeCell ref="K1116:M1116"/>
    <mergeCell ref="K1117:M1117"/>
    <mergeCell ref="P1117:R1117"/>
    <mergeCell ref="K1118:M1118"/>
    <mergeCell ref="P1118:R1118"/>
    <mergeCell ref="A1119:AA1119"/>
    <mergeCell ref="X1120:Z1120"/>
    <mergeCell ref="O1125:R1125"/>
    <mergeCell ref="P1126:R1126"/>
    <mergeCell ref="U1126:V1126"/>
    <mergeCell ref="U1053:V1053"/>
    <mergeCell ref="U1054:V1054"/>
    <mergeCell ref="U1055:V1055"/>
    <mergeCell ref="U1056:V1056"/>
    <mergeCell ref="U1043:V1043"/>
    <mergeCell ref="U1044:V1044"/>
    <mergeCell ref="U1045:V1045"/>
    <mergeCell ref="U1046:V1046"/>
    <mergeCell ref="U1047:V1047"/>
    <mergeCell ref="U1048:V1048"/>
    <mergeCell ref="U1049:V1049"/>
    <mergeCell ref="U1072:V1072"/>
    <mergeCell ref="U1073:V1073"/>
    <mergeCell ref="U1074:V1074"/>
    <mergeCell ref="U1075:V1075"/>
    <mergeCell ref="U1076:V1076"/>
    <mergeCell ref="U1077:V1077"/>
    <mergeCell ref="U1060:V1060"/>
    <mergeCell ref="U1065:V1065"/>
    <mergeCell ref="U1066:V1066"/>
    <mergeCell ref="U1067:V1067"/>
    <mergeCell ref="U1068:V1068"/>
    <mergeCell ref="U1069:V1069"/>
    <mergeCell ref="U1070:V1070"/>
    <mergeCell ref="U1071:V1071"/>
    <mergeCell ref="C1059:D1059"/>
    <mergeCell ref="C1061:D1061"/>
    <mergeCell ref="C1062:D1062"/>
    <mergeCell ref="C1063:D1063"/>
    <mergeCell ref="C1064:D1064"/>
    <mergeCell ref="C1066:D1066"/>
    <mergeCell ref="C1067:D1067"/>
    <mergeCell ref="C1076:D1076"/>
    <mergeCell ref="C1077:D1077"/>
    <mergeCell ref="C1078:D1078"/>
    <mergeCell ref="C1079:D1079"/>
    <mergeCell ref="C1068:D1068"/>
    <mergeCell ref="C1069:D1069"/>
    <mergeCell ref="C1070:D1070"/>
    <mergeCell ref="C1072:D1072"/>
    <mergeCell ref="C1073:D1073"/>
    <mergeCell ref="C1074:D1074"/>
    <mergeCell ref="C1075:D1075"/>
    <mergeCell ref="P1040:R1040"/>
    <mergeCell ref="O1043:R1043"/>
    <mergeCell ref="P1044:R1044"/>
    <mergeCell ref="C1043:D1043"/>
    <mergeCell ref="C1044:D1044"/>
    <mergeCell ref="C1045:D1045"/>
    <mergeCell ref="C1046:D1046"/>
    <mergeCell ref="C1047:D1047"/>
    <mergeCell ref="C1048:D1048"/>
    <mergeCell ref="C1049:D1049"/>
    <mergeCell ref="C1050:D1050"/>
    <mergeCell ref="C1051:D1051"/>
    <mergeCell ref="C1052:D1052"/>
    <mergeCell ref="C1053:D1053"/>
    <mergeCell ref="C1056:D1056"/>
    <mergeCell ref="C1057:D1057"/>
    <mergeCell ref="C1058:D1058"/>
    <mergeCell ref="K1049:M1049"/>
    <mergeCell ref="P1049:R1049"/>
    <mergeCell ref="K1050:M1050"/>
    <mergeCell ref="P1050:R1050"/>
    <mergeCell ref="B1054:M1054"/>
    <mergeCell ref="O1054:R1054"/>
    <mergeCell ref="O1055:R1055"/>
    <mergeCell ref="B1055:M1055"/>
    <mergeCell ref="C817:D817"/>
    <mergeCell ref="C818:D818"/>
    <mergeCell ref="C819:D819"/>
    <mergeCell ref="P1037:R1037"/>
    <mergeCell ref="U1037:V1037"/>
    <mergeCell ref="P1041:R1041"/>
    <mergeCell ref="U1041:V1041"/>
    <mergeCell ref="P1042:R1042"/>
    <mergeCell ref="U1042:V1042"/>
    <mergeCell ref="X1034:X1038"/>
    <mergeCell ref="X1040:X1042"/>
    <mergeCell ref="Y1040:Y1042"/>
    <mergeCell ref="Z1040:Z1042"/>
    <mergeCell ref="P1031:R1031"/>
    <mergeCell ref="T1033:V1033"/>
    <mergeCell ref="X1033:Z1033"/>
    <mergeCell ref="U1034:V1034"/>
    <mergeCell ref="Y1034:Y1038"/>
    <mergeCell ref="Z1034:Z1038"/>
    <mergeCell ref="U1038:V1038"/>
    <mergeCell ref="P1024:R1024"/>
    <mergeCell ref="P1025:R1025"/>
    <mergeCell ref="P1026:R1026"/>
    <mergeCell ref="P1027:R1027"/>
    <mergeCell ref="P1028:R1028"/>
    <mergeCell ref="P1029:R1029"/>
    <mergeCell ref="P1030:R1030"/>
    <mergeCell ref="P1034:R1034"/>
    <mergeCell ref="O1033:R1033"/>
    <mergeCell ref="P1035:R1035"/>
    <mergeCell ref="O1038:R1038"/>
    <mergeCell ref="P1039:R1039"/>
    <mergeCell ref="C796:D796"/>
    <mergeCell ref="C797:D797"/>
    <mergeCell ref="C798:D798"/>
    <mergeCell ref="C799:D799"/>
    <mergeCell ref="C800:D800"/>
    <mergeCell ref="C801:D801"/>
    <mergeCell ref="C802:D802"/>
    <mergeCell ref="C803:D803"/>
    <mergeCell ref="C805:D805"/>
    <mergeCell ref="C806:D806"/>
    <mergeCell ref="C807:D807"/>
    <mergeCell ref="C808:D808"/>
    <mergeCell ref="C809:D809"/>
    <mergeCell ref="C810:D810"/>
    <mergeCell ref="C811:D811"/>
    <mergeCell ref="C813:D813"/>
    <mergeCell ref="C814:D814"/>
    <mergeCell ref="C831:D831"/>
    <mergeCell ref="C820:D820"/>
    <mergeCell ref="C821:D821"/>
    <mergeCell ref="C822:D822"/>
    <mergeCell ref="C824:D824"/>
    <mergeCell ref="C825:D825"/>
    <mergeCell ref="C826:D826"/>
    <mergeCell ref="C827:D827"/>
    <mergeCell ref="C753:D753"/>
    <mergeCell ref="C754:D754"/>
    <mergeCell ref="C755:D755"/>
    <mergeCell ref="C756:D756"/>
    <mergeCell ref="C757:D757"/>
    <mergeCell ref="C758:D758"/>
    <mergeCell ref="C759:D759"/>
    <mergeCell ref="C761:D761"/>
    <mergeCell ref="C762:D762"/>
    <mergeCell ref="C763:D763"/>
    <mergeCell ref="C764:D764"/>
    <mergeCell ref="C767:D767"/>
    <mergeCell ref="C772:D772"/>
    <mergeCell ref="C773:D773"/>
    <mergeCell ref="C774:D774"/>
    <mergeCell ref="C775:D775"/>
    <mergeCell ref="C777:D777"/>
    <mergeCell ref="C778:D778"/>
    <mergeCell ref="C779:D779"/>
    <mergeCell ref="C780:D780"/>
    <mergeCell ref="C781:D781"/>
    <mergeCell ref="C782:D782"/>
    <mergeCell ref="C784:D786"/>
    <mergeCell ref="C787:D787"/>
    <mergeCell ref="U726:V726"/>
    <mergeCell ref="U727:V727"/>
    <mergeCell ref="U728:V728"/>
    <mergeCell ref="U729:V729"/>
    <mergeCell ref="U730:V730"/>
    <mergeCell ref="U731:V731"/>
    <mergeCell ref="U732:V732"/>
    <mergeCell ref="U733:V733"/>
    <mergeCell ref="U734:V734"/>
    <mergeCell ref="X744:X746"/>
    <mergeCell ref="Y744:Y746"/>
    <mergeCell ref="Z744:Z746"/>
    <mergeCell ref="X747:X750"/>
    <mergeCell ref="Y747:Y750"/>
    <mergeCell ref="Z747:Z750"/>
    <mergeCell ref="U735:V735"/>
    <mergeCell ref="U736:V736"/>
    <mergeCell ref="U737:V737"/>
    <mergeCell ref="U738:V738"/>
    <mergeCell ref="U739:V739"/>
    <mergeCell ref="U740:V740"/>
    <mergeCell ref="U741:V741"/>
    <mergeCell ref="U709:V709"/>
    <mergeCell ref="U710:V710"/>
    <mergeCell ref="U711:V711"/>
    <mergeCell ref="U712:V712"/>
    <mergeCell ref="U713:V713"/>
    <mergeCell ref="U714:V714"/>
    <mergeCell ref="U715:V715"/>
    <mergeCell ref="U716:V716"/>
    <mergeCell ref="U717:V717"/>
    <mergeCell ref="U718:V718"/>
    <mergeCell ref="U719:V719"/>
    <mergeCell ref="U720:V720"/>
    <mergeCell ref="U721:V721"/>
    <mergeCell ref="U722:V722"/>
    <mergeCell ref="U723:V723"/>
    <mergeCell ref="U724:V724"/>
    <mergeCell ref="U725:V725"/>
    <mergeCell ref="U689:V689"/>
    <mergeCell ref="U690:V690"/>
    <mergeCell ref="U691:V691"/>
    <mergeCell ref="U692:V692"/>
    <mergeCell ref="U693:V693"/>
    <mergeCell ref="U694:V694"/>
    <mergeCell ref="U695:V695"/>
    <mergeCell ref="U702:V702"/>
    <mergeCell ref="U703:V703"/>
    <mergeCell ref="U705:V705"/>
    <mergeCell ref="U696:V696"/>
    <mergeCell ref="U697:V697"/>
    <mergeCell ref="U698:V698"/>
    <mergeCell ref="U699:V699"/>
    <mergeCell ref="U700:V700"/>
    <mergeCell ref="X700:Z700"/>
    <mergeCell ref="U701:V701"/>
    <mergeCell ref="X701:X704"/>
    <mergeCell ref="Y701:Y704"/>
    <mergeCell ref="Z701:Z704"/>
    <mergeCell ref="U704:V704"/>
    <mergeCell ref="X705:X708"/>
    <mergeCell ref="Y705:Y708"/>
    <mergeCell ref="Z705:Z708"/>
    <mergeCell ref="U708:V708"/>
    <mergeCell ref="U706:V706"/>
    <mergeCell ref="U707:V707"/>
    <mergeCell ref="U651:V651"/>
    <mergeCell ref="U652:V652"/>
    <mergeCell ref="U653:V653"/>
    <mergeCell ref="U654:V654"/>
    <mergeCell ref="U655:V655"/>
    <mergeCell ref="U656:V656"/>
    <mergeCell ref="U657:V657"/>
    <mergeCell ref="U658:V658"/>
    <mergeCell ref="U659:V659"/>
    <mergeCell ref="U660:V660"/>
    <mergeCell ref="U661:V661"/>
    <mergeCell ref="U662:V662"/>
    <mergeCell ref="U676:V676"/>
    <mergeCell ref="U677:V677"/>
    <mergeCell ref="U678:V678"/>
    <mergeCell ref="U679:V679"/>
    <mergeCell ref="U680:V680"/>
    <mergeCell ref="K596:M596"/>
    <mergeCell ref="K601:M601"/>
    <mergeCell ref="K615:M615"/>
    <mergeCell ref="K617:M620"/>
    <mergeCell ref="K621:M621"/>
    <mergeCell ref="B622:M622"/>
    <mergeCell ref="K623:M623"/>
    <mergeCell ref="K624:M624"/>
    <mergeCell ref="U641:V641"/>
    <mergeCell ref="U642:V642"/>
    <mergeCell ref="U643:V643"/>
    <mergeCell ref="U644:V644"/>
    <mergeCell ref="U645:V645"/>
    <mergeCell ref="U646:V646"/>
    <mergeCell ref="U647:V647"/>
    <mergeCell ref="U648:V648"/>
    <mergeCell ref="U649:V649"/>
    <mergeCell ref="C596:D596"/>
    <mergeCell ref="B597:M597"/>
    <mergeCell ref="B598:M598"/>
    <mergeCell ref="C599:D599"/>
    <mergeCell ref="K599:M599"/>
    <mergeCell ref="K600:M600"/>
    <mergeCell ref="K577:M577"/>
    <mergeCell ref="K578:M578"/>
    <mergeCell ref="C572:D572"/>
    <mergeCell ref="C573:D573"/>
    <mergeCell ref="C574:D574"/>
    <mergeCell ref="C575:D575"/>
    <mergeCell ref="B576:M576"/>
    <mergeCell ref="C577:D577"/>
    <mergeCell ref="C578:D578"/>
    <mergeCell ref="C579:D579"/>
    <mergeCell ref="K579:M579"/>
    <mergeCell ref="C580:D580"/>
    <mergeCell ref="K580:M580"/>
    <mergeCell ref="C581:D581"/>
    <mergeCell ref="K581:M581"/>
    <mergeCell ref="K582:M582"/>
    <mergeCell ref="K583:M583"/>
    <mergeCell ref="B584:M584"/>
    <mergeCell ref="K585:M585"/>
    <mergeCell ref="B586:M586"/>
    <mergeCell ref="K587:M587"/>
    <mergeCell ref="K588:M588"/>
    <mergeCell ref="K589:M589"/>
    <mergeCell ref="C582:D582"/>
    <mergeCell ref="C583:D583"/>
    <mergeCell ref="C585:D585"/>
    <mergeCell ref="U572:V572"/>
    <mergeCell ref="U573:V573"/>
    <mergeCell ref="U574:V574"/>
    <mergeCell ref="U575:V575"/>
    <mergeCell ref="U576:V576"/>
    <mergeCell ref="U577:V577"/>
    <mergeCell ref="U578:V578"/>
    <mergeCell ref="U579:V579"/>
    <mergeCell ref="U580:V580"/>
    <mergeCell ref="U581:V581"/>
    <mergeCell ref="U582:V582"/>
    <mergeCell ref="U583:V583"/>
    <mergeCell ref="C591:D591"/>
    <mergeCell ref="C592:D592"/>
    <mergeCell ref="C593:D593"/>
    <mergeCell ref="B594:M594"/>
    <mergeCell ref="C595:D595"/>
    <mergeCell ref="C587:D587"/>
    <mergeCell ref="C588:D588"/>
    <mergeCell ref="C589:D589"/>
    <mergeCell ref="C590:D590"/>
    <mergeCell ref="K590:M590"/>
    <mergeCell ref="K591:M591"/>
    <mergeCell ref="K592:M592"/>
    <mergeCell ref="K593:M593"/>
    <mergeCell ref="K595:M595"/>
    <mergeCell ref="U565:V565"/>
    <mergeCell ref="A566:AA566"/>
    <mergeCell ref="C567:D567"/>
    <mergeCell ref="O567:R567"/>
    <mergeCell ref="T567:V567"/>
    <mergeCell ref="K567:M567"/>
    <mergeCell ref="B568:M568"/>
    <mergeCell ref="P568:R568"/>
    <mergeCell ref="U568:V568"/>
    <mergeCell ref="K569:M569"/>
    <mergeCell ref="P569:R569"/>
    <mergeCell ref="U569:V569"/>
    <mergeCell ref="C569:D569"/>
    <mergeCell ref="C570:D570"/>
    <mergeCell ref="K570:M570"/>
    <mergeCell ref="O570:R570"/>
    <mergeCell ref="C571:D571"/>
    <mergeCell ref="P571:R571"/>
    <mergeCell ref="K571:M571"/>
    <mergeCell ref="U570:V570"/>
    <mergeCell ref="U571:V571"/>
    <mergeCell ref="P624:R624"/>
    <mergeCell ref="P610:R610"/>
    <mergeCell ref="P611:R611"/>
    <mergeCell ref="P612:R612"/>
    <mergeCell ref="P613:R613"/>
    <mergeCell ref="P614:R614"/>
    <mergeCell ref="P615:R615"/>
    <mergeCell ref="P616:R616"/>
    <mergeCell ref="P557:R557"/>
    <mergeCell ref="P558:R558"/>
    <mergeCell ref="P559:R559"/>
    <mergeCell ref="P560:R560"/>
    <mergeCell ref="P561:R561"/>
    <mergeCell ref="P562:R562"/>
    <mergeCell ref="P563:R563"/>
    <mergeCell ref="P564:R564"/>
    <mergeCell ref="P565:R565"/>
    <mergeCell ref="P572:R572"/>
    <mergeCell ref="P573:R573"/>
    <mergeCell ref="P574:R574"/>
    <mergeCell ref="P599:R599"/>
    <mergeCell ref="O600:R600"/>
    <mergeCell ref="P601:R601"/>
    <mergeCell ref="P602:R602"/>
    <mergeCell ref="P603:R603"/>
    <mergeCell ref="P604:R604"/>
    <mergeCell ref="P605:R605"/>
    <mergeCell ref="P606:R606"/>
    <mergeCell ref="P607:R607"/>
    <mergeCell ref="P608:R608"/>
    <mergeCell ref="O609:R609"/>
    <mergeCell ref="P617:R617"/>
    <mergeCell ref="P618:R618"/>
    <mergeCell ref="P619:R619"/>
    <mergeCell ref="P620:R620"/>
    <mergeCell ref="P621:R621"/>
    <mergeCell ref="P622:R622"/>
    <mergeCell ref="P582:R582"/>
    <mergeCell ref="P583:R583"/>
    <mergeCell ref="P584:R584"/>
    <mergeCell ref="O585:R585"/>
    <mergeCell ref="P586:R586"/>
    <mergeCell ref="P587:R587"/>
    <mergeCell ref="P588:R588"/>
    <mergeCell ref="P589:R589"/>
    <mergeCell ref="P590:R590"/>
    <mergeCell ref="P591:R591"/>
    <mergeCell ref="P592:R592"/>
    <mergeCell ref="P593:R593"/>
    <mergeCell ref="P594:R594"/>
    <mergeCell ref="P595:R595"/>
    <mergeCell ref="P596:R596"/>
    <mergeCell ref="O597:R597"/>
    <mergeCell ref="O598:R598"/>
    <mergeCell ref="K565:M565"/>
    <mergeCell ref="C564:D564"/>
    <mergeCell ref="C565:D565"/>
    <mergeCell ref="C554:D554"/>
    <mergeCell ref="C555:D555"/>
    <mergeCell ref="C556:D556"/>
    <mergeCell ref="C557:D557"/>
    <mergeCell ref="C558:D558"/>
    <mergeCell ref="C559:D559"/>
    <mergeCell ref="B561:B563"/>
    <mergeCell ref="P575:R575"/>
    <mergeCell ref="O576:R576"/>
    <mergeCell ref="P577:R577"/>
    <mergeCell ref="P578:R578"/>
    <mergeCell ref="P579:R579"/>
    <mergeCell ref="P580:R580"/>
    <mergeCell ref="P581:R581"/>
    <mergeCell ref="K572:M572"/>
    <mergeCell ref="K573:M573"/>
    <mergeCell ref="K574:M574"/>
    <mergeCell ref="K575:M575"/>
    <mergeCell ref="P731:R731"/>
    <mergeCell ref="P732:R732"/>
    <mergeCell ref="C512:D512"/>
    <mergeCell ref="C513:D513"/>
    <mergeCell ref="C514:D514"/>
    <mergeCell ref="C515:D515"/>
    <mergeCell ref="C516:D516"/>
    <mergeCell ref="C517:D517"/>
    <mergeCell ref="C518:D518"/>
    <mergeCell ref="C519:D519"/>
    <mergeCell ref="C520:D520"/>
    <mergeCell ref="C523:D523"/>
    <mergeCell ref="C524:D524"/>
    <mergeCell ref="C525:D525"/>
    <mergeCell ref="C526:D526"/>
    <mergeCell ref="C553:D553"/>
    <mergeCell ref="K556:M556"/>
    <mergeCell ref="K557:M557"/>
    <mergeCell ref="K558:M558"/>
    <mergeCell ref="K559:M559"/>
    <mergeCell ref="B560:M560"/>
    <mergeCell ref="K553:M553"/>
    <mergeCell ref="P553:R553"/>
    <mergeCell ref="K554:M554"/>
    <mergeCell ref="P554:R554"/>
    <mergeCell ref="K555:M555"/>
    <mergeCell ref="P555:R555"/>
    <mergeCell ref="P556:R556"/>
    <mergeCell ref="C561:D563"/>
    <mergeCell ref="E561:E563"/>
    <mergeCell ref="K561:M563"/>
    <mergeCell ref="K564:M564"/>
    <mergeCell ref="K735:M735"/>
    <mergeCell ref="B736:M736"/>
    <mergeCell ref="K737:M737"/>
    <mergeCell ref="K738:M738"/>
    <mergeCell ref="B739:M739"/>
    <mergeCell ref="K681:M681"/>
    <mergeCell ref="K683:M683"/>
    <mergeCell ref="P683:R683"/>
    <mergeCell ref="K684:M684"/>
    <mergeCell ref="P684:R684"/>
    <mergeCell ref="K685:M685"/>
    <mergeCell ref="K686:M686"/>
    <mergeCell ref="P703:R703"/>
    <mergeCell ref="P704:R704"/>
    <mergeCell ref="P685:R685"/>
    <mergeCell ref="P686:R686"/>
    <mergeCell ref="C702:D702"/>
    <mergeCell ref="K702:M702"/>
    <mergeCell ref="O702:R702"/>
    <mergeCell ref="K703:M703"/>
    <mergeCell ref="K704:M704"/>
    <mergeCell ref="B711:M711"/>
    <mergeCell ref="P711:R711"/>
    <mergeCell ref="K705:M705"/>
    <mergeCell ref="P705:R705"/>
    <mergeCell ref="K706:M706"/>
    <mergeCell ref="P706:R706"/>
    <mergeCell ref="P707:R707"/>
    <mergeCell ref="B708:M708"/>
    <mergeCell ref="P708:R708"/>
    <mergeCell ref="C703:D703"/>
    <mergeCell ref="C704:D704"/>
    <mergeCell ref="P728:R728"/>
    <mergeCell ref="P738:R738"/>
    <mergeCell ref="P739:R739"/>
    <mergeCell ref="P740:R740"/>
    <mergeCell ref="P741:R741"/>
    <mergeCell ref="P729:R729"/>
    <mergeCell ref="P730:R730"/>
    <mergeCell ref="P733:R733"/>
    <mergeCell ref="P734:R734"/>
    <mergeCell ref="P735:R735"/>
    <mergeCell ref="P736:R736"/>
    <mergeCell ref="P737:R737"/>
    <mergeCell ref="B728:M728"/>
    <mergeCell ref="C729:D729"/>
    <mergeCell ref="K729:M729"/>
    <mergeCell ref="C730:D730"/>
    <mergeCell ref="K730:M730"/>
    <mergeCell ref="K731:M731"/>
    <mergeCell ref="K732:M732"/>
    <mergeCell ref="C740:D740"/>
    <mergeCell ref="C741:D741"/>
    <mergeCell ref="C731:D731"/>
    <mergeCell ref="C732:D732"/>
    <mergeCell ref="C733:D733"/>
    <mergeCell ref="C734:D734"/>
    <mergeCell ref="C735:D735"/>
    <mergeCell ref="C737:D737"/>
    <mergeCell ref="C738:D738"/>
    <mergeCell ref="K740:M740"/>
    <mergeCell ref="K741:M741"/>
    <mergeCell ref="K733:M733"/>
    <mergeCell ref="K734:M734"/>
    <mergeCell ref="K723:M723"/>
    <mergeCell ref="K724:M724"/>
    <mergeCell ref="C725:D725"/>
    <mergeCell ref="K725:M725"/>
    <mergeCell ref="C726:D726"/>
    <mergeCell ref="K726:M726"/>
    <mergeCell ref="C727:D727"/>
    <mergeCell ref="K727:M727"/>
    <mergeCell ref="C718:D718"/>
    <mergeCell ref="C719:D719"/>
    <mergeCell ref="C721:D721"/>
    <mergeCell ref="C722:D722"/>
    <mergeCell ref="K722:M722"/>
    <mergeCell ref="C723:D723"/>
    <mergeCell ref="C724:D724"/>
    <mergeCell ref="P722:R722"/>
    <mergeCell ref="P723:R723"/>
    <mergeCell ref="P724:R724"/>
    <mergeCell ref="P725:R725"/>
    <mergeCell ref="P726:R726"/>
    <mergeCell ref="P727:R727"/>
    <mergeCell ref="O715:R715"/>
    <mergeCell ref="O716:R716"/>
    <mergeCell ref="C712:D712"/>
    <mergeCell ref="C713:D713"/>
    <mergeCell ref="C714:D714"/>
    <mergeCell ref="K714:M714"/>
    <mergeCell ref="P714:R714"/>
    <mergeCell ref="B715:M715"/>
    <mergeCell ref="B716:M716"/>
    <mergeCell ref="K719:M719"/>
    <mergeCell ref="K721:M721"/>
    <mergeCell ref="P721:R721"/>
    <mergeCell ref="B717:M717"/>
    <mergeCell ref="P717:R717"/>
    <mergeCell ref="K718:M718"/>
    <mergeCell ref="P718:R718"/>
    <mergeCell ref="O719:R719"/>
    <mergeCell ref="B720:M720"/>
    <mergeCell ref="P720:R720"/>
    <mergeCell ref="C697:D697"/>
    <mergeCell ref="C698:D698"/>
    <mergeCell ref="C699:D699"/>
    <mergeCell ref="B700:M700"/>
    <mergeCell ref="B701:M701"/>
    <mergeCell ref="P701:R701"/>
    <mergeCell ref="C685:D685"/>
    <mergeCell ref="C686:D686"/>
    <mergeCell ref="C687:D687"/>
    <mergeCell ref="C688:D688"/>
    <mergeCell ref="C689:D689"/>
    <mergeCell ref="C690:D690"/>
    <mergeCell ref="C692:D692"/>
    <mergeCell ref="P712:R712"/>
    <mergeCell ref="P713:R713"/>
    <mergeCell ref="K707:M707"/>
    <mergeCell ref="K709:M709"/>
    <mergeCell ref="P709:R709"/>
    <mergeCell ref="K710:M710"/>
    <mergeCell ref="P710:R710"/>
    <mergeCell ref="K712:M712"/>
    <mergeCell ref="K713:M713"/>
    <mergeCell ref="C705:D705"/>
    <mergeCell ref="C706:D706"/>
    <mergeCell ref="C707:D707"/>
    <mergeCell ref="C709:D709"/>
    <mergeCell ref="C710:D710"/>
    <mergeCell ref="P699:R699"/>
    <mergeCell ref="O700:R700"/>
    <mergeCell ref="K695:M695"/>
    <mergeCell ref="K696:M696"/>
    <mergeCell ref="K697:M697"/>
    <mergeCell ref="P697:R697"/>
    <mergeCell ref="K698:M698"/>
    <mergeCell ref="P698:R698"/>
    <mergeCell ref="K699:M699"/>
    <mergeCell ref="P667:R667"/>
    <mergeCell ref="P668:R668"/>
    <mergeCell ref="P669:R669"/>
    <mergeCell ref="P670:R670"/>
    <mergeCell ref="O671:R671"/>
    <mergeCell ref="P672:R672"/>
    <mergeCell ref="P673:R673"/>
    <mergeCell ref="P677:R677"/>
    <mergeCell ref="P678:R678"/>
    <mergeCell ref="P674:R674"/>
    <mergeCell ref="P675:R675"/>
    <mergeCell ref="K676:M676"/>
    <mergeCell ref="O676:R676"/>
    <mergeCell ref="K677:M677"/>
    <mergeCell ref="K678:M678"/>
    <mergeCell ref="K679:M679"/>
    <mergeCell ref="P679:R679"/>
    <mergeCell ref="K680:M680"/>
    <mergeCell ref="P680:R680"/>
    <mergeCell ref="P681:R681"/>
    <mergeCell ref="B682:M682"/>
    <mergeCell ref="O682:R682"/>
    <mergeCell ref="C677:D677"/>
    <mergeCell ref="K692:M692"/>
    <mergeCell ref="K687:M687"/>
    <mergeCell ref="P687:R687"/>
    <mergeCell ref="K688:M688"/>
    <mergeCell ref="P688:R688"/>
    <mergeCell ref="P689:R689"/>
    <mergeCell ref="P690:R690"/>
    <mergeCell ref="P691:R691"/>
    <mergeCell ref="P692:R692"/>
    <mergeCell ref="C693:D693"/>
    <mergeCell ref="C695:D695"/>
    <mergeCell ref="C696:D696"/>
    <mergeCell ref="K690:M690"/>
    <mergeCell ref="B691:M691"/>
    <mergeCell ref="K693:M693"/>
    <mergeCell ref="P693:R693"/>
    <mergeCell ref="B694:M694"/>
    <mergeCell ref="P694:R694"/>
    <mergeCell ref="P695:R695"/>
    <mergeCell ref="O696:R696"/>
    <mergeCell ref="A665:AA665"/>
    <mergeCell ref="C666:D666"/>
    <mergeCell ref="K666:M666"/>
    <mergeCell ref="O666:R666"/>
    <mergeCell ref="B667:M667"/>
    <mergeCell ref="U668:V668"/>
    <mergeCell ref="U673:V673"/>
    <mergeCell ref="U674:V674"/>
    <mergeCell ref="U675:V675"/>
    <mergeCell ref="T666:V666"/>
    <mergeCell ref="U667:V667"/>
    <mergeCell ref="U669:V669"/>
    <mergeCell ref="U670:V670"/>
    <mergeCell ref="U671:V671"/>
    <mergeCell ref="W671:Z671"/>
    <mergeCell ref="U672:V672"/>
    <mergeCell ref="K689:M689"/>
    <mergeCell ref="C676:D676"/>
    <mergeCell ref="C678:D678"/>
    <mergeCell ref="C679:D679"/>
    <mergeCell ref="C680:D680"/>
    <mergeCell ref="C681:D681"/>
    <mergeCell ref="C683:D683"/>
    <mergeCell ref="C684:D684"/>
    <mergeCell ref="U681:V681"/>
    <mergeCell ref="U682:V682"/>
    <mergeCell ref="U683:V683"/>
    <mergeCell ref="U684:V684"/>
    <mergeCell ref="U685:V685"/>
    <mergeCell ref="U686:V686"/>
    <mergeCell ref="U687:V687"/>
    <mergeCell ref="U688:V688"/>
    <mergeCell ref="C659:D659"/>
    <mergeCell ref="K659:M659"/>
    <mergeCell ref="P659:R659"/>
    <mergeCell ref="C660:D660"/>
    <mergeCell ref="K660:M660"/>
    <mergeCell ref="P660:R660"/>
    <mergeCell ref="C672:D672"/>
    <mergeCell ref="C673:D673"/>
    <mergeCell ref="C674:D674"/>
    <mergeCell ref="C675:D675"/>
    <mergeCell ref="K673:M673"/>
    <mergeCell ref="K674:M674"/>
    <mergeCell ref="K675:M675"/>
    <mergeCell ref="B668:M668"/>
    <mergeCell ref="B669:M669"/>
    <mergeCell ref="C670:D670"/>
    <mergeCell ref="K670:M670"/>
    <mergeCell ref="C671:D671"/>
    <mergeCell ref="K671:M671"/>
    <mergeCell ref="K672:M672"/>
    <mergeCell ref="P661:R661"/>
    <mergeCell ref="P662:R662"/>
    <mergeCell ref="K664:M664"/>
    <mergeCell ref="P664:R664"/>
    <mergeCell ref="B661:M661"/>
    <mergeCell ref="C662:D662"/>
    <mergeCell ref="K662:M662"/>
    <mergeCell ref="C663:D663"/>
    <mergeCell ref="K663:M663"/>
    <mergeCell ref="N663:Y663"/>
    <mergeCell ref="C664:D664"/>
    <mergeCell ref="U664:V664"/>
    <mergeCell ref="O634:R634"/>
    <mergeCell ref="K635:M635"/>
    <mergeCell ref="P635:R635"/>
    <mergeCell ref="K636:M636"/>
    <mergeCell ref="K637:M637"/>
    <mergeCell ref="K639:M639"/>
    <mergeCell ref="P639:R639"/>
    <mergeCell ref="K641:M641"/>
    <mergeCell ref="P641:R641"/>
    <mergeCell ref="K642:M642"/>
    <mergeCell ref="P642:R642"/>
    <mergeCell ref="P643:R643"/>
    <mergeCell ref="K649:M649"/>
    <mergeCell ref="K650:M650"/>
    <mergeCell ref="K643:M643"/>
    <mergeCell ref="K644:M644"/>
    <mergeCell ref="K645:M645"/>
    <mergeCell ref="K646:M646"/>
    <mergeCell ref="K647:M647"/>
    <mergeCell ref="K648:M648"/>
    <mergeCell ref="P644:R644"/>
    <mergeCell ref="P645:R645"/>
    <mergeCell ref="P646:R646"/>
    <mergeCell ref="P647:R647"/>
    <mergeCell ref="P648:R648"/>
    <mergeCell ref="P649:R649"/>
    <mergeCell ref="P650:R650"/>
    <mergeCell ref="O638:R638"/>
    <mergeCell ref="U638:V638"/>
    <mergeCell ref="U639:V639"/>
    <mergeCell ref="B640:M640"/>
    <mergeCell ref="P640:R640"/>
    <mergeCell ref="U640:V640"/>
    <mergeCell ref="K657:M657"/>
    <mergeCell ref="K658:M658"/>
    <mergeCell ref="C655:D655"/>
    <mergeCell ref="C656:D656"/>
    <mergeCell ref="K656:M656"/>
    <mergeCell ref="P656:R656"/>
    <mergeCell ref="C657:D657"/>
    <mergeCell ref="P657:R657"/>
    <mergeCell ref="P658:R658"/>
    <mergeCell ref="P636:R636"/>
    <mergeCell ref="P637:R637"/>
    <mergeCell ref="C650:D650"/>
    <mergeCell ref="C658:D658"/>
    <mergeCell ref="O651:R651"/>
    <mergeCell ref="O652:R652"/>
    <mergeCell ref="P653:R653"/>
    <mergeCell ref="P654:R654"/>
    <mergeCell ref="P655:R655"/>
    <mergeCell ref="B651:M651"/>
    <mergeCell ref="B652:M652"/>
    <mergeCell ref="C653:D653"/>
    <mergeCell ref="K653:M653"/>
    <mergeCell ref="C654:D654"/>
    <mergeCell ref="K654:M654"/>
    <mergeCell ref="K655:M655"/>
    <mergeCell ref="U650:V650"/>
    <mergeCell ref="T627:V627"/>
    <mergeCell ref="U628:V628"/>
    <mergeCell ref="U633:V633"/>
    <mergeCell ref="P628:R628"/>
    <mergeCell ref="P629:R629"/>
    <mergeCell ref="E625:AA625"/>
    <mergeCell ref="A626:AA626"/>
    <mergeCell ref="K627:M627"/>
    <mergeCell ref="O627:R627"/>
    <mergeCell ref="X627:Z627"/>
    <mergeCell ref="B628:M628"/>
    <mergeCell ref="B629:M629"/>
    <mergeCell ref="B630:M630"/>
    <mergeCell ref="O630:R630"/>
    <mergeCell ref="K631:M631"/>
    <mergeCell ref="P631:R631"/>
    <mergeCell ref="K632:M632"/>
    <mergeCell ref="P632:R632"/>
    <mergeCell ref="P633:R633"/>
    <mergeCell ref="K633:M633"/>
    <mergeCell ref="C648:D648"/>
    <mergeCell ref="C649:D649"/>
    <mergeCell ref="C637:D637"/>
    <mergeCell ref="C638:D638"/>
    <mergeCell ref="C639:D639"/>
    <mergeCell ref="C641:D641"/>
    <mergeCell ref="C642:D642"/>
    <mergeCell ref="C643:D643"/>
    <mergeCell ref="C644:D644"/>
    <mergeCell ref="K602:M602"/>
    <mergeCell ref="K603:M603"/>
    <mergeCell ref="K604:M604"/>
    <mergeCell ref="B605:M605"/>
    <mergeCell ref="K606:M606"/>
    <mergeCell ref="K607:M607"/>
    <mergeCell ref="K608:M608"/>
    <mergeCell ref="K609:M609"/>
    <mergeCell ref="K610:M610"/>
    <mergeCell ref="K611:M611"/>
    <mergeCell ref="B612:M612"/>
    <mergeCell ref="K613:M613"/>
    <mergeCell ref="K614:M614"/>
    <mergeCell ref="B616:M616"/>
    <mergeCell ref="K638:M638"/>
    <mergeCell ref="K634:M634"/>
    <mergeCell ref="B617:B620"/>
    <mergeCell ref="C617:D620"/>
    <mergeCell ref="E617:E620"/>
    <mergeCell ref="C621:D621"/>
    <mergeCell ref="C623:D623"/>
    <mergeCell ref="C624:D624"/>
    <mergeCell ref="A625:D625"/>
    <mergeCell ref="C627:D627"/>
    <mergeCell ref="C631:D631"/>
    <mergeCell ref="C632:D632"/>
    <mergeCell ref="C633:D633"/>
    <mergeCell ref="C634:D634"/>
    <mergeCell ref="C635:D635"/>
    <mergeCell ref="C636:D636"/>
    <mergeCell ref="C645:D645"/>
    <mergeCell ref="C646:D646"/>
    <mergeCell ref="C647:D647"/>
    <mergeCell ref="U613:V613"/>
    <mergeCell ref="U614:V614"/>
    <mergeCell ref="U615:V615"/>
    <mergeCell ref="U616:V616"/>
    <mergeCell ref="U617:V617"/>
    <mergeCell ref="U618:V618"/>
    <mergeCell ref="U619:V619"/>
    <mergeCell ref="U620:V620"/>
    <mergeCell ref="U621:V621"/>
    <mergeCell ref="U622:V622"/>
    <mergeCell ref="U623:V623"/>
    <mergeCell ref="C600:D600"/>
    <mergeCell ref="C601:D601"/>
    <mergeCell ref="C602:D602"/>
    <mergeCell ref="C603:D603"/>
    <mergeCell ref="C604:D604"/>
    <mergeCell ref="C606:D606"/>
    <mergeCell ref="C607:D607"/>
    <mergeCell ref="C608:D608"/>
    <mergeCell ref="C609:D609"/>
    <mergeCell ref="C610:D610"/>
    <mergeCell ref="C611:D611"/>
    <mergeCell ref="C613:D613"/>
    <mergeCell ref="C614:D614"/>
    <mergeCell ref="C615:D615"/>
    <mergeCell ref="P623:R623"/>
    <mergeCell ref="U597:V597"/>
    <mergeCell ref="U598:V598"/>
    <mergeCell ref="U599:V599"/>
    <mergeCell ref="X599:X604"/>
    <mergeCell ref="Y599:Y604"/>
    <mergeCell ref="Z599:Z604"/>
    <mergeCell ref="U600:V600"/>
    <mergeCell ref="U603:V603"/>
    <mergeCell ref="U604:V604"/>
    <mergeCell ref="U605:V605"/>
    <mergeCell ref="U606:V606"/>
    <mergeCell ref="U607:V607"/>
    <mergeCell ref="U608:V608"/>
    <mergeCell ref="U609:V609"/>
    <mergeCell ref="U610:V610"/>
    <mergeCell ref="U611:V611"/>
    <mergeCell ref="U612:V612"/>
    <mergeCell ref="X628:X632"/>
    <mergeCell ref="X633:X637"/>
    <mergeCell ref="Y633:Y637"/>
    <mergeCell ref="Z633:Z637"/>
    <mergeCell ref="U634:V634"/>
    <mergeCell ref="U635:V635"/>
    <mergeCell ref="U636:V636"/>
    <mergeCell ref="U637:V637"/>
    <mergeCell ref="U624:V624"/>
    <mergeCell ref="Y628:Y632"/>
    <mergeCell ref="Z628:Z632"/>
    <mergeCell ref="U629:V629"/>
    <mergeCell ref="U630:V630"/>
    <mergeCell ref="U631:V631"/>
    <mergeCell ref="U632:V632"/>
    <mergeCell ref="U584:V584"/>
    <mergeCell ref="U585:V585"/>
    <mergeCell ref="U586:V586"/>
    <mergeCell ref="U587:V587"/>
    <mergeCell ref="U588:V588"/>
    <mergeCell ref="U589:V589"/>
    <mergeCell ref="U590:V590"/>
    <mergeCell ref="U591:V591"/>
    <mergeCell ref="U592:V592"/>
    <mergeCell ref="U593:V593"/>
    <mergeCell ref="U594:V594"/>
    <mergeCell ref="U595:V595"/>
    <mergeCell ref="U596:V596"/>
    <mergeCell ref="X597:Z597"/>
    <mergeCell ref="X598:Z598"/>
    <mergeCell ref="U601:V601"/>
    <mergeCell ref="U602:V602"/>
    <mergeCell ref="U509:V509"/>
    <mergeCell ref="U510:V510"/>
    <mergeCell ref="P498:R498"/>
    <mergeCell ref="P499:R499"/>
    <mergeCell ref="P500:R500"/>
    <mergeCell ref="U500:V500"/>
    <mergeCell ref="O501:R501"/>
    <mergeCell ref="U501:V501"/>
    <mergeCell ref="U502:V502"/>
    <mergeCell ref="K506:M506"/>
    <mergeCell ref="K507:M507"/>
    <mergeCell ref="K508:M508"/>
    <mergeCell ref="K509:M509"/>
    <mergeCell ref="K510:M510"/>
    <mergeCell ref="B499:M499"/>
    <mergeCell ref="B500:M500"/>
    <mergeCell ref="K501:M501"/>
    <mergeCell ref="K502:M502"/>
    <mergeCell ref="K503:M503"/>
    <mergeCell ref="K504:M504"/>
    <mergeCell ref="K505:M505"/>
    <mergeCell ref="P502:R502"/>
    <mergeCell ref="P503:R503"/>
    <mergeCell ref="P504:R504"/>
    <mergeCell ref="O505:R505"/>
    <mergeCell ref="P506:R506"/>
    <mergeCell ref="P507:R507"/>
    <mergeCell ref="P508:R508"/>
    <mergeCell ref="P494:R494"/>
    <mergeCell ref="P495:R495"/>
    <mergeCell ref="A496:AA496"/>
    <mergeCell ref="K491:M491"/>
    <mergeCell ref="K493:M493"/>
    <mergeCell ref="P493:R493"/>
    <mergeCell ref="U493:V493"/>
    <mergeCell ref="K494:M494"/>
    <mergeCell ref="U494:V494"/>
    <mergeCell ref="U495:V495"/>
    <mergeCell ref="K495:M495"/>
    <mergeCell ref="K497:M497"/>
    <mergeCell ref="O497:R497"/>
    <mergeCell ref="T497:V497"/>
    <mergeCell ref="B498:M498"/>
    <mergeCell ref="U498:V498"/>
    <mergeCell ref="U499:V499"/>
    <mergeCell ref="U503:V503"/>
    <mergeCell ref="U504:V504"/>
    <mergeCell ref="U505:V505"/>
    <mergeCell ref="U506:V506"/>
    <mergeCell ref="U507:V507"/>
    <mergeCell ref="U508:V508"/>
    <mergeCell ref="U464:V464"/>
    <mergeCell ref="K465:M465"/>
    <mergeCell ref="P465:R465"/>
    <mergeCell ref="U465:V465"/>
    <mergeCell ref="P466:R466"/>
    <mergeCell ref="U466:V466"/>
    <mergeCell ref="C451:D451"/>
    <mergeCell ref="C452:D452"/>
    <mergeCell ref="C453:D453"/>
    <mergeCell ref="C454:D454"/>
    <mergeCell ref="C455:D455"/>
    <mergeCell ref="C456:D456"/>
    <mergeCell ref="C457:D457"/>
    <mergeCell ref="C459:D459"/>
    <mergeCell ref="C460:D460"/>
    <mergeCell ref="C461:D461"/>
    <mergeCell ref="C462:D462"/>
    <mergeCell ref="C463:D463"/>
    <mergeCell ref="C464:D464"/>
    <mergeCell ref="C465:D465"/>
    <mergeCell ref="K435:M435"/>
    <mergeCell ref="P435:R435"/>
    <mergeCell ref="P436:R436"/>
    <mergeCell ref="P437:R437"/>
    <mergeCell ref="U457:V457"/>
    <mergeCell ref="U458:V458"/>
    <mergeCell ref="U450:V450"/>
    <mergeCell ref="U451:V451"/>
    <mergeCell ref="U452:V452"/>
    <mergeCell ref="U453:V453"/>
    <mergeCell ref="U454:V454"/>
    <mergeCell ref="U455:V455"/>
    <mergeCell ref="U456:V456"/>
    <mergeCell ref="P459:R459"/>
    <mergeCell ref="O460:R460"/>
    <mergeCell ref="P449:R449"/>
    <mergeCell ref="P450:R450"/>
    <mergeCell ref="P451:R451"/>
    <mergeCell ref="P452:R452"/>
    <mergeCell ref="P453:R453"/>
    <mergeCell ref="O454:R454"/>
    <mergeCell ref="P455:R455"/>
    <mergeCell ref="K452:M452"/>
    <mergeCell ref="K453:M453"/>
    <mergeCell ref="K454:M454"/>
    <mergeCell ref="K455:M455"/>
    <mergeCell ref="K456:M456"/>
    <mergeCell ref="K457:M457"/>
    <mergeCell ref="K459:M459"/>
    <mergeCell ref="K460:M460"/>
    <mergeCell ref="U377:V377"/>
    <mergeCell ref="P379:R379"/>
    <mergeCell ref="P383:R383"/>
    <mergeCell ref="P377:R377"/>
    <mergeCell ref="P378:R378"/>
    <mergeCell ref="X380:Z380"/>
    <mergeCell ref="X381:Z381"/>
    <mergeCell ref="X382:X384"/>
    <mergeCell ref="Y382:Y384"/>
    <mergeCell ref="Z382:Z384"/>
    <mergeCell ref="X385:Z385"/>
    <mergeCell ref="P388:R388"/>
    <mergeCell ref="U388:V388"/>
    <mergeCell ref="U383:V383"/>
    <mergeCell ref="P384:R384"/>
    <mergeCell ref="U384:V384"/>
    <mergeCell ref="U385:V385"/>
    <mergeCell ref="X386:X388"/>
    <mergeCell ref="Y386:Y388"/>
    <mergeCell ref="Z386:Z388"/>
    <mergeCell ref="U386:V386"/>
    <mergeCell ref="U387:V387"/>
    <mergeCell ref="C397:D397"/>
    <mergeCell ref="C398:D398"/>
    <mergeCell ref="C399:D399"/>
    <mergeCell ref="C389:D389"/>
    <mergeCell ref="C390:D390"/>
    <mergeCell ref="C391:D391"/>
    <mergeCell ref="C392:D392"/>
    <mergeCell ref="C393:D393"/>
    <mergeCell ref="C394:D394"/>
    <mergeCell ref="C395:D395"/>
    <mergeCell ref="P405:R405"/>
    <mergeCell ref="P406:R406"/>
    <mergeCell ref="Y402:Y406"/>
    <mergeCell ref="Z402:Z406"/>
    <mergeCell ref="P403:R403"/>
    <mergeCell ref="U403:V403"/>
    <mergeCell ref="P404:R404"/>
    <mergeCell ref="U404:V404"/>
    <mergeCell ref="U405:V405"/>
    <mergeCell ref="U389:V389"/>
    <mergeCell ref="U390:V390"/>
    <mergeCell ref="U391:V391"/>
    <mergeCell ref="U392:V392"/>
    <mergeCell ref="U393:V393"/>
    <mergeCell ref="U394:V394"/>
    <mergeCell ref="U395:V395"/>
    <mergeCell ref="U396:V396"/>
    <mergeCell ref="U397:V397"/>
    <mergeCell ref="U398:V398"/>
    <mergeCell ref="U399:V399"/>
    <mergeCell ref="X402:X406"/>
    <mergeCell ref="C379:D379"/>
    <mergeCell ref="K379:M379"/>
    <mergeCell ref="B380:M380"/>
    <mergeCell ref="O380:R380"/>
    <mergeCell ref="B381:M381"/>
    <mergeCell ref="C382:D382"/>
    <mergeCell ref="C383:D383"/>
    <mergeCell ref="C384:D384"/>
    <mergeCell ref="K384:M384"/>
    <mergeCell ref="C385:D385"/>
    <mergeCell ref="K385:M385"/>
    <mergeCell ref="P385:R385"/>
    <mergeCell ref="C386:D386"/>
    <mergeCell ref="P386:R386"/>
    <mergeCell ref="P389:R389"/>
    <mergeCell ref="P390:R390"/>
    <mergeCell ref="K386:M386"/>
    <mergeCell ref="B387:M387"/>
    <mergeCell ref="O387:R387"/>
    <mergeCell ref="C388:D388"/>
    <mergeCell ref="K388:M388"/>
    <mergeCell ref="K389:M389"/>
    <mergeCell ref="K390:M390"/>
    <mergeCell ref="U378:V378"/>
    <mergeCell ref="U379:V379"/>
    <mergeCell ref="U380:V380"/>
    <mergeCell ref="U381:V381"/>
    <mergeCell ref="U382:V382"/>
    <mergeCell ref="K382:M382"/>
    <mergeCell ref="K383:M383"/>
    <mergeCell ref="P395:R395"/>
    <mergeCell ref="P396:R396"/>
    <mergeCell ref="K391:M391"/>
    <mergeCell ref="P391:R391"/>
    <mergeCell ref="K392:M392"/>
    <mergeCell ref="P392:R392"/>
    <mergeCell ref="K393:M393"/>
    <mergeCell ref="P393:R393"/>
    <mergeCell ref="P394:R394"/>
    <mergeCell ref="O381:R381"/>
    <mergeCell ref="P382:R382"/>
    <mergeCell ref="K375:M375"/>
    <mergeCell ref="O368:R368"/>
    <mergeCell ref="B369:M369"/>
    <mergeCell ref="P369:R369"/>
    <mergeCell ref="C370:D370"/>
    <mergeCell ref="K370:M370"/>
    <mergeCell ref="C371:D371"/>
    <mergeCell ref="P372:R372"/>
    <mergeCell ref="K377:M377"/>
    <mergeCell ref="K378:M378"/>
    <mergeCell ref="C372:D372"/>
    <mergeCell ref="C373:D373"/>
    <mergeCell ref="C374:D374"/>
    <mergeCell ref="C375:D375"/>
    <mergeCell ref="B376:M376"/>
    <mergeCell ref="C377:D377"/>
    <mergeCell ref="C378:D378"/>
    <mergeCell ref="P370:R370"/>
    <mergeCell ref="P371:R371"/>
    <mergeCell ref="P373:R373"/>
    <mergeCell ref="P374:R374"/>
    <mergeCell ref="P375:R375"/>
    <mergeCell ref="P376:R376"/>
    <mergeCell ref="U362:V362"/>
    <mergeCell ref="U363:V363"/>
    <mergeCell ref="U364:V364"/>
    <mergeCell ref="U365:V365"/>
    <mergeCell ref="U366:V366"/>
    <mergeCell ref="U367:V367"/>
    <mergeCell ref="B363:M363"/>
    <mergeCell ref="O363:R363"/>
    <mergeCell ref="B364:M364"/>
    <mergeCell ref="O364:R364"/>
    <mergeCell ref="P365:R365"/>
    <mergeCell ref="P366:R366"/>
    <mergeCell ref="P367:R367"/>
    <mergeCell ref="K371:M371"/>
    <mergeCell ref="K372:M372"/>
    <mergeCell ref="K373:M373"/>
    <mergeCell ref="K374:M374"/>
    <mergeCell ref="U357:V357"/>
    <mergeCell ref="U358:V358"/>
    <mergeCell ref="K357:M357"/>
    <mergeCell ref="K359:M359"/>
    <mergeCell ref="K362:M362"/>
    <mergeCell ref="K365:M365"/>
    <mergeCell ref="K366:M366"/>
    <mergeCell ref="K367:M367"/>
    <mergeCell ref="K368:M368"/>
    <mergeCell ref="P359:R359"/>
    <mergeCell ref="U359:V359"/>
    <mergeCell ref="K356:M356"/>
    <mergeCell ref="P356:R356"/>
    <mergeCell ref="U356:V356"/>
    <mergeCell ref="P357:R357"/>
    <mergeCell ref="B358:M358"/>
    <mergeCell ref="P358:R358"/>
    <mergeCell ref="C359:D359"/>
    <mergeCell ref="C361:D361"/>
    <mergeCell ref="C362:D362"/>
    <mergeCell ref="C365:D365"/>
    <mergeCell ref="C366:D366"/>
    <mergeCell ref="C367:D367"/>
    <mergeCell ref="C368:D368"/>
    <mergeCell ref="C360:D360"/>
    <mergeCell ref="K360:M360"/>
    <mergeCell ref="P360:R360"/>
    <mergeCell ref="U360:V360"/>
    <mergeCell ref="K361:M361"/>
    <mergeCell ref="P361:R361"/>
    <mergeCell ref="P362:R362"/>
    <mergeCell ref="U361:V361"/>
    <mergeCell ref="K421:M421"/>
    <mergeCell ref="C422:D422"/>
    <mergeCell ref="K422:M422"/>
    <mergeCell ref="B423:M423"/>
    <mergeCell ref="O423:R423"/>
    <mergeCell ref="X423:Z423"/>
    <mergeCell ref="O424:R424"/>
    <mergeCell ref="U424:V424"/>
    <mergeCell ref="X424:Z424"/>
    <mergeCell ref="P426:R426"/>
    <mergeCell ref="P427:R427"/>
    <mergeCell ref="P428:R428"/>
    <mergeCell ref="U428:V428"/>
    <mergeCell ref="P417:R417"/>
    <mergeCell ref="P418:R418"/>
    <mergeCell ref="P419:R419"/>
    <mergeCell ref="P420:R420"/>
    <mergeCell ref="P421:R421"/>
    <mergeCell ref="P422:R422"/>
    <mergeCell ref="P425:R425"/>
    <mergeCell ref="U414:V414"/>
    <mergeCell ref="U415:V415"/>
    <mergeCell ref="K427:M427"/>
    <mergeCell ref="K428:M428"/>
    <mergeCell ref="B424:M424"/>
    <mergeCell ref="C425:D425"/>
    <mergeCell ref="K425:M425"/>
    <mergeCell ref="C426:D426"/>
    <mergeCell ref="K426:M426"/>
    <mergeCell ref="C427:D427"/>
    <mergeCell ref="C428:D428"/>
    <mergeCell ref="P410:R410"/>
    <mergeCell ref="U410:V410"/>
    <mergeCell ref="P411:R411"/>
    <mergeCell ref="U411:V411"/>
    <mergeCell ref="P412:R412"/>
    <mergeCell ref="U412:V412"/>
    <mergeCell ref="U413:V413"/>
    <mergeCell ref="K416:M416"/>
    <mergeCell ref="K417:M417"/>
    <mergeCell ref="O413:R413"/>
    <mergeCell ref="P414:R414"/>
    <mergeCell ref="P415:R415"/>
    <mergeCell ref="C416:D416"/>
    <mergeCell ref="P416:R416"/>
    <mergeCell ref="C417:D417"/>
    <mergeCell ref="B418:M418"/>
    <mergeCell ref="C419:D419"/>
    <mergeCell ref="K419:M419"/>
    <mergeCell ref="C420:D420"/>
    <mergeCell ref="K420:M420"/>
    <mergeCell ref="C421:D421"/>
    <mergeCell ref="U402:V402"/>
    <mergeCell ref="C403:D403"/>
    <mergeCell ref="K403:M403"/>
    <mergeCell ref="K404:M404"/>
    <mergeCell ref="C404:D404"/>
    <mergeCell ref="C405:D405"/>
    <mergeCell ref="K405:M405"/>
    <mergeCell ref="C406:D406"/>
    <mergeCell ref="K406:M406"/>
    <mergeCell ref="U406:V406"/>
    <mergeCell ref="U407:V407"/>
    <mergeCell ref="U408:V408"/>
    <mergeCell ref="U409:V409"/>
    <mergeCell ref="K407:M407"/>
    <mergeCell ref="P407:R407"/>
    <mergeCell ref="X407:Z407"/>
    <mergeCell ref="K408:M408"/>
    <mergeCell ref="O408:R408"/>
    <mergeCell ref="K409:M409"/>
    <mergeCell ref="P409:R409"/>
    <mergeCell ref="X408:X410"/>
    <mergeCell ref="Y408:Y410"/>
    <mergeCell ref="Z408:Z410"/>
    <mergeCell ref="U374:V374"/>
    <mergeCell ref="C412:D412"/>
    <mergeCell ref="C413:D413"/>
    <mergeCell ref="C414:D414"/>
    <mergeCell ref="C415:D415"/>
    <mergeCell ref="K413:M413"/>
    <mergeCell ref="K414:M414"/>
    <mergeCell ref="K415:M415"/>
    <mergeCell ref="C407:D407"/>
    <mergeCell ref="C408:D408"/>
    <mergeCell ref="C409:D409"/>
    <mergeCell ref="B410:M410"/>
    <mergeCell ref="C411:D411"/>
    <mergeCell ref="K411:M411"/>
    <mergeCell ref="K412:M412"/>
    <mergeCell ref="K394:M394"/>
    <mergeCell ref="K395:M395"/>
    <mergeCell ref="B396:M396"/>
    <mergeCell ref="K397:M397"/>
    <mergeCell ref="P397:R397"/>
    <mergeCell ref="K398:M398"/>
    <mergeCell ref="K399:M399"/>
    <mergeCell ref="P398:R398"/>
    <mergeCell ref="P399:R399"/>
    <mergeCell ref="A400:AA400"/>
    <mergeCell ref="C401:D401"/>
    <mergeCell ref="O401:R401"/>
    <mergeCell ref="T401:V401"/>
    <mergeCell ref="X401:Z401"/>
    <mergeCell ref="K401:M401"/>
    <mergeCell ref="B402:M402"/>
    <mergeCell ref="P402:R402"/>
    <mergeCell ref="X333:X335"/>
    <mergeCell ref="Y333:Y335"/>
    <mergeCell ref="Z333:Z335"/>
    <mergeCell ref="U335:V335"/>
    <mergeCell ref="U336:V336"/>
    <mergeCell ref="K349:M349"/>
    <mergeCell ref="K350:M350"/>
    <mergeCell ref="K339:M339"/>
    <mergeCell ref="K340:M340"/>
    <mergeCell ref="K343:M343"/>
    <mergeCell ref="K344:M344"/>
    <mergeCell ref="K345:M345"/>
    <mergeCell ref="K346:M346"/>
    <mergeCell ref="K347:M347"/>
    <mergeCell ref="U354:V354"/>
    <mergeCell ref="U355:V355"/>
    <mergeCell ref="P351:R351"/>
    <mergeCell ref="O352:R352"/>
    <mergeCell ref="U352:V352"/>
    <mergeCell ref="P353:R353"/>
    <mergeCell ref="U353:V353"/>
    <mergeCell ref="P354:R354"/>
    <mergeCell ref="P355:R355"/>
    <mergeCell ref="C326:D326"/>
    <mergeCell ref="P326:R326"/>
    <mergeCell ref="U326:V326"/>
    <mergeCell ref="K326:M326"/>
    <mergeCell ref="B327:M327"/>
    <mergeCell ref="P327:R327"/>
    <mergeCell ref="U327:V327"/>
    <mergeCell ref="K328:M328"/>
    <mergeCell ref="P328:R328"/>
    <mergeCell ref="U328:V328"/>
    <mergeCell ref="C328:D328"/>
    <mergeCell ref="C329:D329"/>
    <mergeCell ref="K329:M329"/>
    <mergeCell ref="P329:R329"/>
    <mergeCell ref="K330:M330"/>
    <mergeCell ref="P330:R330"/>
    <mergeCell ref="A331:AA331"/>
    <mergeCell ref="U329:V329"/>
    <mergeCell ref="U330:V330"/>
    <mergeCell ref="X332:Z332"/>
    <mergeCell ref="B333:M333"/>
    <mergeCell ref="U333:V333"/>
    <mergeCell ref="B334:M334"/>
    <mergeCell ref="U334:V334"/>
    <mergeCell ref="K336:M336"/>
    <mergeCell ref="K337:M337"/>
    <mergeCell ref="C330:D330"/>
    <mergeCell ref="C332:D332"/>
    <mergeCell ref="B335:M335"/>
    <mergeCell ref="P335:R335"/>
    <mergeCell ref="C336:D336"/>
    <mergeCell ref="P336:R336"/>
    <mergeCell ref="P337:R337"/>
    <mergeCell ref="U311:V311"/>
    <mergeCell ref="U312:V312"/>
    <mergeCell ref="U313:V313"/>
    <mergeCell ref="U314:V314"/>
    <mergeCell ref="U315:V315"/>
    <mergeCell ref="U316:V316"/>
    <mergeCell ref="X317:Z317"/>
    <mergeCell ref="X318:Z318"/>
    <mergeCell ref="U317:V317"/>
    <mergeCell ref="U318:V318"/>
    <mergeCell ref="U319:V319"/>
    <mergeCell ref="X319:X324"/>
    <mergeCell ref="Y319:Y324"/>
    <mergeCell ref="Z319:Z324"/>
    <mergeCell ref="U320:V320"/>
    <mergeCell ref="C325:D325"/>
    <mergeCell ref="K325:M325"/>
    <mergeCell ref="P325:R325"/>
    <mergeCell ref="P322:R322"/>
    <mergeCell ref="O323:R323"/>
    <mergeCell ref="P324:R324"/>
    <mergeCell ref="P310:R310"/>
    <mergeCell ref="P311:R311"/>
    <mergeCell ref="P312:R312"/>
    <mergeCell ref="P313:R313"/>
    <mergeCell ref="P314:R314"/>
    <mergeCell ref="P315:R315"/>
    <mergeCell ref="P316:R316"/>
    <mergeCell ref="U321:V321"/>
    <mergeCell ref="U322:V322"/>
    <mergeCell ref="U323:V323"/>
    <mergeCell ref="U324:V324"/>
    <mergeCell ref="P333:R333"/>
    <mergeCell ref="P334:R334"/>
    <mergeCell ref="K332:M332"/>
    <mergeCell ref="O332:R332"/>
    <mergeCell ref="T332:V332"/>
    <mergeCell ref="U325:V325"/>
    <mergeCell ref="U540:V540"/>
    <mergeCell ref="U541:V541"/>
    <mergeCell ref="U542:V542"/>
    <mergeCell ref="U543:V543"/>
    <mergeCell ref="U561:V561"/>
    <mergeCell ref="U562:V562"/>
    <mergeCell ref="U563:V563"/>
    <mergeCell ref="U564:V564"/>
    <mergeCell ref="U554:V554"/>
    <mergeCell ref="U555:V555"/>
    <mergeCell ref="U556:V556"/>
    <mergeCell ref="U557:V557"/>
    <mergeCell ref="U558:V558"/>
    <mergeCell ref="U559:V559"/>
    <mergeCell ref="U560:V560"/>
    <mergeCell ref="U305:V305"/>
    <mergeCell ref="U306:V306"/>
    <mergeCell ref="U307:V307"/>
    <mergeCell ref="U308:V308"/>
    <mergeCell ref="U309:V309"/>
    <mergeCell ref="U310:V310"/>
    <mergeCell ref="U337:V337"/>
    <mergeCell ref="U338:V338"/>
    <mergeCell ref="U339:V339"/>
    <mergeCell ref="U375:V375"/>
    <mergeCell ref="U376:V376"/>
    <mergeCell ref="U368:V368"/>
    <mergeCell ref="U369:V369"/>
    <mergeCell ref="U370:V370"/>
    <mergeCell ref="U371:V371"/>
    <mergeCell ref="U372:V372"/>
    <mergeCell ref="U373:V373"/>
    <mergeCell ref="X550:Z550"/>
    <mergeCell ref="X551:Z551"/>
    <mergeCell ref="U550:V550"/>
    <mergeCell ref="U551:V551"/>
    <mergeCell ref="U552:V552"/>
    <mergeCell ref="X552:X555"/>
    <mergeCell ref="Y552:Y555"/>
    <mergeCell ref="Z552:Z555"/>
    <mergeCell ref="U553:V553"/>
    <mergeCell ref="U468:V468"/>
    <mergeCell ref="U469:V469"/>
    <mergeCell ref="U470:V470"/>
    <mergeCell ref="U471:V471"/>
    <mergeCell ref="U472:V472"/>
    <mergeCell ref="U473:V473"/>
    <mergeCell ref="U474:V474"/>
    <mergeCell ref="U475:V475"/>
    <mergeCell ref="U476:V476"/>
    <mergeCell ref="U511:V511"/>
    <mergeCell ref="U512:V512"/>
    <mergeCell ref="U513:V513"/>
    <mergeCell ref="U514:V514"/>
    <mergeCell ref="U515:V515"/>
    <mergeCell ref="U516:V516"/>
    <mergeCell ref="U517:V517"/>
    <mergeCell ref="U518:V518"/>
    <mergeCell ref="U519:V519"/>
    <mergeCell ref="U520:V520"/>
    <mergeCell ref="U521:V521"/>
    <mergeCell ref="U522:V522"/>
    <mergeCell ref="U523:V523"/>
    <mergeCell ref="U524:V524"/>
    <mergeCell ref="U491:V491"/>
    <mergeCell ref="B492:M492"/>
    <mergeCell ref="P492:R492"/>
    <mergeCell ref="U492:V492"/>
    <mergeCell ref="K480:M480"/>
    <mergeCell ref="K482:M482"/>
    <mergeCell ref="K485:M485"/>
    <mergeCell ref="K486:M486"/>
    <mergeCell ref="K487:M487"/>
    <mergeCell ref="K488:M488"/>
    <mergeCell ref="K489:M489"/>
    <mergeCell ref="U544:V544"/>
    <mergeCell ref="U545:V545"/>
    <mergeCell ref="U546:V546"/>
    <mergeCell ref="U547:V547"/>
    <mergeCell ref="U548:V548"/>
    <mergeCell ref="U549:V549"/>
    <mergeCell ref="U525:V525"/>
    <mergeCell ref="U526:V526"/>
    <mergeCell ref="U527:V527"/>
    <mergeCell ref="U528:V528"/>
    <mergeCell ref="U529:V529"/>
    <mergeCell ref="U530:V530"/>
    <mergeCell ref="U531:V531"/>
    <mergeCell ref="U532:V532"/>
    <mergeCell ref="U533:V533"/>
    <mergeCell ref="U534:V534"/>
    <mergeCell ref="U535:V535"/>
    <mergeCell ref="U536:V536"/>
    <mergeCell ref="U537:V537"/>
    <mergeCell ref="U538:V538"/>
    <mergeCell ref="U539:V539"/>
    <mergeCell ref="B477:M477"/>
    <mergeCell ref="B478:M478"/>
    <mergeCell ref="O478:R478"/>
    <mergeCell ref="U478:V478"/>
    <mergeCell ref="K479:M479"/>
    <mergeCell ref="U479:V479"/>
    <mergeCell ref="C482:D482"/>
    <mergeCell ref="C483:D483"/>
    <mergeCell ref="K483:M483"/>
    <mergeCell ref="P483:R483"/>
    <mergeCell ref="U483:V483"/>
    <mergeCell ref="K484:M484"/>
    <mergeCell ref="P484:R484"/>
    <mergeCell ref="P485:R485"/>
    <mergeCell ref="K490:M490"/>
    <mergeCell ref="P490:R490"/>
    <mergeCell ref="U490:V490"/>
    <mergeCell ref="C476:D476"/>
    <mergeCell ref="C479:D479"/>
    <mergeCell ref="C480:D480"/>
    <mergeCell ref="K471:M471"/>
    <mergeCell ref="P471:R471"/>
    <mergeCell ref="B472:M472"/>
    <mergeCell ref="O472:R472"/>
    <mergeCell ref="B473:M473"/>
    <mergeCell ref="O473:R473"/>
    <mergeCell ref="P474:R474"/>
    <mergeCell ref="P479:R479"/>
    <mergeCell ref="P480:R480"/>
    <mergeCell ref="P488:R488"/>
    <mergeCell ref="P489:R489"/>
    <mergeCell ref="U484:V484"/>
    <mergeCell ref="U485:V485"/>
    <mergeCell ref="P486:R486"/>
    <mergeCell ref="U486:V486"/>
    <mergeCell ref="P487:R487"/>
    <mergeCell ref="U487:V487"/>
    <mergeCell ref="U488:V488"/>
    <mergeCell ref="U489:V489"/>
    <mergeCell ref="B474:M474"/>
    <mergeCell ref="K475:M475"/>
    <mergeCell ref="P475:R475"/>
    <mergeCell ref="K476:M476"/>
    <mergeCell ref="P476:R476"/>
    <mergeCell ref="P477:R477"/>
    <mergeCell ref="U477:V477"/>
    <mergeCell ref="U480:V480"/>
    <mergeCell ref="P481:R481"/>
    <mergeCell ref="U481:V481"/>
    <mergeCell ref="B446:M446"/>
    <mergeCell ref="B447:M447"/>
    <mergeCell ref="B448:M448"/>
    <mergeCell ref="B449:M449"/>
    <mergeCell ref="C450:D450"/>
    <mergeCell ref="K450:M450"/>
    <mergeCell ref="K451:M451"/>
    <mergeCell ref="P456:R456"/>
    <mergeCell ref="P457:R457"/>
    <mergeCell ref="B458:M458"/>
    <mergeCell ref="P458:R458"/>
    <mergeCell ref="U459:V459"/>
    <mergeCell ref="U460:V460"/>
    <mergeCell ref="C469:D469"/>
    <mergeCell ref="C470:D470"/>
    <mergeCell ref="C471:D471"/>
    <mergeCell ref="C475:D475"/>
    <mergeCell ref="K462:M462"/>
    <mergeCell ref="K463:M463"/>
    <mergeCell ref="K461:M461"/>
    <mergeCell ref="K464:M464"/>
    <mergeCell ref="P461:R461"/>
    <mergeCell ref="U461:V461"/>
    <mergeCell ref="P462:R462"/>
    <mergeCell ref="U462:V462"/>
    <mergeCell ref="P463:R463"/>
    <mergeCell ref="P464:R464"/>
    <mergeCell ref="K466:M466"/>
    <mergeCell ref="K467:M467"/>
    <mergeCell ref="P467:R467"/>
    <mergeCell ref="U467:V467"/>
    <mergeCell ref="U463:V463"/>
    <mergeCell ref="C442:D442"/>
    <mergeCell ref="A443:D443"/>
    <mergeCell ref="C445:D445"/>
    <mergeCell ref="C431:D431"/>
    <mergeCell ref="C432:D432"/>
    <mergeCell ref="C433:D433"/>
    <mergeCell ref="C434:D434"/>
    <mergeCell ref="C435:D435"/>
    <mergeCell ref="C436:D436"/>
    <mergeCell ref="B438:M438"/>
    <mergeCell ref="P469:R469"/>
    <mergeCell ref="P470:R470"/>
    <mergeCell ref="C466:D466"/>
    <mergeCell ref="C467:D467"/>
    <mergeCell ref="C468:D468"/>
    <mergeCell ref="K468:M468"/>
    <mergeCell ref="P468:R468"/>
    <mergeCell ref="K469:M469"/>
    <mergeCell ref="K470:M470"/>
    <mergeCell ref="K439:M441"/>
    <mergeCell ref="K442:M442"/>
    <mergeCell ref="E443:AA443"/>
    <mergeCell ref="A444:AA444"/>
    <mergeCell ref="K445:M445"/>
    <mergeCell ref="T445:V445"/>
    <mergeCell ref="U446:V446"/>
    <mergeCell ref="O445:R445"/>
    <mergeCell ref="P446:R446"/>
    <mergeCell ref="P447:R447"/>
    <mergeCell ref="U447:V447"/>
    <mergeCell ref="O448:R448"/>
    <mergeCell ref="U448:V448"/>
    <mergeCell ref="X425:X433"/>
    <mergeCell ref="Y425:Y433"/>
    <mergeCell ref="Z425:Z433"/>
    <mergeCell ref="U426:V426"/>
    <mergeCell ref="U427:V427"/>
    <mergeCell ref="U433:V433"/>
    <mergeCell ref="C429:D429"/>
    <mergeCell ref="K429:M429"/>
    <mergeCell ref="P429:R429"/>
    <mergeCell ref="B430:M430"/>
    <mergeCell ref="O430:R430"/>
    <mergeCell ref="K431:M431"/>
    <mergeCell ref="K432:M432"/>
    <mergeCell ref="C437:D437"/>
    <mergeCell ref="B439:B441"/>
    <mergeCell ref="C439:D441"/>
    <mergeCell ref="E439:E441"/>
    <mergeCell ref="U439:V439"/>
    <mergeCell ref="U440:V440"/>
    <mergeCell ref="U431:V431"/>
    <mergeCell ref="U432:V432"/>
    <mergeCell ref="U434:V434"/>
    <mergeCell ref="U435:V435"/>
    <mergeCell ref="U436:V436"/>
    <mergeCell ref="U437:V437"/>
    <mergeCell ref="U438:V438"/>
    <mergeCell ref="K436:M436"/>
    <mergeCell ref="K437:M437"/>
    <mergeCell ref="K433:M433"/>
    <mergeCell ref="P433:R433"/>
    <mergeCell ref="K434:M434"/>
    <mergeCell ref="P434:R434"/>
    <mergeCell ref="P518:R518"/>
    <mergeCell ref="O519:R519"/>
    <mergeCell ref="P520:R520"/>
    <mergeCell ref="O521:R521"/>
    <mergeCell ref="P522:R522"/>
    <mergeCell ref="P523:R523"/>
    <mergeCell ref="O524:R524"/>
    <mergeCell ref="P525:R525"/>
    <mergeCell ref="U416:V416"/>
    <mergeCell ref="U417:V417"/>
    <mergeCell ref="U418:V418"/>
    <mergeCell ref="U419:V419"/>
    <mergeCell ref="U420:V420"/>
    <mergeCell ref="U421:V421"/>
    <mergeCell ref="U422:V422"/>
    <mergeCell ref="U429:V429"/>
    <mergeCell ref="U430:V430"/>
    <mergeCell ref="U441:V441"/>
    <mergeCell ref="U442:V442"/>
    <mergeCell ref="P431:R431"/>
    <mergeCell ref="P432:R432"/>
    <mergeCell ref="P438:R438"/>
    <mergeCell ref="P439:R439"/>
    <mergeCell ref="P440:R440"/>
    <mergeCell ref="P441:R441"/>
    <mergeCell ref="P442:R442"/>
    <mergeCell ref="U423:V423"/>
    <mergeCell ref="U425:V425"/>
    <mergeCell ref="U449:V449"/>
    <mergeCell ref="P482:R482"/>
    <mergeCell ref="U482:V482"/>
    <mergeCell ref="P491:R491"/>
    <mergeCell ref="C508:D508"/>
    <mergeCell ref="C509:D509"/>
    <mergeCell ref="P513:R513"/>
    <mergeCell ref="P514:R514"/>
    <mergeCell ref="C510:D510"/>
    <mergeCell ref="B511:M511"/>
    <mergeCell ref="P511:R511"/>
    <mergeCell ref="K512:M512"/>
    <mergeCell ref="P512:R512"/>
    <mergeCell ref="K513:M513"/>
    <mergeCell ref="K514:M514"/>
    <mergeCell ref="K515:M515"/>
    <mergeCell ref="P515:R515"/>
    <mergeCell ref="K516:M516"/>
    <mergeCell ref="P516:R516"/>
    <mergeCell ref="K517:M517"/>
    <mergeCell ref="P517:R517"/>
    <mergeCell ref="O509:R509"/>
    <mergeCell ref="P510:R510"/>
    <mergeCell ref="P547:R547"/>
    <mergeCell ref="P548:R548"/>
    <mergeCell ref="P549:R549"/>
    <mergeCell ref="O550:R550"/>
    <mergeCell ref="O551:R551"/>
    <mergeCell ref="P552:R552"/>
    <mergeCell ref="P540:R540"/>
    <mergeCell ref="P541:R541"/>
    <mergeCell ref="P542:R542"/>
    <mergeCell ref="P543:R543"/>
    <mergeCell ref="P544:R544"/>
    <mergeCell ref="P545:R545"/>
    <mergeCell ref="P546:R546"/>
    <mergeCell ref="C484:D484"/>
    <mergeCell ref="C485:D485"/>
    <mergeCell ref="C486:D486"/>
    <mergeCell ref="C487:D487"/>
    <mergeCell ref="C488:D488"/>
    <mergeCell ref="C489:D489"/>
    <mergeCell ref="C490:D490"/>
    <mergeCell ref="C491:D491"/>
    <mergeCell ref="C493:D493"/>
    <mergeCell ref="C494:D494"/>
    <mergeCell ref="C495:D495"/>
    <mergeCell ref="C497:D497"/>
    <mergeCell ref="C501:D501"/>
    <mergeCell ref="C502:D502"/>
    <mergeCell ref="C503:D503"/>
    <mergeCell ref="C504:D504"/>
    <mergeCell ref="C505:D505"/>
    <mergeCell ref="C506:D506"/>
    <mergeCell ref="C507:D507"/>
    <mergeCell ref="K540:M540"/>
    <mergeCell ref="K541:M541"/>
    <mergeCell ref="B542:M542"/>
    <mergeCell ref="K543:M545"/>
    <mergeCell ref="K546:M546"/>
    <mergeCell ref="P526:R526"/>
    <mergeCell ref="P527:R527"/>
    <mergeCell ref="P528:R528"/>
    <mergeCell ref="P529:R529"/>
    <mergeCell ref="P530:R530"/>
    <mergeCell ref="P531:R531"/>
    <mergeCell ref="P532:R532"/>
    <mergeCell ref="P533:R533"/>
    <mergeCell ref="P534:R534"/>
    <mergeCell ref="P535:R535"/>
    <mergeCell ref="P536:R536"/>
    <mergeCell ref="P537:R537"/>
    <mergeCell ref="P538:R538"/>
    <mergeCell ref="P539:R539"/>
    <mergeCell ref="B533:B534"/>
    <mergeCell ref="C533:D534"/>
    <mergeCell ref="E533:E534"/>
    <mergeCell ref="C536:D536"/>
    <mergeCell ref="K530:M530"/>
    <mergeCell ref="K531:M531"/>
    <mergeCell ref="B532:M532"/>
    <mergeCell ref="K533:M534"/>
    <mergeCell ref="B535:M535"/>
    <mergeCell ref="K536:M536"/>
    <mergeCell ref="K537:M537"/>
    <mergeCell ref="C543:D545"/>
    <mergeCell ref="C546:D546"/>
    <mergeCell ref="C547:D547"/>
    <mergeCell ref="C548:D548"/>
    <mergeCell ref="C549:D549"/>
    <mergeCell ref="C552:D552"/>
    <mergeCell ref="C537:D537"/>
    <mergeCell ref="C538:D538"/>
    <mergeCell ref="C539:D539"/>
    <mergeCell ref="C540:D540"/>
    <mergeCell ref="C541:D541"/>
    <mergeCell ref="B543:B545"/>
    <mergeCell ref="E543:E545"/>
    <mergeCell ref="K547:M547"/>
    <mergeCell ref="K548:M548"/>
    <mergeCell ref="K549:M549"/>
    <mergeCell ref="B550:M550"/>
    <mergeCell ref="B551:M551"/>
    <mergeCell ref="K552:M552"/>
    <mergeCell ref="K538:M538"/>
    <mergeCell ref="K539:M539"/>
    <mergeCell ref="K518:M518"/>
    <mergeCell ref="K519:M519"/>
    <mergeCell ref="K520:M520"/>
    <mergeCell ref="B521:M521"/>
    <mergeCell ref="B522:M522"/>
    <mergeCell ref="K523:M523"/>
    <mergeCell ref="K524:M524"/>
    <mergeCell ref="K525:M525"/>
    <mergeCell ref="K526:M526"/>
    <mergeCell ref="C527:D527"/>
    <mergeCell ref="K527:M527"/>
    <mergeCell ref="C528:D528"/>
    <mergeCell ref="K528:M528"/>
    <mergeCell ref="K529:M529"/>
    <mergeCell ref="C529:D529"/>
    <mergeCell ref="C530:D530"/>
    <mergeCell ref="C531:D531"/>
    <mergeCell ref="C352:D352"/>
    <mergeCell ref="C353:D353"/>
    <mergeCell ref="C354:D354"/>
    <mergeCell ref="C355:D355"/>
    <mergeCell ref="C356:D356"/>
    <mergeCell ref="C357:D357"/>
    <mergeCell ref="C342:D342"/>
    <mergeCell ref="C343:D343"/>
    <mergeCell ref="C344:D344"/>
    <mergeCell ref="C345:D345"/>
    <mergeCell ref="C346:D346"/>
    <mergeCell ref="C347:D347"/>
    <mergeCell ref="C349:D349"/>
    <mergeCell ref="C350:D350"/>
    <mergeCell ref="C351:D351"/>
    <mergeCell ref="K351:M351"/>
    <mergeCell ref="K352:M352"/>
    <mergeCell ref="K353:M353"/>
    <mergeCell ref="K354:M354"/>
    <mergeCell ref="K355:M355"/>
    <mergeCell ref="U348:V348"/>
    <mergeCell ref="P349:R349"/>
    <mergeCell ref="U349:V349"/>
    <mergeCell ref="P350:R350"/>
    <mergeCell ref="U350:V350"/>
    <mergeCell ref="U351:V351"/>
    <mergeCell ref="P340:R340"/>
    <mergeCell ref="U340:V340"/>
    <mergeCell ref="C337:D337"/>
    <mergeCell ref="C338:D338"/>
    <mergeCell ref="K338:M338"/>
    <mergeCell ref="P338:R338"/>
    <mergeCell ref="C339:D339"/>
    <mergeCell ref="P339:R339"/>
    <mergeCell ref="C340:D340"/>
    <mergeCell ref="C341:D341"/>
    <mergeCell ref="K341:M341"/>
    <mergeCell ref="P341:R341"/>
    <mergeCell ref="U341:V341"/>
    <mergeCell ref="K342:M342"/>
    <mergeCell ref="O342:R342"/>
    <mergeCell ref="P343:R343"/>
    <mergeCell ref="P346:R346"/>
    <mergeCell ref="O347:R347"/>
    <mergeCell ref="B348:M348"/>
    <mergeCell ref="P348:R348"/>
    <mergeCell ref="U196:V196"/>
    <mergeCell ref="U197:V197"/>
    <mergeCell ref="P188:R188"/>
    <mergeCell ref="U188:V188"/>
    <mergeCell ref="P189:R189"/>
    <mergeCell ref="U189:V189"/>
    <mergeCell ref="P190:R190"/>
    <mergeCell ref="U190:V190"/>
    <mergeCell ref="U191:V191"/>
    <mergeCell ref="U342:V342"/>
    <mergeCell ref="U343:V343"/>
    <mergeCell ref="P344:R344"/>
    <mergeCell ref="U344:V344"/>
    <mergeCell ref="P345:R345"/>
    <mergeCell ref="U345:V345"/>
    <mergeCell ref="U346:V346"/>
    <mergeCell ref="U347:V347"/>
    <mergeCell ref="P302:R302"/>
    <mergeCell ref="P303:R303"/>
    <mergeCell ref="U303:V303"/>
    <mergeCell ref="O304:R304"/>
    <mergeCell ref="U304:V304"/>
    <mergeCell ref="P305:R305"/>
    <mergeCell ref="P306:R306"/>
    <mergeCell ref="P307:R307"/>
    <mergeCell ref="O308:R308"/>
    <mergeCell ref="P309:R309"/>
    <mergeCell ref="O317:R317"/>
    <mergeCell ref="O318:R318"/>
    <mergeCell ref="P319:R319"/>
    <mergeCell ref="P320:R320"/>
    <mergeCell ref="P321:R321"/>
    <mergeCell ref="C187:D187"/>
    <mergeCell ref="K187:M187"/>
    <mergeCell ref="O187:R187"/>
    <mergeCell ref="U187:V187"/>
    <mergeCell ref="C188:D188"/>
    <mergeCell ref="K188:M188"/>
    <mergeCell ref="O182:R182"/>
    <mergeCell ref="B183:M183"/>
    <mergeCell ref="P183:R183"/>
    <mergeCell ref="X183:X188"/>
    <mergeCell ref="Y183:Y188"/>
    <mergeCell ref="Z183:Z188"/>
    <mergeCell ref="P184:R184"/>
    <mergeCell ref="U192:V192"/>
    <mergeCell ref="U193:V193"/>
    <mergeCell ref="U194:V194"/>
    <mergeCell ref="U195:V195"/>
    <mergeCell ref="C184:D184"/>
    <mergeCell ref="K184:M184"/>
    <mergeCell ref="U183:V183"/>
    <mergeCell ref="U184:V184"/>
    <mergeCell ref="C185:D185"/>
    <mergeCell ref="K185:M185"/>
    <mergeCell ref="P185:R185"/>
    <mergeCell ref="U185:V185"/>
    <mergeCell ref="C186:D186"/>
    <mergeCell ref="K186:M186"/>
    <mergeCell ref="P186:R186"/>
    <mergeCell ref="U186:V186"/>
    <mergeCell ref="U176:V176"/>
    <mergeCell ref="U177:V177"/>
    <mergeCell ref="P180:R180"/>
    <mergeCell ref="U180:V180"/>
    <mergeCell ref="A181:AA181"/>
    <mergeCell ref="T182:V182"/>
    <mergeCell ref="X182:Z182"/>
    <mergeCell ref="K161:M161"/>
    <mergeCell ref="U162:V162"/>
    <mergeCell ref="U163:V163"/>
    <mergeCell ref="K162:M162"/>
    <mergeCell ref="K163:M163"/>
    <mergeCell ref="K164:M164"/>
    <mergeCell ref="K165:M165"/>
    <mergeCell ref="K166:M166"/>
    <mergeCell ref="B167:M167"/>
    <mergeCell ref="B168:M168"/>
    <mergeCell ref="P175:R175"/>
    <mergeCell ref="P176:R176"/>
    <mergeCell ref="B177:M177"/>
    <mergeCell ref="P177:R177"/>
    <mergeCell ref="K176:M176"/>
    <mergeCell ref="K178:M178"/>
    <mergeCell ref="P178:R178"/>
    <mergeCell ref="U178:V178"/>
    <mergeCell ref="P172:R172"/>
    <mergeCell ref="U172:V172"/>
    <mergeCell ref="P173:R173"/>
    <mergeCell ref="U173:V173"/>
    <mergeCell ref="P174:R174"/>
    <mergeCell ref="U174:V174"/>
    <mergeCell ref="U175:V175"/>
    <mergeCell ref="U160:V160"/>
    <mergeCell ref="P161:R161"/>
    <mergeCell ref="U161:V161"/>
    <mergeCell ref="P162:R162"/>
    <mergeCell ref="P163:R163"/>
    <mergeCell ref="P164:R164"/>
    <mergeCell ref="U164:V164"/>
    <mergeCell ref="P165:R165"/>
    <mergeCell ref="U165:V165"/>
    <mergeCell ref="P166:R166"/>
    <mergeCell ref="U166:V166"/>
    <mergeCell ref="U167:V167"/>
    <mergeCell ref="C154:D154"/>
    <mergeCell ref="K154:M154"/>
    <mergeCell ref="P154:R154"/>
    <mergeCell ref="U154:V154"/>
    <mergeCell ref="C155:D155"/>
    <mergeCell ref="O155:R155"/>
    <mergeCell ref="P156:R156"/>
    <mergeCell ref="K155:M155"/>
    <mergeCell ref="K156:M156"/>
    <mergeCell ref="K157:M157"/>
    <mergeCell ref="P157:R157"/>
    <mergeCell ref="U157:V157"/>
    <mergeCell ref="K158:M158"/>
    <mergeCell ref="O158:R158"/>
    <mergeCell ref="C156:D156"/>
    <mergeCell ref="C157:D157"/>
    <mergeCell ref="C158:D158"/>
    <mergeCell ref="B159:M159"/>
    <mergeCell ref="C160:D160"/>
    <mergeCell ref="K160:M160"/>
    <mergeCell ref="C60:D60"/>
    <mergeCell ref="C61:D61"/>
    <mergeCell ref="C62:D62"/>
    <mergeCell ref="C63:D63"/>
    <mergeCell ref="C64:D64"/>
    <mergeCell ref="C65:D65"/>
    <mergeCell ref="C66:D66"/>
    <mergeCell ref="C68:D68"/>
    <mergeCell ref="C70:D70"/>
    <mergeCell ref="C71:D71"/>
    <mergeCell ref="C72:D72"/>
    <mergeCell ref="C73:D73"/>
    <mergeCell ref="C74:D74"/>
    <mergeCell ref="C77:D77"/>
    <mergeCell ref="C78:D78"/>
    <mergeCell ref="P159:R159"/>
    <mergeCell ref="P160:R160"/>
    <mergeCell ref="C79:D79"/>
    <mergeCell ref="C81:D81"/>
    <mergeCell ref="C82:D82"/>
    <mergeCell ref="C83:D83"/>
    <mergeCell ref="C129:D129"/>
    <mergeCell ref="C130:D130"/>
    <mergeCell ref="C131:D131"/>
    <mergeCell ref="C140:D140"/>
    <mergeCell ref="C141:D141"/>
    <mergeCell ref="C132:D132"/>
    <mergeCell ref="C133:D133"/>
    <mergeCell ref="C135:D135"/>
    <mergeCell ref="C136:D136"/>
    <mergeCell ref="C137:D137"/>
    <mergeCell ref="C138:D138"/>
    <mergeCell ref="C139:D139"/>
    <mergeCell ref="C18:D18"/>
    <mergeCell ref="C19:D19"/>
    <mergeCell ref="C20:D20"/>
    <mergeCell ref="C21:D21"/>
    <mergeCell ref="C23:D23"/>
    <mergeCell ref="C24:D24"/>
    <mergeCell ref="C25:D25"/>
    <mergeCell ref="C26:D26"/>
    <mergeCell ref="C27:D27"/>
    <mergeCell ref="C28:D28"/>
    <mergeCell ref="C30:D30"/>
    <mergeCell ref="C31:D31"/>
    <mergeCell ref="C32:D32"/>
    <mergeCell ref="C35:D35"/>
    <mergeCell ref="C36:D36"/>
    <mergeCell ref="C37:D37"/>
    <mergeCell ref="P64:R64"/>
    <mergeCell ref="O65:R65"/>
    <mergeCell ref="P66:R66"/>
    <mergeCell ref="P67:R67"/>
    <mergeCell ref="P68:R68"/>
    <mergeCell ref="P69:R69"/>
    <mergeCell ref="P70:R70"/>
    <mergeCell ref="P71:R71"/>
    <mergeCell ref="P72:R72"/>
    <mergeCell ref="P73:R73"/>
    <mergeCell ref="P74:R74"/>
    <mergeCell ref="O75:R75"/>
    <mergeCell ref="O76:R76"/>
    <mergeCell ref="P77:R77"/>
    <mergeCell ref="P78:R78"/>
    <mergeCell ref="P79:R79"/>
    <mergeCell ref="O80:R80"/>
    <mergeCell ref="P47:R47"/>
    <mergeCell ref="P48:R48"/>
    <mergeCell ref="P49:R49"/>
    <mergeCell ref="P50:R50"/>
    <mergeCell ref="P51:R51"/>
    <mergeCell ref="O52:R52"/>
    <mergeCell ref="P53:R53"/>
    <mergeCell ref="P54:R54"/>
    <mergeCell ref="P55:R55"/>
    <mergeCell ref="P56:R56"/>
    <mergeCell ref="O57:R57"/>
    <mergeCell ref="P58:R58"/>
    <mergeCell ref="P59:R59"/>
    <mergeCell ref="P60:R60"/>
    <mergeCell ref="P61:R61"/>
    <mergeCell ref="P62:R62"/>
    <mergeCell ref="P63:R63"/>
    <mergeCell ref="U42:V42"/>
    <mergeCell ref="U43:V43"/>
    <mergeCell ref="U44:V44"/>
    <mergeCell ref="A45:AA45"/>
    <mergeCell ref="T46:V46"/>
    <mergeCell ref="P31:R31"/>
    <mergeCell ref="P32:R32"/>
    <mergeCell ref="O33:R33"/>
    <mergeCell ref="O34:R34"/>
    <mergeCell ref="P35:R35"/>
    <mergeCell ref="P36:R36"/>
    <mergeCell ref="P37:R37"/>
    <mergeCell ref="O38:R38"/>
    <mergeCell ref="P39:R39"/>
    <mergeCell ref="P40:R40"/>
    <mergeCell ref="P41:R41"/>
    <mergeCell ref="P42:R42"/>
    <mergeCell ref="P43:R43"/>
    <mergeCell ref="P44:R44"/>
    <mergeCell ref="O46:R46"/>
    <mergeCell ref="C38:D38"/>
    <mergeCell ref="C39:D39"/>
    <mergeCell ref="C41:D41"/>
    <mergeCell ref="C42:D42"/>
    <mergeCell ref="C43:D43"/>
    <mergeCell ref="C44:D44"/>
    <mergeCell ref="C46:D46"/>
    <mergeCell ref="K15:M15"/>
    <mergeCell ref="K16:M16"/>
    <mergeCell ref="K19:M19"/>
    <mergeCell ref="K20:M20"/>
    <mergeCell ref="K21:M21"/>
    <mergeCell ref="K23:M23"/>
    <mergeCell ref="K24:M24"/>
    <mergeCell ref="U27:V27"/>
    <mergeCell ref="U28:V28"/>
    <mergeCell ref="P29:R29"/>
    <mergeCell ref="U29:V29"/>
    <mergeCell ref="P30:R30"/>
    <mergeCell ref="U30:V30"/>
    <mergeCell ref="U31:V31"/>
    <mergeCell ref="U39:V39"/>
    <mergeCell ref="U40:V40"/>
    <mergeCell ref="U41:V41"/>
    <mergeCell ref="U15:V15"/>
    <mergeCell ref="U22:V22"/>
    <mergeCell ref="U23:V23"/>
    <mergeCell ref="O20:R20"/>
    <mergeCell ref="U20:V20"/>
    <mergeCell ref="P21:R21"/>
    <mergeCell ref="U21:V21"/>
    <mergeCell ref="B22:M22"/>
    <mergeCell ref="P22:R22"/>
    <mergeCell ref="P23:R23"/>
    <mergeCell ref="P26:R26"/>
    <mergeCell ref="P27:R27"/>
    <mergeCell ref="P28:R28"/>
    <mergeCell ref="U18:V18"/>
    <mergeCell ref="U19:V19"/>
    <mergeCell ref="P24:R24"/>
    <mergeCell ref="U24:V24"/>
    <mergeCell ref="P25:R25"/>
    <mergeCell ref="U25:V25"/>
    <mergeCell ref="U26:V26"/>
    <mergeCell ref="P16:R16"/>
    <mergeCell ref="U16:V16"/>
    <mergeCell ref="C15:D15"/>
    <mergeCell ref="O15:R15"/>
    <mergeCell ref="C16:D16"/>
    <mergeCell ref="C17:D17"/>
    <mergeCell ref="K17:M17"/>
    <mergeCell ref="P17:R17"/>
    <mergeCell ref="U17:V17"/>
    <mergeCell ref="K18:M18"/>
    <mergeCell ref="P18:R18"/>
    <mergeCell ref="P19:R19"/>
    <mergeCell ref="C7:D7"/>
    <mergeCell ref="T7:V7"/>
    <mergeCell ref="K7:M7"/>
    <mergeCell ref="O7:R7"/>
    <mergeCell ref="B8:M8"/>
    <mergeCell ref="P8:R8"/>
    <mergeCell ref="U8:V8"/>
    <mergeCell ref="P9:R9"/>
    <mergeCell ref="U9:V9"/>
    <mergeCell ref="B9:M9"/>
    <mergeCell ref="B10:M10"/>
    <mergeCell ref="P10:R10"/>
    <mergeCell ref="U10:V10"/>
    <mergeCell ref="B11:M11"/>
    <mergeCell ref="O11:R11"/>
    <mergeCell ref="U11:V11"/>
    <mergeCell ref="U14:V14"/>
    <mergeCell ref="C12:D12"/>
    <mergeCell ref="K12:M12"/>
    <mergeCell ref="P12:R12"/>
    <mergeCell ref="U12:V12"/>
    <mergeCell ref="K13:M13"/>
    <mergeCell ref="P13:R13"/>
    <mergeCell ref="U13:V13"/>
    <mergeCell ref="C13:D13"/>
    <mergeCell ref="C14:D14"/>
    <mergeCell ref="K14:M14"/>
    <mergeCell ref="P14:R14"/>
    <mergeCell ref="B2:D2"/>
    <mergeCell ref="F2:J2"/>
    <mergeCell ref="K2:M2"/>
    <mergeCell ref="O2:R2"/>
    <mergeCell ref="A1:B1"/>
    <mergeCell ref="D1:F1"/>
    <mergeCell ref="G1:K1"/>
    <mergeCell ref="M1:P1"/>
    <mergeCell ref="R1:S1"/>
    <mergeCell ref="T1:U1"/>
    <mergeCell ref="X1:Y2"/>
    <mergeCell ref="T2:V2"/>
    <mergeCell ref="A3:AA3"/>
    <mergeCell ref="A4:AA4"/>
    <mergeCell ref="A5:D5"/>
    <mergeCell ref="E5:AA5"/>
    <mergeCell ref="A6:AA6"/>
    <mergeCell ref="U114:V114"/>
    <mergeCell ref="U115:V115"/>
    <mergeCell ref="P122:R122"/>
    <mergeCell ref="O123:R123"/>
    <mergeCell ref="X123:Z123"/>
    <mergeCell ref="U116:V116"/>
    <mergeCell ref="U117:V117"/>
    <mergeCell ref="U118:V118"/>
    <mergeCell ref="U119:V119"/>
    <mergeCell ref="U120:V120"/>
    <mergeCell ref="U121:V121"/>
    <mergeCell ref="U122:V122"/>
    <mergeCell ref="P124:R124"/>
    <mergeCell ref="O125:R125"/>
    <mergeCell ref="P126:R126"/>
    <mergeCell ref="P127:R127"/>
    <mergeCell ref="P128:R128"/>
    <mergeCell ref="P115:R115"/>
    <mergeCell ref="P116:R116"/>
    <mergeCell ref="P117:R117"/>
    <mergeCell ref="O118:R118"/>
    <mergeCell ref="P119:R119"/>
    <mergeCell ref="P120:R120"/>
    <mergeCell ref="P121:R121"/>
    <mergeCell ref="U104:V104"/>
    <mergeCell ref="U105:V105"/>
    <mergeCell ref="U110:V110"/>
    <mergeCell ref="U111:V111"/>
    <mergeCell ref="K127:M127"/>
    <mergeCell ref="B128:M128"/>
    <mergeCell ref="P109:R109"/>
    <mergeCell ref="P110:R110"/>
    <mergeCell ref="P111:R111"/>
    <mergeCell ref="B125:M125"/>
    <mergeCell ref="C126:D126"/>
    <mergeCell ref="K126:M126"/>
    <mergeCell ref="C127:D127"/>
    <mergeCell ref="P99:R99"/>
    <mergeCell ref="P100:R100"/>
    <mergeCell ref="P101:R101"/>
    <mergeCell ref="O103:R103"/>
    <mergeCell ref="T103:V103"/>
    <mergeCell ref="P104:R104"/>
    <mergeCell ref="P105:R105"/>
    <mergeCell ref="P106:R106"/>
    <mergeCell ref="U106:V106"/>
    <mergeCell ref="P107:R107"/>
    <mergeCell ref="U107:V107"/>
    <mergeCell ref="O108:R108"/>
    <mergeCell ref="U108:V108"/>
    <mergeCell ref="U109:V109"/>
    <mergeCell ref="P112:R112"/>
    <mergeCell ref="U112:V112"/>
    <mergeCell ref="P113:R113"/>
    <mergeCell ref="U113:V113"/>
    <mergeCell ref="P114:R114"/>
    <mergeCell ref="P88:R88"/>
    <mergeCell ref="P89:R89"/>
    <mergeCell ref="P90:R90"/>
    <mergeCell ref="P91:R91"/>
    <mergeCell ref="O92:R92"/>
    <mergeCell ref="O93:R93"/>
    <mergeCell ref="P94:R94"/>
    <mergeCell ref="U100:V100"/>
    <mergeCell ref="U101:V101"/>
    <mergeCell ref="A102:AA102"/>
    <mergeCell ref="P95:R95"/>
    <mergeCell ref="P96:R96"/>
    <mergeCell ref="P97:R97"/>
    <mergeCell ref="U97:V97"/>
    <mergeCell ref="P98:R98"/>
    <mergeCell ref="U98:V98"/>
    <mergeCell ref="U99:V99"/>
    <mergeCell ref="U77:V77"/>
    <mergeCell ref="U78:V78"/>
    <mergeCell ref="U79:V79"/>
    <mergeCell ref="U80:V80"/>
    <mergeCell ref="U81:V81"/>
    <mergeCell ref="U82:V82"/>
    <mergeCell ref="U83:V83"/>
    <mergeCell ref="U84:V84"/>
    <mergeCell ref="U85:V85"/>
    <mergeCell ref="U86:V86"/>
    <mergeCell ref="U87:V87"/>
    <mergeCell ref="P81:R81"/>
    <mergeCell ref="P82:R82"/>
    <mergeCell ref="P83:R83"/>
    <mergeCell ref="P84:R84"/>
    <mergeCell ref="P85:R85"/>
    <mergeCell ref="P86:R86"/>
    <mergeCell ref="P87:R87"/>
    <mergeCell ref="W53:Z53"/>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67:V67"/>
    <mergeCell ref="U68:V68"/>
    <mergeCell ref="C111:D111"/>
    <mergeCell ref="C112:D112"/>
    <mergeCell ref="U95:V95"/>
    <mergeCell ref="U96:V96"/>
    <mergeCell ref="U88:V88"/>
    <mergeCell ref="U89:V89"/>
    <mergeCell ref="U90:V90"/>
    <mergeCell ref="U91:V91"/>
    <mergeCell ref="U92:V92"/>
    <mergeCell ref="U93:V93"/>
    <mergeCell ref="U94:V94"/>
    <mergeCell ref="U32:V32"/>
    <mergeCell ref="U33:V33"/>
    <mergeCell ref="U34:V34"/>
    <mergeCell ref="U35:V35"/>
    <mergeCell ref="U36:V36"/>
    <mergeCell ref="U37:V37"/>
    <mergeCell ref="U38:V38"/>
    <mergeCell ref="U47:V47"/>
    <mergeCell ref="U48:V48"/>
    <mergeCell ref="U49:V49"/>
    <mergeCell ref="U50:V50"/>
    <mergeCell ref="U51:V51"/>
    <mergeCell ref="T52:V52"/>
    <mergeCell ref="U69:V69"/>
    <mergeCell ref="U70:V70"/>
    <mergeCell ref="U71:V71"/>
    <mergeCell ref="U72:V72"/>
    <mergeCell ref="U73:V73"/>
    <mergeCell ref="U74:V74"/>
    <mergeCell ref="U75:V75"/>
    <mergeCell ref="U76:V76"/>
    <mergeCell ref="C91:D91"/>
    <mergeCell ref="K95:M95"/>
    <mergeCell ref="K96:M96"/>
    <mergeCell ref="K91:M91"/>
    <mergeCell ref="B92:M92"/>
    <mergeCell ref="B93:M93"/>
    <mergeCell ref="C94:D94"/>
    <mergeCell ref="K94:M94"/>
    <mergeCell ref="C95:D95"/>
    <mergeCell ref="C96:D96"/>
    <mergeCell ref="K100:M100"/>
    <mergeCell ref="K101:M101"/>
    <mergeCell ref="C97:D97"/>
    <mergeCell ref="K97:M97"/>
    <mergeCell ref="C98:D98"/>
    <mergeCell ref="K98:M98"/>
    <mergeCell ref="B99:M99"/>
    <mergeCell ref="C100:D100"/>
    <mergeCell ref="C101:D101"/>
    <mergeCell ref="C117:D117"/>
    <mergeCell ref="C118:D118"/>
    <mergeCell ref="C120:D120"/>
    <mergeCell ref="C121:D121"/>
    <mergeCell ref="C122:D122"/>
    <mergeCell ref="K117:M117"/>
    <mergeCell ref="K118:M118"/>
    <mergeCell ref="B119:M119"/>
    <mergeCell ref="K120:M120"/>
    <mergeCell ref="K121:M121"/>
    <mergeCell ref="K122:M122"/>
    <mergeCell ref="B123:M123"/>
    <mergeCell ref="B124:M124"/>
    <mergeCell ref="K112:M112"/>
    <mergeCell ref="B113:M113"/>
    <mergeCell ref="C114:D114"/>
    <mergeCell ref="K114:M114"/>
    <mergeCell ref="C115:D115"/>
    <mergeCell ref="K115:M115"/>
    <mergeCell ref="K116:M116"/>
    <mergeCell ref="K60:M60"/>
    <mergeCell ref="K61:M61"/>
    <mergeCell ref="K62:M62"/>
    <mergeCell ref="K63:M63"/>
    <mergeCell ref="K64:M64"/>
    <mergeCell ref="K65:M65"/>
    <mergeCell ref="K66:M66"/>
    <mergeCell ref="B67:M67"/>
    <mergeCell ref="C86:D86"/>
    <mergeCell ref="C87:D87"/>
    <mergeCell ref="K106:M106"/>
    <mergeCell ref="K107:M107"/>
    <mergeCell ref="C103:D103"/>
    <mergeCell ref="K103:M103"/>
    <mergeCell ref="B104:M104"/>
    <mergeCell ref="C105:D105"/>
    <mergeCell ref="K105:M105"/>
    <mergeCell ref="C106:D106"/>
    <mergeCell ref="C107:D107"/>
    <mergeCell ref="K82:M82"/>
    <mergeCell ref="K83:M83"/>
    <mergeCell ref="C84:D84"/>
    <mergeCell ref="K84:M84"/>
    <mergeCell ref="C85:D85"/>
    <mergeCell ref="K85:M85"/>
    <mergeCell ref="K86:M86"/>
    <mergeCell ref="K87:M87"/>
    <mergeCell ref="B88:M88"/>
    <mergeCell ref="C89:D89"/>
    <mergeCell ref="K89:M89"/>
    <mergeCell ref="C90:D90"/>
    <mergeCell ref="K90:M90"/>
    <mergeCell ref="K42:M42"/>
    <mergeCell ref="K43:M43"/>
    <mergeCell ref="K44:M44"/>
    <mergeCell ref="B47:M47"/>
    <mergeCell ref="K46:M46"/>
    <mergeCell ref="K48:M48"/>
    <mergeCell ref="K49:M49"/>
    <mergeCell ref="K50:M50"/>
    <mergeCell ref="K51:M51"/>
    <mergeCell ref="K52:M52"/>
    <mergeCell ref="K53:M53"/>
    <mergeCell ref="K54:M54"/>
    <mergeCell ref="K55:M55"/>
    <mergeCell ref="K56:M56"/>
    <mergeCell ref="K57:M57"/>
    <mergeCell ref="K58:M58"/>
    <mergeCell ref="B59:M59"/>
    <mergeCell ref="C48:D48"/>
    <mergeCell ref="C49:D49"/>
    <mergeCell ref="C50:D50"/>
    <mergeCell ref="C51:D51"/>
    <mergeCell ref="C52:D52"/>
    <mergeCell ref="C53:D53"/>
    <mergeCell ref="C54:D54"/>
    <mergeCell ref="C55:D55"/>
    <mergeCell ref="C56:D56"/>
    <mergeCell ref="C57:D57"/>
    <mergeCell ref="C58:D58"/>
    <mergeCell ref="K25:M25"/>
    <mergeCell ref="K26:M26"/>
    <mergeCell ref="K27:M27"/>
    <mergeCell ref="K28:M28"/>
    <mergeCell ref="B29:M29"/>
    <mergeCell ref="K30:M30"/>
    <mergeCell ref="K31:M31"/>
    <mergeCell ref="K32:M32"/>
    <mergeCell ref="B33:M33"/>
    <mergeCell ref="B34:M34"/>
    <mergeCell ref="K35:M35"/>
    <mergeCell ref="K36:M36"/>
    <mergeCell ref="K37:M37"/>
    <mergeCell ref="K38:M38"/>
    <mergeCell ref="K39:M39"/>
    <mergeCell ref="B40:M40"/>
    <mergeCell ref="K41:M41"/>
    <mergeCell ref="K285:M285"/>
    <mergeCell ref="K286:M286"/>
    <mergeCell ref="B287:M287"/>
    <mergeCell ref="K288:M288"/>
    <mergeCell ref="K289:M289"/>
    <mergeCell ref="K290:M290"/>
    <mergeCell ref="K291:M291"/>
    <mergeCell ref="C310:D310"/>
    <mergeCell ref="C311:D311"/>
    <mergeCell ref="C312:D312"/>
    <mergeCell ref="K68:M68"/>
    <mergeCell ref="B69:M69"/>
    <mergeCell ref="K70:M70"/>
    <mergeCell ref="K71:M71"/>
    <mergeCell ref="K72:M72"/>
    <mergeCell ref="K73:M73"/>
    <mergeCell ref="K74:M74"/>
    <mergeCell ref="B75:M75"/>
    <mergeCell ref="B76:M76"/>
    <mergeCell ref="K77:M77"/>
    <mergeCell ref="K78:M78"/>
    <mergeCell ref="K79:M79"/>
    <mergeCell ref="B80:M80"/>
    <mergeCell ref="K81:M81"/>
    <mergeCell ref="C108:D108"/>
    <mergeCell ref="K108:M108"/>
    <mergeCell ref="C109:D109"/>
    <mergeCell ref="K109:M109"/>
    <mergeCell ref="C110:D110"/>
    <mergeCell ref="K110:M110"/>
    <mergeCell ref="K111:M111"/>
    <mergeCell ref="C116:D116"/>
    <mergeCell ref="C270:D270"/>
    <mergeCell ref="B271:M271"/>
    <mergeCell ref="B272:M272"/>
    <mergeCell ref="C273:D273"/>
    <mergeCell ref="K273:M273"/>
    <mergeCell ref="C274:D274"/>
    <mergeCell ref="K274:M274"/>
    <mergeCell ref="B278:M278"/>
    <mergeCell ref="B284:M284"/>
    <mergeCell ref="K275:M275"/>
    <mergeCell ref="K277:M277"/>
    <mergeCell ref="K279:M279"/>
    <mergeCell ref="K280:M280"/>
    <mergeCell ref="K281:M281"/>
    <mergeCell ref="K282:M282"/>
    <mergeCell ref="K283:M283"/>
    <mergeCell ref="K295:M295"/>
    <mergeCell ref="C286:D286"/>
    <mergeCell ref="C288:D288"/>
    <mergeCell ref="C289:D289"/>
    <mergeCell ref="C290:D290"/>
    <mergeCell ref="C291:D291"/>
    <mergeCell ref="C292:D292"/>
    <mergeCell ref="A293:D293"/>
    <mergeCell ref="C295:D295"/>
    <mergeCell ref="C277:D277"/>
    <mergeCell ref="C279:D279"/>
    <mergeCell ref="C280:D280"/>
    <mergeCell ref="C281:D281"/>
    <mergeCell ref="C282:D282"/>
    <mergeCell ref="C283:D283"/>
    <mergeCell ref="C285:D285"/>
    <mergeCell ref="B308:M308"/>
    <mergeCell ref="C309:D309"/>
    <mergeCell ref="K309:M309"/>
    <mergeCell ref="K310:M310"/>
    <mergeCell ref="C315:D315"/>
    <mergeCell ref="C316:D316"/>
    <mergeCell ref="C319:D319"/>
    <mergeCell ref="C320:D320"/>
    <mergeCell ref="C321:D321"/>
    <mergeCell ref="C322:D322"/>
    <mergeCell ref="C323:D323"/>
    <mergeCell ref="C324:D324"/>
    <mergeCell ref="K311:M311"/>
    <mergeCell ref="K312:M312"/>
    <mergeCell ref="C313:D313"/>
    <mergeCell ref="K313:M313"/>
    <mergeCell ref="C314:D314"/>
    <mergeCell ref="K314:M314"/>
    <mergeCell ref="K315:M315"/>
    <mergeCell ref="K323:M323"/>
    <mergeCell ref="K324:M324"/>
    <mergeCell ref="K316:M316"/>
    <mergeCell ref="B317:M317"/>
    <mergeCell ref="B318:M318"/>
    <mergeCell ref="K319:M319"/>
    <mergeCell ref="K320:M320"/>
    <mergeCell ref="K321:M321"/>
    <mergeCell ref="K322:M322"/>
    <mergeCell ref="P288:R288"/>
    <mergeCell ref="P289:R289"/>
    <mergeCell ref="P290:R290"/>
    <mergeCell ref="P291:R291"/>
    <mergeCell ref="P292:R292"/>
    <mergeCell ref="O295:R295"/>
    <mergeCell ref="P296:R296"/>
    <mergeCell ref="P297:R297"/>
    <mergeCell ref="P298:R298"/>
    <mergeCell ref="P299:R299"/>
    <mergeCell ref="O300:R300"/>
    <mergeCell ref="P301:R301"/>
    <mergeCell ref="K306:M306"/>
    <mergeCell ref="K307:M307"/>
    <mergeCell ref="C302:D302"/>
    <mergeCell ref="K302:M302"/>
    <mergeCell ref="C303:D303"/>
    <mergeCell ref="K303:M303"/>
    <mergeCell ref="C304:D304"/>
    <mergeCell ref="K304:M304"/>
    <mergeCell ref="K305:M305"/>
    <mergeCell ref="C305:D305"/>
    <mergeCell ref="C306:D306"/>
    <mergeCell ref="C307:D307"/>
    <mergeCell ref="U302:V302"/>
    <mergeCell ref="U292:V292"/>
    <mergeCell ref="T295:V295"/>
    <mergeCell ref="U296:V296"/>
    <mergeCell ref="U297:V297"/>
    <mergeCell ref="U298:V298"/>
    <mergeCell ref="U299:V299"/>
    <mergeCell ref="U300:V300"/>
    <mergeCell ref="P275:R275"/>
    <mergeCell ref="K276:M276"/>
    <mergeCell ref="P276:R276"/>
    <mergeCell ref="U276:V276"/>
    <mergeCell ref="O277:R277"/>
    <mergeCell ref="U277:V277"/>
    <mergeCell ref="U278:V278"/>
    <mergeCell ref="U281:V281"/>
    <mergeCell ref="U282:V282"/>
    <mergeCell ref="P278:R278"/>
    <mergeCell ref="P279:R279"/>
    <mergeCell ref="U279:V279"/>
    <mergeCell ref="P280:R280"/>
    <mergeCell ref="U280:V280"/>
    <mergeCell ref="P281:R281"/>
    <mergeCell ref="P282:R282"/>
    <mergeCell ref="P283:R283"/>
    <mergeCell ref="U283:V283"/>
    <mergeCell ref="P284:R284"/>
    <mergeCell ref="U284:V284"/>
    <mergeCell ref="P285:R285"/>
    <mergeCell ref="U285:V285"/>
    <mergeCell ref="U286:V286"/>
    <mergeCell ref="U287:V287"/>
    <mergeCell ref="U271:V271"/>
    <mergeCell ref="X271:Z271"/>
    <mergeCell ref="U272:V272"/>
    <mergeCell ref="X272:Z272"/>
    <mergeCell ref="U273:V273"/>
    <mergeCell ref="C275:D275"/>
    <mergeCell ref="C276:D276"/>
    <mergeCell ref="K266:M269"/>
    <mergeCell ref="K270:M270"/>
    <mergeCell ref="P270:R270"/>
    <mergeCell ref="O271:R271"/>
    <mergeCell ref="O272:R272"/>
    <mergeCell ref="P273:R273"/>
    <mergeCell ref="P274:R274"/>
    <mergeCell ref="K300:M300"/>
    <mergeCell ref="K301:M301"/>
    <mergeCell ref="K292:M292"/>
    <mergeCell ref="B296:M296"/>
    <mergeCell ref="B297:M297"/>
    <mergeCell ref="B298:M298"/>
    <mergeCell ref="B299:M299"/>
    <mergeCell ref="C300:D300"/>
    <mergeCell ref="C301:D301"/>
    <mergeCell ref="U301:V301"/>
    <mergeCell ref="U288:V288"/>
    <mergeCell ref="U289:V289"/>
    <mergeCell ref="U290:V290"/>
    <mergeCell ref="U291:V291"/>
    <mergeCell ref="E293:AA293"/>
    <mergeCell ref="A294:AA294"/>
    <mergeCell ref="P286:R286"/>
    <mergeCell ref="P287:R287"/>
    <mergeCell ref="X273:X275"/>
    <mergeCell ref="Y273:Y275"/>
    <mergeCell ref="Z273:Z275"/>
    <mergeCell ref="U274:V274"/>
    <mergeCell ref="U275:V275"/>
    <mergeCell ref="U264:V264"/>
    <mergeCell ref="U265:V265"/>
    <mergeCell ref="U266:V266"/>
    <mergeCell ref="U267:V267"/>
    <mergeCell ref="U268:V268"/>
    <mergeCell ref="U269:V269"/>
    <mergeCell ref="U270:V270"/>
    <mergeCell ref="K253:M253"/>
    <mergeCell ref="K255:M255"/>
    <mergeCell ref="C253:D253"/>
    <mergeCell ref="P253:R253"/>
    <mergeCell ref="U253:V253"/>
    <mergeCell ref="B254:M254"/>
    <mergeCell ref="P254:R254"/>
    <mergeCell ref="C255:D255"/>
    <mergeCell ref="P255:R255"/>
    <mergeCell ref="K256:M256"/>
    <mergeCell ref="K258:M258"/>
    <mergeCell ref="K263:M263"/>
    <mergeCell ref="K264:M264"/>
    <mergeCell ref="C256:D256"/>
    <mergeCell ref="P256:R256"/>
    <mergeCell ref="U256:V256"/>
    <mergeCell ref="B257:M257"/>
    <mergeCell ref="P257:R257"/>
    <mergeCell ref="C258:D258"/>
    <mergeCell ref="P258:R258"/>
    <mergeCell ref="U255:V255"/>
    <mergeCell ref="K261:M261"/>
    <mergeCell ref="K262:M262"/>
    <mergeCell ref="C259:D259"/>
    <mergeCell ref="K259:M259"/>
    <mergeCell ref="P259:R259"/>
    <mergeCell ref="C260:D260"/>
    <mergeCell ref="K260:M260"/>
    <mergeCell ref="C261:D261"/>
    <mergeCell ref="P262:R262"/>
    <mergeCell ref="P268:R268"/>
    <mergeCell ref="P269:R269"/>
    <mergeCell ref="P260:R260"/>
    <mergeCell ref="P261:R261"/>
    <mergeCell ref="P263:R263"/>
    <mergeCell ref="P264:R264"/>
    <mergeCell ref="P265:R265"/>
    <mergeCell ref="P266:R266"/>
    <mergeCell ref="P267:R267"/>
    <mergeCell ref="U257:V257"/>
    <mergeCell ref="U258:V258"/>
    <mergeCell ref="U259:V259"/>
    <mergeCell ref="U260:V260"/>
    <mergeCell ref="U261:V261"/>
    <mergeCell ref="U262:V262"/>
    <mergeCell ref="U263:V263"/>
    <mergeCell ref="C262:D262"/>
    <mergeCell ref="C263:D263"/>
    <mergeCell ref="C264:D264"/>
    <mergeCell ref="B265:M265"/>
    <mergeCell ref="B266:B269"/>
    <mergeCell ref="C266:D269"/>
    <mergeCell ref="U237:V237"/>
    <mergeCell ref="U238:V238"/>
    <mergeCell ref="U239:V239"/>
    <mergeCell ref="U240:V240"/>
    <mergeCell ref="U241:V241"/>
    <mergeCell ref="K240:M240"/>
    <mergeCell ref="K241:M241"/>
    <mergeCell ref="K242:M242"/>
    <mergeCell ref="K243:M243"/>
    <mergeCell ref="B244:M244"/>
    <mergeCell ref="K245:M245"/>
    <mergeCell ref="K246:M246"/>
    <mergeCell ref="P250:R250"/>
    <mergeCell ref="P251:R251"/>
    <mergeCell ref="P252:R252"/>
    <mergeCell ref="U252:V252"/>
    <mergeCell ref="U254:V254"/>
    <mergeCell ref="K251:M251"/>
    <mergeCell ref="K252:M252"/>
    <mergeCell ref="K247:M247"/>
    <mergeCell ref="K248:M248"/>
    <mergeCell ref="K249:M249"/>
    <mergeCell ref="C250:D250"/>
    <mergeCell ref="K250:M250"/>
    <mergeCell ref="C251:D251"/>
    <mergeCell ref="C252:D252"/>
    <mergeCell ref="U218:V218"/>
    <mergeCell ref="U219:V219"/>
    <mergeCell ref="U220:V220"/>
    <mergeCell ref="U221:V221"/>
    <mergeCell ref="U222:V222"/>
    <mergeCell ref="U223:V223"/>
    <mergeCell ref="U224:V224"/>
    <mergeCell ref="U225:V225"/>
    <mergeCell ref="U226:V226"/>
    <mergeCell ref="A234:AA234"/>
    <mergeCell ref="K235:M235"/>
    <mergeCell ref="O235:R235"/>
    <mergeCell ref="B236:M236"/>
    <mergeCell ref="P236:R236"/>
    <mergeCell ref="K237:M237"/>
    <mergeCell ref="O237:R237"/>
    <mergeCell ref="K238:M238"/>
    <mergeCell ref="P238:R238"/>
    <mergeCell ref="K239:M239"/>
    <mergeCell ref="P239:R239"/>
    <mergeCell ref="P240:R240"/>
    <mergeCell ref="T235:V235"/>
    <mergeCell ref="U236:V236"/>
    <mergeCell ref="O248:R248"/>
    <mergeCell ref="P249:R249"/>
    <mergeCell ref="O241:R241"/>
    <mergeCell ref="P242:R242"/>
    <mergeCell ref="P243:R243"/>
    <mergeCell ref="P244:R244"/>
    <mergeCell ref="P245:R245"/>
    <mergeCell ref="P246:R246"/>
    <mergeCell ref="P247:R247"/>
    <mergeCell ref="U250:V250"/>
    <mergeCell ref="U251:V251"/>
    <mergeCell ref="U242:V242"/>
    <mergeCell ref="U243:V243"/>
    <mergeCell ref="U244:V244"/>
    <mergeCell ref="U245:V245"/>
    <mergeCell ref="U246:V246"/>
    <mergeCell ref="U247:V247"/>
    <mergeCell ref="U248:V248"/>
    <mergeCell ref="C190:D190"/>
    <mergeCell ref="C191:D191"/>
    <mergeCell ref="C192:D192"/>
    <mergeCell ref="C193:D193"/>
    <mergeCell ref="C194:D194"/>
    <mergeCell ref="C196:D196"/>
    <mergeCell ref="C197:D197"/>
    <mergeCell ref="C198:D198"/>
    <mergeCell ref="C199:D199"/>
    <mergeCell ref="C200:D200"/>
    <mergeCell ref="C201:D201"/>
    <mergeCell ref="C202:D202"/>
    <mergeCell ref="C204:D204"/>
    <mergeCell ref="C205:D205"/>
    <mergeCell ref="C208:D208"/>
    <mergeCell ref="C209:D209"/>
    <mergeCell ref="C210:D210"/>
    <mergeCell ref="C245:D245"/>
    <mergeCell ref="C246:D246"/>
    <mergeCell ref="C247:D247"/>
    <mergeCell ref="C248:D248"/>
    <mergeCell ref="C249:D249"/>
    <mergeCell ref="U249:V249"/>
    <mergeCell ref="C235:D235"/>
    <mergeCell ref="C237:D237"/>
    <mergeCell ref="C238:D238"/>
    <mergeCell ref="C239:D239"/>
    <mergeCell ref="C240:D240"/>
    <mergeCell ref="C241:D241"/>
    <mergeCell ref="C242:D242"/>
    <mergeCell ref="C161:D161"/>
    <mergeCell ref="C162:D162"/>
    <mergeCell ref="C163:D163"/>
    <mergeCell ref="C164:D164"/>
    <mergeCell ref="C165:D165"/>
    <mergeCell ref="C166:D166"/>
    <mergeCell ref="C169:D169"/>
    <mergeCell ref="C170:D170"/>
    <mergeCell ref="C171:D171"/>
    <mergeCell ref="C172:D172"/>
    <mergeCell ref="C173:D173"/>
    <mergeCell ref="C174:D174"/>
    <mergeCell ref="C175:D175"/>
    <mergeCell ref="C176:D176"/>
    <mergeCell ref="C178:D178"/>
    <mergeCell ref="C179:D179"/>
    <mergeCell ref="C180:D180"/>
    <mergeCell ref="C182:D182"/>
    <mergeCell ref="C189:D189"/>
    <mergeCell ref="K208:M208"/>
    <mergeCell ref="K209:M209"/>
    <mergeCell ref="K210:M210"/>
    <mergeCell ref="K219:M219"/>
    <mergeCell ref="K222:M222"/>
    <mergeCell ref="K223:M223"/>
    <mergeCell ref="K224:M224"/>
    <mergeCell ref="K225:M225"/>
    <mergeCell ref="K226:M226"/>
    <mergeCell ref="K211:M211"/>
    <mergeCell ref="K212:M212"/>
    <mergeCell ref="K213:M213"/>
    <mergeCell ref="K214:M214"/>
    <mergeCell ref="K216:M216"/>
    <mergeCell ref="K217:M217"/>
    <mergeCell ref="K218:M218"/>
    <mergeCell ref="C243:D243"/>
    <mergeCell ref="C211:D211"/>
    <mergeCell ref="C212:D212"/>
    <mergeCell ref="C213:D213"/>
    <mergeCell ref="C214:D214"/>
    <mergeCell ref="C216:D216"/>
    <mergeCell ref="C217:D217"/>
    <mergeCell ref="C218:D218"/>
    <mergeCell ref="C219:D219"/>
    <mergeCell ref="C222:D222"/>
    <mergeCell ref="C223:D223"/>
    <mergeCell ref="C224:D224"/>
    <mergeCell ref="C225:D225"/>
    <mergeCell ref="C226:D226"/>
    <mergeCell ref="K180:M180"/>
    <mergeCell ref="K182:M182"/>
    <mergeCell ref="K189:M189"/>
    <mergeCell ref="K190:M190"/>
    <mergeCell ref="K191:M191"/>
    <mergeCell ref="K192:M192"/>
    <mergeCell ref="K193:M193"/>
    <mergeCell ref="K194:M194"/>
    <mergeCell ref="K196:M196"/>
    <mergeCell ref="K197:M197"/>
    <mergeCell ref="K198:M198"/>
    <mergeCell ref="K199:M199"/>
    <mergeCell ref="K200:M200"/>
    <mergeCell ref="K201:M201"/>
    <mergeCell ref="K202:M202"/>
    <mergeCell ref="K204:M204"/>
    <mergeCell ref="K205:M205"/>
    <mergeCell ref="U170:V170"/>
    <mergeCell ref="U171:V171"/>
    <mergeCell ref="O167:R167"/>
    <mergeCell ref="O168:R168"/>
    <mergeCell ref="U168:V168"/>
    <mergeCell ref="P169:R169"/>
    <mergeCell ref="U169:V169"/>
    <mergeCell ref="P170:R170"/>
    <mergeCell ref="P171:R171"/>
    <mergeCell ref="K169:M169"/>
    <mergeCell ref="K170:M170"/>
    <mergeCell ref="K171:M171"/>
    <mergeCell ref="K172:M172"/>
    <mergeCell ref="K173:M173"/>
    <mergeCell ref="K174:M174"/>
    <mergeCell ref="K175:M175"/>
    <mergeCell ref="K179:M179"/>
    <mergeCell ref="P179:R179"/>
    <mergeCell ref="U179:V179"/>
    <mergeCell ref="P149:R149"/>
    <mergeCell ref="P150:R150"/>
    <mergeCell ref="P151:R151"/>
    <mergeCell ref="U151:V151"/>
    <mergeCell ref="O152:R152"/>
    <mergeCell ref="P153:R153"/>
    <mergeCell ref="C144:D144"/>
    <mergeCell ref="A145:D145"/>
    <mergeCell ref="E145:AA145"/>
    <mergeCell ref="A146:AA146"/>
    <mergeCell ref="C147:D147"/>
    <mergeCell ref="K147:M147"/>
    <mergeCell ref="U148:V148"/>
    <mergeCell ref="K152:M152"/>
    <mergeCell ref="K153:M153"/>
    <mergeCell ref="B148:M148"/>
    <mergeCell ref="B149:M149"/>
    <mergeCell ref="B150:M150"/>
    <mergeCell ref="C151:D151"/>
    <mergeCell ref="K151:M151"/>
    <mergeCell ref="C152:D152"/>
    <mergeCell ref="C153:D153"/>
    <mergeCell ref="K136:M136"/>
    <mergeCell ref="K137:M137"/>
    <mergeCell ref="P137:R137"/>
    <mergeCell ref="K138:M138"/>
    <mergeCell ref="P138:R138"/>
    <mergeCell ref="K139:M139"/>
    <mergeCell ref="K140:M140"/>
    <mergeCell ref="U142:V142"/>
    <mergeCell ref="U143:V143"/>
    <mergeCell ref="K143:M143"/>
    <mergeCell ref="K144:M144"/>
    <mergeCell ref="K141:M141"/>
    <mergeCell ref="P141:R141"/>
    <mergeCell ref="B142:M142"/>
    <mergeCell ref="P142:R142"/>
    <mergeCell ref="C143:D143"/>
    <mergeCell ref="P143:R143"/>
    <mergeCell ref="P144:R144"/>
    <mergeCell ref="K129:M129"/>
    <mergeCell ref="P129:R129"/>
    <mergeCell ref="U129:V129"/>
    <mergeCell ref="P130:R130"/>
    <mergeCell ref="U130:V130"/>
    <mergeCell ref="K130:M130"/>
    <mergeCell ref="K131:M131"/>
    <mergeCell ref="O131:R131"/>
    <mergeCell ref="U131:V131"/>
    <mergeCell ref="K132:M132"/>
    <mergeCell ref="U132:V132"/>
    <mergeCell ref="K133:M133"/>
    <mergeCell ref="P132:R132"/>
    <mergeCell ref="P133:R133"/>
    <mergeCell ref="B134:M134"/>
    <mergeCell ref="P134:R134"/>
    <mergeCell ref="K135:M135"/>
    <mergeCell ref="P135:R135"/>
    <mergeCell ref="Y148:Y150"/>
    <mergeCell ref="Z148:Z150"/>
    <mergeCell ref="U149:V149"/>
    <mergeCell ref="U150:V150"/>
    <mergeCell ref="X157:X159"/>
    <mergeCell ref="Y157:Y159"/>
    <mergeCell ref="Z157:Z159"/>
    <mergeCell ref="X148:X150"/>
    <mergeCell ref="X151:X153"/>
    <mergeCell ref="Y151:Y153"/>
    <mergeCell ref="Z151:Z153"/>
    <mergeCell ref="X154:X156"/>
    <mergeCell ref="Y154:Y156"/>
    <mergeCell ref="Z154:Z156"/>
    <mergeCell ref="U123:V123"/>
    <mergeCell ref="U124:V124"/>
    <mergeCell ref="X124:X129"/>
    <mergeCell ref="Y124:Y129"/>
    <mergeCell ref="Z124:Z129"/>
    <mergeCell ref="U125:V125"/>
    <mergeCell ref="U126:V126"/>
    <mergeCell ref="U127:V127"/>
    <mergeCell ref="U128:V128"/>
    <mergeCell ref="T147:V147"/>
    <mergeCell ref="X147:Z147"/>
    <mergeCell ref="P233:R233"/>
    <mergeCell ref="U231:V231"/>
    <mergeCell ref="U232:V232"/>
    <mergeCell ref="U233:V233"/>
    <mergeCell ref="P226:R226"/>
    <mergeCell ref="P227:R227"/>
    <mergeCell ref="U227:V227"/>
    <mergeCell ref="U228:V228"/>
    <mergeCell ref="P229:R229"/>
    <mergeCell ref="U229:V229"/>
    <mergeCell ref="U230:V230"/>
    <mergeCell ref="U133:V133"/>
    <mergeCell ref="U134:V134"/>
    <mergeCell ref="U135:V135"/>
    <mergeCell ref="U136:V136"/>
    <mergeCell ref="U137:V137"/>
    <mergeCell ref="U138:V138"/>
    <mergeCell ref="U139:V139"/>
    <mergeCell ref="U152:V152"/>
    <mergeCell ref="U153:V153"/>
    <mergeCell ref="U155:V155"/>
    <mergeCell ref="U156:V156"/>
    <mergeCell ref="U158:V158"/>
    <mergeCell ref="U159:V159"/>
    <mergeCell ref="U140:V140"/>
    <mergeCell ref="U141:V141"/>
    <mergeCell ref="U144:V144"/>
    <mergeCell ref="P136:R136"/>
    <mergeCell ref="P139:R139"/>
    <mergeCell ref="P140:R140"/>
    <mergeCell ref="O147:R147"/>
    <mergeCell ref="P148:R148"/>
    <mergeCell ref="P219:R219"/>
    <mergeCell ref="B220:M220"/>
    <mergeCell ref="O220:R220"/>
    <mergeCell ref="B221:M221"/>
    <mergeCell ref="K227:M227"/>
    <mergeCell ref="K228:M228"/>
    <mergeCell ref="K229:M229"/>
    <mergeCell ref="O221:R221"/>
    <mergeCell ref="P222:R222"/>
    <mergeCell ref="P223:R223"/>
    <mergeCell ref="P224:R224"/>
    <mergeCell ref="P225:R225"/>
    <mergeCell ref="C227:D227"/>
    <mergeCell ref="P228:R228"/>
    <mergeCell ref="P230:R230"/>
    <mergeCell ref="P231:R231"/>
    <mergeCell ref="P232:R232"/>
    <mergeCell ref="O207:R207"/>
    <mergeCell ref="P208:R208"/>
    <mergeCell ref="U208:V208"/>
    <mergeCell ref="P209:R209"/>
    <mergeCell ref="U209:V209"/>
    <mergeCell ref="U210:V210"/>
    <mergeCell ref="U211:V211"/>
    <mergeCell ref="U212:V212"/>
    <mergeCell ref="U213:V213"/>
    <mergeCell ref="U214:V214"/>
    <mergeCell ref="U215:V215"/>
    <mergeCell ref="U216:V216"/>
    <mergeCell ref="U217:V217"/>
    <mergeCell ref="K232:M232"/>
    <mergeCell ref="K233:M233"/>
    <mergeCell ref="C228:D228"/>
    <mergeCell ref="C229:D229"/>
    <mergeCell ref="B230:M230"/>
    <mergeCell ref="C231:D231"/>
    <mergeCell ref="K231:M231"/>
    <mergeCell ref="C232:D232"/>
    <mergeCell ref="C233:D233"/>
    <mergeCell ref="P210:R210"/>
    <mergeCell ref="P211:R211"/>
    <mergeCell ref="P212:R212"/>
    <mergeCell ref="P213:R213"/>
    <mergeCell ref="P214:R214"/>
    <mergeCell ref="B215:M215"/>
    <mergeCell ref="P215:R215"/>
    <mergeCell ref="P216:R216"/>
    <mergeCell ref="P217:R217"/>
    <mergeCell ref="P218:R218"/>
    <mergeCell ref="U1106:V1106"/>
    <mergeCell ref="U1107:V1107"/>
    <mergeCell ref="P191:R191"/>
    <mergeCell ref="P192:R192"/>
    <mergeCell ref="O193:R193"/>
    <mergeCell ref="P194:R194"/>
    <mergeCell ref="B195:M195"/>
    <mergeCell ref="P195:R195"/>
    <mergeCell ref="P196:R196"/>
    <mergeCell ref="U200:V200"/>
    <mergeCell ref="U201:V201"/>
    <mergeCell ref="P202:R202"/>
    <mergeCell ref="U202:V202"/>
    <mergeCell ref="B203:M203"/>
    <mergeCell ref="P203:R203"/>
    <mergeCell ref="U203:V203"/>
    <mergeCell ref="P197:R197"/>
    <mergeCell ref="P198:R198"/>
    <mergeCell ref="U198:V198"/>
    <mergeCell ref="P199:R199"/>
    <mergeCell ref="U199:V199"/>
    <mergeCell ref="P200:R200"/>
    <mergeCell ref="P201:R201"/>
    <mergeCell ref="P204:R204"/>
    <mergeCell ref="U204:V204"/>
    <mergeCell ref="P205:R205"/>
    <mergeCell ref="U205:V205"/>
    <mergeCell ref="B206:M206"/>
    <mergeCell ref="U206:V206"/>
    <mergeCell ref="B207:M207"/>
    <mergeCell ref="U207:V207"/>
    <mergeCell ref="O206:R206"/>
    <mergeCell ref="K1093:M1093"/>
    <mergeCell ref="B1094:M1094"/>
    <mergeCell ref="K1095:M1095"/>
    <mergeCell ref="C1088:D1088"/>
    <mergeCell ref="C1089:D1089"/>
    <mergeCell ref="C1090:D1090"/>
    <mergeCell ref="C1091:D1091"/>
    <mergeCell ref="C1092:D1092"/>
    <mergeCell ref="C1093:D1093"/>
    <mergeCell ref="C1095:D1095"/>
    <mergeCell ref="K1096:M1096"/>
    <mergeCell ref="B1097:M1097"/>
    <mergeCell ref="K1098:M1098"/>
    <mergeCell ref="K1099:M1099"/>
    <mergeCell ref="K1100:M1100"/>
    <mergeCell ref="P1101:R1101"/>
    <mergeCell ref="U1101:V1101"/>
    <mergeCell ref="P1088:R1088"/>
    <mergeCell ref="P1089:R1089"/>
    <mergeCell ref="P1090:R1090"/>
    <mergeCell ref="O1091:R1091"/>
    <mergeCell ref="P1092:R1092"/>
    <mergeCell ref="P1093:R1093"/>
    <mergeCell ref="P1094:R1094"/>
    <mergeCell ref="O1095:R1095"/>
    <mergeCell ref="U1099:V1099"/>
    <mergeCell ref="U1100:V1100"/>
    <mergeCell ref="P1096:R1096"/>
    <mergeCell ref="P1097:R1097"/>
    <mergeCell ref="U1097:V1097"/>
    <mergeCell ref="P1098:R1098"/>
    <mergeCell ref="U1098:V1098"/>
    <mergeCell ref="B1071:M1071"/>
    <mergeCell ref="A1080:D1080"/>
    <mergeCell ref="E1080:AA1080"/>
    <mergeCell ref="A1081:AA1081"/>
    <mergeCell ref="C1082:D1082"/>
    <mergeCell ref="K1082:M1082"/>
    <mergeCell ref="U1083:V1083"/>
    <mergeCell ref="B1083:M1083"/>
    <mergeCell ref="B1084:M1084"/>
    <mergeCell ref="B1085:M1085"/>
    <mergeCell ref="B1086:M1086"/>
    <mergeCell ref="C1087:D1087"/>
    <mergeCell ref="K1087:M1087"/>
    <mergeCell ref="K1088:M1088"/>
    <mergeCell ref="U1091:V1091"/>
    <mergeCell ref="U1092:V1092"/>
    <mergeCell ref="X1092:Z1092"/>
    <mergeCell ref="K1089:M1089"/>
    <mergeCell ref="K1090:M1090"/>
    <mergeCell ref="K1091:M1091"/>
    <mergeCell ref="K1092:M1092"/>
    <mergeCell ref="U1078:V1078"/>
    <mergeCell ref="P1074:R1074"/>
    <mergeCell ref="P1075:R1075"/>
    <mergeCell ref="U1079:V1079"/>
    <mergeCell ref="O1082:R1082"/>
    <mergeCell ref="P1083:R1083"/>
    <mergeCell ref="P1084:R1084"/>
    <mergeCell ref="P1085:R1085"/>
    <mergeCell ref="O1086:R1086"/>
    <mergeCell ref="P1087:R1087"/>
    <mergeCell ref="U1013:V1013"/>
    <mergeCell ref="T1082:V1082"/>
    <mergeCell ref="X1082:Z1082"/>
    <mergeCell ref="X1083:X1086"/>
    <mergeCell ref="Y1083:Y1086"/>
    <mergeCell ref="Z1083:Z1086"/>
    <mergeCell ref="U1084:V1084"/>
    <mergeCell ref="U1085:V1085"/>
    <mergeCell ref="X1093:X1096"/>
    <mergeCell ref="Y1093:Y1096"/>
    <mergeCell ref="Z1093:Z1096"/>
    <mergeCell ref="U1094:V1094"/>
    <mergeCell ref="U1095:V1095"/>
    <mergeCell ref="U1096:V1096"/>
    <mergeCell ref="U1086:V1086"/>
    <mergeCell ref="U1087:V1088"/>
    <mergeCell ref="X1087:X1091"/>
    <mergeCell ref="Y1087:Y1091"/>
    <mergeCell ref="Z1087:Z1091"/>
    <mergeCell ref="U1089:V1089"/>
    <mergeCell ref="U1090:V1090"/>
    <mergeCell ref="U1093:V1093"/>
    <mergeCell ref="U1057:V1057"/>
    <mergeCell ref="U1058:V1058"/>
    <mergeCell ref="U1059:V1059"/>
    <mergeCell ref="U1061:V1061"/>
    <mergeCell ref="U1062:V1062"/>
    <mergeCell ref="U1063:V1063"/>
    <mergeCell ref="U1064:V1064"/>
    <mergeCell ref="U1050:V1050"/>
    <mergeCell ref="U1051:V1051"/>
    <mergeCell ref="U1052:V1052"/>
    <mergeCell ref="U994:V994"/>
    <mergeCell ref="U995:V995"/>
    <mergeCell ref="U996:V996"/>
    <mergeCell ref="U997:V997"/>
    <mergeCell ref="U998:V998"/>
    <mergeCell ref="U999:V999"/>
    <mergeCell ref="U1000:V1000"/>
    <mergeCell ref="U1001:V1001"/>
    <mergeCell ref="U1002:V1002"/>
    <mergeCell ref="U1003:V1003"/>
    <mergeCell ref="U1004:V1004"/>
    <mergeCell ref="U1005:V1005"/>
    <mergeCell ref="U1008:V1008"/>
    <mergeCell ref="U1009:V1009"/>
    <mergeCell ref="U1010:V1010"/>
    <mergeCell ref="U1011:V1011"/>
    <mergeCell ref="U1012:V1012"/>
    <mergeCell ref="U1020:V1020"/>
    <mergeCell ref="U960:V960"/>
    <mergeCell ref="U961:V961"/>
    <mergeCell ref="U962:V962"/>
    <mergeCell ref="U963:V963"/>
    <mergeCell ref="U964:V964"/>
    <mergeCell ref="U965:V965"/>
    <mergeCell ref="U966:V966"/>
    <mergeCell ref="U967:V967"/>
    <mergeCell ref="U968:V968"/>
    <mergeCell ref="U969:V969"/>
    <mergeCell ref="U970:V970"/>
    <mergeCell ref="U971:V971"/>
    <mergeCell ref="U972:V972"/>
    <mergeCell ref="U973:V973"/>
    <mergeCell ref="U977:V977"/>
    <mergeCell ref="U978:V978"/>
    <mergeCell ref="U979:V979"/>
    <mergeCell ref="U980:V980"/>
    <mergeCell ref="U981:V981"/>
    <mergeCell ref="U982:V982"/>
    <mergeCell ref="U983:V983"/>
    <mergeCell ref="U984:V984"/>
    <mergeCell ref="U985:V985"/>
    <mergeCell ref="U986:V986"/>
    <mergeCell ref="U987:V987"/>
    <mergeCell ref="U988:V988"/>
    <mergeCell ref="U989:V989"/>
    <mergeCell ref="U990:V990"/>
    <mergeCell ref="U991:V991"/>
    <mergeCell ref="U992:V992"/>
    <mergeCell ref="U993:V993"/>
    <mergeCell ref="O952:R952"/>
    <mergeCell ref="U952:V952"/>
    <mergeCell ref="P953:R953"/>
    <mergeCell ref="P954:R954"/>
    <mergeCell ref="P956:R956"/>
    <mergeCell ref="U956:V956"/>
    <mergeCell ref="P957:R957"/>
    <mergeCell ref="U957:V957"/>
    <mergeCell ref="P958:R958"/>
    <mergeCell ref="U958:V958"/>
    <mergeCell ref="U959:V959"/>
    <mergeCell ref="P959:R959"/>
    <mergeCell ref="P960:R960"/>
    <mergeCell ref="P961:R961"/>
    <mergeCell ref="P962:R962"/>
    <mergeCell ref="O963:R963"/>
    <mergeCell ref="O964:R964"/>
    <mergeCell ref="K954:M954"/>
    <mergeCell ref="K955:M955"/>
    <mergeCell ref="K956:M956"/>
    <mergeCell ref="K957:M957"/>
    <mergeCell ref="K958:M958"/>
    <mergeCell ref="K959:M959"/>
    <mergeCell ref="B960:M960"/>
    <mergeCell ref="K961:M961"/>
    <mergeCell ref="K962:M962"/>
    <mergeCell ref="B963:M963"/>
    <mergeCell ref="B964:M964"/>
    <mergeCell ref="K965:M965"/>
    <mergeCell ref="K966:M966"/>
    <mergeCell ref="K967:M967"/>
    <mergeCell ref="A975:AA975"/>
    <mergeCell ref="U953:V953"/>
    <mergeCell ref="U954:V954"/>
    <mergeCell ref="P965:R965"/>
    <mergeCell ref="P973:R973"/>
    <mergeCell ref="P974:R974"/>
    <mergeCell ref="P966:R966"/>
    <mergeCell ref="P967:R967"/>
    <mergeCell ref="P968:R968"/>
    <mergeCell ref="P969:R969"/>
    <mergeCell ref="P970:R970"/>
    <mergeCell ref="P971:R971"/>
    <mergeCell ref="P972:R972"/>
    <mergeCell ref="U974:V974"/>
    <mergeCell ref="K847:M847"/>
    <mergeCell ref="P847:R847"/>
    <mergeCell ref="U847:V847"/>
    <mergeCell ref="P848:R848"/>
    <mergeCell ref="P849:R849"/>
    <mergeCell ref="P850:R850"/>
    <mergeCell ref="P851:R851"/>
    <mergeCell ref="U898:V898"/>
    <mergeCell ref="U899:V899"/>
    <mergeCell ref="U891:V891"/>
    <mergeCell ref="U892:V892"/>
    <mergeCell ref="U893:V893"/>
    <mergeCell ref="U894:V894"/>
    <mergeCell ref="U895:V895"/>
    <mergeCell ref="U896:V896"/>
    <mergeCell ref="U897:V897"/>
    <mergeCell ref="U901:V901"/>
    <mergeCell ref="P897:R897"/>
    <mergeCell ref="P898:R898"/>
    <mergeCell ref="P899:R899"/>
    <mergeCell ref="P900:R900"/>
    <mergeCell ref="U900:V900"/>
    <mergeCell ref="P901:R901"/>
    <mergeCell ref="C768:D768"/>
    <mergeCell ref="K768:M768"/>
    <mergeCell ref="P768:R768"/>
    <mergeCell ref="C769:D769"/>
    <mergeCell ref="K769:M769"/>
    <mergeCell ref="P769:R769"/>
    <mergeCell ref="C770:D770"/>
    <mergeCell ref="B776:M776"/>
    <mergeCell ref="O776:R776"/>
    <mergeCell ref="B783:M783"/>
    <mergeCell ref="P783:R783"/>
    <mergeCell ref="E789:AA789"/>
    <mergeCell ref="A790:AA790"/>
    <mergeCell ref="X791:Z791"/>
    <mergeCell ref="T791:V791"/>
    <mergeCell ref="B792:M792"/>
    <mergeCell ref="P792:R792"/>
    <mergeCell ref="U792:V792"/>
    <mergeCell ref="B784:B786"/>
    <mergeCell ref="E784:E786"/>
    <mergeCell ref="C788:D788"/>
    <mergeCell ref="A789:D789"/>
    <mergeCell ref="C791:D791"/>
    <mergeCell ref="U841:V841"/>
    <mergeCell ref="U842:V842"/>
    <mergeCell ref="O842:R842"/>
    <mergeCell ref="P843:R843"/>
    <mergeCell ref="P844:R844"/>
    <mergeCell ref="P845:R845"/>
    <mergeCell ref="P846:R846"/>
    <mergeCell ref="K836:M836"/>
    <mergeCell ref="K837:M837"/>
    <mergeCell ref="K839:M839"/>
    <mergeCell ref="P839:R839"/>
    <mergeCell ref="K840:M840"/>
    <mergeCell ref="P840:R840"/>
    <mergeCell ref="P841:R841"/>
    <mergeCell ref="U843:V843"/>
    <mergeCell ref="U844:V844"/>
    <mergeCell ref="K770:M770"/>
    <mergeCell ref="O770:R770"/>
    <mergeCell ref="B793:M793"/>
    <mergeCell ref="P793:R793"/>
    <mergeCell ref="P794:R794"/>
    <mergeCell ref="P812:R812"/>
    <mergeCell ref="U812:V812"/>
    <mergeCell ref="B794:M794"/>
    <mergeCell ref="B795:M795"/>
    <mergeCell ref="O795:R795"/>
    <mergeCell ref="B804:M804"/>
    <mergeCell ref="O804:R804"/>
    <mergeCell ref="U804:V804"/>
    <mergeCell ref="B812:M812"/>
    <mergeCell ref="C828:D828"/>
    <mergeCell ref="C829:D829"/>
    <mergeCell ref="U848:V848"/>
    <mergeCell ref="U849:V849"/>
    <mergeCell ref="U850:V850"/>
    <mergeCell ref="U851:V851"/>
    <mergeCell ref="U836:V836"/>
    <mergeCell ref="U837:V837"/>
    <mergeCell ref="X838:X852"/>
    <mergeCell ref="Y838:Y852"/>
    <mergeCell ref="Z838:Z852"/>
    <mergeCell ref="U839:V839"/>
    <mergeCell ref="U840:V840"/>
    <mergeCell ref="U852:V852"/>
    <mergeCell ref="X831:Z831"/>
    <mergeCell ref="X832:X834"/>
    <mergeCell ref="Y832:Y834"/>
    <mergeCell ref="Z832:Z834"/>
    <mergeCell ref="K833:M833"/>
    <mergeCell ref="U833:V833"/>
    <mergeCell ref="K834:M834"/>
    <mergeCell ref="U834:V834"/>
    <mergeCell ref="P833:R833"/>
    <mergeCell ref="P834:R834"/>
    <mergeCell ref="X835:X837"/>
    <mergeCell ref="Y835:Y837"/>
    <mergeCell ref="Z835:Z837"/>
    <mergeCell ref="P836:R836"/>
    <mergeCell ref="P837:R837"/>
    <mergeCell ref="K841:M841"/>
    <mergeCell ref="K842:M842"/>
    <mergeCell ref="K844:M844"/>
    <mergeCell ref="K845:M845"/>
    <mergeCell ref="K846:M846"/>
    <mergeCell ref="C935:D935"/>
    <mergeCell ref="K935:M935"/>
    <mergeCell ref="B815:M815"/>
    <mergeCell ref="O815:R815"/>
    <mergeCell ref="U815:V815"/>
    <mergeCell ref="B816:M816"/>
    <mergeCell ref="O816:R816"/>
    <mergeCell ref="U816:V816"/>
    <mergeCell ref="B823:M823"/>
    <mergeCell ref="P823:R823"/>
    <mergeCell ref="U823:V823"/>
    <mergeCell ref="A830:AA830"/>
    <mergeCell ref="T831:V831"/>
    <mergeCell ref="B832:M832"/>
    <mergeCell ref="P832:R832"/>
    <mergeCell ref="U832:V832"/>
    <mergeCell ref="C833:D833"/>
    <mergeCell ref="C834:D834"/>
    <mergeCell ref="C835:D835"/>
    <mergeCell ref="K835:M835"/>
    <mergeCell ref="P835:R835"/>
    <mergeCell ref="U835:V835"/>
    <mergeCell ref="C836:D836"/>
    <mergeCell ref="C837:D837"/>
    <mergeCell ref="C838:D838"/>
    <mergeCell ref="K838:M838"/>
    <mergeCell ref="O838:R838"/>
    <mergeCell ref="U838:V838"/>
    <mergeCell ref="C839:D839"/>
    <mergeCell ref="C840:D840"/>
    <mergeCell ref="U845:V845"/>
    <mergeCell ref="U846:V846"/>
    <mergeCell ref="K909:M909"/>
    <mergeCell ref="B910:M910"/>
    <mergeCell ref="K911:M912"/>
    <mergeCell ref="K913:M913"/>
    <mergeCell ref="K918:M918"/>
    <mergeCell ref="K919:M919"/>
    <mergeCell ref="K914:M914"/>
    <mergeCell ref="B915:M915"/>
    <mergeCell ref="B916:M916"/>
    <mergeCell ref="C917:D917"/>
    <mergeCell ref="K917:M917"/>
    <mergeCell ref="C918:D918"/>
    <mergeCell ref="C919:D919"/>
    <mergeCell ref="K922:M922"/>
    <mergeCell ref="K924:M924"/>
    <mergeCell ref="K929:M929"/>
    <mergeCell ref="K930:M930"/>
    <mergeCell ref="K892:M892"/>
    <mergeCell ref="K893:M893"/>
    <mergeCell ref="B894:M894"/>
    <mergeCell ref="K895:M895"/>
    <mergeCell ref="K896:M896"/>
    <mergeCell ref="K897:M897"/>
    <mergeCell ref="K898:M898"/>
    <mergeCell ref="K899:M899"/>
    <mergeCell ref="B900:M900"/>
    <mergeCell ref="K901:M901"/>
    <mergeCell ref="B902:M902"/>
    <mergeCell ref="K903:M903"/>
    <mergeCell ref="K904:M904"/>
    <mergeCell ref="K905:M905"/>
    <mergeCell ref="K906:M906"/>
    <mergeCell ref="K907:M907"/>
    <mergeCell ref="K908:M908"/>
    <mergeCell ref="C920:D920"/>
    <mergeCell ref="K920:M920"/>
    <mergeCell ref="C921:D921"/>
    <mergeCell ref="K921:M921"/>
    <mergeCell ref="C922:D922"/>
    <mergeCell ref="B923:M923"/>
    <mergeCell ref="C924:D924"/>
    <mergeCell ref="C925:D925"/>
    <mergeCell ref="K925:M925"/>
    <mergeCell ref="C926:D926"/>
    <mergeCell ref="K926:M926"/>
    <mergeCell ref="C927:D927"/>
    <mergeCell ref="K927:M927"/>
    <mergeCell ref="K928:M928"/>
    <mergeCell ref="K933:M933"/>
    <mergeCell ref="K934:M934"/>
    <mergeCell ref="C928:D928"/>
    <mergeCell ref="C929:D929"/>
    <mergeCell ref="C930:D930"/>
    <mergeCell ref="C931:D931"/>
    <mergeCell ref="B932:M932"/>
    <mergeCell ref="C933:D933"/>
    <mergeCell ref="C934:D934"/>
    <mergeCell ref="K931:M931"/>
    <mergeCell ref="K860:M860"/>
    <mergeCell ref="B861:M861"/>
    <mergeCell ref="K862:M862"/>
    <mergeCell ref="K863:M863"/>
    <mergeCell ref="K864:M864"/>
    <mergeCell ref="B866:M866"/>
    <mergeCell ref="C869:D869"/>
    <mergeCell ref="C870:D870"/>
    <mergeCell ref="B871:M871"/>
    <mergeCell ref="B872:M872"/>
    <mergeCell ref="C873:D873"/>
    <mergeCell ref="C874:D874"/>
    <mergeCell ref="C875:D875"/>
    <mergeCell ref="C876:D876"/>
    <mergeCell ref="C877:D877"/>
    <mergeCell ref="K865:M865"/>
    <mergeCell ref="K867:M867"/>
    <mergeCell ref="K868:M868"/>
    <mergeCell ref="K869:M869"/>
    <mergeCell ref="K870:M870"/>
    <mergeCell ref="K873:M873"/>
    <mergeCell ref="K874:M874"/>
    <mergeCell ref="C905:D905"/>
    <mergeCell ref="B913:D913"/>
    <mergeCell ref="C914:D914"/>
    <mergeCell ref="C906:D906"/>
    <mergeCell ref="C907:D907"/>
    <mergeCell ref="C908:D908"/>
    <mergeCell ref="C909:D909"/>
    <mergeCell ref="B911:B912"/>
    <mergeCell ref="C911:D912"/>
    <mergeCell ref="E911:E912"/>
    <mergeCell ref="C841:D841"/>
    <mergeCell ref="C842:D842"/>
    <mergeCell ref="B843:M843"/>
    <mergeCell ref="C844:D844"/>
    <mergeCell ref="C845:D845"/>
    <mergeCell ref="C846:D846"/>
    <mergeCell ref="C847:D847"/>
    <mergeCell ref="C848:D848"/>
    <mergeCell ref="K848:M848"/>
    <mergeCell ref="C849:D849"/>
    <mergeCell ref="K849:M849"/>
    <mergeCell ref="C850:D850"/>
    <mergeCell ref="K850:M850"/>
    <mergeCell ref="K851:M851"/>
    <mergeCell ref="K852:M852"/>
    <mergeCell ref="K853:M853"/>
    <mergeCell ref="K854:M854"/>
    <mergeCell ref="B855:M855"/>
    <mergeCell ref="B856:M856"/>
    <mergeCell ref="K857:M857"/>
    <mergeCell ref="K858:M858"/>
    <mergeCell ref="K859:M859"/>
    <mergeCell ref="C883:D883"/>
    <mergeCell ref="C885:D885"/>
    <mergeCell ref="C887:D887"/>
    <mergeCell ref="C888:D888"/>
    <mergeCell ref="C889:D889"/>
    <mergeCell ref="C890:D890"/>
    <mergeCell ref="C891:D891"/>
    <mergeCell ref="C892:D892"/>
    <mergeCell ref="C893:D893"/>
    <mergeCell ref="C895:D895"/>
    <mergeCell ref="C896:D896"/>
    <mergeCell ref="C897:D897"/>
    <mergeCell ref="C898:D898"/>
    <mergeCell ref="C899:D899"/>
    <mergeCell ref="C901:D901"/>
    <mergeCell ref="C903:D903"/>
    <mergeCell ref="C904:D904"/>
    <mergeCell ref="C851:D851"/>
    <mergeCell ref="C852:D852"/>
    <mergeCell ref="C853:D853"/>
    <mergeCell ref="C854:D854"/>
    <mergeCell ref="C857:D857"/>
    <mergeCell ref="C858:D858"/>
    <mergeCell ref="C859:D859"/>
    <mergeCell ref="C860:D860"/>
    <mergeCell ref="C862:D862"/>
    <mergeCell ref="C863:D863"/>
    <mergeCell ref="C864:D864"/>
    <mergeCell ref="C865:D865"/>
    <mergeCell ref="C867:D867"/>
    <mergeCell ref="C868:D868"/>
    <mergeCell ref="B879:B882"/>
    <mergeCell ref="C879:D882"/>
    <mergeCell ref="E879:E882"/>
    <mergeCell ref="U863:V863"/>
    <mergeCell ref="U864:V864"/>
    <mergeCell ref="U865:V865"/>
    <mergeCell ref="U866:V866"/>
    <mergeCell ref="U867:V867"/>
    <mergeCell ref="X872:Z872"/>
    <mergeCell ref="X873:X876"/>
    <mergeCell ref="Y873:Y876"/>
    <mergeCell ref="Z873:Z876"/>
    <mergeCell ref="P874:R874"/>
    <mergeCell ref="P875:R875"/>
    <mergeCell ref="P876:R876"/>
    <mergeCell ref="U874:V874"/>
    <mergeCell ref="U875:V875"/>
    <mergeCell ref="U876:V876"/>
    <mergeCell ref="U868:V868"/>
    <mergeCell ref="U869:V869"/>
    <mergeCell ref="U870:V870"/>
    <mergeCell ref="U871:V871"/>
    <mergeCell ref="X871:Z871"/>
    <mergeCell ref="U872:V872"/>
    <mergeCell ref="U873:V873"/>
    <mergeCell ref="O860:R860"/>
    <mergeCell ref="P861:R861"/>
    <mergeCell ref="P862:R862"/>
    <mergeCell ref="P863:R863"/>
    <mergeCell ref="P864:R864"/>
    <mergeCell ref="P865:R865"/>
    <mergeCell ref="P866:R866"/>
    <mergeCell ref="P867:R867"/>
    <mergeCell ref="P868:R868"/>
    <mergeCell ref="P869:R869"/>
    <mergeCell ref="P870:R870"/>
    <mergeCell ref="O871:R871"/>
    <mergeCell ref="O872:R872"/>
    <mergeCell ref="P873:R873"/>
    <mergeCell ref="U855:V855"/>
    <mergeCell ref="U856:V856"/>
    <mergeCell ref="P852:R852"/>
    <mergeCell ref="P853:R853"/>
    <mergeCell ref="U853:V853"/>
    <mergeCell ref="P854:R854"/>
    <mergeCell ref="U854:V854"/>
    <mergeCell ref="O855:R855"/>
    <mergeCell ref="O856:R856"/>
    <mergeCell ref="P857:R857"/>
    <mergeCell ref="U857:V857"/>
    <mergeCell ref="P858:R858"/>
    <mergeCell ref="U858:V858"/>
    <mergeCell ref="P859:R859"/>
    <mergeCell ref="U859:V859"/>
    <mergeCell ref="U860:V860"/>
    <mergeCell ref="U861:V861"/>
    <mergeCell ref="U862:V862"/>
    <mergeCell ref="P784:R784"/>
    <mergeCell ref="P785:R785"/>
    <mergeCell ref="P786:R786"/>
    <mergeCell ref="P787:R787"/>
    <mergeCell ref="P788:R788"/>
    <mergeCell ref="O791:R791"/>
    <mergeCell ref="P796:R796"/>
    <mergeCell ref="P797:R797"/>
    <mergeCell ref="P798:R798"/>
    <mergeCell ref="O799:R799"/>
    <mergeCell ref="P800:R800"/>
    <mergeCell ref="P801:R801"/>
    <mergeCell ref="P802:R802"/>
    <mergeCell ref="P803:R803"/>
    <mergeCell ref="P805:R805"/>
    <mergeCell ref="P806:R806"/>
    <mergeCell ref="P807:R807"/>
    <mergeCell ref="P829:R829"/>
    <mergeCell ref="O831:R831"/>
    <mergeCell ref="O820:R820"/>
    <mergeCell ref="P821:R821"/>
    <mergeCell ref="P822:R822"/>
    <mergeCell ref="P824:R824"/>
    <mergeCell ref="P825:R825"/>
    <mergeCell ref="P826:R826"/>
    <mergeCell ref="P827:R827"/>
    <mergeCell ref="O751:R751"/>
    <mergeCell ref="P752:R752"/>
    <mergeCell ref="P753:R753"/>
    <mergeCell ref="P754:R754"/>
    <mergeCell ref="O755:R755"/>
    <mergeCell ref="P756:R756"/>
    <mergeCell ref="P757:R757"/>
    <mergeCell ref="P758:R758"/>
    <mergeCell ref="P759:R759"/>
    <mergeCell ref="P762:R762"/>
    <mergeCell ref="P763:R763"/>
    <mergeCell ref="P764:R764"/>
    <mergeCell ref="P767:R767"/>
    <mergeCell ref="P772:R772"/>
    <mergeCell ref="P773:R773"/>
    <mergeCell ref="P774:R774"/>
    <mergeCell ref="P775:R775"/>
    <mergeCell ref="P777:R777"/>
    <mergeCell ref="P778:R778"/>
    <mergeCell ref="P779:R779"/>
    <mergeCell ref="P780:R780"/>
    <mergeCell ref="P781:R781"/>
    <mergeCell ref="P782:R782"/>
    <mergeCell ref="W798:Z799"/>
    <mergeCell ref="T799:V799"/>
    <mergeCell ref="U786:V786"/>
    <mergeCell ref="U787:V787"/>
    <mergeCell ref="U788:V788"/>
    <mergeCell ref="X792:X796"/>
    <mergeCell ref="Y792:Y796"/>
    <mergeCell ref="Z792:Z796"/>
    <mergeCell ref="U793:V793"/>
    <mergeCell ref="U794:V794"/>
    <mergeCell ref="U795:V795"/>
    <mergeCell ref="U797:V797"/>
    <mergeCell ref="U798:V798"/>
    <mergeCell ref="U800:V800"/>
    <mergeCell ref="U801:V801"/>
    <mergeCell ref="U802:V802"/>
    <mergeCell ref="P828:R828"/>
    <mergeCell ref="P808:R808"/>
    <mergeCell ref="P809:R809"/>
    <mergeCell ref="P810:R810"/>
    <mergeCell ref="P811:R811"/>
    <mergeCell ref="P813:R813"/>
    <mergeCell ref="P814:R814"/>
    <mergeCell ref="P817:R817"/>
    <mergeCell ref="P818:R818"/>
    <mergeCell ref="P819:R819"/>
    <mergeCell ref="X767:X771"/>
    <mergeCell ref="Y767:Y771"/>
    <mergeCell ref="Z767:Z771"/>
    <mergeCell ref="U768:V768"/>
    <mergeCell ref="U769:V769"/>
    <mergeCell ref="U770:V770"/>
    <mergeCell ref="U771:V771"/>
    <mergeCell ref="U803:V803"/>
    <mergeCell ref="U805:V805"/>
    <mergeCell ref="U806:V806"/>
    <mergeCell ref="U807:V807"/>
    <mergeCell ref="U808:V808"/>
    <mergeCell ref="U809:V809"/>
    <mergeCell ref="U810:V810"/>
    <mergeCell ref="U821:V821"/>
    <mergeCell ref="U822:V822"/>
    <mergeCell ref="U824:V824"/>
    <mergeCell ref="U811:V811"/>
    <mergeCell ref="U813:V813"/>
    <mergeCell ref="U814:V814"/>
    <mergeCell ref="U817:V817"/>
    <mergeCell ref="U818:V818"/>
    <mergeCell ref="U819:V819"/>
    <mergeCell ref="U820:V820"/>
    <mergeCell ref="U772:V772"/>
    <mergeCell ref="U773:V773"/>
    <mergeCell ref="U774:V774"/>
    <mergeCell ref="U775:V775"/>
    <mergeCell ref="U776:V776"/>
    <mergeCell ref="U777:V777"/>
    <mergeCell ref="U778:V778"/>
    <mergeCell ref="U779:V779"/>
    <mergeCell ref="C750:D750"/>
    <mergeCell ref="C751:D751"/>
    <mergeCell ref="B752:M752"/>
    <mergeCell ref="K753:M753"/>
    <mergeCell ref="K757:M757"/>
    <mergeCell ref="K758:M758"/>
    <mergeCell ref="K759:M759"/>
    <mergeCell ref="B760:M760"/>
    <mergeCell ref="P760:R760"/>
    <mergeCell ref="K761:M761"/>
    <mergeCell ref="P761:R761"/>
    <mergeCell ref="B765:M765"/>
    <mergeCell ref="O765:R765"/>
    <mergeCell ref="X765:Z765"/>
    <mergeCell ref="B766:M766"/>
    <mergeCell ref="O766:R766"/>
    <mergeCell ref="U766:V766"/>
    <mergeCell ref="X766:Z766"/>
    <mergeCell ref="U752:V752"/>
    <mergeCell ref="U753:V753"/>
    <mergeCell ref="U754:V754"/>
    <mergeCell ref="U755:V755"/>
    <mergeCell ref="U756:V756"/>
    <mergeCell ref="U757:V757"/>
    <mergeCell ref="U758:V758"/>
    <mergeCell ref="U759:V759"/>
    <mergeCell ref="U760:V760"/>
    <mergeCell ref="U761:V761"/>
    <mergeCell ref="U762:V762"/>
    <mergeCell ref="U763:V763"/>
    <mergeCell ref="U764:V764"/>
    <mergeCell ref="U765:V765"/>
    <mergeCell ref="A742:AA742"/>
    <mergeCell ref="C743:D743"/>
    <mergeCell ref="O743:R743"/>
    <mergeCell ref="X743:Z743"/>
    <mergeCell ref="B744:M744"/>
    <mergeCell ref="P744:R744"/>
    <mergeCell ref="C745:D745"/>
    <mergeCell ref="C746:D746"/>
    <mergeCell ref="K746:M746"/>
    <mergeCell ref="P746:R746"/>
    <mergeCell ref="U746:V746"/>
    <mergeCell ref="K747:M747"/>
    <mergeCell ref="P747:R747"/>
    <mergeCell ref="P748:R748"/>
    <mergeCell ref="C747:D747"/>
    <mergeCell ref="C748:D748"/>
    <mergeCell ref="C749:D749"/>
    <mergeCell ref="K822:M822"/>
    <mergeCell ref="K824:M824"/>
    <mergeCell ref="K825:M825"/>
    <mergeCell ref="K826:M826"/>
    <mergeCell ref="K827:M827"/>
    <mergeCell ref="K828:M828"/>
    <mergeCell ref="K829:M829"/>
    <mergeCell ref="K831:M831"/>
    <mergeCell ref="K813:M813"/>
    <mergeCell ref="K814:M814"/>
    <mergeCell ref="K817:M817"/>
    <mergeCell ref="K818:M818"/>
    <mergeCell ref="K819:M819"/>
    <mergeCell ref="K820:M820"/>
    <mergeCell ref="K821:M821"/>
    <mergeCell ref="T743:V743"/>
    <mergeCell ref="U744:V744"/>
    <mergeCell ref="B771:M771"/>
    <mergeCell ref="P771:R771"/>
    <mergeCell ref="U767:V767"/>
    <mergeCell ref="U825:V825"/>
    <mergeCell ref="U826:V826"/>
    <mergeCell ref="U827:V827"/>
    <mergeCell ref="U828:V828"/>
    <mergeCell ref="U829:V829"/>
    <mergeCell ref="U780:V780"/>
    <mergeCell ref="U781:V781"/>
    <mergeCell ref="U782:V782"/>
    <mergeCell ref="U783:V783"/>
    <mergeCell ref="U784:V784"/>
    <mergeCell ref="U785:V785"/>
    <mergeCell ref="U796:V796"/>
    <mergeCell ref="K788:M788"/>
    <mergeCell ref="K791:M791"/>
    <mergeCell ref="K796:M796"/>
    <mergeCell ref="K797:M797"/>
    <mergeCell ref="K798:M798"/>
    <mergeCell ref="K799:M799"/>
    <mergeCell ref="K800:M800"/>
    <mergeCell ref="K801:M801"/>
    <mergeCell ref="K802:M802"/>
    <mergeCell ref="K803:M803"/>
    <mergeCell ref="K805:M805"/>
    <mergeCell ref="K806:M806"/>
    <mergeCell ref="K807:M807"/>
    <mergeCell ref="K808:M808"/>
    <mergeCell ref="K809:M809"/>
    <mergeCell ref="K810:M810"/>
    <mergeCell ref="K811:M811"/>
    <mergeCell ref="K756:M756"/>
    <mergeCell ref="K762:M762"/>
    <mergeCell ref="K763:M763"/>
    <mergeCell ref="K764:M764"/>
    <mergeCell ref="K767:M767"/>
    <mergeCell ref="K772:M772"/>
    <mergeCell ref="K773:M773"/>
    <mergeCell ref="K774:M774"/>
    <mergeCell ref="K775:M775"/>
    <mergeCell ref="K777:M777"/>
    <mergeCell ref="K778:M778"/>
    <mergeCell ref="K779:M779"/>
    <mergeCell ref="K780:M780"/>
    <mergeCell ref="K781:M781"/>
    <mergeCell ref="K782:M782"/>
    <mergeCell ref="K784:M786"/>
    <mergeCell ref="K787:M787"/>
    <mergeCell ref="P745:R745"/>
    <mergeCell ref="U745:V745"/>
    <mergeCell ref="U747:V747"/>
    <mergeCell ref="U748:V748"/>
    <mergeCell ref="P749:R749"/>
    <mergeCell ref="U749:V749"/>
    <mergeCell ref="P750:R750"/>
    <mergeCell ref="U750:V750"/>
    <mergeCell ref="U751:V751"/>
    <mergeCell ref="K743:M743"/>
    <mergeCell ref="K745:M745"/>
    <mergeCell ref="K748:M748"/>
    <mergeCell ref="K749:M749"/>
    <mergeCell ref="K750:M750"/>
    <mergeCell ref="K751:M751"/>
    <mergeCell ref="K754:M754"/>
    <mergeCell ref="K755:M755"/>
    <mergeCell ref="P997:R997"/>
    <mergeCell ref="P998:R998"/>
    <mergeCell ref="P999:R999"/>
    <mergeCell ref="P1000:R1000"/>
    <mergeCell ref="P1001:R1001"/>
    <mergeCell ref="P1002:R1002"/>
    <mergeCell ref="P1003:R1003"/>
    <mergeCell ref="P1004:R1004"/>
    <mergeCell ref="P1005:R1005"/>
    <mergeCell ref="P1006:R1006"/>
    <mergeCell ref="O1007:R1007"/>
    <mergeCell ref="O1008:R1008"/>
    <mergeCell ref="P1009:R1009"/>
    <mergeCell ref="P1010:R1010"/>
    <mergeCell ref="P1011:R1011"/>
    <mergeCell ref="U1039:V1039"/>
    <mergeCell ref="U1040:V1040"/>
    <mergeCell ref="U1025:V1025"/>
    <mergeCell ref="U1026:V1026"/>
    <mergeCell ref="U1027:V1027"/>
    <mergeCell ref="U1028:V1028"/>
    <mergeCell ref="U1029:V1029"/>
    <mergeCell ref="U1030:V1030"/>
    <mergeCell ref="U1031:V1031"/>
    <mergeCell ref="U1021:V1021"/>
    <mergeCell ref="U1022:V1022"/>
    <mergeCell ref="U1014:V1014"/>
    <mergeCell ref="U1015:V1015"/>
    <mergeCell ref="U1016:V1016"/>
    <mergeCell ref="U1017:V1017"/>
    <mergeCell ref="U1018:V1018"/>
    <mergeCell ref="U1019:V1019"/>
    <mergeCell ref="P980:R980"/>
    <mergeCell ref="P981:R981"/>
    <mergeCell ref="P982:R982"/>
    <mergeCell ref="O983:R983"/>
    <mergeCell ref="P984:R984"/>
    <mergeCell ref="P985:R985"/>
    <mergeCell ref="P986:R986"/>
    <mergeCell ref="O987:R987"/>
    <mergeCell ref="P988:R988"/>
    <mergeCell ref="P989:R989"/>
    <mergeCell ref="P990:R990"/>
    <mergeCell ref="P991:R991"/>
    <mergeCell ref="P992:R992"/>
    <mergeCell ref="P993:R993"/>
    <mergeCell ref="O994:R994"/>
    <mergeCell ref="P995:R995"/>
    <mergeCell ref="P996:R996"/>
    <mergeCell ref="P955:R955"/>
    <mergeCell ref="U955:V955"/>
    <mergeCell ref="C970:D970"/>
    <mergeCell ref="C972:D972"/>
    <mergeCell ref="C973:D973"/>
    <mergeCell ref="C974:D974"/>
    <mergeCell ref="C976:D976"/>
    <mergeCell ref="K968:M968"/>
    <mergeCell ref="K969:M969"/>
    <mergeCell ref="K970:M970"/>
    <mergeCell ref="B971:M971"/>
    <mergeCell ref="K972:M972"/>
    <mergeCell ref="K973:M973"/>
    <mergeCell ref="K974:M974"/>
    <mergeCell ref="P977:R977"/>
    <mergeCell ref="P978:R978"/>
    <mergeCell ref="P979:R979"/>
    <mergeCell ref="O976:R976"/>
    <mergeCell ref="T976:V976"/>
    <mergeCell ref="A936:D936"/>
    <mergeCell ref="E936:AA936"/>
    <mergeCell ref="A937:AA937"/>
    <mergeCell ref="C938:D938"/>
    <mergeCell ref="K938:M938"/>
    <mergeCell ref="T938:V938"/>
    <mergeCell ref="U939:V939"/>
    <mergeCell ref="O938:R938"/>
    <mergeCell ref="P939:R939"/>
    <mergeCell ref="P940:R940"/>
    <mergeCell ref="U940:V940"/>
    <mergeCell ref="P941:R941"/>
    <mergeCell ref="U941:V941"/>
    <mergeCell ref="U942:V942"/>
    <mergeCell ref="C945:D945"/>
    <mergeCell ref="K945:M945"/>
    <mergeCell ref="P942:R942"/>
    <mergeCell ref="O943:R943"/>
    <mergeCell ref="P944:R944"/>
    <mergeCell ref="P945:R945"/>
    <mergeCell ref="U950:V950"/>
    <mergeCell ref="U951:V951"/>
    <mergeCell ref="U943:V943"/>
    <mergeCell ref="U944:V944"/>
    <mergeCell ref="U945:V945"/>
    <mergeCell ref="U946:V946"/>
    <mergeCell ref="U947:V947"/>
    <mergeCell ref="U948:V948"/>
    <mergeCell ref="U949:V949"/>
    <mergeCell ref="O915:R915"/>
    <mergeCell ref="O916:R916"/>
    <mergeCell ref="P917:R917"/>
    <mergeCell ref="P918:R918"/>
    <mergeCell ref="P919:R919"/>
    <mergeCell ref="P920:R920"/>
    <mergeCell ref="P921:R921"/>
    <mergeCell ref="P922:R922"/>
    <mergeCell ref="P923:R923"/>
    <mergeCell ref="O924:R924"/>
    <mergeCell ref="P925:R925"/>
    <mergeCell ref="P926:R926"/>
    <mergeCell ref="P927:R927"/>
    <mergeCell ref="P928:R928"/>
    <mergeCell ref="P946:R946"/>
    <mergeCell ref="O947:R947"/>
    <mergeCell ref="P948:R948"/>
    <mergeCell ref="P949:R949"/>
    <mergeCell ref="P950:R950"/>
    <mergeCell ref="P951:R951"/>
    <mergeCell ref="U917:V917"/>
    <mergeCell ref="U918:V918"/>
    <mergeCell ref="U919:V919"/>
    <mergeCell ref="U920:V920"/>
    <mergeCell ref="U921:V921"/>
    <mergeCell ref="U922:V922"/>
    <mergeCell ref="P929:R929"/>
    <mergeCell ref="P930:R930"/>
    <mergeCell ref="P931:R931"/>
    <mergeCell ref="P932:R932"/>
    <mergeCell ref="P933:R933"/>
    <mergeCell ref="P934:R934"/>
    <mergeCell ref="P935:R935"/>
    <mergeCell ref="U930:V930"/>
    <mergeCell ref="U931:V931"/>
    <mergeCell ref="U932:V932"/>
    <mergeCell ref="U933:V933"/>
    <mergeCell ref="U934:V934"/>
    <mergeCell ref="U935:V935"/>
    <mergeCell ref="U923:V923"/>
    <mergeCell ref="U924:V924"/>
    <mergeCell ref="U925:V925"/>
    <mergeCell ref="U926:V926"/>
    <mergeCell ref="U927:V927"/>
    <mergeCell ref="U928:V928"/>
    <mergeCell ref="U929:V929"/>
    <mergeCell ref="U910:V910"/>
    <mergeCell ref="U911:V911"/>
    <mergeCell ref="P906:R906"/>
    <mergeCell ref="P907:R907"/>
    <mergeCell ref="O908:R908"/>
    <mergeCell ref="P909:R909"/>
    <mergeCell ref="U909:V909"/>
    <mergeCell ref="P910:R910"/>
    <mergeCell ref="P911:R911"/>
    <mergeCell ref="P912:R912"/>
    <mergeCell ref="U912:V912"/>
    <mergeCell ref="P913:R913"/>
    <mergeCell ref="U913:V913"/>
    <mergeCell ref="P914:R914"/>
    <mergeCell ref="U914:V914"/>
    <mergeCell ref="U915:V915"/>
    <mergeCell ref="U916:V916"/>
    <mergeCell ref="U886:V886"/>
    <mergeCell ref="U887:V887"/>
    <mergeCell ref="P888:R888"/>
    <mergeCell ref="U888:V888"/>
    <mergeCell ref="O889:R889"/>
    <mergeCell ref="U889:V889"/>
    <mergeCell ref="U890:V890"/>
    <mergeCell ref="P890:R890"/>
    <mergeCell ref="P891:R891"/>
    <mergeCell ref="P892:R892"/>
    <mergeCell ref="O893:R893"/>
    <mergeCell ref="P894:R894"/>
    <mergeCell ref="P895:R895"/>
    <mergeCell ref="P896:R896"/>
    <mergeCell ref="U907:V907"/>
    <mergeCell ref="U908:V908"/>
    <mergeCell ref="P903:R903"/>
    <mergeCell ref="U903:V903"/>
    <mergeCell ref="P904:R904"/>
    <mergeCell ref="U904:V904"/>
    <mergeCell ref="P905:R905"/>
    <mergeCell ref="U905:V905"/>
    <mergeCell ref="U906:V906"/>
    <mergeCell ref="U902:V902"/>
    <mergeCell ref="P902:R902"/>
    <mergeCell ref="K890:M890"/>
    <mergeCell ref="K891:M891"/>
    <mergeCell ref="K879:M882"/>
    <mergeCell ref="K883:M883"/>
    <mergeCell ref="K885:M885"/>
    <mergeCell ref="B886:M886"/>
    <mergeCell ref="K887:M887"/>
    <mergeCell ref="K888:M888"/>
    <mergeCell ref="K889:M889"/>
    <mergeCell ref="K875:M875"/>
    <mergeCell ref="K876:M876"/>
    <mergeCell ref="K877:M877"/>
    <mergeCell ref="P877:R877"/>
    <mergeCell ref="U877:V877"/>
    <mergeCell ref="B878:M878"/>
    <mergeCell ref="U878:V878"/>
    <mergeCell ref="U881:V881"/>
    <mergeCell ref="U882:V882"/>
    <mergeCell ref="P878:R878"/>
    <mergeCell ref="P879:R879"/>
    <mergeCell ref="U879:V879"/>
    <mergeCell ref="P880:R880"/>
    <mergeCell ref="U880:V880"/>
    <mergeCell ref="P881:R881"/>
    <mergeCell ref="P882:R882"/>
    <mergeCell ref="P883:R883"/>
    <mergeCell ref="U883:V883"/>
    <mergeCell ref="A884:AA884"/>
    <mergeCell ref="O885:R885"/>
    <mergeCell ref="T885:V885"/>
    <mergeCell ref="P886:R886"/>
    <mergeCell ref="P887:R887"/>
    <mergeCell ref="C1000:D1000"/>
    <mergeCell ref="C1002:D1002"/>
    <mergeCell ref="C1003:D1003"/>
    <mergeCell ref="C1004:D1004"/>
    <mergeCell ref="C1005:D1005"/>
    <mergeCell ref="C1006:D1006"/>
    <mergeCell ref="C1009:D1009"/>
    <mergeCell ref="C1029:D1029"/>
    <mergeCell ref="C1030:D1030"/>
    <mergeCell ref="C1031:D1031"/>
    <mergeCell ref="C1033:D1033"/>
    <mergeCell ref="C1016:D1016"/>
    <mergeCell ref="C1017:D1017"/>
    <mergeCell ref="C1018:D1018"/>
    <mergeCell ref="C1021:D1021"/>
    <mergeCell ref="C1022:D1022"/>
    <mergeCell ref="C1023:D1023"/>
    <mergeCell ref="C1024:D1024"/>
    <mergeCell ref="K1033:M1033"/>
    <mergeCell ref="B1034:M1034"/>
    <mergeCell ref="C1025:D1025"/>
    <mergeCell ref="C1026:D1026"/>
    <mergeCell ref="C1027:D1027"/>
    <mergeCell ref="B1028:M1028"/>
    <mergeCell ref="K1029:M1029"/>
    <mergeCell ref="K1030:M1030"/>
    <mergeCell ref="K1031:M1031"/>
    <mergeCell ref="C991:D991"/>
    <mergeCell ref="K991:M991"/>
    <mergeCell ref="C992:D992"/>
    <mergeCell ref="K992:M992"/>
    <mergeCell ref="C993:D993"/>
    <mergeCell ref="K993:M993"/>
    <mergeCell ref="K994:M994"/>
    <mergeCell ref="B1007:M1007"/>
    <mergeCell ref="B1008:M1008"/>
    <mergeCell ref="K995:M995"/>
    <mergeCell ref="K996:M996"/>
    <mergeCell ref="C997:D997"/>
    <mergeCell ref="K997:M997"/>
    <mergeCell ref="C998:D998"/>
    <mergeCell ref="B999:M999"/>
    <mergeCell ref="B1001:M1001"/>
    <mergeCell ref="K998:M998"/>
    <mergeCell ref="K1000:M1000"/>
    <mergeCell ref="K1002:M1002"/>
    <mergeCell ref="K1003:M1003"/>
    <mergeCell ref="K1004:M1004"/>
    <mergeCell ref="K1005:M1005"/>
    <mergeCell ref="K1006:M1006"/>
    <mergeCell ref="K1009:M1009"/>
    <mergeCell ref="K1010:M1010"/>
    <mergeCell ref="K1011:M1011"/>
    <mergeCell ref="K1012:M1012"/>
    <mergeCell ref="K1013:M1013"/>
    <mergeCell ref="K1014:M1014"/>
    <mergeCell ref="K1017:M1017"/>
    <mergeCell ref="K1018:M1018"/>
    <mergeCell ref="C1010:D1010"/>
    <mergeCell ref="C1011:D1011"/>
    <mergeCell ref="C1012:D1012"/>
    <mergeCell ref="C1013:D1013"/>
    <mergeCell ref="C1014:D1014"/>
    <mergeCell ref="B1015:M1015"/>
    <mergeCell ref="K1016:M1016"/>
    <mergeCell ref="K1026:M1026"/>
    <mergeCell ref="K1027:M1027"/>
    <mergeCell ref="B1019:M1019"/>
    <mergeCell ref="B1020:M1020"/>
    <mergeCell ref="K1021:M1021"/>
    <mergeCell ref="K1022:M1022"/>
    <mergeCell ref="K1023:M1023"/>
    <mergeCell ref="K1024:M1024"/>
    <mergeCell ref="K1025:M1025"/>
    <mergeCell ref="C953:D953"/>
    <mergeCell ref="C954:D954"/>
    <mergeCell ref="C955:D955"/>
    <mergeCell ref="C956:D956"/>
    <mergeCell ref="C957:D957"/>
    <mergeCell ref="C958:D958"/>
    <mergeCell ref="C959:D959"/>
    <mergeCell ref="C961:D961"/>
    <mergeCell ref="C962:D962"/>
    <mergeCell ref="C965:D965"/>
    <mergeCell ref="C966:D966"/>
    <mergeCell ref="C967:D967"/>
    <mergeCell ref="C968:D968"/>
    <mergeCell ref="C969:D969"/>
    <mergeCell ref="C994:D994"/>
    <mergeCell ref="C995:D995"/>
    <mergeCell ref="C996:D996"/>
    <mergeCell ref="K989:M989"/>
    <mergeCell ref="K990:M990"/>
    <mergeCell ref="C986:D986"/>
    <mergeCell ref="K986:M986"/>
    <mergeCell ref="C987:D987"/>
    <mergeCell ref="K987:M987"/>
    <mergeCell ref="B988:M988"/>
    <mergeCell ref="C989:D989"/>
    <mergeCell ref="C990:D990"/>
    <mergeCell ref="K943:M943"/>
    <mergeCell ref="K944:M944"/>
    <mergeCell ref="B939:M939"/>
    <mergeCell ref="B940:M940"/>
    <mergeCell ref="B941:M941"/>
    <mergeCell ref="C942:D942"/>
    <mergeCell ref="K942:M942"/>
    <mergeCell ref="C943:D943"/>
    <mergeCell ref="C944:D944"/>
    <mergeCell ref="C946:D946"/>
    <mergeCell ref="K946:M946"/>
    <mergeCell ref="C947:D947"/>
    <mergeCell ref="K947:M947"/>
    <mergeCell ref="C948:D948"/>
    <mergeCell ref="K948:M948"/>
    <mergeCell ref="C949:D949"/>
    <mergeCell ref="K949:M949"/>
    <mergeCell ref="B950:M950"/>
    <mergeCell ref="C951:D951"/>
    <mergeCell ref="K951:M951"/>
    <mergeCell ref="C952:D952"/>
    <mergeCell ref="K952:M952"/>
    <mergeCell ref="K953:M953"/>
    <mergeCell ref="K981:M981"/>
    <mergeCell ref="K982:M982"/>
    <mergeCell ref="K976:M976"/>
    <mergeCell ref="B977:M977"/>
    <mergeCell ref="C978:D978"/>
    <mergeCell ref="K978:M978"/>
    <mergeCell ref="C979:D979"/>
    <mergeCell ref="K979:M979"/>
    <mergeCell ref="K980:M980"/>
    <mergeCell ref="K984:M984"/>
    <mergeCell ref="K985:M985"/>
    <mergeCell ref="C980:D980"/>
    <mergeCell ref="C981:D981"/>
    <mergeCell ref="C982:D982"/>
    <mergeCell ref="C983:D983"/>
    <mergeCell ref="K983:M983"/>
    <mergeCell ref="C984:D984"/>
    <mergeCell ref="C985:D985"/>
  </mergeCells>
  <phoneticPr fontId="65" type="noConversion"/>
  <conditionalFormatting sqref="P8:R10 P12:R14 P16:R19 P21:R26 P35:R37 P39:R43 P47:R51 P53:R56 P58:R64 P66:R67 P77:R79 P81:R88 P94:R100 P104:R107 P109:R115 P119:R122 P124:R124 P126:R130 P132:R137">
    <cfRule type="expression" dxfId="872" priority="1">
      <formula>O8</formula>
    </cfRule>
  </conditionalFormatting>
  <conditionalFormatting sqref="U8:V17 U47:V51 U53:V53 U104:V108">
    <cfRule type="expression" dxfId="871" priority="2">
      <formula>T8</formula>
    </cfRule>
  </conditionalFormatting>
  <conditionalFormatting sqref="P148:R151 P153:R154 P156:R157 P159:R163 P169:R175 P183:R186 P188:R192 P194:R201 P208:R214 P222:R230 P236:R236 P238:R240 P242:R247 P249:R252 P273:R276 P278:R285">
    <cfRule type="expression" dxfId="870" priority="3">
      <formula>O148</formula>
    </cfRule>
  </conditionalFormatting>
  <conditionalFormatting sqref="U148:V158 U183:V191 U236:V239">
    <cfRule type="expression" dxfId="869" priority="4">
      <formula>T148</formula>
    </cfRule>
  </conditionalFormatting>
  <conditionalFormatting sqref="P296:R299 P301:R303 P305:R307 P309:R315 P319:R322 P324:R328 P333:R341 P343:R346 P348:R351 P353:R358 P365:R367 P369:R372 P382:R386 P388:R394 P402:R407 P409:R412 P414:R421 P425:R429 P431:R437">
    <cfRule type="expression" dxfId="868" priority="5">
      <formula>O296</formula>
    </cfRule>
  </conditionalFormatting>
  <conditionalFormatting sqref="U296:V300 U333:V340 U402:V410">
    <cfRule type="expression" dxfId="867" priority="6">
      <formula>T296</formula>
    </cfRule>
  </conditionalFormatting>
  <conditionalFormatting sqref="P446:R447 P449:R453 P455:R459 P461:R466 P474:R477 P479:R483 P498:R500 P502:R504 P506:R508 P510:R516 P520:R520 P522:R523 P525:R529 P552:R560 P568:R569 P571:R575 P577:R584 P586:R589 P599:R599 P601:R608 P610:R615">
    <cfRule type="expression" dxfId="866" priority="7">
      <formula>O446</formula>
    </cfRule>
  </conditionalFormatting>
  <conditionalFormatting sqref="U446:V450 U498:V505 U568:V572">
    <cfRule type="expression" dxfId="865" priority="8">
      <formula>T446</formula>
    </cfRule>
  </conditionalFormatting>
  <conditionalFormatting sqref="P628:R629 P631:R633 P635:R637 P639:R643 P653:R656 P667:R670 P672:R675 P677:R681 P683:R688 P697:R699 P701:R701 P703:R711 P717:R718 P720:R729 P744:R750 P752:R754 P756:R763 P767:R769 P771:R775 P777:R787">
    <cfRule type="expression" dxfId="864" priority="9">
      <formula>O628</formula>
    </cfRule>
  </conditionalFormatting>
  <conditionalFormatting sqref="U628:V632 U667:V672 U744:V749">
    <cfRule type="expression" dxfId="863" priority="10">
      <formula>T628</formula>
    </cfRule>
  </conditionalFormatting>
  <conditionalFormatting sqref="P792:R794 P796:R798 P800:R803 P805:R812 P817:R819 P821:R828 P832:R837 P839:R841 P843:R849 P857:R859 P861:R869 P873:R880 P886:R888 P890:R892 P894:R907 P909:R913 P917:R923 P925:R934">
    <cfRule type="expression" dxfId="862" priority="11">
      <formula>O792</formula>
    </cfRule>
  </conditionalFormatting>
  <conditionalFormatting sqref="U792:V798 U800:V800 U832:V839 U886:V890">
    <cfRule type="expression" dxfId="861" priority="12">
      <formula>T792</formula>
    </cfRule>
  </conditionalFormatting>
  <conditionalFormatting sqref="P939:R942 P944:R946 P948:R951 P953:R957 P965:R971 P977:R982 P984:R986 P988:R993 P995:R998 P1002:R1004 P1009:R1016 P1021:R1027 P1034:R1037 P1039:R1042 P1044:R1049 P1056:R1058 P1060:R1069 P1071:R1078">
    <cfRule type="expression" dxfId="860" priority="13">
      <formula>O939</formula>
    </cfRule>
  </conditionalFormatting>
  <conditionalFormatting sqref="U939:V943 U977:V981 U1034:V1038">
    <cfRule type="expression" dxfId="859" priority="14">
      <formula>T939</formula>
    </cfRule>
  </conditionalFormatting>
  <conditionalFormatting sqref="P1083:R1085 P1087:R1090 P1092:R1094 P1096:R1099 P1107:R1110 P1112:R1117 P1121:R1124 P1126:R1128 P1130:R1130 P1132:R1137 P1169:R1171 P1173:R1180 P1186:R1188 P1190:R1193 P1195:R1201 P1203:R1208 P1218:R1222 P1224:R1229">
    <cfRule type="expression" dxfId="858" priority="15">
      <formula>O1083</formula>
    </cfRule>
  </conditionalFormatting>
  <conditionalFormatting sqref="U1083:V1086 U1121:V1126 U1186:V1189">
    <cfRule type="expression" dxfId="857" priority="16">
      <formula>T1083</formula>
    </cfRule>
  </conditionalFormatting>
  <conditionalFormatting sqref="Y148:Y159 Y183:Y188 Y273:Y275">
    <cfRule type="expression" dxfId="856" priority="17">
      <formula>X148</formula>
    </cfRule>
  </conditionalFormatting>
  <conditionalFormatting sqref="Y319:Y324 Y333:Y335 Y382:Y384 Y386:Y389 Y402:Y404 Y408:Y410">
    <cfRule type="expression" dxfId="855" priority="18">
      <formula>X319</formula>
    </cfRule>
  </conditionalFormatting>
  <conditionalFormatting sqref="Y552:Y554 Y557:Y558 Y599:Y604">
    <cfRule type="expression" dxfId="854" priority="19">
      <formula>X552</formula>
    </cfRule>
  </conditionalFormatting>
  <conditionalFormatting sqref="Y628:Y637 Y701:Y708 Y744:Y750 Y767:Y771">
    <cfRule type="expression" dxfId="853" priority="20">
      <formula>X628</formula>
    </cfRule>
  </conditionalFormatting>
  <conditionalFormatting sqref="Y792:Y796 Y832:Y849 Y873:Y876">
    <cfRule type="expression" dxfId="852" priority="21">
      <formula>X792</formula>
    </cfRule>
  </conditionalFormatting>
  <conditionalFormatting sqref="Y1034:Y1036 Y1040:Y1042">
    <cfRule type="expression" dxfId="851" priority="22">
      <formula>X1034</formula>
    </cfRule>
  </conditionalFormatting>
  <conditionalFormatting sqref="Y1083:Y1090 Y1093:Y1098 Y1121:Y1125 Y1153:Y1165 Y1169:Y1176 Y1186:Y1191 Y1193:Y1197 Y1218:Y1228">
    <cfRule type="expression" dxfId="850" priority="23">
      <formula>X1083</formula>
    </cfRule>
  </conditionalFormatting>
  <conditionalFormatting sqref="C7:D7">
    <cfRule type="expression" dxfId="849" priority="24">
      <formula>INDIRECT("Enemies!B48")</formula>
    </cfRule>
  </conditionalFormatting>
  <conditionalFormatting sqref="C12:D12">
    <cfRule type="expression" dxfId="848" priority="25">
      <formula>INDIRECT("Enemies!B177")</formula>
    </cfRule>
  </conditionalFormatting>
  <conditionalFormatting sqref="C13:D13">
    <cfRule type="expression" dxfId="847" priority="26">
      <formula>INDIRECT("Enemies!B178")</formula>
    </cfRule>
  </conditionalFormatting>
  <conditionalFormatting sqref="C14:D14">
    <cfRule type="expression" dxfId="846" priority="27">
      <formula>INDIRECT("Enemies!B179")</formula>
    </cfRule>
  </conditionalFormatting>
  <conditionalFormatting sqref="C15:D15">
    <cfRule type="expression" dxfId="845" priority="28">
      <formula>INDIRECT("Enemies!B320")</formula>
    </cfRule>
  </conditionalFormatting>
  <conditionalFormatting sqref="C16:D16">
    <cfRule type="expression" dxfId="844" priority="29">
      <formula>INDIRECT("Enemies!B131")</formula>
    </cfRule>
  </conditionalFormatting>
  <conditionalFormatting sqref="C17:D17">
    <cfRule type="expression" dxfId="843" priority="30">
      <formula>INDIRECT("Enemies!B323")</formula>
    </cfRule>
  </conditionalFormatting>
  <conditionalFormatting sqref="C18:D18">
    <cfRule type="expression" dxfId="842" priority="31">
      <formula>INDIRECT("Enemies!B372")</formula>
    </cfRule>
  </conditionalFormatting>
  <conditionalFormatting sqref="C19:D19">
    <cfRule type="expression" dxfId="841" priority="32">
      <formula>INDIRECT("Enemies!B152")</formula>
    </cfRule>
  </conditionalFormatting>
  <conditionalFormatting sqref="C20:D20">
    <cfRule type="expression" dxfId="840" priority="33">
      <formula>INDIRECT("Enemies!B130")</formula>
    </cfRule>
  </conditionalFormatting>
  <conditionalFormatting sqref="C23:D23">
    <cfRule type="expression" dxfId="839" priority="34">
      <formula>INDIRECT("Enemies!B7")</formula>
    </cfRule>
  </conditionalFormatting>
  <conditionalFormatting sqref="C24:D24">
    <cfRule type="expression" dxfId="838" priority="35">
      <formula>INDIRECT("Enemies!B183")</formula>
    </cfRule>
  </conditionalFormatting>
  <conditionalFormatting sqref="C25:D25">
    <cfRule type="expression" dxfId="837" priority="36">
      <formula>INDIRECT("Enemies!B169")</formula>
    </cfRule>
  </conditionalFormatting>
  <conditionalFormatting sqref="C26:D26">
    <cfRule type="expression" dxfId="836" priority="37">
      <formula>INDIRECT("Enemies!B172")</formula>
    </cfRule>
  </conditionalFormatting>
  <conditionalFormatting sqref="C27:D27">
    <cfRule type="expression" dxfId="835" priority="38">
      <formula>INDIRECT("Enemies!B171")</formula>
    </cfRule>
  </conditionalFormatting>
  <conditionalFormatting sqref="C28:D28">
    <cfRule type="expression" dxfId="834" priority="39">
      <formula>INDIRECT("Enemies!B198")</formula>
    </cfRule>
  </conditionalFormatting>
  <conditionalFormatting sqref="C30:D30">
    <cfRule type="expression" dxfId="833" priority="40">
      <formula>INDIRECT("Enemies!B496")</formula>
    </cfRule>
  </conditionalFormatting>
  <conditionalFormatting sqref="C31:D31">
    <cfRule type="expression" dxfId="832" priority="41">
      <formula>INDIRECT("Enemies!B497")</formula>
    </cfRule>
  </conditionalFormatting>
  <conditionalFormatting sqref="C35:D35">
    <cfRule type="expression" dxfId="831" priority="42">
      <formula>INDIRECT("Enemies!B372")</formula>
    </cfRule>
  </conditionalFormatting>
  <conditionalFormatting sqref="C36:D36">
    <cfRule type="expression" dxfId="830" priority="43">
      <formula>INDIRECT("Enemies!B152")</formula>
    </cfRule>
  </conditionalFormatting>
  <conditionalFormatting sqref="C37:D37">
    <cfRule type="expression" dxfId="829" priority="44">
      <formula>INDIRECT("Enemies!B7")</formula>
    </cfRule>
  </conditionalFormatting>
  <conditionalFormatting sqref="C38:D38">
    <cfRule type="expression" dxfId="828" priority="45">
      <formula>INDIRECT("Enemies!B355")</formula>
    </cfRule>
  </conditionalFormatting>
  <conditionalFormatting sqref="C39:D39">
    <cfRule type="expression" dxfId="827" priority="46">
      <formula>INDIRECT("Enemies!B311")</formula>
    </cfRule>
  </conditionalFormatting>
  <conditionalFormatting sqref="C41:D41">
    <cfRule type="expression" dxfId="826" priority="47">
      <formula>INDIRECT("Enemies!B390")</formula>
    </cfRule>
  </conditionalFormatting>
  <conditionalFormatting sqref="C42:D42">
    <cfRule type="expression" dxfId="825" priority="48">
      <formula>INDIRECT("Enemies!B391")</formula>
    </cfRule>
  </conditionalFormatting>
  <conditionalFormatting sqref="C46:D46">
    <cfRule type="expression" dxfId="824" priority="49">
      <formula>INDIRECT("Enemies!B69")</formula>
    </cfRule>
  </conditionalFormatting>
  <conditionalFormatting sqref="C48:D48">
    <cfRule type="expression" dxfId="823" priority="50">
      <formula>INDIRECT("Enemies!B180")</formula>
    </cfRule>
  </conditionalFormatting>
  <conditionalFormatting sqref="C49:D49">
    <cfRule type="expression" dxfId="822" priority="51">
      <formula>INDIRECT("Enemies!B181")</formula>
    </cfRule>
  </conditionalFormatting>
  <conditionalFormatting sqref="C50:D50">
    <cfRule type="expression" dxfId="821" priority="52">
      <formula>INDIRECT("Enemies!B182")</formula>
    </cfRule>
  </conditionalFormatting>
  <conditionalFormatting sqref="C51:D51">
    <cfRule type="expression" dxfId="820" priority="53">
      <formula>INDIRECT("Enemies!B174")</formula>
    </cfRule>
  </conditionalFormatting>
  <conditionalFormatting sqref="C52:D52">
    <cfRule type="expression" dxfId="819" priority="54">
      <formula>INDIRECT("Enemies!B130")</formula>
    </cfRule>
  </conditionalFormatting>
  <conditionalFormatting sqref="C53:D53">
    <cfRule type="expression" dxfId="818" priority="55">
      <formula>INDIRECT("Enemies!B163")</formula>
    </cfRule>
  </conditionalFormatting>
  <conditionalFormatting sqref="C54:D54">
    <cfRule type="expression" dxfId="817" priority="56">
      <formula>INDIRECT("Enemies!B324")</formula>
    </cfRule>
  </conditionalFormatting>
  <conditionalFormatting sqref="C55:D55">
    <cfRule type="expression" dxfId="816" priority="57">
      <formula>INDIRECT("Enemies!B213")</formula>
    </cfRule>
  </conditionalFormatting>
  <conditionalFormatting sqref="C56:D56">
    <cfRule type="expression" dxfId="815" priority="58">
      <formula>INDIRECT("Enemies!B238")</formula>
    </cfRule>
  </conditionalFormatting>
  <conditionalFormatting sqref="C57:D57">
    <cfRule type="expression" dxfId="814" priority="59">
      <formula>INDIRECT("Enemies!B356")</formula>
    </cfRule>
  </conditionalFormatting>
  <conditionalFormatting sqref="C58:D58">
    <cfRule type="expression" dxfId="813" priority="60">
      <formula>INDIRECT("Enemies!B164")</formula>
    </cfRule>
  </conditionalFormatting>
  <conditionalFormatting sqref="C60:D60">
    <cfRule type="expression" dxfId="812" priority="61">
      <formula>INDIRECT("Enemies!B180")</formula>
    </cfRule>
  </conditionalFormatting>
  <conditionalFormatting sqref="C61:D61">
    <cfRule type="expression" dxfId="811" priority="62">
      <formula>INDIRECT("Enemies!B181")</formula>
    </cfRule>
  </conditionalFormatting>
  <conditionalFormatting sqref="C62:D62">
    <cfRule type="expression" dxfId="810" priority="63">
      <formula>INDIRECT("Enemies!B182")</formula>
    </cfRule>
  </conditionalFormatting>
  <conditionalFormatting sqref="C63:D63">
    <cfRule type="expression" dxfId="809" priority="64">
      <formula>INDIRECT("Enemies!B174")</formula>
    </cfRule>
  </conditionalFormatting>
  <conditionalFormatting sqref="C64:D64">
    <cfRule type="expression" dxfId="808" priority="65">
      <formula>INDIRECT("Enemies!B171")</formula>
    </cfRule>
  </conditionalFormatting>
  <conditionalFormatting sqref="C65:D65">
    <cfRule type="expression" dxfId="807" priority="66">
      <formula>INDIRECT("Enemies!B5")</formula>
    </cfRule>
  </conditionalFormatting>
  <conditionalFormatting sqref="C66:D66">
    <cfRule type="expression" dxfId="806" priority="67">
      <formula>INDIRECT("Enemies!B50")</formula>
    </cfRule>
  </conditionalFormatting>
  <conditionalFormatting sqref="C68:D68">
    <cfRule type="expression" dxfId="805" priority="68">
      <formula>INDIRECT("Enemies!B378")</formula>
    </cfRule>
  </conditionalFormatting>
  <conditionalFormatting sqref="C70:D70">
    <cfRule type="expression" dxfId="804" priority="69">
      <formula>INDIRECT("Enemies!B321")</formula>
    </cfRule>
  </conditionalFormatting>
  <conditionalFormatting sqref="C71:D71">
    <cfRule type="expression" dxfId="803" priority="70">
      <formula>INDIRECT("Enemies!B163")</formula>
    </cfRule>
  </conditionalFormatting>
  <conditionalFormatting sqref="C72:D72">
    <cfRule type="expression" dxfId="802" priority="71">
      <formula>INDIRECT("Enemies!B213")</formula>
    </cfRule>
  </conditionalFormatting>
  <conditionalFormatting sqref="C73:D73">
    <cfRule type="expression" dxfId="801" priority="72">
      <formula>INDIRECT("Enemies!B171")</formula>
    </cfRule>
  </conditionalFormatting>
  <conditionalFormatting sqref="C77:D77">
    <cfRule type="expression" dxfId="800" priority="73">
      <formula>INDIRECT("Enemies!B130")</formula>
    </cfRule>
  </conditionalFormatting>
  <conditionalFormatting sqref="C78:D78">
    <cfRule type="expression" dxfId="799" priority="74">
      <formula>INDIRECT("Enemies!B213")</formula>
    </cfRule>
  </conditionalFormatting>
  <conditionalFormatting sqref="C79:D79">
    <cfRule type="expression" dxfId="798" priority="75">
      <formula>INDIRECT("Enemies!B356")</formula>
    </cfRule>
  </conditionalFormatting>
  <conditionalFormatting sqref="C81:D81">
    <cfRule type="expression" dxfId="797" priority="76">
      <formula>INDIRECT("Enemies!B366")</formula>
    </cfRule>
  </conditionalFormatting>
  <conditionalFormatting sqref="C82:D82">
    <cfRule type="expression" dxfId="796" priority="77">
      <formula>INDIRECT("Enemies!B361")</formula>
    </cfRule>
  </conditionalFormatting>
  <conditionalFormatting sqref="C83:D83">
    <cfRule type="expression" dxfId="795" priority="78">
      <formula>INDIRECT("Enemies!B358")</formula>
    </cfRule>
  </conditionalFormatting>
  <conditionalFormatting sqref="C84:D84">
    <cfRule type="expression" dxfId="794" priority="79">
      <formula>INDIRECT("Enemies!B204")</formula>
    </cfRule>
  </conditionalFormatting>
  <conditionalFormatting sqref="C85:D85">
    <cfRule type="expression" dxfId="793" priority="80">
      <formula>INDIRECT("Enemies!B199")</formula>
    </cfRule>
  </conditionalFormatting>
  <conditionalFormatting sqref="C86:D86">
    <cfRule type="expression" dxfId="792" priority="81">
      <formula>INDIRECT("Enemies!B196")</formula>
    </cfRule>
  </conditionalFormatting>
  <conditionalFormatting sqref="C87:D87">
    <cfRule type="expression" dxfId="791" priority="82">
      <formula>INDIRECT("Enemies!B13")</formula>
    </cfRule>
  </conditionalFormatting>
  <conditionalFormatting sqref="C89:D89">
    <cfRule type="expression" dxfId="790" priority="83">
      <formula>INDIRECT("Enemies!B420")</formula>
    </cfRule>
  </conditionalFormatting>
  <conditionalFormatting sqref="C90:D90">
    <cfRule type="expression" dxfId="789" priority="84">
      <formula>INDIRECT("Enemies!B421")</formula>
    </cfRule>
  </conditionalFormatting>
  <conditionalFormatting sqref="C94:D94">
    <cfRule type="expression" dxfId="788" priority="85">
      <formula>INDIRECT("Enemies!B15")</formula>
    </cfRule>
  </conditionalFormatting>
  <conditionalFormatting sqref="C95:D95">
    <cfRule type="expression" dxfId="787" priority="86">
      <formula>INDIRECT("Enemies!B370")</formula>
    </cfRule>
  </conditionalFormatting>
  <conditionalFormatting sqref="C96:D96">
    <cfRule type="expression" dxfId="786" priority="87">
      <formula>INDIRECT("Enemies!B322")</formula>
    </cfRule>
  </conditionalFormatting>
  <conditionalFormatting sqref="C97:D97">
    <cfRule type="expression" dxfId="785" priority="88">
      <formula>INDIRECT("Enemies!B132")</formula>
    </cfRule>
  </conditionalFormatting>
  <conditionalFormatting sqref="C98:D98">
    <cfRule type="expression" dxfId="784" priority="89">
      <formula>INDIRECT("Enemies!B164")</formula>
    </cfRule>
  </conditionalFormatting>
  <conditionalFormatting sqref="C100:D100">
    <cfRule type="expression" dxfId="783" priority="90">
      <formula>INDIRECT("Enemies!B457")</formula>
    </cfRule>
  </conditionalFormatting>
  <conditionalFormatting sqref="C103:D103">
    <cfRule type="expression" dxfId="782" priority="91">
      <formula>INDIRECT("Enemies!B53")</formula>
    </cfRule>
  </conditionalFormatting>
  <conditionalFormatting sqref="C105:D105">
    <cfRule type="expression" dxfId="781" priority="92">
      <formula>INDIRECT("Enemies!B174")</formula>
    </cfRule>
  </conditionalFormatting>
  <conditionalFormatting sqref="C106:D106">
    <cfRule type="expression" dxfId="780" priority="93">
      <formula>INDIRECT("Enemies!B175")</formula>
    </cfRule>
  </conditionalFormatting>
  <conditionalFormatting sqref="C107:D107">
    <cfRule type="expression" dxfId="779" priority="94">
      <formula>INDIRECT("Enemies!B176")</formula>
    </cfRule>
  </conditionalFormatting>
  <conditionalFormatting sqref="C108:D108">
    <cfRule type="expression" dxfId="778" priority="95">
      <formula>INDIRECT("Enemies!B252")</formula>
    </cfRule>
  </conditionalFormatting>
  <conditionalFormatting sqref="C109:D109">
    <cfRule type="expression" dxfId="777" priority="96">
      <formula>INDIRECT("Enemies!B319")</formula>
    </cfRule>
  </conditionalFormatting>
  <conditionalFormatting sqref="C110:D110">
    <cfRule type="expression" dxfId="776" priority="97">
      <formula>INDIRECT("Enemies!B349")</formula>
    </cfRule>
  </conditionalFormatting>
  <conditionalFormatting sqref="C111:D111">
    <cfRule type="expression" dxfId="775" priority="98">
      <formula>INDIRECT("Enemies!B5")</formula>
    </cfRule>
  </conditionalFormatting>
  <conditionalFormatting sqref="C112:D112">
    <cfRule type="expression" dxfId="774" priority="99">
      <formula>INDIRECT("Enemies!B171")</formula>
    </cfRule>
  </conditionalFormatting>
  <conditionalFormatting sqref="C114:D114">
    <cfRule type="expression" dxfId="773" priority="100">
      <formula>INDIRECT("Enemies!B321")</formula>
    </cfRule>
  </conditionalFormatting>
  <conditionalFormatting sqref="C115:D115">
    <cfRule type="expression" dxfId="772" priority="101">
      <formula>INDIRECT("Enemies!B319")</formula>
    </cfRule>
  </conditionalFormatting>
  <conditionalFormatting sqref="C116:D116">
    <cfRule type="expression" dxfId="771" priority="102">
      <formula>INDIRECT("Enemies!B349")</formula>
    </cfRule>
  </conditionalFormatting>
  <conditionalFormatting sqref="C117:D117">
    <cfRule type="expression" dxfId="770" priority="103">
      <formula>INDIRECT("Enemies!B5")</formula>
    </cfRule>
  </conditionalFormatting>
  <conditionalFormatting sqref="C118:D118">
    <cfRule type="expression" dxfId="769" priority="104">
      <formula>INDIRECT("Enemies!B171")</formula>
    </cfRule>
  </conditionalFormatting>
  <conditionalFormatting sqref="C120:D120">
    <cfRule type="expression" dxfId="768" priority="105">
      <formula>INDIRECT("Enemies!B380")</formula>
    </cfRule>
  </conditionalFormatting>
  <conditionalFormatting sqref="C121:D121">
    <cfRule type="expression" dxfId="767" priority="106">
      <formula>INDIRECT("Enemies!B349")</formula>
    </cfRule>
  </conditionalFormatting>
  <conditionalFormatting sqref="C126:D126">
    <cfRule type="expression" dxfId="766" priority="107">
      <formula>INDIRECT("Enemies!B479")</formula>
    </cfRule>
  </conditionalFormatting>
  <conditionalFormatting sqref="C127:D127">
    <cfRule type="expression" dxfId="765" priority="108">
      <formula>INDIRECT("Enemies!B480")</formula>
    </cfRule>
  </conditionalFormatting>
  <conditionalFormatting sqref="C129:D129">
    <cfRule type="expression" dxfId="764" priority="109">
      <formula>INDIRECT("Enemies!B39")</formula>
    </cfRule>
  </conditionalFormatting>
  <conditionalFormatting sqref="C130:D130">
    <cfRule type="expression" dxfId="763" priority="110">
      <formula>INDIRECT("Enemies!B40")</formula>
    </cfRule>
  </conditionalFormatting>
  <conditionalFormatting sqref="C131:D131">
    <cfRule type="expression" dxfId="762" priority="111">
      <formula>INDIRECT("Enemies!B17")</formula>
    </cfRule>
  </conditionalFormatting>
  <conditionalFormatting sqref="C132:D132">
    <cfRule type="expression" dxfId="761" priority="112">
      <formula>INDIRECT("Enemies!B50")</formula>
    </cfRule>
  </conditionalFormatting>
  <conditionalFormatting sqref="C133:D133">
    <cfRule type="expression" dxfId="760" priority="113">
      <formula>INDIRECT("Enemies!B171")</formula>
    </cfRule>
  </conditionalFormatting>
  <conditionalFormatting sqref="C135:D135">
    <cfRule type="expression" dxfId="759" priority="114">
      <formula>INDIRECT("Enemies!B39")</formula>
    </cfRule>
  </conditionalFormatting>
  <conditionalFormatting sqref="C136:D136">
    <cfRule type="expression" dxfId="758" priority="115">
      <formula>INDIRECT("Enemies!B40")</formula>
    </cfRule>
  </conditionalFormatting>
  <conditionalFormatting sqref="C137:D137">
    <cfRule type="expression" dxfId="757" priority="116">
      <formula>INDIRECT("Enemies!B41")</formula>
    </cfRule>
  </conditionalFormatting>
  <conditionalFormatting sqref="C138:D138">
    <cfRule type="expression" dxfId="756" priority="117">
      <formula>INDIRECT("Enemies!B5")</formula>
    </cfRule>
  </conditionalFormatting>
  <conditionalFormatting sqref="C139:D139">
    <cfRule type="expression" dxfId="755" priority="118">
      <formula>INDIRECT("Enemies!B17")</formula>
    </cfRule>
  </conditionalFormatting>
  <conditionalFormatting sqref="C140:D140">
    <cfRule type="expression" dxfId="754" priority="119">
      <formula>INDIRECT("Enemies!B50")</formula>
    </cfRule>
  </conditionalFormatting>
  <conditionalFormatting sqref="C141:D141">
    <cfRule type="expression" dxfId="753" priority="120">
      <formula>INDIRECT("Enemies!B171")</formula>
    </cfRule>
  </conditionalFormatting>
  <conditionalFormatting sqref="C143:D143">
    <cfRule type="expression" dxfId="752" priority="121">
      <formula>INDIRECT("Enemies!B481")</formula>
    </cfRule>
  </conditionalFormatting>
  <conditionalFormatting sqref="C147:D147">
    <cfRule type="expression" dxfId="751" priority="122">
      <formula>INDIRECT("Enemies!B48")</formula>
    </cfRule>
  </conditionalFormatting>
  <conditionalFormatting sqref="C151:D151">
    <cfRule type="expression" dxfId="750" priority="123">
      <formula>INDIRECT("Enemies!B110")</formula>
    </cfRule>
  </conditionalFormatting>
  <conditionalFormatting sqref="C152:D152">
    <cfRule type="expression" dxfId="749" priority="124">
      <formula>INDIRECT("Enemies!B111")</formula>
    </cfRule>
  </conditionalFormatting>
  <conditionalFormatting sqref="C153:D153">
    <cfRule type="expression" dxfId="748" priority="125">
      <formula>INDIRECT("Enemies!B112")</formula>
    </cfRule>
  </conditionalFormatting>
  <conditionalFormatting sqref="C154:D154">
    <cfRule type="expression" dxfId="747" priority="126">
      <formula>INDIRECT("Enemies!B220")</formula>
    </cfRule>
  </conditionalFormatting>
  <conditionalFormatting sqref="C155:D155">
    <cfRule type="expression" dxfId="746" priority="127">
      <formula>INDIRECT("Enemies!B313")</formula>
    </cfRule>
  </conditionalFormatting>
  <conditionalFormatting sqref="C156:D156">
    <cfRule type="expression" dxfId="745" priority="128">
      <formula>INDIRECT("Enemies!B6")</formula>
    </cfRule>
  </conditionalFormatting>
  <conditionalFormatting sqref="C157:D157">
    <cfRule type="expression" dxfId="744" priority="129">
      <formula>INDIRECT("Enemies!B141")</formula>
    </cfRule>
  </conditionalFormatting>
  <conditionalFormatting sqref="C160:D160">
    <cfRule type="expression" dxfId="743" priority="130">
      <formula>INDIRECT("Enemies!B112")</formula>
    </cfRule>
  </conditionalFormatting>
  <conditionalFormatting sqref="C161:D161">
    <cfRule type="expression" dxfId="742" priority="131">
      <formula>INDIRECT("Enemies!B113")</formula>
    </cfRule>
  </conditionalFormatting>
  <conditionalFormatting sqref="C162:D162">
    <cfRule type="expression" dxfId="741" priority="132">
      <formula>INDIRECT("Enemies!B114")</formula>
    </cfRule>
  </conditionalFormatting>
  <conditionalFormatting sqref="C163:D163">
    <cfRule type="expression" dxfId="740" priority="133">
      <formula>INDIRECT("Enemies!B115")</formula>
    </cfRule>
  </conditionalFormatting>
  <conditionalFormatting sqref="C164:D164">
    <cfRule type="expression" dxfId="739" priority="134">
      <formula>INDIRECT("Enemies!B326")</formula>
    </cfRule>
  </conditionalFormatting>
  <conditionalFormatting sqref="C165:D165">
    <cfRule type="expression" dxfId="738" priority="135">
      <formula>INDIRECT("Enemies!B168")</formula>
    </cfRule>
  </conditionalFormatting>
  <conditionalFormatting sqref="C169:D169">
    <cfRule type="expression" dxfId="737" priority="136">
      <formula>INDIRECT("Enemies!B305")</formula>
    </cfRule>
  </conditionalFormatting>
  <conditionalFormatting sqref="C170:D170">
    <cfRule type="expression" dxfId="736" priority="137">
      <formula>INDIRECT("Enemies!B102")</formula>
    </cfRule>
  </conditionalFormatting>
  <conditionalFormatting sqref="C171:D171">
    <cfRule type="expression" dxfId="735" priority="138">
      <formula>INDIRECT("Enemies!B186")</formula>
    </cfRule>
  </conditionalFormatting>
  <conditionalFormatting sqref="C172:D172">
    <cfRule type="expression" dxfId="734" priority="139">
      <formula>INDIRECT("Enemies!B103")</formula>
    </cfRule>
  </conditionalFormatting>
  <conditionalFormatting sqref="C173:D173">
    <cfRule type="expression" dxfId="733" priority="140">
      <formula>INDIRECT("Enemies!B188")</formula>
    </cfRule>
  </conditionalFormatting>
  <conditionalFormatting sqref="C174:D174">
    <cfRule type="expression" dxfId="732" priority="141">
      <formula>INDIRECT("Enemies!B8")</formula>
    </cfRule>
  </conditionalFormatting>
  <conditionalFormatting sqref="C175:D175">
    <cfRule type="expression" dxfId="731" priority="142">
      <formula>INDIRECT("Enemies!B307")</formula>
    </cfRule>
  </conditionalFormatting>
  <conditionalFormatting sqref="C176:D176">
    <cfRule type="expression" dxfId="730" priority="143">
      <formula>INDIRECT("Enemies!B23")</formula>
    </cfRule>
  </conditionalFormatting>
  <conditionalFormatting sqref="C178:D178">
    <cfRule type="expression" dxfId="729" priority="144">
      <formula>INDIRECT("Enemies!B392")</formula>
    </cfRule>
  </conditionalFormatting>
  <conditionalFormatting sqref="C179:D179">
    <cfRule type="expression" dxfId="728" priority="145">
      <formula>INDIRECT("Enemies!B393")</formula>
    </cfRule>
  </conditionalFormatting>
  <conditionalFormatting sqref="C182:D182">
    <cfRule type="expression" dxfId="727" priority="146">
      <formula>INDIRECT("Enemies!B69")</formula>
    </cfRule>
  </conditionalFormatting>
  <conditionalFormatting sqref="C184:D184">
    <cfRule type="expression" dxfId="726" priority="147">
      <formula>INDIRECT("Enemies!B113")</formula>
    </cfRule>
  </conditionalFormatting>
  <conditionalFormatting sqref="C185:D185">
    <cfRule type="expression" dxfId="725" priority="148">
      <formula>INDIRECT("Enemies!B114")</formula>
    </cfRule>
  </conditionalFormatting>
  <conditionalFormatting sqref="C186:D186">
    <cfRule type="expression" dxfId="724" priority="149">
      <formula>INDIRECT("Enemies!B115")</formula>
    </cfRule>
  </conditionalFormatting>
  <conditionalFormatting sqref="C187:D187">
    <cfRule type="expression" dxfId="723" priority="150">
      <formula>INDIRECT("Enemies!B116")</formula>
    </cfRule>
  </conditionalFormatting>
  <conditionalFormatting sqref="C188:D188">
    <cfRule type="expression" dxfId="722" priority="151">
      <formula>INDIRECT("Enemies!B141")</formula>
    </cfRule>
  </conditionalFormatting>
  <conditionalFormatting sqref="C189:D189">
    <cfRule type="expression" dxfId="721" priority="152">
      <formula>INDIRECT("Enemies!B214")</formula>
    </cfRule>
  </conditionalFormatting>
  <conditionalFormatting sqref="C190:D190">
    <cfRule type="expression" dxfId="720" priority="153">
      <formula>INDIRECT("Enemies!B29")</formula>
    </cfRule>
  </conditionalFormatting>
  <conditionalFormatting sqref="C191:D191">
    <cfRule type="expression" dxfId="719" priority="154">
      <formula>INDIRECT("Enemies!B10")</formula>
    </cfRule>
  </conditionalFormatting>
  <conditionalFormatting sqref="C192:D192">
    <cfRule type="expression" dxfId="718" priority="155">
      <formula>INDIRECT("Enemies!B347")</formula>
    </cfRule>
  </conditionalFormatting>
  <conditionalFormatting sqref="C193:D193">
    <cfRule type="expression" dxfId="717" priority="156">
      <formula>INDIRECT("Enemies!B230")</formula>
    </cfRule>
  </conditionalFormatting>
  <conditionalFormatting sqref="C194:D194">
    <cfRule type="expression" dxfId="716" priority="157">
      <formula>INDIRECT("Enemies!B90")</formula>
    </cfRule>
  </conditionalFormatting>
  <conditionalFormatting sqref="C196:D196">
    <cfRule type="expression" dxfId="715" priority="158">
      <formula>INDIRECT("Enemies!B249")</formula>
    </cfRule>
  </conditionalFormatting>
  <conditionalFormatting sqref="C197:D197">
    <cfRule type="expression" dxfId="714" priority="159">
      <formula>INDIRECT("Enemies!B338")</formula>
    </cfRule>
  </conditionalFormatting>
  <conditionalFormatting sqref="C198:D198">
    <cfRule type="expression" dxfId="713" priority="160">
      <formula>INDIRECT("Enemies!B340")</formula>
    </cfRule>
  </conditionalFormatting>
  <conditionalFormatting sqref="C199:D199">
    <cfRule type="expression" dxfId="712" priority="161">
      <formula>INDIRECT("Enemies!B17")</formula>
    </cfRule>
  </conditionalFormatting>
  <conditionalFormatting sqref="C200:D200">
    <cfRule type="expression" dxfId="711" priority="162">
      <formula>INDIRECT("Enemies!B216")</formula>
    </cfRule>
  </conditionalFormatting>
  <conditionalFormatting sqref="C201:D201">
    <cfRule type="expression" dxfId="710" priority="163">
      <formula>INDIRECT("Enemies!B239")</formula>
    </cfRule>
  </conditionalFormatting>
  <conditionalFormatting sqref="C202:D202">
    <cfRule type="expression" dxfId="709" priority="164">
      <formula>INDIRECT("Enemies!B207")</formula>
    </cfRule>
  </conditionalFormatting>
  <conditionalFormatting sqref="C204:D204">
    <cfRule type="expression" dxfId="708" priority="165">
      <formula>INDIRECT("Enemies!B386")</formula>
    </cfRule>
  </conditionalFormatting>
  <conditionalFormatting sqref="C208:D208">
    <cfRule type="expression" dxfId="707" priority="166">
      <formula>INDIRECT("Enemies!B32")</formula>
    </cfRule>
  </conditionalFormatting>
  <conditionalFormatting sqref="C209:D209">
    <cfRule type="expression" dxfId="706" priority="167">
      <formula>INDIRECT("Enemies!B33")</formula>
    </cfRule>
  </conditionalFormatting>
  <conditionalFormatting sqref="C210:D210">
    <cfRule type="expression" dxfId="705" priority="168">
      <formula>INDIRECT("Enemies!B148")</formula>
    </cfRule>
  </conditionalFormatting>
  <conditionalFormatting sqref="C211:D211">
    <cfRule type="expression" dxfId="704" priority="169">
      <formula>INDIRECT("Enemies!B172")</formula>
    </cfRule>
  </conditionalFormatting>
  <conditionalFormatting sqref="C212:D212">
    <cfRule type="expression" dxfId="703" priority="170">
      <formula>INDIRECT("Enemies!B75")</formula>
    </cfRule>
  </conditionalFormatting>
  <conditionalFormatting sqref="C213:D213">
    <cfRule type="expression" dxfId="702" priority="171">
      <formula>INDIRECT("Enemies!B80")</formula>
    </cfRule>
  </conditionalFormatting>
  <conditionalFormatting sqref="C214:D214">
    <cfRule type="expression" dxfId="701" priority="172">
      <formula>INDIRECT("Enemies!B70")</formula>
    </cfRule>
  </conditionalFormatting>
  <conditionalFormatting sqref="C216:D216">
    <cfRule type="expression" dxfId="700" priority="173">
      <formula>INDIRECT("Enemies!B424")</formula>
    </cfRule>
  </conditionalFormatting>
  <conditionalFormatting sqref="C217:D217">
    <cfRule type="expression" dxfId="699" priority="174">
      <formula>INDIRECT("Enemies!B425")</formula>
    </cfRule>
  </conditionalFormatting>
  <conditionalFormatting sqref="C218:D218">
    <cfRule type="expression" dxfId="698" priority="175">
      <formula>INDIRECT("Enemies!B426")</formula>
    </cfRule>
  </conditionalFormatting>
  <conditionalFormatting sqref="C222:D222">
    <cfRule type="expression" dxfId="697" priority="176">
      <formula>INDIRECT("Enemies!B64")</formula>
    </cfRule>
  </conditionalFormatting>
  <conditionalFormatting sqref="C223:D223">
    <cfRule type="expression" dxfId="696" priority="177">
      <formula>INDIRECT("Enemies!B65")</formula>
    </cfRule>
  </conditionalFormatting>
  <conditionalFormatting sqref="C224:D224">
    <cfRule type="expression" dxfId="695" priority="178">
      <formula>INDIRECT("Enemies!B189")</formula>
    </cfRule>
  </conditionalFormatting>
  <conditionalFormatting sqref="C225:D225">
    <cfRule type="expression" dxfId="694" priority="179">
      <formula>INDIRECT("Enemies!B313")</formula>
    </cfRule>
  </conditionalFormatting>
  <conditionalFormatting sqref="C226:D226">
    <cfRule type="expression" dxfId="693" priority="180">
      <formula>INDIRECT("Enemies!B205")</formula>
    </cfRule>
  </conditionalFormatting>
  <conditionalFormatting sqref="C227:D227">
    <cfRule type="expression" dxfId="692" priority="181">
      <formula>INDIRECT("Enemies!B334")</formula>
    </cfRule>
  </conditionalFormatting>
  <conditionalFormatting sqref="C228:D228">
    <cfRule type="expression" dxfId="691" priority="182">
      <formula>INDIRECT("Enemies!B89")</formula>
    </cfRule>
  </conditionalFormatting>
  <conditionalFormatting sqref="C229:D229">
    <cfRule type="expression" dxfId="690" priority="183">
      <formula>INDIRECT("Enemies!B314")</formula>
    </cfRule>
  </conditionalFormatting>
  <conditionalFormatting sqref="C231:D231">
    <cfRule type="expression" dxfId="689" priority="184">
      <formula>INDIRECT("Enemies!B447")</formula>
    </cfRule>
  </conditionalFormatting>
  <conditionalFormatting sqref="C232:D232">
    <cfRule type="expression" dxfId="688" priority="185">
      <formula>INDIRECT("Enemies!B448")</formula>
    </cfRule>
  </conditionalFormatting>
  <conditionalFormatting sqref="C235:D235">
    <cfRule type="expression" dxfId="687" priority="186">
      <formula>INDIRECT("Enemies!B53")</formula>
    </cfRule>
  </conditionalFormatting>
  <conditionalFormatting sqref="C237:D237">
    <cfRule type="expression" dxfId="686" priority="187">
      <formula>INDIRECT("Enemies!B116")</formula>
    </cfRule>
  </conditionalFormatting>
  <conditionalFormatting sqref="C238:D238">
    <cfRule type="expression" dxfId="685" priority="188">
      <formula>INDIRECT("Enemies!B117")</formula>
    </cfRule>
  </conditionalFormatting>
  <conditionalFormatting sqref="C239:D239">
    <cfRule type="expression" dxfId="684" priority="189">
      <formula>INDIRECT("Enemies!B118")</formula>
    </cfRule>
  </conditionalFormatting>
  <conditionalFormatting sqref="C240:D240">
    <cfRule type="expression" dxfId="683" priority="190">
      <formula>INDIRECT("Enemies!B240")</formula>
    </cfRule>
  </conditionalFormatting>
  <conditionalFormatting sqref="C241:D241">
    <cfRule type="expression" dxfId="682" priority="191">
      <formula>INDIRECT("Enemies!B133")</formula>
    </cfRule>
  </conditionalFormatting>
  <conditionalFormatting sqref="C242:D242">
    <cfRule type="expression" dxfId="681" priority="192">
      <formula>INDIRECT("Enemies!B224")</formula>
    </cfRule>
  </conditionalFormatting>
  <conditionalFormatting sqref="C243:D243">
    <cfRule type="expression" dxfId="680" priority="193">
      <formula>INDIRECT("Enemies!B237")</formula>
    </cfRule>
  </conditionalFormatting>
  <conditionalFormatting sqref="C245:D245">
    <cfRule type="expression" dxfId="679" priority="194">
      <formula>INDIRECT("Enemies!B241")</formula>
    </cfRule>
  </conditionalFormatting>
  <conditionalFormatting sqref="C246:D246">
    <cfRule type="expression" dxfId="678" priority="195">
      <formula>INDIRECT("Enemies!B233")</formula>
    </cfRule>
  </conditionalFormatting>
  <conditionalFormatting sqref="C247:D247">
    <cfRule type="expression" dxfId="677" priority="196">
      <formula>INDIRECT("Enemies!B133")</formula>
    </cfRule>
  </conditionalFormatting>
  <conditionalFormatting sqref="C248:D248">
    <cfRule type="expression" dxfId="676" priority="197">
      <formula>INDIRECT("Enemies!B224")</formula>
    </cfRule>
  </conditionalFormatting>
  <conditionalFormatting sqref="C249:D249">
    <cfRule type="expression" dxfId="675" priority="198">
      <formula>INDIRECT("Enemies!B97")</formula>
    </cfRule>
  </conditionalFormatting>
  <conditionalFormatting sqref="C250:D250">
    <cfRule type="expression" dxfId="674" priority="199">
      <formula>INDIRECT("Enemies!B87")</formula>
    </cfRule>
  </conditionalFormatting>
  <conditionalFormatting sqref="C251:D251">
    <cfRule type="expression" dxfId="673" priority="200">
      <formula>INDIRECT("Enemies!B221")</formula>
    </cfRule>
  </conditionalFormatting>
  <conditionalFormatting sqref="C252:D252">
    <cfRule type="expression" dxfId="672" priority="201">
      <formula>INDIRECT("Enemies!B250")</formula>
    </cfRule>
  </conditionalFormatting>
  <conditionalFormatting sqref="C253:D253">
    <cfRule type="expression" dxfId="671" priority="202">
      <formula>INDIRECT("Enemies!B256")</formula>
    </cfRule>
  </conditionalFormatting>
  <conditionalFormatting sqref="C255:D255">
    <cfRule type="expression" dxfId="670" priority="203">
      <formula>INDIRECT("Enemies!B498")</formula>
    </cfRule>
  </conditionalFormatting>
  <conditionalFormatting sqref="C256:D256">
    <cfRule type="expression" dxfId="669" priority="204">
      <formula>INDIRECT("Enemies!B499")</formula>
    </cfRule>
  </conditionalFormatting>
  <conditionalFormatting sqref="C258:D258">
    <cfRule type="expression" dxfId="668" priority="205">
      <formula>INDIRECT("Enemies!B364")</formula>
    </cfRule>
  </conditionalFormatting>
  <conditionalFormatting sqref="C259:D259">
    <cfRule type="expression" dxfId="667" priority="206">
      <formula>INDIRECT("Enemies!B365")</formula>
    </cfRule>
  </conditionalFormatting>
  <conditionalFormatting sqref="C260:D260">
    <cfRule type="expression" dxfId="666" priority="207">
      <formula>INDIRECT("Enemies!B202")</formula>
    </cfRule>
  </conditionalFormatting>
  <conditionalFormatting sqref="C261:D261">
    <cfRule type="expression" dxfId="665" priority="208">
      <formula>INDIRECT("Enemies!B203")</formula>
    </cfRule>
  </conditionalFormatting>
  <conditionalFormatting sqref="C262:D262">
    <cfRule type="expression" dxfId="664" priority="209">
      <formula>INDIRECT("Enemies!B309")</formula>
    </cfRule>
  </conditionalFormatting>
  <conditionalFormatting sqref="C263:D263">
    <cfRule type="expression" dxfId="663" priority="210">
      <formula>INDIRECT("Enemies!B310")</formula>
    </cfRule>
  </conditionalFormatting>
  <conditionalFormatting sqref="C264:D264">
    <cfRule type="expression" dxfId="662" priority="211">
      <formula>INDIRECT("Enemies!B9")</formula>
    </cfRule>
  </conditionalFormatting>
  <conditionalFormatting sqref="C266:D269">
    <cfRule type="expression" dxfId="661" priority="212">
      <formula>INDIRECT("Enemies!B485")</formula>
    </cfRule>
  </conditionalFormatting>
  <conditionalFormatting sqref="C273:D273">
    <cfRule type="expression" dxfId="660" priority="213">
      <formula>INDIRECT("Enemies!B374")</formula>
    </cfRule>
  </conditionalFormatting>
  <conditionalFormatting sqref="C274:D274">
    <cfRule type="expression" dxfId="659" priority="214">
      <formula>INDIRECT("Enemies!B375")</formula>
    </cfRule>
  </conditionalFormatting>
  <conditionalFormatting sqref="C275:D275">
    <cfRule type="expression" dxfId="658" priority="215">
      <formula>INDIRECT("Enemies!B224")</formula>
    </cfRule>
  </conditionalFormatting>
  <conditionalFormatting sqref="C276:D276">
    <cfRule type="expression" dxfId="657" priority="216">
      <formula>INDIRECT("Enemies!B345")</formula>
    </cfRule>
  </conditionalFormatting>
  <conditionalFormatting sqref="C277:D277">
    <cfRule type="expression" dxfId="656" priority="217">
      <formula>INDIRECT("Enemies!B74")</formula>
    </cfRule>
  </conditionalFormatting>
  <conditionalFormatting sqref="C279:D279">
    <cfRule type="expression" dxfId="655" priority="218">
      <formula>INDIRECT("Enemies!B309")</formula>
    </cfRule>
  </conditionalFormatting>
  <conditionalFormatting sqref="C280:D280">
    <cfRule type="expression" dxfId="654" priority="219">
      <formula>INDIRECT("Enemies!B224")</formula>
    </cfRule>
  </conditionalFormatting>
  <conditionalFormatting sqref="C281:D281">
    <cfRule type="expression" dxfId="653" priority="220">
      <formula>INDIRECT("Enemies!B310")</formula>
    </cfRule>
  </conditionalFormatting>
  <conditionalFormatting sqref="C282:D282">
    <cfRule type="expression" dxfId="652" priority="221">
      <formula>INDIRECT("Enemies!B345")</formula>
    </cfRule>
  </conditionalFormatting>
  <conditionalFormatting sqref="C283:D283">
    <cfRule type="expression" dxfId="651" priority="222">
      <formula>INDIRECT("Enemies!B74")</formula>
    </cfRule>
  </conditionalFormatting>
  <conditionalFormatting sqref="C285:D285">
    <cfRule type="expression" dxfId="650" priority="223">
      <formula>INDIRECT("Enemies!B458")</formula>
    </cfRule>
  </conditionalFormatting>
  <conditionalFormatting sqref="C286:D286">
    <cfRule type="expression" dxfId="649" priority="224">
      <formula>INDIRECT("Enemies!B459")</formula>
    </cfRule>
  </conditionalFormatting>
  <conditionalFormatting sqref="C288:D288">
    <cfRule type="expression" dxfId="648" priority="225">
      <formula>INDIRECT("Enemies!B460")</formula>
    </cfRule>
  </conditionalFormatting>
  <conditionalFormatting sqref="C289:D289">
    <cfRule type="expression" dxfId="647" priority="226">
      <formula>INDIRECT("Enemies!B461")</formula>
    </cfRule>
  </conditionalFormatting>
  <conditionalFormatting sqref="C290:D290">
    <cfRule type="expression" dxfId="646" priority="227">
      <formula>INDIRECT("Enemies!B462")</formula>
    </cfRule>
  </conditionalFormatting>
  <conditionalFormatting sqref="C291:D291">
    <cfRule type="expression" dxfId="645" priority="228">
      <formula>INDIRECT("Enemies!B463")</formula>
    </cfRule>
  </conditionalFormatting>
  <conditionalFormatting sqref="C295:D295">
    <cfRule type="expression" dxfId="644" priority="229">
      <formula>INDIRECT("Enemies!B48")</formula>
    </cfRule>
  </conditionalFormatting>
  <conditionalFormatting sqref="C300:D300">
    <cfRule type="expression" dxfId="643" priority="230">
      <formula>INDIRECT("Enemies!B293")</formula>
    </cfRule>
  </conditionalFormatting>
  <conditionalFormatting sqref="C301:D301">
    <cfRule type="expression" dxfId="642" priority="231">
      <formula>INDIRECT("Enemies!B294")</formula>
    </cfRule>
  </conditionalFormatting>
  <conditionalFormatting sqref="C302:D302">
    <cfRule type="expression" dxfId="641" priority="232">
      <formula>INDIRECT("Enemies!B295")</formula>
    </cfRule>
  </conditionalFormatting>
  <conditionalFormatting sqref="C303:D303">
    <cfRule type="expression" dxfId="640" priority="233">
      <formula>INDIRECT("Enemies!B151")</formula>
    </cfRule>
  </conditionalFormatting>
  <conditionalFormatting sqref="C304:D304">
    <cfRule type="expression" dxfId="639" priority="234">
      <formula>INDIRECT("Enemies!B119")</formula>
    </cfRule>
  </conditionalFormatting>
  <conditionalFormatting sqref="C305:D305">
    <cfRule type="expression" dxfId="638" priority="235">
      <formula>INDIRECT("Enemies!B271")</formula>
    </cfRule>
  </conditionalFormatting>
  <conditionalFormatting sqref="C306:D306">
    <cfRule type="expression" dxfId="637" priority="236">
      <formula>INDIRECT("Enemies!B269")</formula>
    </cfRule>
  </conditionalFormatting>
  <conditionalFormatting sqref="C309:D309">
    <cfRule type="expression" dxfId="636" priority="237">
      <formula>INDIRECT("Enemies!B52")</formula>
    </cfRule>
  </conditionalFormatting>
  <conditionalFormatting sqref="C310:D310">
    <cfRule type="expression" dxfId="635" priority="238">
      <formula>INDIRECT("Enemies!B246")</formula>
    </cfRule>
  </conditionalFormatting>
  <conditionalFormatting sqref="C311:D311">
    <cfRule type="expression" dxfId="634" priority="239">
      <formula>INDIRECT("Enemies!B25")</formula>
    </cfRule>
  </conditionalFormatting>
  <conditionalFormatting sqref="C312:D312">
    <cfRule type="expression" dxfId="633" priority="240">
      <formula>INDIRECT("Enemies!B82")</formula>
    </cfRule>
  </conditionalFormatting>
  <conditionalFormatting sqref="C313:D313">
    <cfRule type="expression" dxfId="632" priority="241">
      <formula>INDIRECT("Enemies!B46")</formula>
    </cfRule>
  </conditionalFormatting>
  <conditionalFormatting sqref="C314:D314">
    <cfRule type="expression" dxfId="631" priority="242">
      <formula>INDIRECT("Enemies!B360")</formula>
    </cfRule>
  </conditionalFormatting>
  <conditionalFormatting sqref="C319:D319">
    <cfRule type="expression" dxfId="630" priority="243">
      <formula>INDIRECT("Enemies!B234")</formula>
    </cfRule>
  </conditionalFormatting>
  <conditionalFormatting sqref="C320:D320">
    <cfRule type="expression" dxfId="629" priority="244">
      <formula>INDIRECT("Enemies!B235")</formula>
    </cfRule>
  </conditionalFormatting>
  <conditionalFormatting sqref="C321:D321">
    <cfRule type="expression" dxfId="628" priority="245">
      <formula>INDIRECT("Enemies!B236")</formula>
    </cfRule>
  </conditionalFormatting>
  <conditionalFormatting sqref="C322:D322">
    <cfRule type="expression" dxfId="627" priority="246">
      <formula>INDIRECT("Enemies!B151")</formula>
    </cfRule>
  </conditionalFormatting>
  <conditionalFormatting sqref="C323:D323">
    <cfRule type="expression" dxfId="626" priority="247">
      <formula>INDIRECT("Enemies!B289")</formula>
    </cfRule>
  </conditionalFormatting>
  <conditionalFormatting sqref="C324:D324">
    <cfRule type="expression" dxfId="625" priority="248">
      <formula>INDIRECT("Enemies!B304")</formula>
    </cfRule>
  </conditionalFormatting>
  <conditionalFormatting sqref="C325:D325">
    <cfRule type="expression" dxfId="624" priority="249">
      <formula>INDIRECT("Enemies!B307")</formula>
    </cfRule>
  </conditionalFormatting>
  <conditionalFormatting sqref="C326:D326">
    <cfRule type="expression" dxfId="623" priority="250">
      <formula>INDIRECT("Enemies!B23")</formula>
    </cfRule>
  </conditionalFormatting>
  <conditionalFormatting sqref="C328:D328">
    <cfRule type="expression" dxfId="622" priority="251">
      <formula>INDIRECT("Enemies!B394")</formula>
    </cfRule>
  </conditionalFormatting>
  <conditionalFormatting sqref="C329:D329">
    <cfRule type="expression" dxfId="621" priority="252">
      <formula>INDIRECT("Enemies!B395")</formula>
    </cfRule>
  </conditionalFormatting>
  <conditionalFormatting sqref="C332:D332">
    <cfRule type="expression" dxfId="620" priority="253">
      <formula>INDIRECT("Enemies!B69")</formula>
    </cfRule>
  </conditionalFormatting>
  <conditionalFormatting sqref="C336:D336">
    <cfRule type="expression" dxfId="619" priority="254">
      <formula>INDIRECT("Enemies!B296")</formula>
    </cfRule>
  </conditionalFormatting>
  <conditionalFormatting sqref="C337:D337">
    <cfRule type="expression" dxfId="618" priority="255">
      <formula>INDIRECT("Enemies!B297")</formula>
    </cfRule>
  </conditionalFormatting>
  <conditionalFormatting sqref="C338:D338">
    <cfRule type="expression" dxfId="617" priority="256">
      <formula>INDIRECT("Enemies!B298")</formula>
    </cfRule>
  </conditionalFormatting>
  <conditionalFormatting sqref="C339:D339">
    <cfRule type="expression" dxfId="616" priority="257">
      <formula>INDIRECT("Enemies!B299")</formula>
    </cfRule>
  </conditionalFormatting>
  <conditionalFormatting sqref="C340:D340">
    <cfRule type="expression" dxfId="615" priority="258">
      <formula>INDIRECT("Enemies!B42")</formula>
    </cfRule>
  </conditionalFormatting>
  <conditionalFormatting sqref="C341:D341">
    <cfRule type="expression" dxfId="614" priority="259">
      <formula>INDIRECT("Enemies!B43")</formula>
    </cfRule>
  </conditionalFormatting>
  <conditionalFormatting sqref="C342:D342">
    <cfRule type="expression" dxfId="613" priority="260">
      <formula>INDIRECT("Enemies!B290")</formula>
    </cfRule>
  </conditionalFormatting>
  <conditionalFormatting sqref="C343:D343">
    <cfRule type="expression" dxfId="612" priority="261">
      <formula>INDIRECT("Enemies!B291")</formula>
    </cfRule>
  </conditionalFormatting>
  <conditionalFormatting sqref="C344:D344">
    <cfRule type="expression" dxfId="611" priority="262">
      <formula>INDIRECT("Enemies!B269")</formula>
    </cfRule>
  </conditionalFormatting>
  <conditionalFormatting sqref="C345:D345">
    <cfRule type="expression" dxfId="610" priority="263">
      <formula>INDIRECT("Enemies!B226")</formula>
    </cfRule>
  </conditionalFormatting>
  <conditionalFormatting sqref="C346:D346">
    <cfRule type="expression" dxfId="609" priority="264">
      <formula>INDIRECT("Enemies!B194")</formula>
    </cfRule>
  </conditionalFormatting>
  <conditionalFormatting sqref="C349:D349">
    <cfRule type="expression" dxfId="608" priority="265">
      <formula>INDIRECT("Enemies!B16")</formula>
    </cfRule>
  </conditionalFormatting>
  <conditionalFormatting sqref="C350:D350">
    <cfRule type="expression" dxfId="607" priority="266">
      <formula>INDIRECT("Enemies!B25")</formula>
    </cfRule>
  </conditionalFormatting>
  <conditionalFormatting sqref="C351:D351">
    <cfRule type="expression" dxfId="606" priority="267">
      <formula>INDIRECT("Enemies!B46")</formula>
    </cfRule>
  </conditionalFormatting>
  <conditionalFormatting sqref="C352:D352">
    <cfRule type="expression" dxfId="605" priority="268">
      <formula>INDIRECT("Enemies!B82")</formula>
    </cfRule>
  </conditionalFormatting>
  <conditionalFormatting sqref="C353:D353">
    <cfRule type="expression" dxfId="604" priority="269">
      <formula>INDIRECT("Enemies!B226")</formula>
    </cfRule>
  </conditionalFormatting>
  <conditionalFormatting sqref="C354:D354">
    <cfRule type="expression" dxfId="603" priority="270">
      <formula>INDIRECT("Enemies!B246")</formula>
    </cfRule>
  </conditionalFormatting>
  <conditionalFormatting sqref="C355:D355">
    <cfRule type="expression" dxfId="602" priority="271">
      <formula>INDIRECT("Enemies!B291")</formula>
    </cfRule>
  </conditionalFormatting>
  <conditionalFormatting sqref="C356:D356">
    <cfRule type="expression" dxfId="601" priority="272">
      <formula>INDIRECT("Enemies!B360")</formula>
    </cfRule>
  </conditionalFormatting>
  <conditionalFormatting sqref="C357:D357">
    <cfRule type="expression" dxfId="600" priority="273">
      <formula>INDIRECT("Enemies!B83")</formula>
    </cfRule>
  </conditionalFormatting>
  <conditionalFormatting sqref="C359:D359">
    <cfRule type="expression" dxfId="599" priority="274">
      <formula>INDIRECT("Enemies!B500")</formula>
    </cfRule>
  </conditionalFormatting>
  <conditionalFormatting sqref="C360:D360">
    <cfRule type="expression" dxfId="598" priority="275">
      <formula>INDIRECT("Enemies!B501")</formula>
    </cfRule>
  </conditionalFormatting>
  <conditionalFormatting sqref="C361:D361">
    <cfRule type="expression" dxfId="597" priority="276">
      <formula>INDIRECT("Enemies!B502")</formula>
    </cfRule>
  </conditionalFormatting>
  <conditionalFormatting sqref="C365:D365">
    <cfRule type="expression" dxfId="596" priority="277">
      <formula>INDIRECT("Enemies!B298")</formula>
    </cfRule>
  </conditionalFormatting>
  <conditionalFormatting sqref="C366:D366">
    <cfRule type="expression" dxfId="595" priority="278">
      <formula>INDIRECT("Enemies!B299")</formula>
    </cfRule>
  </conditionalFormatting>
  <conditionalFormatting sqref="C367:D367">
    <cfRule type="expression" dxfId="594" priority="279">
      <formula>INDIRECT("Enemies!B290")</formula>
    </cfRule>
  </conditionalFormatting>
  <conditionalFormatting sqref="C368:D368">
    <cfRule type="expression" dxfId="593" priority="280">
      <formula>INDIRECT("Enemies!B269")</formula>
    </cfRule>
  </conditionalFormatting>
  <conditionalFormatting sqref="C370:D370">
    <cfRule type="expression" dxfId="592" priority="281">
      <formula>INDIRECT("Enemies!B44")</formula>
    </cfRule>
  </conditionalFormatting>
  <conditionalFormatting sqref="C371:D371">
    <cfRule type="expression" dxfId="591" priority="282">
      <formula>INDIRECT("Enemies!B45")</formula>
    </cfRule>
  </conditionalFormatting>
  <conditionalFormatting sqref="C372:D372">
    <cfRule type="expression" dxfId="590" priority="283">
      <formula>INDIRECT("Enemies!B303")</formula>
    </cfRule>
  </conditionalFormatting>
  <conditionalFormatting sqref="C373:D373">
    <cfRule type="expression" dxfId="589" priority="284">
      <formula>INDIRECT("Enemies!B18")</formula>
    </cfRule>
  </conditionalFormatting>
  <conditionalFormatting sqref="C374:D374">
    <cfRule type="expression" dxfId="588" priority="285">
      <formula>INDIRECT("Enemies!B19")</formula>
    </cfRule>
  </conditionalFormatting>
  <conditionalFormatting sqref="C375:D375">
    <cfRule type="expression" dxfId="587" priority="286">
      <formula>INDIRECT("Enemies!B20")</formula>
    </cfRule>
  </conditionalFormatting>
  <conditionalFormatting sqref="C377:D377">
    <cfRule type="expression" dxfId="586" priority="287">
      <formula>INDIRECT("Enemies!B422")</formula>
    </cfRule>
  </conditionalFormatting>
  <conditionalFormatting sqref="C378:D378">
    <cfRule type="expression" dxfId="585" priority="288">
      <formula>INDIRECT("Enemies!B423")</formula>
    </cfRule>
  </conditionalFormatting>
  <conditionalFormatting sqref="C382:D382">
    <cfRule type="expression" dxfId="584" priority="289">
      <formula>INDIRECT("Enemies!B16")</formula>
    </cfRule>
  </conditionalFormatting>
  <conditionalFormatting sqref="C383:D383">
    <cfRule type="expression" dxfId="583" priority="290">
      <formula>INDIRECT("Enemies!B291")</formula>
    </cfRule>
  </conditionalFormatting>
  <conditionalFormatting sqref="C384:D384">
    <cfRule type="expression" dxfId="582" priority="291">
      <formula>INDIRECT("Enemies!B226")</formula>
    </cfRule>
  </conditionalFormatting>
  <conditionalFormatting sqref="C385:D385">
    <cfRule type="expression" dxfId="581" priority="292">
      <formula>INDIRECT("Enemies!B104")</formula>
    </cfRule>
  </conditionalFormatting>
  <conditionalFormatting sqref="C386:D386">
    <cfRule type="expression" dxfId="580" priority="293">
      <formula>INDIRECT("Enemies!B72")</formula>
    </cfRule>
  </conditionalFormatting>
  <conditionalFormatting sqref="C388:D388">
    <cfRule type="expression" dxfId="579" priority="294">
      <formula>INDIRECT("Enemies!B21")</formula>
    </cfRule>
  </conditionalFormatting>
  <conditionalFormatting sqref="C389:D389">
    <cfRule type="expression" dxfId="578" priority="295">
      <formula>INDIRECT("Enemies!B22")</formula>
    </cfRule>
  </conditionalFormatting>
  <conditionalFormatting sqref="C390:D390">
    <cfRule type="expression" dxfId="577" priority="296">
      <formula>INDIRECT("Enemies!B81")</formula>
    </cfRule>
  </conditionalFormatting>
  <conditionalFormatting sqref="C391:D391">
    <cfRule type="expression" dxfId="576" priority="297">
      <formula>INDIRECT("Enemies!B74")</formula>
    </cfRule>
  </conditionalFormatting>
  <conditionalFormatting sqref="C392:D392">
    <cfRule type="expression" dxfId="575" priority="298">
      <formula>INDIRECT("Enemies!B109")</formula>
    </cfRule>
  </conditionalFormatting>
  <conditionalFormatting sqref="C393:D393">
    <cfRule type="expression" dxfId="574" priority="299">
      <formula>INDIRECT("Enemies!B100")</formula>
    </cfRule>
  </conditionalFormatting>
  <conditionalFormatting sqref="C394:D394">
    <cfRule type="expression" dxfId="573" priority="300">
      <formula>INDIRECT("Enemies!B314")</formula>
    </cfRule>
  </conditionalFormatting>
  <conditionalFormatting sqref="C395:D395">
    <cfRule type="expression" dxfId="572" priority="301">
      <formula>INDIRECT("Enemies!B345")</formula>
    </cfRule>
  </conditionalFormatting>
  <conditionalFormatting sqref="C397:D397">
    <cfRule type="expression" dxfId="571" priority="302">
      <formula>INDIRECT("Enemies!B435")</formula>
    </cfRule>
  </conditionalFormatting>
  <conditionalFormatting sqref="C398:D398">
    <cfRule type="expression" dxfId="570" priority="303">
      <formula>INDIRECT("Enemies!B436")</formula>
    </cfRule>
  </conditionalFormatting>
  <conditionalFormatting sqref="C401:D401">
    <cfRule type="expression" dxfId="569" priority="304">
      <formula>INDIRECT("Enemies!B53")</formula>
    </cfRule>
  </conditionalFormatting>
  <conditionalFormatting sqref="C403:D403">
    <cfRule type="expression" dxfId="568" priority="305">
      <formula>INDIRECT("Enemies!B299")</formula>
    </cfRule>
  </conditionalFormatting>
  <conditionalFormatting sqref="C404:D404">
    <cfRule type="expression" dxfId="567" priority="306">
      <formula>INDIRECT("Enemies!B300")</formula>
    </cfRule>
  </conditionalFormatting>
  <conditionalFormatting sqref="C405:D405">
    <cfRule type="expression" dxfId="566" priority="307">
      <formula>INDIRECT("Enemies!B301")</formula>
    </cfRule>
  </conditionalFormatting>
  <conditionalFormatting sqref="C406:D406">
    <cfRule type="expression" dxfId="565" priority="308">
      <formula>INDIRECT("Enemies!B246")</formula>
    </cfRule>
  </conditionalFormatting>
  <conditionalFormatting sqref="C407:D407">
    <cfRule type="expression" dxfId="564" priority="309">
      <formula>INDIRECT("Enemies!B25")</formula>
    </cfRule>
  </conditionalFormatting>
  <conditionalFormatting sqref="C408:D408">
    <cfRule type="expression" dxfId="563" priority="310">
      <formula>INDIRECT("Enemies!B52")</formula>
    </cfRule>
  </conditionalFormatting>
  <conditionalFormatting sqref="C409:D409">
    <cfRule type="expression" dxfId="562" priority="311">
      <formula>INDIRECT("Enemies!B145")</formula>
    </cfRule>
  </conditionalFormatting>
  <conditionalFormatting sqref="C411:D411">
    <cfRule type="expression" dxfId="561" priority="312">
      <formula>INDIRECT("Enemies!B300")</formula>
    </cfRule>
  </conditionalFormatting>
  <conditionalFormatting sqref="C412:D412">
    <cfRule type="expression" dxfId="560" priority="313">
      <formula>INDIRECT("Enemies!B301")</formula>
    </cfRule>
  </conditionalFormatting>
  <conditionalFormatting sqref="C413:D413">
    <cfRule type="expression" dxfId="559" priority="314">
      <formula>INDIRECT("Enemies!B133")</formula>
    </cfRule>
  </conditionalFormatting>
  <conditionalFormatting sqref="C414:D414">
    <cfRule type="expression" dxfId="558" priority="315">
      <formula>INDIRECT("Enemies!B143")</formula>
    </cfRule>
  </conditionalFormatting>
  <conditionalFormatting sqref="C415:D415">
    <cfRule type="expression" dxfId="557" priority="316">
      <formula>INDIRECT("Enemies!B17")</formula>
    </cfRule>
  </conditionalFormatting>
  <conditionalFormatting sqref="C416:D416">
    <cfRule type="expression" dxfId="556" priority="317">
      <formula>INDIRECT("Enemies!B171")</formula>
    </cfRule>
  </conditionalFormatting>
  <conditionalFormatting sqref="C417:D417">
    <cfRule type="expression" dxfId="555" priority="318">
      <formula>INDIRECT("Enemies!B207")</formula>
    </cfRule>
  </conditionalFormatting>
  <conditionalFormatting sqref="C419:D419">
    <cfRule type="expression" dxfId="554" priority="319">
      <formula>INDIRECT("Enemies!B387")</formula>
    </cfRule>
  </conditionalFormatting>
  <conditionalFormatting sqref="C425:D425">
    <cfRule type="expression" dxfId="553" priority="320">
      <formula>INDIRECT("Enemies!B231")</formula>
    </cfRule>
  </conditionalFormatting>
  <conditionalFormatting sqref="C426:D426">
    <cfRule type="expression" dxfId="552" priority="321">
      <formula>INDIRECT("Enemies!B232")</formula>
    </cfRule>
  </conditionalFormatting>
  <conditionalFormatting sqref="C427:D427">
    <cfRule type="expression" dxfId="551" priority="322">
      <formula>INDIRECT("Enemies!B143")</formula>
    </cfRule>
  </conditionalFormatting>
  <conditionalFormatting sqref="C428:D428">
    <cfRule type="expression" dxfId="550" priority="323">
      <formula>INDIRECT("Enemies!B25")</formula>
    </cfRule>
  </conditionalFormatting>
  <conditionalFormatting sqref="C429:D429">
    <cfRule type="expression" dxfId="549" priority="324">
      <formula>INDIRECT("Enemies!B345")</formula>
    </cfRule>
  </conditionalFormatting>
  <conditionalFormatting sqref="C431:D431">
    <cfRule type="expression" dxfId="548" priority="325">
      <formula>INDIRECT("Enemies!B337")</formula>
    </cfRule>
  </conditionalFormatting>
  <conditionalFormatting sqref="C432:D432">
    <cfRule type="expression" dxfId="547" priority="326">
      <formula>INDIRECT("Enemies!B342")</formula>
    </cfRule>
  </conditionalFormatting>
  <conditionalFormatting sqref="C433:D433">
    <cfRule type="expression" dxfId="546" priority="327">
      <formula>INDIRECT("Enemies!B335")</formula>
    </cfRule>
  </conditionalFormatting>
  <conditionalFormatting sqref="C434:D434">
    <cfRule type="expression" dxfId="545" priority="328">
      <formula>INDIRECT("Enemies!B292")</formula>
    </cfRule>
  </conditionalFormatting>
  <conditionalFormatting sqref="C435:D435">
    <cfRule type="expression" dxfId="544" priority="329">
      <formula>INDIRECT("Enemies!B143")</formula>
    </cfRule>
  </conditionalFormatting>
  <conditionalFormatting sqref="C436:D436">
    <cfRule type="expression" dxfId="543" priority="330">
      <formula>INDIRECT("Enemies!B25")</formula>
    </cfRule>
  </conditionalFormatting>
  <conditionalFormatting sqref="C437:D437">
    <cfRule type="expression" dxfId="542" priority="331">
      <formula>INDIRECT("Enemies!B345")</formula>
    </cfRule>
  </conditionalFormatting>
  <conditionalFormatting sqref="C439:D441">
    <cfRule type="expression" dxfId="541" priority="332">
      <formula>INDIRECT("Enemies!B467")</formula>
    </cfRule>
  </conditionalFormatting>
  <conditionalFormatting sqref="C445:D445">
    <cfRule type="expression" dxfId="540" priority="333">
      <formula>INDIRECT("Enemies!B48")</formula>
    </cfRule>
  </conditionalFormatting>
  <conditionalFormatting sqref="C450:D450">
    <cfRule type="expression" dxfId="539" priority="334">
      <formula>INDIRECT("Enemies!B154")</formula>
    </cfRule>
  </conditionalFormatting>
  <conditionalFormatting sqref="C451:D451">
    <cfRule type="expression" dxfId="538" priority="335">
      <formula>INDIRECT("Enemies!B155")</formula>
    </cfRule>
  </conditionalFormatting>
  <conditionalFormatting sqref="C452:D452">
    <cfRule type="expression" dxfId="537" priority="336">
      <formula>INDIRECT("Enemies!B156")</formula>
    </cfRule>
  </conditionalFormatting>
  <conditionalFormatting sqref="C453:D453">
    <cfRule type="expression" dxfId="536" priority="337">
      <formula>INDIRECT("Enemies!B270")</formula>
    </cfRule>
  </conditionalFormatting>
  <conditionalFormatting sqref="C454:D454">
    <cfRule type="expression" dxfId="535" priority="338">
      <formula>INDIRECT("Enemies!B138")</formula>
    </cfRule>
  </conditionalFormatting>
  <conditionalFormatting sqref="C455:D455">
    <cfRule type="expression" dxfId="534" priority="339">
      <formula>INDIRECT("Enemies!B92")</formula>
    </cfRule>
  </conditionalFormatting>
  <conditionalFormatting sqref="C456:D456">
    <cfRule type="expression" dxfId="533" priority="340">
      <formula>INDIRECT("Enemies!B153")</formula>
    </cfRule>
  </conditionalFormatting>
  <conditionalFormatting sqref="C459:D459">
    <cfRule type="expression" dxfId="532" priority="341">
      <formula>INDIRECT("Enemies!B153")</formula>
    </cfRule>
  </conditionalFormatting>
  <conditionalFormatting sqref="C460:D460">
    <cfRule type="expression" dxfId="531" priority="342">
      <formula>INDIRECT("Enemies!B93")</formula>
    </cfRule>
  </conditionalFormatting>
  <conditionalFormatting sqref="C461:D461">
    <cfRule type="expression" dxfId="530" priority="343">
      <formula>INDIRECT("Enemies!B8")</formula>
    </cfRule>
  </conditionalFormatting>
  <conditionalFormatting sqref="C462:D462">
    <cfRule type="expression" dxfId="529" priority="344">
      <formula>INDIRECT("Enemies!B216")</formula>
    </cfRule>
  </conditionalFormatting>
  <conditionalFormatting sqref="C463:D463">
    <cfRule type="expression" dxfId="528" priority="345">
      <formula>INDIRECT("Enemies!B239")</formula>
    </cfRule>
  </conditionalFormatting>
  <conditionalFormatting sqref="C464:D464">
    <cfRule type="expression" dxfId="527" priority="346">
      <formula>INDIRECT("Enemies!B307")</formula>
    </cfRule>
  </conditionalFormatting>
  <conditionalFormatting sqref="C465:D465">
    <cfRule type="expression" dxfId="526" priority="347">
      <formula>INDIRECT("Enemies!B103")</formula>
    </cfRule>
  </conditionalFormatting>
  <conditionalFormatting sqref="C466:D466">
    <cfRule type="expression" dxfId="525" priority="348">
      <formula>INDIRECT("Enemies!B188")</formula>
    </cfRule>
  </conditionalFormatting>
  <conditionalFormatting sqref="C467:D467">
    <cfRule type="expression" dxfId="524" priority="349">
      <formula>INDIRECT("Enemies!B343")</formula>
    </cfRule>
  </conditionalFormatting>
  <conditionalFormatting sqref="C468:D468">
    <cfRule type="expression" dxfId="523" priority="350">
      <formula>INDIRECT("Enemies!B368")</formula>
    </cfRule>
  </conditionalFormatting>
  <conditionalFormatting sqref="C469:D469">
    <cfRule type="expression" dxfId="522" priority="351">
      <formula>INDIRECT("Enemies!B206")</formula>
    </cfRule>
  </conditionalFormatting>
  <conditionalFormatting sqref="C470:D470">
    <cfRule type="expression" dxfId="521" priority="352">
      <formula>INDIRECT("Enemies!B311")</formula>
    </cfRule>
  </conditionalFormatting>
  <conditionalFormatting sqref="C475:D475">
    <cfRule type="expression" dxfId="520" priority="353">
      <formula>INDIRECT("Enemies!B396")</formula>
    </cfRule>
  </conditionalFormatting>
  <conditionalFormatting sqref="C476:D476">
    <cfRule type="expression" dxfId="519" priority="354">
      <formula>INDIRECT("Enemies!B397")</formula>
    </cfRule>
  </conditionalFormatting>
  <conditionalFormatting sqref="C479:D479">
    <cfRule type="expression" dxfId="518" priority="355">
      <formula>INDIRECT("Enemies!B396")</formula>
    </cfRule>
  </conditionalFormatting>
  <conditionalFormatting sqref="C480:D480">
    <cfRule type="expression" dxfId="517" priority="356">
      <formula>INDIRECT("Enemies!B397")</formula>
    </cfRule>
  </conditionalFormatting>
  <conditionalFormatting sqref="C482:D482">
    <cfRule type="expression" dxfId="516" priority="357">
      <formula>INDIRECT("Enemies!B154")</formula>
    </cfRule>
  </conditionalFormatting>
  <conditionalFormatting sqref="C483:D483">
    <cfRule type="expression" dxfId="515" priority="358">
      <formula>INDIRECT("Enemies!B155")</formula>
    </cfRule>
  </conditionalFormatting>
  <conditionalFormatting sqref="C484:D484">
    <cfRule type="expression" dxfId="514" priority="359">
      <formula>INDIRECT("Enemies!B156")</formula>
    </cfRule>
  </conditionalFormatting>
  <conditionalFormatting sqref="C485:D485">
    <cfRule type="expression" dxfId="513" priority="360">
      <formula>INDIRECT("Enemies!B35")</formula>
    </cfRule>
  </conditionalFormatting>
  <conditionalFormatting sqref="C486:D486">
    <cfRule type="expression" dxfId="512" priority="361">
      <formula>INDIRECT("Enemies!B36")</formula>
    </cfRule>
  </conditionalFormatting>
  <conditionalFormatting sqref="C487:D487">
    <cfRule type="expression" dxfId="511" priority="362">
      <formula>INDIRECT("Enemies!B37")</formula>
    </cfRule>
  </conditionalFormatting>
  <conditionalFormatting sqref="C488:D488">
    <cfRule type="expression" dxfId="510" priority="363">
      <formula>INDIRECT("Enemies!B289")</formula>
    </cfRule>
  </conditionalFormatting>
  <conditionalFormatting sqref="C489:D489">
    <cfRule type="expression" dxfId="509" priority="364">
      <formula>INDIRECT("Enemies!B93")</formula>
    </cfRule>
  </conditionalFormatting>
  <conditionalFormatting sqref="C490:D490">
    <cfRule type="expression" dxfId="508" priority="365">
      <formula>INDIRECT("Enemies!B307")</formula>
    </cfRule>
  </conditionalFormatting>
  <conditionalFormatting sqref="C491:D491">
    <cfRule type="expression" dxfId="507" priority="366">
      <formula>INDIRECT("Enemies!B23")</formula>
    </cfRule>
  </conditionalFormatting>
  <conditionalFormatting sqref="C493:D493">
    <cfRule type="expression" dxfId="506" priority="367">
      <formula>INDIRECT("Enemies!B398")</formula>
    </cfRule>
  </conditionalFormatting>
  <conditionalFormatting sqref="C494:D494">
    <cfRule type="expression" dxfId="505" priority="368">
      <formula>INDIRECT("Enemies!B399")</formula>
    </cfRule>
  </conditionalFormatting>
  <conditionalFormatting sqref="C497:D497">
    <cfRule type="expression" dxfId="504" priority="369">
      <formula>INDIRECT("Enemies!B69")</formula>
    </cfRule>
  </conditionalFormatting>
  <conditionalFormatting sqref="C501:D501">
    <cfRule type="expression" dxfId="503" priority="370">
      <formula>INDIRECT("Enemies!B157")</formula>
    </cfRule>
  </conditionalFormatting>
  <conditionalFormatting sqref="C502:D502">
    <cfRule type="expression" dxfId="502" priority="371">
      <formula>INDIRECT("Enemies!B158")</formula>
    </cfRule>
  </conditionalFormatting>
  <conditionalFormatting sqref="C503:D503">
    <cfRule type="expression" dxfId="501" priority="372">
      <formula>INDIRECT("Enemies!B159")</formula>
    </cfRule>
  </conditionalFormatting>
  <conditionalFormatting sqref="C504:D504">
    <cfRule type="expression" dxfId="500" priority="373">
      <formula>INDIRECT("Enemies!B160")</formula>
    </cfRule>
  </conditionalFormatting>
  <conditionalFormatting sqref="C505:D505">
    <cfRule type="expression" dxfId="499" priority="374">
      <formula>INDIRECT("Enemies!B153")</formula>
    </cfRule>
  </conditionalFormatting>
  <conditionalFormatting sqref="C506:D506">
    <cfRule type="expression" dxfId="498" priority="375">
      <formula>INDIRECT("Enemies!B228")</formula>
    </cfRule>
  </conditionalFormatting>
  <conditionalFormatting sqref="C507:D507">
    <cfRule type="expression" dxfId="497" priority="376">
      <formula>INDIRECT("Enemies!B312")</formula>
    </cfRule>
  </conditionalFormatting>
  <conditionalFormatting sqref="C508:D508">
    <cfRule type="expression" dxfId="496" priority="377">
      <formula>INDIRECT("Enemies!B357")</formula>
    </cfRule>
  </conditionalFormatting>
  <conditionalFormatting sqref="C509:D509">
    <cfRule type="expression" dxfId="495" priority="378">
      <formula>INDIRECT("Enemies!B92")</formula>
    </cfRule>
  </conditionalFormatting>
  <conditionalFormatting sqref="C512:D512">
    <cfRule type="expression" dxfId="494" priority="379">
      <formula>INDIRECT("Enemies!B332")</formula>
    </cfRule>
  </conditionalFormatting>
  <conditionalFormatting sqref="C513:D513">
    <cfRule type="expression" dxfId="493" priority="380">
      <formula>INDIRECT("Enemies!B333")</formula>
    </cfRule>
  </conditionalFormatting>
  <conditionalFormatting sqref="C514:D514">
    <cfRule type="expression" dxfId="492" priority="381">
      <formula>INDIRECT("Enemies!B366")</formula>
    </cfRule>
  </conditionalFormatting>
  <conditionalFormatting sqref="C515:D515">
    <cfRule type="expression" dxfId="491" priority="382">
      <formula>INDIRECT("Enemies!B361")</formula>
    </cfRule>
  </conditionalFormatting>
  <conditionalFormatting sqref="C516:D516">
    <cfRule type="expression" dxfId="490" priority="383">
      <formula>INDIRECT("Enemies!B363")</formula>
    </cfRule>
  </conditionalFormatting>
  <conditionalFormatting sqref="C517:D517">
    <cfRule type="expression" dxfId="489" priority="384">
      <formula>INDIRECT("Enemies!B204")</formula>
    </cfRule>
  </conditionalFormatting>
  <conditionalFormatting sqref="C518:D518">
    <cfRule type="expression" dxfId="488" priority="385">
      <formula>INDIRECT("Enemies!B199")</formula>
    </cfRule>
  </conditionalFormatting>
  <conditionalFormatting sqref="C519:D519">
    <cfRule type="expression" dxfId="487" priority="386">
      <formula>INDIRECT("Enemies!B201")</formula>
    </cfRule>
  </conditionalFormatting>
  <conditionalFormatting sqref="C523:D523">
    <cfRule type="expression" dxfId="486" priority="387">
      <formula>INDIRECT("Enemies!B157")</formula>
    </cfRule>
  </conditionalFormatting>
  <conditionalFormatting sqref="C524:D524">
    <cfRule type="expression" dxfId="485" priority="388">
      <formula>INDIRECT("Enemies!B158")</formula>
    </cfRule>
  </conditionalFormatting>
  <conditionalFormatting sqref="C525:D525">
    <cfRule type="expression" dxfId="484" priority="389">
      <formula>INDIRECT("Enemies!B159")</formula>
    </cfRule>
  </conditionalFormatting>
  <conditionalFormatting sqref="C526:D526">
    <cfRule type="expression" dxfId="483" priority="390">
      <formula>INDIRECT("Enemies!B160")</formula>
    </cfRule>
  </conditionalFormatting>
  <conditionalFormatting sqref="C527:D527">
    <cfRule type="expression" dxfId="482" priority="391">
      <formula>INDIRECT("Enemies!B228")</formula>
    </cfRule>
  </conditionalFormatting>
  <conditionalFormatting sqref="C528:D528">
    <cfRule type="expression" dxfId="481" priority="392">
      <formula>INDIRECT("Enemies!B153")</formula>
    </cfRule>
  </conditionalFormatting>
  <conditionalFormatting sqref="C529:D529">
    <cfRule type="expression" dxfId="480" priority="393">
      <formula>INDIRECT("Enemies!B312")</formula>
    </cfRule>
  </conditionalFormatting>
  <conditionalFormatting sqref="C530:D530">
    <cfRule type="expression" dxfId="479" priority="394">
      <formula>INDIRECT("Enemies!B357")</formula>
    </cfRule>
  </conditionalFormatting>
  <conditionalFormatting sqref="C531:D531">
    <cfRule type="expression" dxfId="478" priority="395">
      <formula>INDIRECT("Enemies!B92")</formula>
    </cfRule>
  </conditionalFormatting>
  <conditionalFormatting sqref="C533:D534">
    <cfRule type="expression" dxfId="477" priority="396">
      <formula>INDIRECT("Enemies!B427")</formula>
    </cfRule>
  </conditionalFormatting>
  <conditionalFormatting sqref="C536:D536">
    <cfRule type="expression" dxfId="476" priority="397">
      <formula>INDIRECT("Enemies!B67")</formula>
    </cfRule>
  </conditionalFormatting>
  <conditionalFormatting sqref="C537:D537">
    <cfRule type="expression" dxfId="475" priority="398">
      <formula>INDIRECT("Enemies!B242")</formula>
    </cfRule>
  </conditionalFormatting>
  <conditionalFormatting sqref="C538:D538">
    <cfRule type="expression" dxfId="474" priority="399">
      <formula>INDIRECT("Enemies!B315")</formula>
    </cfRule>
  </conditionalFormatting>
  <conditionalFormatting sqref="C539:D539">
    <cfRule type="expression" dxfId="473" priority="400">
      <formula>INDIRECT("Enemies!B229")</formula>
    </cfRule>
  </conditionalFormatting>
  <conditionalFormatting sqref="C540:D540">
    <cfRule type="expression" dxfId="472" priority="401">
      <formula>INDIRECT("Enemies!B316")</formula>
    </cfRule>
  </conditionalFormatting>
  <conditionalFormatting sqref="C541:D541">
    <cfRule type="expression" dxfId="471" priority="402">
      <formula>INDIRECT("Enemies!B84")</formula>
    </cfRule>
  </conditionalFormatting>
  <conditionalFormatting sqref="C543:D545">
    <cfRule type="expression" dxfId="470" priority="403">
      <formula>INDIRECT("Enemies!B429")</formula>
    </cfRule>
  </conditionalFormatting>
  <conditionalFormatting sqref="C546:D546">
    <cfRule type="expression" dxfId="469" priority="404">
      <formula>INDIRECT("Enemies!B432")</formula>
    </cfRule>
  </conditionalFormatting>
  <conditionalFormatting sqref="C547:D547">
    <cfRule type="expression" dxfId="468" priority="405">
      <formula>INDIRECT("Enemies!B433")</formula>
    </cfRule>
  </conditionalFormatting>
  <conditionalFormatting sqref="C548:D548">
    <cfRule type="expression" dxfId="467" priority="406">
      <formula>INDIRECT("Enemies!B434")</formula>
    </cfRule>
  </conditionalFormatting>
  <conditionalFormatting sqref="C552:D552">
    <cfRule type="expression" dxfId="466" priority="407">
      <formula>INDIRECT("Enemies!B253")</formula>
    </cfRule>
  </conditionalFormatting>
  <conditionalFormatting sqref="C553:D553">
    <cfRule type="expression" dxfId="465" priority="408">
      <formula>INDIRECT("Enemies!B254")</formula>
    </cfRule>
  </conditionalFormatting>
  <conditionalFormatting sqref="C554:D554">
    <cfRule type="expression" dxfId="464" priority="409">
      <formula>INDIRECT("Enemies!B255")</formula>
    </cfRule>
  </conditionalFormatting>
  <conditionalFormatting sqref="C555:D555">
    <cfRule type="expression" dxfId="463" priority="410">
      <formula>INDIRECT("Enemies!B106")</formula>
    </cfRule>
  </conditionalFormatting>
  <conditionalFormatting sqref="C556:D556">
    <cfRule type="expression" dxfId="462" priority="411">
      <formula>INDIRECT("Enemies!B336")</formula>
    </cfRule>
  </conditionalFormatting>
  <conditionalFormatting sqref="C557:D557">
    <cfRule type="expression" dxfId="461" priority="412">
      <formula>INDIRECT("Enemies!B26")</formula>
    </cfRule>
  </conditionalFormatting>
  <conditionalFormatting sqref="C558:D558">
    <cfRule type="expression" dxfId="460" priority="413">
      <formula>INDIRECT("Enemies!B77")</formula>
    </cfRule>
  </conditionalFormatting>
  <conditionalFormatting sqref="C559:D559">
    <cfRule type="expression" dxfId="459" priority="414">
      <formula>INDIRECT("Enemies!B345")</formula>
    </cfRule>
  </conditionalFormatting>
  <conditionalFormatting sqref="C561:D563">
    <cfRule type="expression" dxfId="458" priority="415">
      <formula>INDIRECT("Enemies!B437")</formula>
    </cfRule>
  </conditionalFormatting>
  <conditionalFormatting sqref="C564:D564">
    <cfRule type="expression" dxfId="457" priority="416">
      <formula>INDIRECT("Enemies!B440")</formula>
    </cfRule>
  </conditionalFormatting>
  <conditionalFormatting sqref="C567:D567">
    <cfRule type="expression" dxfId="456" priority="417">
      <formula>INDIRECT("Enemies!B53")</formula>
    </cfRule>
  </conditionalFormatting>
  <conditionalFormatting sqref="C569:D569">
    <cfRule type="expression" dxfId="455" priority="418">
      <formula>INDIRECT("Enemies!B160")</formula>
    </cfRule>
  </conditionalFormatting>
  <conditionalFormatting sqref="C570:D570">
    <cfRule type="expression" dxfId="454" priority="419">
      <formula>INDIRECT("Enemies!B161")</formula>
    </cfRule>
  </conditionalFormatting>
  <conditionalFormatting sqref="C571:D571">
    <cfRule type="expression" dxfId="453" priority="420">
      <formula>INDIRECT("Enemies!B162")</formula>
    </cfRule>
  </conditionalFormatting>
  <conditionalFormatting sqref="C572:D572">
    <cfRule type="expression" dxfId="452" priority="421">
      <formula>INDIRECT("Enemies!B85")</formula>
    </cfRule>
  </conditionalFormatting>
  <conditionalFormatting sqref="C573:D573">
    <cfRule type="expression" dxfId="451" priority="422">
      <formula>INDIRECT("Enemies!B369")</formula>
    </cfRule>
  </conditionalFormatting>
  <conditionalFormatting sqref="C574:D574">
    <cfRule type="expression" dxfId="450" priority="423">
      <formula>INDIRECT("Enemies!B308")</formula>
    </cfRule>
  </conditionalFormatting>
  <conditionalFormatting sqref="C575:D575">
    <cfRule type="expression" dxfId="449" priority="424">
      <formula>INDIRECT("Enemies!B9")</formula>
    </cfRule>
  </conditionalFormatting>
  <conditionalFormatting sqref="C577:D577">
    <cfRule type="expression" dxfId="448" priority="425">
      <formula>INDIRECT("Enemies!B161")</formula>
    </cfRule>
  </conditionalFormatting>
  <conditionalFormatting sqref="C578:D578">
    <cfRule type="expression" dxfId="447" priority="426">
      <formula>INDIRECT("Enemies!B162")</formula>
    </cfRule>
  </conditionalFormatting>
  <conditionalFormatting sqref="C579:D579">
    <cfRule type="expression" dxfId="446" priority="427">
      <formula>INDIRECT("Enemies!B85")</formula>
    </cfRule>
  </conditionalFormatting>
  <conditionalFormatting sqref="C580:D580">
    <cfRule type="expression" dxfId="445" priority="428">
      <formula>INDIRECT("Enemies!B9")</formula>
    </cfRule>
  </conditionalFormatting>
  <conditionalFormatting sqref="C581:D581">
    <cfRule type="expression" dxfId="444" priority="429">
      <formula>INDIRECT("Enemies!B17")</formula>
    </cfRule>
  </conditionalFormatting>
  <conditionalFormatting sqref="C582:D582">
    <cfRule type="expression" dxfId="443" priority="430">
      <formula>INDIRECT("Enemies!B38")</formula>
    </cfRule>
  </conditionalFormatting>
  <conditionalFormatting sqref="C583:D583">
    <cfRule type="expression" dxfId="442" priority="431">
      <formula>INDIRECT("Enemies!B74")</formula>
    </cfRule>
  </conditionalFormatting>
  <conditionalFormatting sqref="C585:D585">
    <cfRule type="expression" dxfId="441" priority="432">
      <formula>INDIRECT("Enemies!B379")</formula>
    </cfRule>
  </conditionalFormatting>
  <conditionalFormatting sqref="C587:D587">
    <cfRule type="expression" dxfId="440" priority="433">
      <formula>INDIRECT("Enemies!B184")</formula>
    </cfRule>
  </conditionalFormatting>
  <conditionalFormatting sqref="C588:D588">
    <cfRule type="expression" dxfId="439" priority="434">
      <formula>INDIRECT("Enemies!B185")</formula>
    </cfRule>
  </conditionalFormatting>
  <conditionalFormatting sqref="C589:D589">
    <cfRule type="expression" dxfId="438" priority="435">
      <formula>INDIRECT("Enemies!B364")</formula>
    </cfRule>
  </conditionalFormatting>
  <conditionalFormatting sqref="C590:D590">
    <cfRule type="expression" dxfId="437" priority="436">
      <formula>INDIRECT("Enemies!B365")</formula>
    </cfRule>
  </conditionalFormatting>
  <conditionalFormatting sqref="C591:D591">
    <cfRule type="expression" dxfId="436" priority="437">
      <formula>INDIRECT("Enemies!B202")</formula>
    </cfRule>
  </conditionalFormatting>
  <conditionalFormatting sqref="C592:D592">
    <cfRule type="expression" dxfId="435" priority="438">
      <formula>INDIRECT("Enemies!B203")</formula>
    </cfRule>
  </conditionalFormatting>
  <conditionalFormatting sqref="C593:D593">
    <cfRule type="expression" dxfId="434" priority="439">
      <formula>INDIRECT("Enemies!B9")</formula>
    </cfRule>
  </conditionalFormatting>
  <conditionalFormatting sqref="C595:D595">
    <cfRule type="expression" dxfId="433" priority="440">
      <formula>INDIRECT("Enemies!B489")</formula>
    </cfRule>
  </conditionalFormatting>
  <conditionalFormatting sqref="C599:D599">
    <cfRule type="expression" dxfId="432" priority="441">
      <formula>INDIRECT("Enemies!B231")</formula>
    </cfRule>
  </conditionalFormatting>
  <conditionalFormatting sqref="C600:D600">
    <cfRule type="expression" dxfId="431" priority="442">
      <formula>INDIRECT("Enemies!B232")</formula>
    </cfRule>
  </conditionalFormatting>
  <conditionalFormatting sqref="C601:D601">
    <cfRule type="expression" dxfId="430" priority="443">
      <formula>INDIRECT("Enemies!B187")</formula>
    </cfRule>
  </conditionalFormatting>
  <conditionalFormatting sqref="C602:D602">
    <cfRule type="expression" dxfId="429" priority="444">
      <formula>INDIRECT("Enemies!B170")</formula>
    </cfRule>
  </conditionalFormatting>
  <conditionalFormatting sqref="C603:D603">
    <cfRule type="expression" dxfId="428" priority="445">
      <formula>INDIRECT("Enemies!B205")</formula>
    </cfRule>
  </conditionalFormatting>
  <conditionalFormatting sqref="C604:D604">
    <cfRule type="expression" dxfId="427" priority="446">
      <formula>INDIRECT("Enemies!B197")</formula>
    </cfRule>
  </conditionalFormatting>
  <conditionalFormatting sqref="C606:D606">
    <cfRule type="expression" dxfId="426" priority="447">
      <formula>INDIRECT("Enemies!B187")</formula>
    </cfRule>
  </conditionalFormatting>
  <conditionalFormatting sqref="C607:D607">
    <cfRule type="expression" dxfId="425" priority="448">
      <formula>INDIRECT("Enemies!B173")</formula>
    </cfRule>
  </conditionalFormatting>
  <conditionalFormatting sqref="C608:D608">
    <cfRule type="expression" dxfId="424" priority="449">
      <formula>INDIRECT("Enemies!B170")</formula>
    </cfRule>
  </conditionalFormatting>
  <conditionalFormatting sqref="C609:D609">
    <cfRule type="expression" dxfId="423" priority="450">
      <formula>INDIRECT("Enemies!B205")</formula>
    </cfRule>
  </conditionalFormatting>
  <conditionalFormatting sqref="C610:D610">
    <cfRule type="expression" dxfId="422" priority="451">
      <formula>INDIRECT("Enemies!B200")</formula>
    </cfRule>
  </conditionalFormatting>
  <conditionalFormatting sqref="C611:D611">
    <cfRule type="expression" dxfId="421" priority="452">
      <formula>INDIRECT("Enemies!B197")</formula>
    </cfRule>
  </conditionalFormatting>
  <conditionalFormatting sqref="C613:D613">
    <cfRule type="expression" dxfId="420" priority="453">
      <formula>INDIRECT("Enemies!B471")</formula>
    </cfRule>
  </conditionalFormatting>
  <conditionalFormatting sqref="C614:D614">
    <cfRule type="expression" dxfId="419" priority="454">
      <formula>INDIRECT("Enemies!B472")</formula>
    </cfRule>
  </conditionalFormatting>
  <conditionalFormatting sqref="C615:D615">
    <cfRule type="expression" dxfId="418" priority="455">
      <formula>INDIRECT("Enemies!B473")</formula>
    </cfRule>
  </conditionalFormatting>
  <conditionalFormatting sqref="C617:D620">
    <cfRule type="expression" dxfId="417" priority="456">
      <formula>INDIRECT("Enemies!B474")</formula>
    </cfRule>
  </conditionalFormatting>
  <conditionalFormatting sqref="C627:D627">
    <cfRule type="expression" dxfId="416" priority="457">
      <formula>INDIRECT("Enemies!B48")</formula>
    </cfRule>
  </conditionalFormatting>
  <conditionalFormatting sqref="C631:D631">
    <cfRule type="expression" dxfId="415" priority="458">
      <formula>INDIRECT("Enemies!B278")</formula>
    </cfRule>
  </conditionalFormatting>
  <conditionalFormatting sqref="C632:D632">
    <cfRule type="expression" dxfId="414" priority="459">
      <formula>INDIRECT("Enemies!B280")</formula>
    </cfRule>
  </conditionalFormatting>
  <conditionalFormatting sqref="C633:D633">
    <cfRule type="expression" dxfId="413" priority="460">
      <formula>INDIRECT("Enemies!B282")</formula>
    </cfRule>
  </conditionalFormatting>
  <conditionalFormatting sqref="C634:D634">
    <cfRule type="expression" dxfId="412" priority="461">
      <formula>INDIRECT("Enemies!B12")</formula>
    </cfRule>
  </conditionalFormatting>
  <conditionalFormatting sqref="C635:D635">
    <cfRule type="expression" dxfId="411" priority="462">
      <formula>INDIRECT("Enemies!B88")</formula>
    </cfRule>
  </conditionalFormatting>
  <conditionalFormatting sqref="C636:D636">
    <cfRule type="expression" dxfId="410" priority="463">
      <formula>INDIRECT("Enemies!B47")</formula>
    </cfRule>
  </conditionalFormatting>
  <conditionalFormatting sqref="C637:D637">
    <cfRule type="expression" dxfId="409" priority="464">
      <formula>INDIRECT("Enemies!B317")</formula>
    </cfRule>
  </conditionalFormatting>
  <conditionalFormatting sqref="C638:D638">
    <cfRule type="expression" dxfId="408" priority="465">
      <formula>INDIRECT("Enemies!B287")</formula>
    </cfRule>
  </conditionalFormatting>
  <conditionalFormatting sqref="C641:D641">
    <cfRule type="expression" dxfId="407" priority="466">
      <formula>INDIRECT("Enemies!B140")</formula>
    </cfRule>
  </conditionalFormatting>
  <conditionalFormatting sqref="C642:D642">
    <cfRule type="expression" dxfId="406" priority="467">
      <formula>INDIRECT("Enemies!B191")</formula>
    </cfRule>
  </conditionalFormatting>
  <conditionalFormatting sqref="C643:D643">
    <cfRule type="expression" dxfId="405" priority="468">
      <formula>INDIRECT("Enemies!B318")</formula>
    </cfRule>
  </conditionalFormatting>
  <conditionalFormatting sqref="C644:D644">
    <cfRule type="expression" dxfId="404" priority="469">
      <formula>INDIRECT("Enemies!B10")</formula>
    </cfRule>
  </conditionalFormatting>
  <conditionalFormatting sqref="C645:D645">
    <cfRule type="expression" dxfId="403" priority="470">
      <formula>INDIRECT("Enemies!B88")</formula>
    </cfRule>
  </conditionalFormatting>
  <conditionalFormatting sqref="C646:D646">
    <cfRule type="expression" dxfId="402" priority="471">
      <formula>INDIRECT("Enemies!B317")</formula>
    </cfRule>
  </conditionalFormatting>
  <conditionalFormatting sqref="C647:D647">
    <cfRule type="expression" dxfId="401" priority="472">
      <formula>INDIRECT("Enemies!B79")</formula>
    </cfRule>
  </conditionalFormatting>
  <conditionalFormatting sqref="C648:D648">
    <cfRule type="expression" dxfId="400" priority="473">
      <formula>INDIRECT("Enemies!B258")</formula>
    </cfRule>
  </conditionalFormatting>
  <conditionalFormatting sqref="C649:D649">
    <cfRule type="expression" dxfId="399" priority="474">
      <formula>INDIRECT("Enemies!B167")</formula>
    </cfRule>
  </conditionalFormatting>
  <conditionalFormatting sqref="C653:D653">
    <cfRule type="expression" dxfId="398" priority="475">
      <formula>INDIRECT("Enemies!B278")</formula>
    </cfRule>
  </conditionalFormatting>
  <conditionalFormatting sqref="C654:D654">
    <cfRule type="expression" dxfId="397" priority="476">
      <formula>INDIRECT("Enemies!B280")</formula>
    </cfRule>
  </conditionalFormatting>
  <conditionalFormatting sqref="C655:D655">
    <cfRule type="expression" dxfId="396" priority="477">
      <formula>INDIRECT("Enemies!B282")</formula>
    </cfRule>
  </conditionalFormatting>
  <conditionalFormatting sqref="C656:D656">
    <cfRule type="expression" dxfId="395" priority="478">
      <formula>INDIRECT("Enemies!B14")</formula>
    </cfRule>
  </conditionalFormatting>
  <conditionalFormatting sqref="C657:D657">
    <cfRule type="expression" dxfId="394" priority="479">
      <formula>INDIRECT("Enemies!B191")</formula>
    </cfRule>
  </conditionalFormatting>
  <conditionalFormatting sqref="C658:D658">
    <cfRule type="expression" dxfId="393" priority="480">
      <formula>INDIRECT("Enemies!B307")</formula>
    </cfRule>
  </conditionalFormatting>
  <conditionalFormatting sqref="C659:D659">
    <cfRule type="expression" dxfId="392" priority="481">
      <formula>INDIRECT("Enemies!B23")</formula>
    </cfRule>
  </conditionalFormatting>
  <conditionalFormatting sqref="C660:D660">
    <cfRule type="expression" dxfId="391" priority="482">
      <formula>INDIRECT("Enemies!B206")</formula>
    </cfRule>
  </conditionalFormatting>
  <conditionalFormatting sqref="C662:D662">
    <cfRule type="expression" dxfId="390" priority="483">
      <formula>INDIRECT("Enemies!B400")</formula>
    </cfRule>
  </conditionalFormatting>
  <conditionalFormatting sqref="C663:D663">
    <cfRule type="expression" dxfId="389" priority="484">
      <formula>INDIRECT("Enemies!B401")</formula>
    </cfRule>
  </conditionalFormatting>
  <conditionalFormatting sqref="C666:D666">
    <cfRule type="expression" dxfId="388" priority="485">
      <formula>INDIRECT("Enemies!B69")</formula>
    </cfRule>
  </conditionalFormatting>
  <conditionalFormatting sqref="C670:D670">
    <cfRule type="expression" dxfId="387" priority="486">
      <formula>INDIRECT("Enemies!B284")</formula>
    </cfRule>
  </conditionalFormatting>
  <conditionalFormatting sqref="C671:D671">
    <cfRule type="expression" dxfId="386" priority="487">
      <formula>INDIRECT("Enemies!B285")</formula>
    </cfRule>
  </conditionalFormatting>
  <conditionalFormatting sqref="C672:D672">
    <cfRule type="expression" dxfId="385" priority="488">
      <formula>INDIRECT("Enemies!B286")</formula>
    </cfRule>
  </conditionalFormatting>
  <conditionalFormatting sqref="C673:D673">
    <cfRule type="expression" dxfId="384" priority="489">
      <formula>INDIRECT("Enemies!B273")</formula>
    </cfRule>
  </conditionalFormatting>
  <conditionalFormatting sqref="C674:D674">
    <cfRule type="expression" dxfId="383" priority="490">
      <formula>INDIRECT("Enemies!B287")</formula>
    </cfRule>
  </conditionalFormatting>
  <conditionalFormatting sqref="C675:D675">
    <cfRule type="expression" dxfId="382" priority="491">
      <formula>INDIRECT("Enemies!B86")</formula>
    </cfRule>
  </conditionalFormatting>
  <conditionalFormatting sqref="C676:D676">
    <cfRule type="expression" dxfId="381" priority="492">
      <formula>INDIRECT("Enemies!B140")</formula>
    </cfRule>
  </conditionalFormatting>
  <conditionalFormatting sqref="C677:D677">
    <cfRule type="expression" dxfId="380" priority="493">
      <formula>INDIRECT("Enemies!B288")</formula>
    </cfRule>
  </conditionalFormatting>
  <conditionalFormatting sqref="C678:D678">
    <cfRule type="expression" dxfId="379" priority="494">
      <formula>INDIRECT("Enemies!B79")</formula>
    </cfRule>
  </conditionalFormatting>
  <conditionalFormatting sqref="C679:D679">
    <cfRule type="expression" dxfId="378" priority="495">
      <formula>INDIRECT("Enemies!B371")</formula>
    </cfRule>
  </conditionalFormatting>
  <conditionalFormatting sqref="C680:D680">
    <cfRule type="expression" dxfId="377" priority="496">
      <formula>INDIRECT("Enemies!B325")</formula>
    </cfRule>
  </conditionalFormatting>
  <conditionalFormatting sqref="C683:D683">
    <cfRule type="expression" dxfId="376" priority="497">
      <formula>INDIRECT("Enemies!B98")</formula>
    </cfRule>
  </conditionalFormatting>
  <conditionalFormatting sqref="C684:D684">
    <cfRule type="expression" dxfId="375" priority="498">
      <formula>INDIRECT("Enemies!B96")</formula>
    </cfRule>
  </conditionalFormatting>
  <conditionalFormatting sqref="C685:D685">
    <cfRule type="expression" dxfId="374" priority="499">
      <formula>INDIRECT("Enemies!B99")</formula>
    </cfRule>
  </conditionalFormatting>
  <conditionalFormatting sqref="C686:D686">
    <cfRule type="expression" dxfId="373" priority="500">
      <formula>INDIRECT("Enemies!B93")</formula>
    </cfRule>
  </conditionalFormatting>
  <conditionalFormatting sqref="C687:D687">
    <cfRule type="expression" dxfId="372" priority="501">
      <formula>INDIRECT("Enemies!B28")</formula>
    </cfRule>
  </conditionalFormatting>
  <conditionalFormatting sqref="C688:D688">
    <cfRule type="expression" dxfId="371" priority="502">
      <formula>INDIRECT("Enemies!B304")</formula>
    </cfRule>
  </conditionalFormatting>
  <conditionalFormatting sqref="C689:D689">
    <cfRule type="expression" dxfId="370" priority="503">
      <formula>INDIRECT("Enemies!B318")</formula>
    </cfRule>
  </conditionalFormatting>
  <conditionalFormatting sqref="C690:D690">
    <cfRule type="expression" dxfId="369" priority="504">
      <formula>INDIRECT("Enemies!B314")</formula>
    </cfRule>
  </conditionalFormatting>
  <conditionalFormatting sqref="C692:D692">
    <cfRule type="expression" dxfId="368" priority="505">
      <formula>INDIRECT("Enemies!B503")</formula>
    </cfRule>
  </conditionalFormatting>
  <conditionalFormatting sqref="C693:D693">
    <cfRule type="expression" dxfId="367" priority="506">
      <formula>INDIRECT("Enemies!B504")</formula>
    </cfRule>
  </conditionalFormatting>
  <conditionalFormatting sqref="C695:D695">
    <cfRule type="expression" dxfId="366" priority="507">
      <formula>INDIRECT("Enemies!B288")</formula>
    </cfRule>
  </conditionalFormatting>
  <conditionalFormatting sqref="C696:D696">
    <cfRule type="expression" dxfId="365" priority="508">
      <formula>INDIRECT("Enemies!B79")</formula>
    </cfRule>
  </conditionalFormatting>
  <conditionalFormatting sqref="C697:D697">
    <cfRule type="expression" dxfId="364" priority="509">
      <formula>INDIRECT("Enemies!B371")</formula>
    </cfRule>
  </conditionalFormatting>
  <conditionalFormatting sqref="C698:D698">
    <cfRule type="expression" dxfId="363" priority="510">
      <formula>INDIRECT("Enemies!B325")</formula>
    </cfRule>
  </conditionalFormatting>
  <conditionalFormatting sqref="C702:D702">
    <cfRule type="expression" dxfId="362" priority="511">
      <formula>INDIRECT("Enemies!B86")</formula>
    </cfRule>
  </conditionalFormatting>
  <conditionalFormatting sqref="C703:D703">
    <cfRule type="expression" dxfId="361" priority="512">
      <formula>INDIRECT("Enemies!B288")</formula>
    </cfRule>
  </conditionalFormatting>
  <conditionalFormatting sqref="C704:D704">
    <cfRule type="expression" dxfId="360" priority="513">
      <formula>INDIRECT("Enemies!B79")</formula>
    </cfRule>
  </conditionalFormatting>
  <conditionalFormatting sqref="C705:D705">
    <cfRule type="expression" dxfId="359" priority="514">
      <formula>INDIRECT("Enemies!B34")</formula>
    </cfRule>
  </conditionalFormatting>
  <conditionalFormatting sqref="C706:D706">
    <cfRule type="expression" dxfId="358" priority="515">
      <formula>INDIRECT("Enemies!B350")</formula>
    </cfRule>
  </conditionalFormatting>
  <conditionalFormatting sqref="C707:D707">
    <cfRule type="expression" dxfId="357" priority="516">
      <formula>INDIRECT("Enemies!B49")</formula>
    </cfRule>
  </conditionalFormatting>
  <conditionalFormatting sqref="C709:D709">
    <cfRule type="expression" dxfId="356" priority="517">
      <formula>INDIRECT("Enemies!B453")</formula>
    </cfRule>
  </conditionalFormatting>
  <conditionalFormatting sqref="C710:D710">
    <cfRule type="expression" dxfId="355" priority="518">
      <formula>INDIRECT("Enemies!B454")</formula>
    </cfRule>
  </conditionalFormatting>
  <conditionalFormatting sqref="C712:D712">
    <cfRule type="expression" dxfId="354" priority="519">
      <formula>INDIRECT("Enemies!B455")</formula>
    </cfRule>
  </conditionalFormatting>
  <conditionalFormatting sqref="C713:D713">
    <cfRule type="expression" dxfId="353" priority="520">
      <formula>INDIRECT("Enemies!B456")</formula>
    </cfRule>
  </conditionalFormatting>
  <conditionalFormatting sqref="C718:D718">
    <cfRule type="expression" dxfId="352" priority="521">
      <formula>INDIRECT("Enemies!B442")</formula>
    </cfRule>
  </conditionalFormatting>
  <conditionalFormatting sqref="C719:D719">
    <cfRule type="expression" dxfId="351" priority="522">
      <formula>INDIRECT("Enemies!B443")</formula>
    </cfRule>
  </conditionalFormatting>
  <conditionalFormatting sqref="C721:D721">
    <cfRule type="expression" dxfId="350" priority="523">
      <formula>INDIRECT("Enemies!B279")</formula>
    </cfRule>
  </conditionalFormatting>
  <conditionalFormatting sqref="C722:D722">
    <cfRule type="expression" dxfId="349" priority="524">
      <formula>INDIRECT("Enemies!B281")</formula>
    </cfRule>
  </conditionalFormatting>
  <conditionalFormatting sqref="C723:D723">
    <cfRule type="expression" dxfId="348" priority="525">
      <formula>INDIRECT("Enemies!B283")</formula>
    </cfRule>
  </conditionalFormatting>
  <conditionalFormatting sqref="C724:D724">
    <cfRule type="expression" dxfId="347" priority="526">
      <formula>INDIRECT("Enemies!B274")</formula>
    </cfRule>
  </conditionalFormatting>
  <conditionalFormatting sqref="C725:D725">
    <cfRule type="expression" dxfId="346" priority="527">
      <formula>INDIRECT("Enemies!B276")</formula>
    </cfRule>
  </conditionalFormatting>
  <conditionalFormatting sqref="C726:D726">
    <cfRule type="expression" dxfId="345" priority="528">
      <formula>INDIRECT("Enemies!B86")</formula>
    </cfRule>
  </conditionalFormatting>
  <conditionalFormatting sqref="C727:D727">
    <cfRule type="expression" dxfId="344" priority="529">
      <formula>INDIRECT("Enemies!B79")</formula>
    </cfRule>
  </conditionalFormatting>
  <conditionalFormatting sqref="C729:D729">
    <cfRule type="expression" dxfId="343" priority="530">
      <formula>INDIRECT("Enemies!B279")</formula>
    </cfRule>
  </conditionalFormatting>
  <conditionalFormatting sqref="C730:D730">
    <cfRule type="expression" dxfId="342" priority="531">
      <formula>INDIRECT("Enemies!B281")</formula>
    </cfRule>
  </conditionalFormatting>
  <conditionalFormatting sqref="C731:D731">
    <cfRule type="expression" dxfId="341" priority="532">
      <formula>INDIRECT("Enemies!B283")</formula>
    </cfRule>
  </conditionalFormatting>
  <conditionalFormatting sqref="C732:D732">
    <cfRule type="expression" dxfId="340" priority="533">
      <formula>INDIRECT("Enemies!B274")</formula>
    </cfRule>
  </conditionalFormatting>
  <conditionalFormatting sqref="C733:D733">
    <cfRule type="expression" dxfId="339" priority="534">
      <formula>INDIRECT("Enemies!B276")</formula>
    </cfRule>
  </conditionalFormatting>
  <conditionalFormatting sqref="C734:D734">
    <cfRule type="expression" dxfId="338" priority="535">
      <formula>INDIRECT("Enemies!B318")</formula>
    </cfRule>
  </conditionalFormatting>
  <conditionalFormatting sqref="C735:D735">
    <cfRule type="expression" dxfId="337" priority="536">
      <formula>INDIRECT("Enemies!B345")</formula>
    </cfRule>
  </conditionalFormatting>
  <conditionalFormatting sqref="C737:D737">
    <cfRule type="expression" dxfId="336" priority="537">
      <formula>INDIRECT("Enemies!B444")</formula>
    </cfRule>
  </conditionalFormatting>
  <conditionalFormatting sqref="C738:D738">
    <cfRule type="expression" dxfId="335" priority="538">
      <formula>INDIRECT("Enemies!B445")</formula>
    </cfRule>
  </conditionalFormatting>
  <conditionalFormatting sqref="C740:D740">
    <cfRule type="expression" dxfId="334" priority="539">
      <formula>INDIRECT("Enemies!B446")</formula>
    </cfRule>
  </conditionalFormatting>
  <conditionalFormatting sqref="C743:D743">
    <cfRule type="expression" dxfId="333" priority="540">
      <formula>INDIRECT("Enemies!B53")</formula>
    </cfRule>
  </conditionalFormatting>
  <conditionalFormatting sqref="C745:D745">
    <cfRule type="expression" dxfId="332" priority="541">
      <formula>INDIRECT("Enemies!B273")</formula>
    </cfRule>
  </conditionalFormatting>
  <conditionalFormatting sqref="C746:D746">
    <cfRule type="expression" dxfId="331" priority="542">
      <formula>INDIRECT("Enemies!B275")</formula>
    </cfRule>
  </conditionalFormatting>
  <conditionalFormatting sqref="C747:D747">
    <cfRule type="expression" dxfId="330" priority="543">
      <formula>INDIRECT("Enemies!B277")</formula>
    </cfRule>
  </conditionalFormatting>
  <conditionalFormatting sqref="C748:D748">
    <cfRule type="expression" dxfId="329" priority="544">
      <formula>INDIRECT("Enemies!B250")</formula>
    </cfRule>
  </conditionalFormatting>
  <conditionalFormatting sqref="C749:D749">
    <cfRule type="expression" dxfId="328" priority="545">
      <formula>INDIRECT("Enemies!B346")</formula>
    </cfRule>
  </conditionalFormatting>
  <conditionalFormatting sqref="C750:D750">
    <cfRule type="expression" dxfId="327" priority="546">
      <formula>INDIRECT("Enemies!B190")</formula>
    </cfRule>
  </conditionalFormatting>
  <conditionalFormatting sqref="C751:D751">
    <cfRule type="expression" dxfId="326" priority="547">
      <formula>INDIRECT("Enemies!B100")</formula>
    </cfRule>
  </conditionalFormatting>
  <conditionalFormatting sqref="C753:D753">
    <cfRule type="expression" dxfId="325" priority="548">
      <formula>INDIRECT("Enemies!B275")</formula>
    </cfRule>
  </conditionalFormatting>
  <conditionalFormatting sqref="C754:D754">
    <cfRule type="expression" dxfId="324" priority="549">
      <formula>INDIRECT("Enemies!B277")</formula>
    </cfRule>
  </conditionalFormatting>
  <conditionalFormatting sqref="C755:D755">
    <cfRule type="expression" dxfId="323" priority="550">
      <formula>INDIRECT("Enemies!B86")</formula>
    </cfRule>
  </conditionalFormatting>
  <conditionalFormatting sqref="C756:D756">
    <cfRule type="expression" dxfId="322" priority="551">
      <formula>INDIRECT("Enemies!B91")</formula>
    </cfRule>
  </conditionalFormatting>
  <conditionalFormatting sqref="C757:D757">
    <cfRule type="expression" dxfId="321" priority="552">
      <formula>INDIRECT("Enemies!B34")</formula>
    </cfRule>
  </conditionalFormatting>
  <conditionalFormatting sqref="C758:D758">
    <cfRule type="expression" dxfId="320" priority="553">
      <formula>INDIRECT("Enemies!B350")</formula>
    </cfRule>
  </conditionalFormatting>
  <conditionalFormatting sqref="C759:D759">
    <cfRule type="expression" dxfId="319" priority="554">
      <formula>INDIRECT("Enemies!B198")</formula>
    </cfRule>
  </conditionalFormatting>
  <conditionalFormatting sqref="C761:D761">
    <cfRule type="expression" dxfId="318" priority="555">
      <formula>INDIRECT("Enemies!B383")</formula>
    </cfRule>
  </conditionalFormatting>
  <conditionalFormatting sqref="C762:D762">
    <cfRule type="expression" dxfId="317" priority="556">
      <formula>INDIRECT("Enemies!B86")</formula>
    </cfRule>
  </conditionalFormatting>
  <conditionalFormatting sqref="C767:D767">
    <cfRule type="expression" dxfId="316" priority="557">
      <formula>INDIRECT("Enemies!B346")</formula>
    </cfRule>
  </conditionalFormatting>
  <conditionalFormatting sqref="C768:D768">
    <cfRule type="expression" dxfId="315" priority="558">
      <formula>INDIRECT("Enemies!B250")</formula>
    </cfRule>
  </conditionalFormatting>
  <conditionalFormatting sqref="C769:D769">
    <cfRule type="expression" dxfId="314" priority="559">
      <formula>INDIRECT("Enemies!B256")</formula>
    </cfRule>
  </conditionalFormatting>
  <conditionalFormatting sqref="C770:D770">
    <cfRule type="expression" dxfId="313" priority="560">
      <formula>INDIRECT("Enemies!B100")</formula>
    </cfRule>
  </conditionalFormatting>
  <conditionalFormatting sqref="C772:D772">
    <cfRule type="expression" dxfId="312" priority="561">
      <formula>INDIRECT("Enemies!B38")</formula>
    </cfRule>
  </conditionalFormatting>
  <conditionalFormatting sqref="C773:D773">
    <cfRule type="expression" dxfId="311" priority="562">
      <formula>INDIRECT("Enemies!B346")</formula>
    </cfRule>
  </conditionalFormatting>
  <conditionalFormatting sqref="C774:D774">
    <cfRule type="expression" dxfId="310" priority="563">
      <formula>INDIRECT("Enemies!B250")</formula>
    </cfRule>
  </conditionalFormatting>
  <conditionalFormatting sqref="C775:D775">
    <cfRule type="expression" dxfId="309" priority="564">
      <formula>INDIRECT("Enemies!B256")</formula>
    </cfRule>
  </conditionalFormatting>
  <conditionalFormatting sqref="C777:D777">
    <cfRule type="expression" dxfId="308" priority="565">
      <formula>INDIRECT("Enemies!B346")</formula>
    </cfRule>
  </conditionalFormatting>
  <conditionalFormatting sqref="C778:D778">
    <cfRule type="expression" dxfId="307" priority="566">
      <formula>INDIRECT("Enemies!B329")</formula>
    </cfRule>
  </conditionalFormatting>
  <conditionalFormatting sqref="C779:D779">
    <cfRule type="expression" dxfId="306" priority="567">
      <formula>INDIRECT("Enemies!B328")</formula>
    </cfRule>
  </conditionalFormatting>
  <conditionalFormatting sqref="C780:D780">
    <cfRule type="expression" dxfId="305" priority="568">
      <formula>INDIRECT("Enemies!B330")</formula>
    </cfRule>
  </conditionalFormatting>
  <conditionalFormatting sqref="C781:D781">
    <cfRule type="expression" dxfId="304" priority="569">
      <formula>INDIRECT("Enemies!B250")</formula>
    </cfRule>
  </conditionalFormatting>
  <conditionalFormatting sqref="C782:D782">
    <cfRule type="expression" dxfId="303" priority="570">
      <formula>INDIRECT("Enemies!B256")</formula>
    </cfRule>
  </conditionalFormatting>
  <conditionalFormatting sqref="C784:D786">
    <cfRule type="expression" dxfId="302" priority="571">
      <formula>INDIRECT("Enemies!B482")</formula>
    </cfRule>
  </conditionalFormatting>
  <conditionalFormatting sqref="C791:D791">
    <cfRule type="expression" dxfId="301" priority="572">
      <formula>INDIRECT("Enemies!B48")</formula>
    </cfRule>
  </conditionalFormatting>
  <conditionalFormatting sqref="C796:D796">
    <cfRule type="expression" dxfId="300" priority="573">
      <formula>INDIRECT("Enemies!B259")</formula>
    </cfRule>
  </conditionalFormatting>
  <conditionalFormatting sqref="C797:D797">
    <cfRule type="expression" dxfId="299" priority="574">
      <formula>INDIRECT("Enemies!B260")</formula>
    </cfRule>
  </conditionalFormatting>
  <conditionalFormatting sqref="C798:D798">
    <cfRule type="expression" dxfId="298" priority="575">
      <formula>INDIRECT("Enemies!B261")</formula>
    </cfRule>
  </conditionalFormatting>
  <conditionalFormatting sqref="C799:D799">
    <cfRule type="expression" dxfId="297" priority="576">
      <formula>INDIRECT("Enemies!B268")</formula>
    </cfRule>
  </conditionalFormatting>
  <conditionalFormatting sqref="C800:D800">
    <cfRule type="expression" dxfId="296" priority="577">
      <formula>INDIRECT("Enemies!B351")</formula>
    </cfRule>
  </conditionalFormatting>
  <conditionalFormatting sqref="C801:D801">
    <cfRule type="expression" dxfId="295" priority="578">
      <formula>INDIRECT("Enemies!B142")</formula>
    </cfRule>
  </conditionalFormatting>
  <conditionalFormatting sqref="C802:D802">
    <cfRule type="expression" dxfId="294" priority="579">
      <formula>INDIRECT("Enemies!B272")</formula>
    </cfRule>
  </conditionalFormatting>
  <conditionalFormatting sqref="C805:D805">
    <cfRule type="expression" dxfId="293" priority="580">
      <formula>INDIRECT("Enemies!B262")</formula>
    </cfRule>
  </conditionalFormatting>
  <conditionalFormatting sqref="C806:D806">
    <cfRule type="expression" dxfId="292" priority="581">
      <formula>INDIRECT("Enemies!B263")</formula>
    </cfRule>
  </conditionalFormatting>
  <conditionalFormatting sqref="C807:D807">
    <cfRule type="expression" dxfId="291" priority="582">
      <formula>INDIRECT("Enemies!B28")</formula>
    </cfRule>
  </conditionalFormatting>
  <conditionalFormatting sqref="C808:D808">
    <cfRule type="expression" dxfId="290" priority="583">
      <formula>INDIRECT("Enemies!B351")</formula>
    </cfRule>
  </conditionalFormatting>
  <conditionalFormatting sqref="C809:D809">
    <cfRule type="expression" dxfId="289" priority="584">
      <formula>INDIRECT("Enemies!B258")</formula>
    </cfRule>
  </conditionalFormatting>
  <conditionalFormatting sqref="C810:D810">
    <cfRule type="expression" dxfId="288" priority="585">
      <formula>INDIRECT("Enemies!B307")</formula>
    </cfRule>
  </conditionalFormatting>
  <conditionalFormatting sqref="C811:D811">
    <cfRule type="expression" dxfId="287" priority="586">
      <formula>INDIRECT("Enemies!B272")</formula>
    </cfRule>
  </conditionalFormatting>
  <conditionalFormatting sqref="C813:D813">
    <cfRule type="expression" dxfId="286" priority="587">
      <formula>INDIRECT("Enemies!B385")</formula>
    </cfRule>
  </conditionalFormatting>
  <conditionalFormatting sqref="C817:D817">
    <cfRule type="expression" dxfId="285" priority="588">
      <formula>INDIRECT("Enemies!B28")</formula>
    </cfRule>
  </conditionalFormatting>
  <conditionalFormatting sqref="C818:D818">
    <cfRule type="expression" dxfId="284" priority="589">
      <formula>INDIRECT("Enemies!B248")</formula>
    </cfRule>
  </conditionalFormatting>
  <conditionalFormatting sqref="C819:D819">
    <cfRule type="expression" dxfId="283" priority="590">
      <formula>INDIRECT("Enemies!B227")</formula>
    </cfRule>
  </conditionalFormatting>
  <conditionalFormatting sqref="C820:D820">
    <cfRule type="expression" dxfId="282" priority="591">
      <formula>INDIRECT("Enemies!B23")</formula>
    </cfRule>
  </conditionalFormatting>
  <conditionalFormatting sqref="C821:D821">
    <cfRule type="expression" dxfId="281" priority="592">
      <formula>INDIRECT("Enemies!B307")</formula>
    </cfRule>
  </conditionalFormatting>
  <conditionalFormatting sqref="C822:D822">
    <cfRule type="expression" dxfId="280" priority="593">
      <formula>INDIRECT("Enemies!B272")</formula>
    </cfRule>
  </conditionalFormatting>
  <conditionalFormatting sqref="C824:D824">
    <cfRule type="expression" dxfId="279" priority="594">
      <formula>INDIRECT("Enemies!B402")</formula>
    </cfRule>
  </conditionalFormatting>
  <conditionalFormatting sqref="C825:D825">
    <cfRule type="expression" dxfId="278" priority="595">
      <formula>INDIRECT("Enemies!B403")</formula>
    </cfRule>
  </conditionalFormatting>
  <conditionalFormatting sqref="C831:D831">
    <cfRule type="expression" dxfId="277" priority="596">
      <formula>INDIRECT("Enemies!B69")</formula>
    </cfRule>
  </conditionalFormatting>
  <conditionalFormatting sqref="C833:D833">
    <cfRule type="expression" dxfId="276" priority="597">
      <formula>INDIRECT("Enemies!B262")</formula>
    </cfRule>
  </conditionalFormatting>
  <conditionalFormatting sqref="C834:D834">
    <cfRule type="expression" dxfId="275" priority="598">
      <formula>INDIRECT("Enemies!B263")</formula>
    </cfRule>
  </conditionalFormatting>
  <conditionalFormatting sqref="C835:D835">
    <cfRule type="expression" dxfId="274" priority="599">
      <formula>INDIRECT("Enemies!B264")</formula>
    </cfRule>
  </conditionalFormatting>
  <conditionalFormatting sqref="C836:D836">
    <cfRule type="expression" dxfId="273" priority="600">
      <formula>INDIRECT("Enemies!B265")</formula>
    </cfRule>
  </conditionalFormatting>
  <conditionalFormatting sqref="C837:D837">
    <cfRule type="expression" dxfId="272" priority="601">
      <formula>INDIRECT("Enemies!B272")</formula>
    </cfRule>
  </conditionalFormatting>
  <conditionalFormatting sqref="C838:D838">
    <cfRule type="expression" dxfId="271" priority="602">
      <formula>INDIRECT("Enemies!B63")</formula>
    </cfRule>
  </conditionalFormatting>
  <conditionalFormatting sqref="C839:D839">
    <cfRule type="expression" dxfId="270" priority="603">
      <formula>INDIRECT("Enemies!B257")</formula>
    </cfRule>
  </conditionalFormatting>
  <conditionalFormatting sqref="C840:D840">
    <cfRule type="expression" dxfId="269" priority="604">
      <formula>INDIRECT("Enemies!B251")</formula>
    </cfRule>
  </conditionalFormatting>
  <conditionalFormatting sqref="C841:D841">
    <cfRule type="expression" dxfId="268" priority="605">
      <formula>INDIRECT("Enemies!B258")</formula>
    </cfRule>
  </conditionalFormatting>
  <conditionalFormatting sqref="C842:D842">
    <cfRule type="expression" dxfId="267" priority="606">
      <formula>INDIRECT("Enemies!B167")</formula>
    </cfRule>
  </conditionalFormatting>
  <conditionalFormatting sqref="C844:D844">
    <cfRule type="expression" dxfId="266" priority="607">
      <formula>INDIRECT("Enemies!B8")</formula>
    </cfRule>
  </conditionalFormatting>
  <conditionalFormatting sqref="C845:D845">
    <cfRule type="expression" dxfId="265" priority="608">
      <formula>INDIRECT("Enemies!B17")</formula>
    </cfRule>
  </conditionalFormatting>
  <conditionalFormatting sqref="C846:D846">
    <cfRule type="expression" dxfId="264" priority="609">
      <formula>INDIRECT("Enemies!B38")</formula>
    </cfRule>
  </conditionalFormatting>
  <conditionalFormatting sqref="C847:D847">
    <cfRule type="expression" dxfId="263" priority="610">
      <formula>INDIRECT("Enemies!B46")</formula>
    </cfRule>
  </conditionalFormatting>
  <conditionalFormatting sqref="C848:D848">
    <cfRule type="expression" dxfId="262" priority="611">
      <formula>INDIRECT("Enemies!B82")</formula>
    </cfRule>
  </conditionalFormatting>
  <conditionalFormatting sqref="C849:D849">
    <cfRule type="expression" dxfId="261" priority="612">
      <formula>INDIRECT("Enemies!B216")</formula>
    </cfRule>
  </conditionalFormatting>
  <conditionalFormatting sqref="C850:D850">
    <cfRule type="expression" dxfId="260" priority="613">
      <formula>INDIRECT("Enemies!B239")</formula>
    </cfRule>
  </conditionalFormatting>
  <conditionalFormatting sqref="C851:D851">
    <cfRule type="expression" dxfId="259" priority="614">
      <formula>INDIRECT("Enemies!B350")</formula>
    </cfRule>
  </conditionalFormatting>
  <conditionalFormatting sqref="C852:D852">
    <cfRule type="expression" dxfId="258" priority="615">
      <formula>INDIRECT("Enemies!B360")</formula>
    </cfRule>
  </conditionalFormatting>
  <conditionalFormatting sqref="C853:D853">
    <cfRule type="expression" dxfId="257" priority="616">
      <formula>INDIRECT("Enemies!B198")</formula>
    </cfRule>
  </conditionalFormatting>
  <conditionalFormatting sqref="C857:D857">
    <cfRule type="expression" dxfId="256" priority="617">
      <formula>INDIRECT("Enemies!B272")</formula>
    </cfRule>
  </conditionalFormatting>
  <conditionalFormatting sqref="C858:D858">
    <cfRule type="expression" dxfId="255" priority="618">
      <formula>INDIRECT("Enemies!B251")</formula>
    </cfRule>
  </conditionalFormatting>
  <conditionalFormatting sqref="C859:D859">
    <cfRule type="expression" dxfId="254" priority="619">
      <formula>INDIRECT("Enemies!B257")</formula>
    </cfRule>
  </conditionalFormatting>
  <conditionalFormatting sqref="C860:D860">
    <cfRule type="expression" dxfId="253" priority="620">
      <formula>INDIRECT("Enemies!B258")</formula>
    </cfRule>
  </conditionalFormatting>
  <conditionalFormatting sqref="C862:D862">
    <cfRule type="expression" dxfId="252" priority="621">
      <formula>INDIRECT("Enemies!B67")</formula>
    </cfRule>
  </conditionalFormatting>
  <conditionalFormatting sqref="C863:D863">
    <cfRule type="expression" dxfId="251" priority="622">
      <formula>INDIRECT("Enemies!B315")</formula>
    </cfRule>
  </conditionalFormatting>
  <conditionalFormatting sqref="C864:D864">
    <cfRule type="expression" dxfId="250" priority="623">
      <formula>INDIRECT("Enemies!B347")</formula>
    </cfRule>
  </conditionalFormatting>
  <conditionalFormatting sqref="C865:D865">
    <cfRule type="expression" dxfId="249" priority="624">
      <formula>INDIRECT("Enemies!B168")</formula>
    </cfRule>
  </conditionalFormatting>
  <conditionalFormatting sqref="C867:D867">
    <cfRule type="expression" dxfId="248" priority="625">
      <formula>INDIRECT("Enemies!B407")</formula>
    </cfRule>
  </conditionalFormatting>
  <conditionalFormatting sqref="C873:D873">
    <cfRule type="expression" dxfId="247" priority="626">
      <formula>INDIRECT("Enemies!B135")</formula>
    </cfRule>
  </conditionalFormatting>
  <conditionalFormatting sqref="C874:D874">
    <cfRule type="expression" dxfId="246" priority="627">
      <formula>INDIRECT("Enemies!B214")</formula>
    </cfRule>
  </conditionalFormatting>
  <conditionalFormatting sqref="C875:D875">
    <cfRule type="expression" dxfId="245" priority="628">
      <formula>INDIRECT("Enemies!B251")</formula>
    </cfRule>
  </conditionalFormatting>
  <conditionalFormatting sqref="C876:D876">
    <cfRule type="expression" dxfId="244" priority="629">
      <formula>INDIRECT("Enemies!B166")</formula>
    </cfRule>
  </conditionalFormatting>
  <conditionalFormatting sqref="C877:D877">
    <cfRule type="expression" dxfId="243" priority="630">
      <formula>INDIRECT("Enemies!B360")</formula>
    </cfRule>
  </conditionalFormatting>
  <conditionalFormatting sqref="C879:D882">
    <cfRule type="expression" dxfId="242" priority="631">
      <formula>INDIRECT("Enemies!B449")</formula>
    </cfRule>
  </conditionalFormatting>
  <conditionalFormatting sqref="C885:D885">
    <cfRule type="expression" dxfId="241" priority="632">
      <formula>INDIRECT("Enemies!B53")</formula>
    </cfRule>
  </conditionalFormatting>
  <conditionalFormatting sqref="C887:D887">
    <cfRule type="expression" dxfId="240" priority="633">
      <formula>INDIRECT("Enemies!B265")</formula>
    </cfRule>
  </conditionalFormatting>
  <conditionalFormatting sqref="C888:D888">
    <cfRule type="expression" dxfId="239" priority="634">
      <formula>INDIRECT("Enemies!B266")</formula>
    </cfRule>
  </conditionalFormatting>
  <conditionalFormatting sqref="C889:D889">
    <cfRule type="expression" dxfId="238" priority="635">
      <formula>INDIRECT("Enemies!B267")</formula>
    </cfRule>
  </conditionalFormatting>
  <conditionalFormatting sqref="C890:D890">
    <cfRule type="expression" dxfId="237" priority="636">
      <formula>INDIRECT("Enemies!B31")</formula>
    </cfRule>
  </conditionalFormatting>
  <conditionalFormatting sqref="C891:D891">
    <cfRule type="expression" dxfId="236" priority="637">
      <formula>INDIRECT("Enemies!B96")</formula>
    </cfRule>
  </conditionalFormatting>
  <conditionalFormatting sqref="C892:D892">
    <cfRule type="expression" dxfId="235" priority="638">
      <formula>INDIRECT("Enemies!B165")</formula>
    </cfRule>
  </conditionalFormatting>
  <conditionalFormatting sqref="C893:D893">
    <cfRule type="expression" dxfId="234" priority="639">
      <formula>INDIRECT("Enemies!B210")</formula>
    </cfRule>
  </conditionalFormatting>
  <conditionalFormatting sqref="C895:D895">
    <cfRule type="expression" dxfId="233" priority="640">
      <formula>INDIRECT("Enemies!B265")</formula>
    </cfRule>
  </conditionalFormatting>
  <conditionalFormatting sqref="C896:D896">
    <cfRule type="expression" dxfId="232" priority="641">
      <formula>INDIRECT("Enemies!B266")</formula>
    </cfRule>
  </conditionalFormatting>
  <conditionalFormatting sqref="C897:D897">
    <cfRule type="expression" dxfId="231" priority="642">
      <formula>INDIRECT("Enemies!B267")</formula>
    </cfRule>
  </conditionalFormatting>
  <conditionalFormatting sqref="C898:D898">
    <cfRule type="expression" dxfId="230" priority="643">
      <formula>INDIRECT("Enemies!B139")</formula>
    </cfRule>
  </conditionalFormatting>
  <conditionalFormatting sqref="C899:D899">
    <cfRule type="expression" dxfId="229" priority="644">
      <formula>INDIRECT("Enemies!B63")</formula>
    </cfRule>
  </conditionalFormatting>
  <conditionalFormatting sqref="C901:D901">
    <cfRule type="expression" dxfId="228" priority="645">
      <formula>INDIRECT("Enemies!B381")</formula>
    </cfRule>
  </conditionalFormatting>
  <conditionalFormatting sqref="C903:D903">
    <cfRule type="expression" dxfId="227" priority="646">
      <formula>INDIRECT("Enemies!B107")</formula>
    </cfRule>
  </conditionalFormatting>
  <conditionalFormatting sqref="C904:D904">
    <cfRule type="expression" dxfId="226" priority="647">
      <formula>INDIRECT("Enemies!B108")</formula>
    </cfRule>
  </conditionalFormatting>
  <conditionalFormatting sqref="C905:D905">
    <cfRule type="expression" dxfId="225" priority="648">
      <formula>INDIRECT("Enemies!B339")</formula>
    </cfRule>
  </conditionalFormatting>
  <conditionalFormatting sqref="C906:D906">
    <cfRule type="expression" dxfId="224" priority="649">
      <formula>INDIRECT("Enemies!B340")</formula>
    </cfRule>
  </conditionalFormatting>
  <conditionalFormatting sqref="C907:D907">
    <cfRule type="expression" dxfId="223" priority="650">
      <formula>INDIRECT("Enemies!B309")</formula>
    </cfRule>
  </conditionalFormatting>
  <conditionalFormatting sqref="C908:D908">
    <cfRule type="expression" dxfId="222" priority="651">
      <formula>INDIRECT("Enemies!B310")</formula>
    </cfRule>
  </conditionalFormatting>
  <conditionalFormatting sqref="C909:D909">
    <cfRule type="expression" dxfId="221" priority="652">
      <formula>INDIRECT("Enemies!B9")</formula>
    </cfRule>
  </conditionalFormatting>
  <conditionalFormatting sqref="C911:D912">
    <cfRule type="expression" dxfId="220" priority="653">
      <formula>INDIRECT("Enemies!B490")</formula>
    </cfRule>
  </conditionalFormatting>
  <conditionalFormatting sqref="C917:D917">
    <cfRule type="expression" dxfId="219" priority="654">
      <formula>INDIRECT("Enemies!B211")</formula>
    </cfRule>
  </conditionalFormatting>
  <conditionalFormatting sqref="C918:D918">
    <cfRule type="expression" dxfId="218" priority="655">
      <formula>INDIRECT("Enemies!B139")</formula>
    </cfRule>
  </conditionalFormatting>
  <conditionalFormatting sqref="C919:D919">
    <cfRule type="expression" dxfId="217" priority="656">
      <formula>INDIRECT("Enemies!B143")</formula>
    </cfRule>
  </conditionalFormatting>
  <conditionalFormatting sqref="C920:D920">
    <cfRule type="expression" dxfId="216" priority="657">
      <formula>INDIRECT("Enemies!B165")</formula>
    </cfRule>
  </conditionalFormatting>
  <conditionalFormatting sqref="C921:D921">
    <cfRule type="expression" dxfId="215" priority="658">
      <formula>INDIRECT("Enemies!B210")</formula>
    </cfRule>
  </conditionalFormatting>
  <conditionalFormatting sqref="C922:D922">
    <cfRule type="expression" dxfId="214" priority="659">
      <formula>INDIRECT("Enemies!B345")</formula>
    </cfRule>
  </conditionalFormatting>
  <conditionalFormatting sqref="C924:D924">
    <cfRule type="expression" dxfId="213" priority="660">
      <formula>INDIRECT("Enemies!B352")</formula>
    </cfRule>
  </conditionalFormatting>
  <conditionalFormatting sqref="C925:D925">
    <cfRule type="expression" dxfId="212" priority="661">
      <formula>INDIRECT("Enemies!B353")</formula>
    </cfRule>
  </conditionalFormatting>
  <conditionalFormatting sqref="C926:D926">
    <cfRule type="expression" dxfId="211" priority="662">
      <formula>INDIRECT("Enemies!B354")</formula>
    </cfRule>
  </conditionalFormatting>
  <conditionalFormatting sqref="C927:D927">
    <cfRule type="expression" dxfId="210" priority="663">
      <formula>INDIRECT("Enemies!B101")</formula>
    </cfRule>
  </conditionalFormatting>
  <conditionalFormatting sqref="C928:D928">
    <cfRule type="expression" dxfId="209" priority="664">
      <formula>INDIRECT("Enemies!B105")</formula>
    </cfRule>
  </conditionalFormatting>
  <conditionalFormatting sqref="C929:D929">
    <cfRule type="expression" dxfId="208" priority="665">
      <formula>INDIRECT("Enemies!B76")</formula>
    </cfRule>
  </conditionalFormatting>
  <conditionalFormatting sqref="C930:D930">
    <cfRule type="expression" dxfId="207" priority="666">
      <formula>INDIRECT("Enemies!B73")</formula>
    </cfRule>
  </conditionalFormatting>
  <conditionalFormatting sqref="C931:D931">
    <cfRule type="expression" dxfId="206" priority="667">
      <formula>INDIRECT("Enemies!B345")</formula>
    </cfRule>
  </conditionalFormatting>
  <conditionalFormatting sqref="C933:D933">
    <cfRule type="expression" dxfId="205" priority="668">
      <formula>INDIRECT("Enemies!B470")</formula>
    </cfRule>
  </conditionalFormatting>
  <conditionalFormatting sqref="C938:D938">
    <cfRule type="expression" dxfId="204" priority="669">
      <formula>INDIRECT("Enemies!B48")</formula>
    </cfRule>
  </conditionalFormatting>
  <conditionalFormatting sqref="C942:D942">
    <cfRule type="expression" dxfId="203" priority="670">
      <formula>INDIRECT("Enemies!B54")</formula>
    </cfRule>
  </conditionalFormatting>
  <conditionalFormatting sqref="C943:D943">
    <cfRule type="expression" dxfId="202" priority="671">
      <formula>INDIRECT("Enemies!B55")</formula>
    </cfRule>
  </conditionalFormatting>
  <conditionalFormatting sqref="C944:D944">
    <cfRule type="expression" dxfId="201" priority="672">
      <formula>INDIRECT("Enemies!B56")</formula>
    </cfRule>
  </conditionalFormatting>
  <conditionalFormatting sqref="C945:D945">
    <cfRule type="expression" dxfId="200" priority="673">
      <formula>INDIRECT("Enemies!B95")</formula>
    </cfRule>
  </conditionalFormatting>
  <conditionalFormatting sqref="C946:D946">
    <cfRule type="expression" dxfId="199" priority="674">
      <formula>INDIRECT("Enemies!B150")</formula>
    </cfRule>
  </conditionalFormatting>
  <conditionalFormatting sqref="C947:D947">
    <cfRule type="expression" dxfId="198" priority="675">
      <formula>INDIRECT("Enemies!B195")</formula>
    </cfRule>
  </conditionalFormatting>
  <conditionalFormatting sqref="C948:D948">
    <cfRule type="expression" dxfId="197" priority="676">
      <formula>INDIRECT("Enemies!B144")</formula>
    </cfRule>
  </conditionalFormatting>
  <conditionalFormatting sqref="C951:D951">
    <cfRule type="expression" dxfId="196" priority="677">
      <formula>INDIRECT("Enemies!B66")</formula>
    </cfRule>
  </conditionalFormatting>
  <conditionalFormatting sqref="C952:D952">
    <cfRule type="expression" dxfId="195" priority="678">
      <formula>INDIRECT("Enemies!B144")</formula>
    </cfRule>
  </conditionalFormatting>
  <conditionalFormatting sqref="C953:D953">
    <cfRule type="expression" dxfId="194" priority="679">
      <formula>INDIRECT("Enemies!B193")</formula>
    </cfRule>
  </conditionalFormatting>
  <conditionalFormatting sqref="C954:D954">
    <cfRule type="expression" dxfId="193" priority="680">
      <formula>INDIRECT("Enemies!B92")</formula>
    </cfRule>
  </conditionalFormatting>
  <conditionalFormatting sqref="C955:D955">
    <cfRule type="expression" dxfId="192" priority="681">
      <formula>INDIRECT("Enemies!B331")</formula>
    </cfRule>
  </conditionalFormatting>
  <conditionalFormatting sqref="C956:D956">
    <cfRule type="expression" dxfId="191" priority="682">
      <formula>INDIRECT("Enemies!B13")</formula>
    </cfRule>
  </conditionalFormatting>
  <conditionalFormatting sqref="C957:D957">
    <cfRule type="expression" dxfId="190" priority="683">
      <formula>INDIRECT("Enemies!B89")</formula>
    </cfRule>
  </conditionalFormatting>
  <conditionalFormatting sqref="C958:D958">
    <cfRule type="expression" dxfId="189" priority="684">
      <formula>INDIRECT("Enemies!B230")</formula>
    </cfRule>
  </conditionalFormatting>
  <conditionalFormatting sqref="C959:D959">
    <cfRule type="expression" dxfId="188" priority="685">
      <formula>INDIRECT("Enemies!B90")</formula>
    </cfRule>
  </conditionalFormatting>
  <conditionalFormatting sqref="C961:D961">
    <cfRule type="expression" dxfId="187" priority="686">
      <formula>INDIRECT("Enemies!B382")</formula>
    </cfRule>
  </conditionalFormatting>
  <conditionalFormatting sqref="C965:D965">
    <cfRule type="expression" dxfId="186" priority="687">
      <formula>INDIRECT("Enemies!B243")</formula>
    </cfRule>
  </conditionalFormatting>
  <conditionalFormatting sqref="C966:D966">
    <cfRule type="expression" dxfId="185" priority="688">
      <formula>INDIRECT("Enemies!B244")</formula>
    </cfRule>
  </conditionalFormatting>
  <conditionalFormatting sqref="C967:D967">
    <cfRule type="expression" dxfId="184" priority="689">
      <formula>INDIRECT("Enemies!B245")</formula>
    </cfRule>
  </conditionalFormatting>
  <conditionalFormatting sqref="C968:D968">
    <cfRule type="expression" dxfId="183" priority="690">
      <formula>INDIRECT("Enemies!B147")</formula>
    </cfRule>
  </conditionalFormatting>
  <conditionalFormatting sqref="C969:D969">
    <cfRule type="expression" dxfId="182" priority="691">
      <formula>INDIRECT("Enemies!B305")</formula>
    </cfRule>
  </conditionalFormatting>
  <conditionalFormatting sqref="C970:D970">
    <cfRule type="expression" dxfId="181" priority="692">
      <formula>INDIRECT("Enemies!B186")</formula>
    </cfRule>
  </conditionalFormatting>
  <conditionalFormatting sqref="C972:D972">
    <cfRule type="expression" dxfId="180" priority="693">
      <formula>INDIRECT("Enemies!B404")</formula>
    </cfRule>
  </conditionalFormatting>
  <conditionalFormatting sqref="C973:D973">
    <cfRule type="expression" dxfId="179" priority="694">
      <formula>INDIRECT("Enemies!B405")</formula>
    </cfRule>
  </conditionalFormatting>
  <conditionalFormatting sqref="C976:D976">
    <cfRule type="expression" dxfId="178" priority="695">
      <formula>INDIRECT("Enemies!B69")</formula>
    </cfRule>
  </conditionalFormatting>
  <conditionalFormatting sqref="C978:D978">
    <cfRule type="expression" dxfId="177" priority="696">
      <formula>INDIRECT("Enemies!B57")</formula>
    </cfRule>
  </conditionalFormatting>
  <conditionalFormatting sqref="C979:D979">
    <cfRule type="expression" dxfId="176" priority="697">
      <formula>INDIRECT("Enemies!B58")</formula>
    </cfRule>
  </conditionalFormatting>
  <conditionalFormatting sqref="C980:D980">
    <cfRule type="expression" dxfId="175" priority="698">
      <formula>INDIRECT("Enemies!B59")</formula>
    </cfRule>
  </conditionalFormatting>
  <conditionalFormatting sqref="C981:D981">
    <cfRule type="expression" dxfId="174" priority="699">
      <formula>INDIRECT("Enemies!B60")</formula>
    </cfRule>
  </conditionalFormatting>
  <conditionalFormatting sqref="C982:D982">
    <cfRule type="expression" dxfId="173" priority="700">
      <formula>INDIRECT("Enemies!B208")</formula>
    </cfRule>
  </conditionalFormatting>
  <conditionalFormatting sqref="C983:D983">
    <cfRule type="expression" dxfId="172" priority="701">
      <formula>INDIRECT("Enemies!B209")</formula>
    </cfRule>
  </conditionalFormatting>
  <conditionalFormatting sqref="C984:D984">
    <cfRule type="expression" dxfId="171" priority="702">
      <formula>INDIRECT("Enemies!B11")</formula>
    </cfRule>
  </conditionalFormatting>
  <conditionalFormatting sqref="C985:D985">
    <cfRule type="expression" dxfId="170" priority="703">
      <formula>INDIRECT("Enemies!B344")</formula>
    </cfRule>
  </conditionalFormatting>
  <conditionalFormatting sqref="C986:D986">
    <cfRule type="expression" dxfId="169" priority="704">
      <formula>INDIRECT("Enemies!B144")</formula>
    </cfRule>
  </conditionalFormatting>
  <conditionalFormatting sqref="C987:D987">
    <cfRule type="expression" dxfId="168" priority="705">
      <formula>INDIRECT("Enemies!B193")</formula>
    </cfRule>
  </conditionalFormatting>
  <conditionalFormatting sqref="C989:D989">
    <cfRule type="expression" dxfId="167" priority="706">
      <formula>INDIRECT("Enemies!B316")</formula>
    </cfRule>
  </conditionalFormatting>
  <conditionalFormatting sqref="C990:D990">
    <cfRule type="expression" dxfId="166" priority="707">
      <formula>INDIRECT("Enemies!B229")</formula>
    </cfRule>
  </conditionalFormatting>
  <conditionalFormatting sqref="C991:D991">
    <cfRule type="expression" dxfId="165" priority="708">
      <formula>INDIRECT("Enemies!B317")</formula>
    </cfRule>
  </conditionalFormatting>
  <conditionalFormatting sqref="C992:D992">
    <cfRule type="expression" dxfId="164" priority="709">
      <formula>INDIRECT("Enemies!B34")</formula>
    </cfRule>
  </conditionalFormatting>
  <conditionalFormatting sqref="C993:D993">
    <cfRule type="expression" dxfId="163" priority="710">
      <formula>INDIRECT("Enemies!B216")</formula>
    </cfRule>
  </conditionalFormatting>
  <conditionalFormatting sqref="C994:D994">
    <cfRule type="expression" dxfId="162" priority="711">
      <formula>INDIRECT("Enemies!B239")</formula>
    </cfRule>
  </conditionalFormatting>
  <conditionalFormatting sqref="C995:D995">
    <cfRule type="expression" dxfId="161" priority="712">
      <formula>INDIRECT("Enemies!B104")</formula>
    </cfRule>
  </conditionalFormatting>
  <conditionalFormatting sqref="C996:D996">
    <cfRule type="expression" dxfId="160" priority="713">
      <formula>INDIRECT("Enemies!B100")</formula>
    </cfRule>
  </conditionalFormatting>
  <conditionalFormatting sqref="C997:D997">
    <cfRule type="expression" dxfId="159" priority="714">
      <formula>INDIRECT("Enemies!B72")</formula>
    </cfRule>
  </conditionalFormatting>
  <conditionalFormatting sqref="C998:D998">
    <cfRule type="expression" dxfId="158" priority="715">
      <formula>INDIRECT("Enemies!B74")</formula>
    </cfRule>
  </conditionalFormatting>
  <conditionalFormatting sqref="C1000:D1000">
    <cfRule type="expression" dxfId="157" priority="716">
      <formula>INDIRECT("Enemies!B384")</formula>
    </cfRule>
  </conditionalFormatting>
  <conditionalFormatting sqref="C1002:D1002">
    <cfRule type="expression" dxfId="156" priority="717">
      <formula>INDIRECT("Enemies!B208")</formula>
    </cfRule>
  </conditionalFormatting>
  <conditionalFormatting sqref="C1003:D1003">
    <cfRule type="expression" dxfId="155" priority="718">
      <formula>INDIRECT("Enemies!B11")</formula>
    </cfRule>
  </conditionalFormatting>
  <conditionalFormatting sqref="C1004:D1004">
    <cfRule type="expression" dxfId="154" priority="719">
      <formula>INDIRECT("Enemies!B344")</formula>
    </cfRule>
  </conditionalFormatting>
  <conditionalFormatting sqref="C1005:D1005">
    <cfRule type="expression" dxfId="153" priority="720">
      <formula>INDIRECT("Enemies!B144")</formula>
    </cfRule>
  </conditionalFormatting>
  <conditionalFormatting sqref="C1009:D1009">
    <cfRule type="expression" dxfId="152" priority="721">
      <formula>INDIRECT("Enemies!B222")</formula>
    </cfRule>
  </conditionalFormatting>
  <conditionalFormatting sqref="C1010:D1010">
    <cfRule type="expression" dxfId="151" priority="722">
      <formula>INDIRECT("Enemies!B223")</formula>
    </cfRule>
  </conditionalFormatting>
  <conditionalFormatting sqref="C1011:D1011">
    <cfRule type="expression" dxfId="150" priority="723">
      <formula>INDIRECT("Enemies!B305")</formula>
    </cfRule>
  </conditionalFormatting>
  <conditionalFormatting sqref="C1012:D1012">
    <cfRule type="expression" dxfId="149" priority="724">
      <formula>INDIRECT("Enemies!B341")</formula>
    </cfRule>
  </conditionalFormatting>
  <conditionalFormatting sqref="C1013:D1013">
    <cfRule type="expression" dxfId="148" priority="725">
      <formula>INDIRECT("Enemies!B348")</formula>
    </cfRule>
  </conditionalFormatting>
  <conditionalFormatting sqref="C1014:D1014">
    <cfRule type="expression" dxfId="147" priority="726">
      <formula>INDIRECT("Enemies!B331")</formula>
    </cfRule>
  </conditionalFormatting>
  <conditionalFormatting sqref="C1016:D1016">
    <cfRule type="expression" dxfId="146" priority="727">
      <formula>INDIRECT("Enemies!B410")</formula>
    </cfRule>
  </conditionalFormatting>
  <conditionalFormatting sqref="C1017:D1017">
    <cfRule type="expression" dxfId="145" priority="728">
      <formula>INDIRECT("Enemies!B411")</formula>
    </cfRule>
  </conditionalFormatting>
  <conditionalFormatting sqref="C1021:D1021">
    <cfRule type="expression" dxfId="144" priority="729">
      <formula>INDIRECT("Enemies!B272")</formula>
    </cfRule>
  </conditionalFormatting>
  <conditionalFormatting sqref="C1022:D1022">
    <cfRule type="expression" dxfId="143" priority="730">
      <formula>INDIRECT("Enemies!B327")</formula>
    </cfRule>
  </conditionalFormatting>
  <conditionalFormatting sqref="C1023:D1023">
    <cfRule type="expression" dxfId="142" priority="731">
      <formula>INDIRECT("Enemies!B216")</formula>
    </cfRule>
  </conditionalFormatting>
  <conditionalFormatting sqref="C1024:D1024">
    <cfRule type="expression" dxfId="141" priority="732">
      <formula>INDIRECT("Enemies!B239")</formula>
    </cfRule>
  </conditionalFormatting>
  <conditionalFormatting sqref="C1025:D1025">
    <cfRule type="expression" dxfId="140" priority="733">
      <formula>INDIRECT("Enemies!B307")</formula>
    </cfRule>
  </conditionalFormatting>
  <conditionalFormatting sqref="C1026:D1026">
    <cfRule type="expression" dxfId="139" priority="734">
      <formula>INDIRECT("Enemies!B343")</formula>
    </cfRule>
  </conditionalFormatting>
  <conditionalFormatting sqref="C1027:D1027">
    <cfRule type="expression" dxfId="138" priority="735">
      <formula>INDIRECT("Enemies!B368")</formula>
    </cfRule>
  </conditionalFormatting>
  <conditionalFormatting sqref="C1029:D1029">
    <cfRule type="expression" dxfId="137" priority="736">
      <formula>INDIRECT("Enemies!B408")</formula>
    </cfRule>
  </conditionalFormatting>
  <conditionalFormatting sqref="C1030:D1030">
    <cfRule type="expression" dxfId="136" priority="737">
      <formula>INDIRECT("Enemies!B409")</formula>
    </cfRule>
  </conditionalFormatting>
  <conditionalFormatting sqref="C1033:D1033">
    <cfRule type="expression" dxfId="135" priority="738">
      <formula>INDIRECT("Enemies!B53")</formula>
    </cfRule>
  </conditionalFormatting>
  <conditionalFormatting sqref="C1035:D1035">
    <cfRule type="expression" dxfId="134" priority="739">
      <formula>INDIRECT("Enemies!B60")</formula>
    </cfRule>
  </conditionalFormatting>
  <conditionalFormatting sqref="C1036:D1036">
    <cfRule type="expression" dxfId="133" priority="740">
      <formula>INDIRECT("Enemies!B61")</formula>
    </cfRule>
  </conditionalFormatting>
  <conditionalFormatting sqref="C1037:D1037">
    <cfRule type="expression" dxfId="132" priority="741">
      <formula>INDIRECT("Enemies!B62")</formula>
    </cfRule>
  </conditionalFormatting>
  <conditionalFormatting sqref="C1038:D1038">
    <cfRule type="expression" dxfId="131" priority="742">
      <formula>INDIRECT("Enemies!B30")</formula>
    </cfRule>
  </conditionalFormatting>
  <conditionalFormatting sqref="C1039:D1039">
    <cfRule type="expression" dxfId="130" priority="743">
      <formula>INDIRECT("Enemies!B373")</formula>
    </cfRule>
  </conditionalFormatting>
  <conditionalFormatting sqref="C1040:D1040">
    <cfRule type="expression" dxfId="129" priority="744">
      <formula>INDIRECT("Enemies!B68")</formula>
    </cfRule>
  </conditionalFormatting>
  <conditionalFormatting sqref="C1041:D1041">
    <cfRule type="expression" dxfId="128" priority="745">
      <formula>INDIRECT("Enemies!B137")</formula>
    </cfRule>
  </conditionalFormatting>
  <conditionalFormatting sqref="C1043:D1043">
    <cfRule type="expression" dxfId="127" priority="746">
      <formula>INDIRECT("Enemies!B218")</formula>
    </cfRule>
  </conditionalFormatting>
  <conditionalFormatting sqref="C1044:D1044">
    <cfRule type="expression" dxfId="126" priority="747">
      <formula>INDIRECT("Enemies!B219")</formula>
    </cfRule>
  </conditionalFormatting>
  <conditionalFormatting sqref="C1045:D1045">
    <cfRule type="expression" dxfId="125" priority="748">
      <formula>INDIRECT("Enemies!B149")</formula>
    </cfRule>
  </conditionalFormatting>
  <conditionalFormatting sqref="C1046:D1046">
    <cfRule type="expression" dxfId="124" priority="749">
      <formula>INDIRECT("Enemies!B256")</formula>
    </cfRule>
  </conditionalFormatting>
  <conditionalFormatting sqref="C1047:D1047">
    <cfRule type="expression" dxfId="123" priority="750">
      <formula>INDIRECT("Enemies!B101")</formula>
    </cfRule>
  </conditionalFormatting>
  <conditionalFormatting sqref="C1048:D1048">
    <cfRule type="expression" dxfId="122" priority="751">
      <formula>INDIRECT("Enemies!B337")</formula>
    </cfRule>
  </conditionalFormatting>
  <conditionalFormatting sqref="C1049:D1049">
    <cfRule type="expression" dxfId="121" priority="752">
      <formula>INDIRECT("Enemies!B184")</formula>
    </cfRule>
  </conditionalFormatting>
  <conditionalFormatting sqref="C1050:D1050">
    <cfRule type="expression" dxfId="120" priority="753">
      <formula>INDIRECT("Enemies!B364")</formula>
    </cfRule>
  </conditionalFormatting>
  <conditionalFormatting sqref="C1051:D1051">
    <cfRule type="expression" dxfId="119" priority="754">
      <formula>INDIRECT("Enemies!B203")</formula>
    </cfRule>
  </conditionalFormatting>
  <conditionalFormatting sqref="C1052:D1052">
    <cfRule type="expression" dxfId="118" priority="755">
      <formula>INDIRECT("Enemies!B310")</formula>
    </cfRule>
  </conditionalFormatting>
  <conditionalFormatting sqref="C1056:D1056">
    <cfRule type="expression" dxfId="117" priority="756">
      <formula>INDIRECT("Enemies!B30")</formula>
    </cfRule>
  </conditionalFormatting>
  <conditionalFormatting sqref="C1057:D1057">
    <cfRule type="expression" dxfId="116" priority="757">
      <formula>INDIRECT("Enemies!B373")</formula>
    </cfRule>
  </conditionalFormatting>
  <conditionalFormatting sqref="C1058:D1058">
    <cfRule type="expression" dxfId="115" priority="758">
      <formula>INDIRECT("Enemies!B94")</formula>
    </cfRule>
  </conditionalFormatting>
  <conditionalFormatting sqref="C1059:D1059">
    <cfRule type="expression" dxfId="114" priority="759">
      <formula>INDIRECT("Enemies!B68")</formula>
    </cfRule>
  </conditionalFormatting>
  <conditionalFormatting sqref="C1061:D1061">
    <cfRule type="expression" dxfId="113" priority="760">
      <formula>INDIRECT("Enemies!B87")</formula>
    </cfRule>
  </conditionalFormatting>
  <conditionalFormatting sqref="C1062:D1062">
    <cfRule type="expression" dxfId="112" priority="761">
      <formula>INDIRECT("Enemies!B221")</formula>
    </cfRule>
  </conditionalFormatting>
  <conditionalFormatting sqref="C1063:D1063">
    <cfRule type="expression" dxfId="111" priority="762">
      <formula>INDIRECT("Enemies!B137")</formula>
    </cfRule>
  </conditionalFormatting>
  <conditionalFormatting sqref="C1064:D1064">
    <cfRule type="expression" dxfId="110" priority="763">
      <formula>INDIRECT("Enemies!B360")</formula>
    </cfRule>
  </conditionalFormatting>
  <conditionalFormatting sqref="C1066:D1066">
    <cfRule type="expression" dxfId="109" priority="764">
      <formula>INDIRECT("Enemies!B192")</formula>
    </cfRule>
  </conditionalFormatting>
  <conditionalFormatting sqref="C1067:D1067">
    <cfRule type="expression" dxfId="108" priority="765">
      <formula>INDIRECT("Enemies!B87")</formula>
    </cfRule>
  </conditionalFormatting>
  <conditionalFormatting sqref="C1068:D1068">
    <cfRule type="expression" dxfId="107" priority="766">
      <formula>INDIRECT("Enemies!B221")</formula>
    </cfRule>
  </conditionalFormatting>
  <conditionalFormatting sqref="C1069:D1069">
    <cfRule type="expression" dxfId="106" priority="767">
      <formula>INDIRECT("Enemies!B99")</formula>
    </cfRule>
  </conditionalFormatting>
  <conditionalFormatting sqref="C1070:D1070">
    <cfRule type="expression" dxfId="105" priority="768">
      <formula>INDIRECT("Enemies!B360")</formula>
    </cfRule>
  </conditionalFormatting>
  <conditionalFormatting sqref="C1072:D1072">
    <cfRule type="expression" dxfId="104" priority="769">
      <formula>INDIRECT("Enemies!B478")</formula>
    </cfRule>
  </conditionalFormatting>
  <conditionalFormatting sqref="C1082:D1082">
    <cfRule type="expression" dxfId="103" priority="770">
      <formula>INDIRECT("Enemies!B48")</formula>
    </cfRule>
  </conditionalFormatting>
  <conditionalFormatting sqref="C1087:D1087">
    <cfRule type="expression" dxfId="102" priority="771">
      <formula>INDIRECT("Enemies!B121")</formula>
    </cfRule>
  </conditionalFormatting>
  <conditionalFormatting sqref="C1088:D1088">
    <cfRule type="expression" dxfId="101" priority="772">
      <formula>INDIRECT("Enemies!B122")</formula>
    </cfRule>
  </conditionalFormatting>
  <conditionalFormatting sqref="C1089:D1089">
    <cfRule type="expression" dxfId="100" priority="773">
      <formula>INDIRECT("Enemies!B123")</formula>
    </cfRule>
  </conditionalFormatting>
  <conditionalFormatting sqref="C1090:D1090">
    <cfRule type="expression" dxfId="99" priority="774">
      <formula>INDIRECT("Enemies!B225")</formula>
    </cfRule>
  </conditionalFormatting>
  <conditionalFormatting sqref="C1091:D1091">
    <cfRule type="expression" dxfId="98" priority="775">
      <formula>INDIRECT("Enemies!B217")</formula>
    </cfRule>
  </conditionalFormatting>
  <conditionalFormatting sqref="C1092:D1092">
    <cfRule type="expression" dxfId="97" priority="776">
      <formula>INDIRECT("Enemies!B212")</formula>
    </cfRule>
  </conditionalFormatting>
  <conditionalFormatting sqref="C1093:D1093">
    <cfRule type="expression" dxfId="96" priority="777">
      <formula>INDIRECT("Enemies!B136")</formula>
    </cfRule>
  </conditionalFormatting>
  <conditionalFormatting sqref="C1095:D1095">
    <cfRule type="expression" dxfId="95" priority="778">
      <formula>INDIRECT("Enemies!B505")</formula>
    </cfRule>
  </conditionalFormatting>
  <conditionalFormatting sqref="C1098:D1098">
    <cfRule type="expression" dxfId="94" priority="779">
      <formula>INDIRECT("Enemies!B136")</formula>
    </cfRule>
  </conditionalFormatting>
  <conditionalFormatting sqref="C1099:D1099">
    <cfRule type="expression" dxfId="93" priority="780">
      <formula>INDIRECT("Enemies!B247")</formula>
    </cfRule>
  </conditionalFormatting>
  <conditionalFormatting sqref="C1100:D1100">
    <cfRule type="expression" dxfId="92" priority="781">
      <formula>INDIRECT("Enemies!B212")</formula>
    </cfRule>
  </conditionalFormatting>
  <conditionalFormatting sqref="C1101:D1101">
    <cfRule type="expression" dxfId="91" priority="782">
      <formula>INDIRECT("Enemies!B326")</formula>
    </cfRule>
  </conditionalFormatting>
  <conditionalFormatting sqref="C1102:D1102">
    <cfRule type="expression" dxfId="90" priority="783">
      <formula>INDIRECT("Enemies!B347")</formula>
    </cfRule>
  </conditionalFormatting>
  <conditionalFormatting sqref="C1103:D1103">
    <cfRule type="expression" dxfId="89" priority="784">
      <formula>INDIRECT("Enemies!B168")</formula>
    </cfRule>
  </conditionalFormatting>
  <conditionalFormatting sqref="C1107:D1107">
    <cfRule type="expression" dxfId="88" priority="785">
      <formula>INDIRECT("Enemies!B121")</formula>
    </cfRule>
  </conditionalFormatting>
  <conditionalFormatting sqref="C1108:D1108">
    <cfRule type="expression" dxfId="87" priority="786">
      <formula>INDIRECT("Enemies!B122")</formula>
    </cfRule>
  </conditionalFormatting>
  <conditionalFormatting sqref="C1109:D1109">
    <cfRule type="expression" dxfId="86" priority="787">
      <formula>INDIRECT("Enemies!B123")</formula>
    </cfRule>
  </conditionalFormatting>
  <conditionalFormatting sqref="C1110:D1110">
    <cfRule type="expression" dxfId="85" priority="788">
      <formula>INDIRECT("Enemies!B120")</formula>
    </cfRule>
  </conditionalFormatting>
  <conditionalFormatting sqref="C1111:D1111">
    <cfRule type="expression" dxfId="84" priority="789">
      <formula>INDIRECT("Enemies!B247")</formula>
    </cfRule>
  </conditionalFormatting>
  <conditionalFormatting sqref="C1112:D1112">
    <cfRule type="expression" dxfId="83" priority="790">
      <formula>INDIRECT("Enemies!B215")</formula>
    </cfRule>
  </conditionalFormatting>
  <conditionalFormatting sqref="C1113:D1113">
    <cfRule type="expression" dxfId="82" priority="791">
      <formula>INDIRECT("Enemies!B134")</formula>
    </cfRule>
  </conditionalFormatting>
  <conditionalFormatting sqref="C1115:D1115">
    <cfRule type="expression" dxfId="81" priority="792">
      <formula>INDIRECT("Enemies!B406")</formula>
    </cfRule>
  </conditionalFormatting>
  <conditionalFormatting sqref="C1120:D1120">
    <cfRule type="expression" dxfId="80" priority="793">
      <formula>INDIRECT("Enemies!B69")</formula>
    </cfRule>
  </conditionalFormatting>
  <conditionalFormatting sqref="C1122:D1122">
    <cfRule type="expression" dxfId="79" priority="794">
      <formula>INDIRECT("Enemies!B124")</formula>
    </cfRule>
  </conditionalFormatting>
  <conditionalFormatting sqref="C1123:D1123">
    <cfRule type="expression" dxfId="78" priority="795">
      <formula>INDIRECT("Enemies!B125")</formula>
    </cfRule>
  </conditionalFormatting>
  <conditionalFormatting sqref="C1124:D1124">
    <cfRule type="expression" dxfId="77" priority="796">
      <formula>INDIRECT("Enemies!B126")</formula>
    </cfRule>
  </conditionalFormatting>
  <conditionalFormatting sqref="C1125:D1125">
    <cfRule type="expression" dxfId="76" priority="797">
      <formula>INDIRECT("Enemies!B127")</formula>
    </cfRule>
  </conditionalFormatting>
  <conditionalFormatting sqref="C1126:D1126">
    <cfRule type="expression" dxfId="75" priority="798">
      <formula>INDIRECT("Enemies!B136")</formula>
    </cfRule>
  </conditionalFormatting>
  <conditionalFormatting sqref="C1127:D1127">
    <cfRule type="expression" dxfId="74" priority="799">
      <formula>INDIRECT("Enemies!B135")</formula>
    </cfRule>
  </conditionalFormatting>
  <conditionalFormatting sqref="C1128:D1128">
    <cfRule type="expression" dxfId="73" priority="800">
      <formula>INDIRECT("Enemies!B67")</formula>
    </cfRule>
  </conditionalFormatting>
  <conditionalFormatting sqref="C1129:D1129">
    <cfRule type="expression" dxfId="72" priority="801">
      <formula>INDIRECT("Enemies!B242")</formula>
    </cfRule>
  </conditionalFormatting>
  <conditionalFormatting sqref="C1130:D1130">
    <cfRule type="expression" dxfId="71" priority="802">
      <formula>INDIRECT("Enemies!B229")</formula>
    </cfRule>
  </conditionalFormatting>
  <conditionalFormatting sqref="C1131:D1131">
    <cfRule type="expression" dxfId="70" priority="803">
      <formula>INDIRECT("Enemies!B168")</formula>
    </cfRule>
  </conditionalFormatting>
  <conditionalFormatting sqref="C1132:D1132">
    <cfRule type="expression" dxfId="69" priority="804">
      <formula>INDIRECT("Enemies!B166")</formula>
    </cfRule>
  </conditionalFormatting>
  <conditionalFormatting sqref="C1134:D1134">
    <cfRule type="expression" dxfId="68" priority="805">
      <formula>INDIRECT("Enemies!B241")</formula>
    </cfRule>
  </conditionalFormatting>
  <conditionalFormatting sqref="C1135:D1135">
    <cfRule type="expression" dxfId="67" priority="806">
      <formula>INDIRECT("Enemies!B224")</formula>
    </cfRule>
  </conditionalFormatting>
  <conditionalFormatting sqref="C1136:D1136">
    <cfRule type="expression" dxfId="66" priority="807">
      <formula>INDIRECT("Enemies!B133")</formula>
    </cfRule>
  </conditionalFormatting>
  <conditionalFormatting sqref="C1137:D1137">
    <cfRule type="expression" dxfId="65" priority="808">
      <formula>INDIRECT("Enemies!B233")</formula>
    </cfRule>
  </conditionalFormatting>
  <conditionalFormatting sqref="C1138:D1138">
    <cfRule type="expression" dxfId="64" priority="809">
      <formula>INDIRECT("Enemies!B94")</formula>
    </cfRule>
  </conditionalFormatting>
  <conditionalFormatting sqref="C1139:D1139">
    <cfRule type="expression" dxfId="63" priority="810">
      <formula>INDIRECT("Enemies!B24")</formula>
    </cfRule>
  </conditionalFormatting>
  <conditionalFormatting sqref="C1140:D1140">
    <cfRule type="expression" dxfId="62" priority="811">
      <formula>INDIRECT("Enemies!B308")</formula>
    </cfRule>
  </conditionalFormatting>
  <conditionalFormatting sqref="C1141:D1142">
    <cfRule type="expression" dxfId="61" priority="812">
      <formula>INDIRECT("Enemies!B51")</formula>
    </cfRule>
  </conditionalFormatting>
  <conditionalFormatting sqref="C1144:D1146">
    <cfRule type="expression" dxfId="60" priority="813">
      <formula>INDIRECT("Enemies!B507")</formula>
    </cfRule>
  </conditionalFormatting>
  <conditionalFormatting sqref="C1147:D1147">
    <cfRule type="expression" dxfId="59" priority="814">
      <formula>INDIRECT("Enemies!B510")</formula>
    </cfRule>
  </conditionalFormatting>
  <conditionalFormatting sqref="C1149:D1149">
    <cfRule type="expression" dxfId="58" priority="815">
      <formula>INDIRECT("Enemies!B506")</formula>
    </cfRule>
  </conditionalFormatting>
  <conditionalFormatting sqref="C1154:D1154">
    <cfRule type="expression" dxfId="57" priority="816">
      <formula>INDIRECT("Enemies!B412")</formula>
    </cfRule>
  </conditionalFormatting>
  <conditionalFormatting sqref="C1155:D1155">
    <cfRule type="expression" dxfId="56" priority="817">
      <formula>INDIRECT("Enemies!B413")</formula>
    </cfRule>
  </conditionalFormatting>
  <conditionalFormatting sqref="C1157:D1157">
    <cfRule type="expression" dxfId="55" priority="818">
      <formula>INDIRECT("Enemies!B414")</formula>
    </cfRule>
  </conditionalFormatting>
  <conditionalFormatting sqref="C1158:D1158">
    <cfRule type="expression" dxfId="54" priority="819">
      <formula>INDIRECT("Enemies!B415")</formula>
    </cfRule>
  </conditionalFormatting>
  <conditionalFormatting sqref="C1160:D1160">
    <cfRule type="expression" dxfId="53" priority="820">
      <formula>INDIRECT("Enemies!B416")</formula>
    </cfRule>
  </conditionalFormatting>
  <conditionalFormatting sqref="C1161:D1161">
    <cfRule type="expression" dxfId="52" priority="821">
      <formula>INDIRECT("Enemies!B417")</formula>
    </cfRule>
  </conditionalFormatting>
  <conditionalFormatting sqref="C1163:D1163">
    <cfRule type="expression" dxfId="51" priority="822">
      <formula>INDIRECT("Enemies!B418")</formula>
    </cfRule>
  </conditionalFormatting>
  <conditionalFormatting sqref="C1164:D1164">
    <cfRule type="expression" dxfId="50" priority="823">
      <formula>INDIRECT("Enemies!B419")</formula>
    </cfRule>
  </conditionalFormatting>
  <conditionalFormatting sqref="C1169:D1169">
    <cfRule type="expression" dxfId="49" priority="824">
      <formula>INDIRECT("Enemies!B146")</formula>
    </cfRule>
  </conditionalFormatting>
  <conditionalFormatting sqref="C1170:D1170">
    <cfRule type="expression" dxfId="48" priority="825">
      <formula>INDIRECT("Enemies!B242")</formula>
    </cfRule>
  </conditionalFormatting>
  <conditionalFormatting sqref="C1171:D1171">
    <cfRule type="expression" dxfId="47" priority="826">
      <formula>INDIRECT("Enemies!B229")</formula>
    </cfRule>
  </conditionalFormatting>
  <conditionalFormatting sqref="C1172:D1172">
    <cfRule type="expression" dxfId="46" priority="827">
      <formula>INDIRECT("Enemies!B135")</formula>
    </cfRule>
  </conditionalFormatting>
  <conditionalFormatting sqref="C1173:D1173">
    <cfRule type="expression" dxfId="45" priority="828">
      <formula>INDIRECT("Enemies!B194")</formula>
    </cfRule>
  </conditionalFormatting>
  <conditionalFormatting sqref="C1175:D1175">
    <cfRule type="expression" dxfId="44" priority="829">
      <formula>INDIRECT("Enemies!B302")</formula>
    </cfRule>
  </conditionalFormatting>
  <conditionalFormatting sqref="C1176:D1176">
    <cfRule type="expression" dxfId="43" priority="830">
      <formula>INDIRECT("Enemies!B98")</formula>
    </cfRule>
  </conditionalFormatting>
  <conditionalFormatting sqref="C1177:D1177">
    <cfRule type="expression" dxfId="42" priority="831">
      <formula>INDIRECT("Enemies!B46")</formula>
    </cfRule>
  </conditionalFormatting>
  <conditionalFormatting sqref="C1178:D1178">
    <cfRule type="expression" dxfId="41" priority="832">
      <formula>INDIRECT("Enemies!B82")</formula>
    </cfRule>
  </conditionalFormatting>
  <conditionalFormatting sqref="C1179:D1179">
    <cfRule type="expression" dxfId="40" priority="833">
      <formula>INDIRECT("Enemies!B345")</formula>
    </cfRule>
  </conditionalFormatting>
  <conditionalFormatting sqref="C1180:D1180">
    <cfRule type="expression" dxfId="39" priority="834">
      <formula>INDIRECT("Enemies!B207")</formula>
    </cfRule>
  </conditionalFormatting>
  <conditionalFormatting sqref="C1182:D1182">
    <cfRule type="expression" dxfId="38" priority="835">
      <formula>INDIRECT("Enemies!B441")</formula>
    </cfRule>
  </conditionalFormatting>
  <conditionalFormatting sqref="C1185:D1185">
    <cfRule type="expression" dxfId="37" priority="836">
      <formula>INDIRECT("Enemies!B53")</formula>
    </cfRule>
  </conditionalFormatting>
  <conditionalFormatting sqref="C1187:D1187">
    <cfRule type="expression" dxfId="36" priority="837">
      <formula>INDIRECT("Enemies!B127")</formula>
    </cfRule>
  </conditionalFormatting>
  <conditionalFormatting sqref="C1188:D1188">
    <cfRule type="expression" dxfId="35" priority="838">
      <formula>INDIRECT("Enemies!B128")</formula>
    </cfRule>
  </conditionalFormatting>
  <conditionalFormatting sqref="C1189:D1189">
    <cfRule type="expression" dxfId="34" priority="839">
      <formula>INDIRECT("Enemies!B129")</formula>
    </cfRule>
  </conditionalFormatting>
  <conditionalFormatting sqref="C1190:D1190">
    <cfRule type="expression" dxfId="33" priority="840">
      <formula>INDIRECT("Enemies!B241")</formula>
    </cfRule>
  </conditionalFormatting>
  <conditionalFormatting sqref="C1191:D1191">
    <cfRule type="expression" dxfId="32" priority="841">
      <formula>INDIRECT("Enemies!B97")</formula>
    </cfRule>
  </conditionalFormatting>
  <conditionalFormatting sqref="C1192:D1192">
    <cfRule type="expression" dxfId="31" priority="842">
      <formula>INDIRECT("Enemies!B233")</formula>
    </cfRule>
  </conditionalFormatting>
  <conditionalFormatting sqref="C1193:D1193">
    <cfRule type="expression" dxfId="30" priority="843">
      <formula>INDIRECT("Enemies!B24")</formula>
    </cfRule>
  </conditionalFormatting>
  <conditionalFormatting sqref="C1195:D1195">
    <cfRule type="expression" dxfId="29" priority="844">
      <formula>INDIRECT("Enemies!B218")</formula>
    </cfRule>
  </conditionalFormatting>
  <conditionalFormatting sqref="C1196:D1196">
    <cfRule type="expression" dxfId="28" priority="845">
      <formula>INDIRECT("Enemies!B219")</formula>
    </cfRule>
  </conditionalFormatting>
  <conditionalFormatting sqref="C1197:D1197">
    <cfRule type="expression" dxfId="27" priority="846">
      <formula>INDIRECT("Enemies!B101")</formula>
    </cfRule>
  </conditionalFormatting>
  <conditionalFormatting sqref="C1198:D1198">
    <cfRule type="expression" dxfId="26" priority="847">
      <formula>INDIRECT("Enemies!B105")</formula>
    </cfRule>
  </conditionalFormatting>
  <conditionalFormatting sqref="C1199:D1199">
    <cfRule type="expression" dxfId="25" priority="848">
      <formula>INDIRECT("Enemies!B173")</formula>
    </cfRule>
  </conditionalFormatting>
  <conditionalFormatting sqref="C1200:D1200">
    <cfRule type="expression" dxfId="24" priority="849">
      <formula>INDIRECT("Enemies!B170")</formula>
    </cfRule>
  </conditionalFormatting>
  <conditionalFormatting sqref="C1201:D1201">
    <cfRule type="expression" dxfId="23" priority="850">
      <formula>INDIRECT("Enemies!B17")</formula>
    </cfRule>
  </conditionalFormatting>
  <conditionalFormatting sqref="C1203:D1203">
    <cfRule type="expression" dxfId="22" priority="851">
      <formula>INDIRECT("Enemies!B107")</formula>
    </cfRule>
  </conditionalFormatting>
  <conditionalFormatting sqref="C1204:D1204">
    <cfRule type="expression" dxfId="21" priority="852">
      <formula>INDIRECT("Enemies!B108")</formula>
    </cfRule>
  </conditionalFormatting>
  <conditionalFormatting sqref="C1205:D1205">
    <cfRule type="expression" dxfId="20" priority="853">
      <formula>INDIRECT("Enemies!B184")</formula>
    </cfRule>
  </conditionalFormatting>
  <conditionalFormatting sqref="C1206:D1206">
    <cfRule type="expression" dxfId="19" priority="854">
      <formula>INDIRECT("Enemies!B185")</formula>
    </cfRule>
  </conditionalFormatting>
  <conditionalFormatting sqref="C1207:D1207">
    <cfRule type="expression" dxfId="18" priority="855">
      <formula>INDIRECT("Enemies!B339")</formula>
    </cfRule>
  </conditionalFormatting>
  <conditionalFormatting sqref="C1208:D1208">
    <cfRule type="expression" dxfId="17" priority="856">
      <formula>INDIRECT("Enemies!B340")</formula>
    </cfRule>
  </conditionalFormatting>
  <conditionalFormatting sqref="C1209:D1209">
    <cfRule type="expression" dxfId="16" priority="857">
      <formula>INDIRECT("Enemies!B9")</formula>
    </cfRule>
  </conditionalFormatting>
  <conditionalFormatting sqref="C1211:D1214">
    <cfRule type="expression" dxfId="15" priority="858">
      <formula>INDIRECT("Enemies!B492")</formula>
    </cfRule>
  </conditionalFormatting>
  <conditionalFormatting sqref="C1218:D1218">
    <cfRule type="expression" dxfId="14" priority="859">
      <formula>INDIRECT("Enemies!B306")</formula>
    </cfRule>
  </conditionalFormatting>
  <conditionalFormatting sqref="C1219:D1219">
    <cfRule type="expression" dxfId="13" priority="860">
      <formula>INDIRECT("Enemies!B149")</formula>
    </cfRule>
  </conditionalFormatting>
  <conditionalFormatting sqref="C1220:D1220">
    <cfRule type="expression" dxfId="12" priority="861">
      <formula>INDIRECT("Enemies!B71")</formula>
    </cfRule>
  </conditionalFormatting>
  <conditionalFormatting sqref="C1221:D1221">
    <cfRule type="expression" dxfId="11" priority="862">
      <formula>INDIRECT("Enemies!B367")</formula>
    </cfRule>
  </conditionalFormatting>
  <conditionalFormatting sqref="C1222:D1222">
    <cfRule type="expression" dxfId="10" priority="863">
      <formula>INDIRECT("Enemies!B362")</formula>
    </cfRule>
  </conditionalFormatting>
  <conditionalFormatting sqref="C1223:D1223">
    <cfRule type="expression" dxfId="9" priority="864">
      <formula>INDIRECT("Enemies!B359")</formula>
    </cfRule>
  </conditionalFormatting>
  <conditionalFormatting sqref="C1224:D1224">
    <cfRule type="expression" dxfId="8" priority="865">
      <formula>INDIRECT("Enemies!B345")</formula>
    </cfRule>
  </conditionalFormatting>
  <conditionalFormatting sqref="C1226:D1226">
    <cfRule type="expression" dxfId="7" priority="866">
      <formula>INDIRECT("Enemies!B306")</formula>
    </cfRule>
  </conditionalFormatting>
  <conditionalFormatting sqref="C1227:D1227">
    <cfRule type="expression" dxfId="6" priority="867">
      <formula>INDIRECT("Enemies!B71")</formula>
    </cfRule>
  </conditionalFormatting>
  <conditionalFormatting sqref="C1228:D1228">
    <cfRule type="expression" dxfId="5" priority="868">
      <formula>INDIRECT("Enemies!B367")</formula>
    </cfRule>
  </conditionalFormatting>
  <conditionalFormatting sqref="C1229:D1229">
    <cfRule type="expression" dxfId="4" priority="869">
      <formula>INDIRECT("Enemies!B359")</formula>
    </cfRule>
  </conditionalFormatting>
  <conditionalFormatting sqref="C1230:D1230">
    <cfRule type="expression" dxfId="3" priority="870">
      <formula>INDIRECT("Enemies!B78")</formula>
    </cfRule>
  </conditionalFormatting>
  <conditionalFormatting sqref="C1231:D1231">
    <cfRule type="expression" dxfId="2" priority="871">
      <formula>INDIRECT("Enemies!B27")</formula>
    </cfRule>
  </conditionalFormatting>
  <conditionalFormatting sqref="C1232:D1232">
    <cfRule type="expression" dxfId="1" priority="872">
      <formula>INDIRECT("Enemies!B345")</formula>
    </cfRule>
  </conditionalFormatting>
  <conditionalFormatting sqref="C1234:D1236">
    <cfRule type="expression" dxfId="0" priority="873">
      <formula>INDIRECT("Enemies!B464")</formula>
    </cfRule>
  </conditionalFormatting>
  <hyperlinks>
    <hyperlink ref="C1" location="Checklist!A5:D5" display="Frostlands" xr:uid="{00000000-0004-0000-0000-000000000000}"/>
    <hyperlink ref="D1" location="Checklist!A145" display="Flatlands" xr:uid="{00000000-0004-0000-0000-000001000000}"/>
    <hyperlink ref="G1" location="Checklist!A293" display="Coastlands" xr:uid="{00000000-0004-0000-0000-000002000000}"/>
    <hyperlink ref="L1" location="Checklist!A443" display="Highlands" xr:uid="{00000000-0004-0000-0000-000003000000}"/>
    <hyperlink ref="M1" location="Checklist!A625" display="Sunlands" xr:uid="{00000000-0004-0000-0000-000004000000}"/>
    <hyperlink ref="Q1" location="Checklist!A789" display="Riverlands" xr:uid="{00000000-0004-0000-0000-000005000000}"/>
    <hyperlink ref="R1" location="Checklist!A936" display="Cliftlands" xr:uid="{00000000-0004-0000-0000-000006000000}"/>
    <hyperlink ref="T1" location="Checklist!A1080" display="Woodlands" xr:uid="{00000000-0004-0000-0000-000007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E78"/>
  <sheetViews>
    <sheetView workbookViewId="0">
      <selection sqref="A1:E1"/>
    </sheetView>
  </sheetViews>
  <sheetFormatPr defaultColWidth="12.5703125" defaultRowHeight="15.75" customHeight="1" x14ac:dyDescent="0.2"/>
  <cols>
    <col min="1" max="1" width="2.5703125" customWidth="1"/>
    <col min="2" max="2" width="31.42578125" customWidth="1"/>
    <col min="3" max="3" width="7.5703125" customWidth="1"/>
    <col min="4" max="4" width="175.140625" customWidth="1"/>
    <col min="5" max="5" width="2.5703125" customWidth="1"/>
  </cols>
  <sheetData>
    <row r="1" spans="1:5" x14ac:dyDescent="0.2">
      <c r="A1" s="636" t="s">
        <v>419</v>
      </c>
      <c r="B1" s="371"/>
      <c r="C1" s="371"/>
      <c r="D1" s="371"/>
      <c r="E1" s="371"/>
    </row>
    <row r="2" spans="1:5" x14ac:dyDescent="0.2">
      <c r="A2" s="330"/>
      <c r="B2" s="330"/>
      <c r="C2" s="331"/>
      <c r="D2" s="331"/>
      <c r="E2" s="331"/>
    </row>
    <row r="3" spans="1:5" x14ac:dyDescent="0.2">
      <c r="A3" s="330"/>
      <c r="B3" s="332" t="s">
        <v>420</v>
      </c>
      <c r="C3" s="331"/>
      <c r="D3" s="331"/>
      <c r="E3" s="331"/>
    </row>
    <row r="4" spans="1:5" x14ac:dyDescent="0.2">
      <c r="A4" s="333"/>
      <c r="B4" s="312" t="s">
        <v>421</v>
      </c>
      <c r="C4" s="466" t="s">
        <v>422</v>
      </c>
      <c r="D4" s="371"/>
      <c r="E4" s="334"/>
    </row>
    <row r="5" spans="1:5" x14ac:dyDescent="0.2">
      <c r="A5" s="333"/>
      <c r="B5" s="312" t="s">
        <v>423</v>
      </c>
      <c r="C5" s="466" t="s">
        <v>422</v>
      </c>
      <c r="D5" s="371"/>
      <c r="E5" s="334"/>
    </row>
    <row r="6" spans="1:5" x14ac:dyDescent="0.2">
      <c r="A6" s="333"/>
      <c r="B6" s="312" t="s">
        <v>424</v>
      </c>
      <c r="C6" s="637" t="s">
        <v>425</v>
      </c>
      <c r="D6" s="371"/>
      <c r="E6" s="335"/>
    </row>
    <row r="7" spans="1:5" x14ac:dyDescent="0.2">
      <c r="A7" s="333"/>
      <c r="B7" s="312" t="s">
        <v>426</v>
      </c>
      <c r="C7" s="637" t="s">
        <v>427</v>
      </c>
      <c r="D7" s="371"/>
      <c r="E7" s="335"/>
    </row>
    <row r="8" spans="1:5" x14ac:dyDescent="0.2">
      <c r="A8" s="333"/>
      <c r="B8" s="312" t="s">
        <v>428</v>
      </c>
      <c r="C8" s="637" t="s">
        <v>429</v>
      </c>
      <c r="D8" s="371"/>
      <c r="E8" s="335"/>
    </row>
    <row r="9" spans="1:5" x14ac:dyDescent="0.2">
      <c r="A9" s="333"/>
      <c r="B9" s="312" t="s">
        <v>430</v>
      </c>
      <c r="C9" s="637" t="s">
        <v>431</v>
      </c>
      <c r="D9" s="371"/>
      <c r="E9" s="335"/>
    </row>
    <row r="10" spans="1:5" x14ac:dyDescent="0.2">
      <c r="A10" s="333"/>
      <c r="B10" s="312" t="s">
        <v>432</v>
      </c>
      <c r="C10" s="632" t="s">
        <v>433</v>
      </c>
      <c r="D10" s="371"/>
      <c r="E10" s="336"/>
    </row>
    <row r="11" spans="1:5" x14ac:dyDescent="0.2">
      <c r="A11" s="333"/>
      <c r="B11" s="312" t="s">
        <v>434</v>
      </c>
      <c r="C11" s="632" t="s">
        <v>435</v>
      </c>
      <c r="D11" s="371"/>
      <c r="E11" s="336"/>
    </row>
    <row r="12" spans="1:5" x14ac:dyDescent="0.2">
      <c r="A12" s="333"/>
      <c r="B12" s="312" t="s">
        <v>436</v>
      </c>
      <c r="C12" s="632" t="s">
        <v>437</v>
      </c>
      <c r="D12" s="371"/>
      <c r="E12" s="336"/>
    </row>
    <row r="13" spans="1:5" x14ac:dyDescent="0.2">
      <c r="A13" s="333"/>
      <c r="B13" s="312" t="s">
        <v>438</v>
      </c>
      <c r="C13" s="637" t="s">
        <v>439</v>
      </c>
      <c r="D13" s="371"/>
      <c r="E13" s="335"/>
    </row>
    <row r="14" spans="1:5" x14ac:dyDescent="0.2">
      <c r="A14" s="333"/>
      <c r="B14" s="312" t="s">
        <v>440</v>
      </c>
      <c r="C14" s="632" t="s">
        <v>441</v>
      </c>
      <c r="D14" s="371"/>
      <c r="E14" s="336"/>
    </row>
    <row r="15" spans="1:5" x14ac:dyDescent="0.2">
      <c r="A15" s="333"/>
      <c r="B15" s="312" t="s">
        <v>442</v>
      </c>
      <c r="C15" s="632" t="s">
        <v>443</v>
      </c>
      <c r="D15" s="371"/>
      <c r="E15" s="336"/>
    </row>
    <row r="16" spans="1:5" x14ac:dyDescent="0.2">
      <c r="A16" s="333"/>
      <c r="B16" s="336"/>
      <c r="C16" s="336"/>
      <c r="D16" s="336"/>
      <c r="E16" s="336"/>
    </row>
    <row r="17" spans="1:5" x14ac:dyDescent="0.2">
      <c r="A17" s="333"/>
      <c r="B17" s="337" t="s">
        <v>444</v>
      </c>
      <c r="C17" s="338"/>
      <c r="D17" s="338"/>
      <c r="E17" s="338"/>
    </row>
    <row r="18" spans="1:5" x14ac:dyDescent="0.2">
      <c r="A18" s="339"/>
      <c r="B18" s="506" t="s">
        <v>445</v>
      </c>
      <c r="C18" s="371"/>
      <c r="D18" s="371"/>
      <c r="E18" s="340"/>
    </row>
    <row r="19" spans="1:5" x14ac:dyDescent="0.2">
      <c r="A19" s="339"/>
      <c r="B19" s="371"/>
      <c r="C19" s="371"/>
      <c r="D19" s="371"/>
      <c r="E19" s="340"/>
    </row>
    <row r="20" spans="1:5" x14ac:dyDescent="0.2">
      <c r="A20" s="339"/>
      <c r="B20" s="371"/>
      <c r="C20" s="371"/>
      <c r="D20" s="371"/>
      <c r="E20" s="340"/>
    </row>
    <row r="21" spans="1:5" x14ac:dyDescent="0.2">
      <c r="A21" s="339"/>
      <c r="B21" s="371"/>
      <c r="C21" s="371"/>
      <c r="D21" s="371"/>
      <c r="E21" s="340"/>
    </row>
    <row r="22" spans="1:5" x14ac:dyDescent="0.2">
      <c r="A22" s="339"/>
      <c r="B22" s="371"/>
      <c r="C22" s="371"/>
      <c r="D22" s="371"/>
      <c r="E22" s="340"/>
    </row>
    <row r="23" spans="1:5" x14ac:dyDescent="0.2">
      <c r="A23" s="339"/>
      <c r="B23" s="371"/>
      <c r="C23" s="371"/>
      <c r="D23" s="371"/>
      <c r="E23" s="340"/>
    </row>
    <row r="24" spans="1:5" x14ac:dyDescent="0.2">
      <c r="A24" s="339"/>
      <c r="B24" s="371"/>
      <c r="C24" s="371"/>
      <c r="D24" s="371"/>
      <c r="E24" s="340"/>
    </row>
    <row r="25" spans="1:5" x14ac:dyDescent="0.2">
      <c r="A25" s="339"/>
      <c r="B25" s="371"/>
      <c r="C25" s="371"/>
      <c r="D25" s="371"/>
      <c r="E25" s="340"/>
    </row>
    <row r="26" spans="1:5" x14ac:dyDescent="0.2">
      <c r="A26" s="339"/>
      <c r="B26" s="371"/>
      <c r="C26" s="371"/>
      <c r="D26" s="371"/>
      <c r="E26" s="340"/>
    </row>
    <row r="27" spans="1:5" x14ac:dyDescent="0.2">
      <c r="A27" s="339"/>
      <c r="B27" s="371"/>
      <c r="C27" s="371"/>
      <c r="D27" s="371"/>
      <c r="E27" s="340"/>
    </row>
    <row r="28" spans="1:5" x14ac:dyDescent="0.2">
      <c r="A28" s="339"/>
      <c r="B28" s="371"/>
      <c r="C28" s="371"/>
      <c r="D28" s="371"/>
      <c r="E28" s="340"/>
    </row>
    <row r="29" spans="1:5" x14ac:dyDescent="0.2">
      <c r="A29" s="339"/>
      <c r="B29" s="371"/>
      <c r="C29" s="371"/>
      <c r="D29" s="371"/>
      <c r="E29" s="340"/>
    </row>
    <row r="30" spans="1:5" x14ac:dyDescent="0.2">
      <c r="A30" s="339"/>
      <c r="B30" s="371"/>
      <c r="C30" s="371"/>
      <c r="D30" s="371"/>
      <c r="E30" s="340"/>
    </row>
    <row r="31" spans="1:5" x14ac:dyDescent="0.2">
      <c r="A31" s="339"/>
      <c r="B31" s="371"/>
      <c r="C31" s="371"/>
      <c r="D31" s="371"/>
      <c r="E31" s="340"/>
    </row>
    <row r="32" spans="1:5" x14ac:dyDescent="0.2">
      <c r="A32" s="339"/>
      <c r="B32" s="371"/>
      <c r="C32" s="371"/>
      <c r="D32" s="371"/>
      <c r="E32" s="340"/>
    </row>
    <row r="33" spans="1:5" x14ac:dyDescent="0.2">
      <c r="A33" s="339"/>
      <c r="B33" s="371"/>
      <c r="C33" s="371"/>
      <c r="D33" s="371"/>
      <c r="E33" s="340"/>
    </row>
    <row r="34" spans="1:5" x14ac:dyDescent="0.2">
      <c r="A34" s="339"/>
      <c r="B34" s="371"/>
      <c r="C34" s="371"/>
      <c r="D34" s="371"/>
      <c r="E34" s="340"/>
    </row>
    <row r="35" spans="1:5" x14ac:dyDescent="0.2">
      <c r="A35" s="339"/>
      <c r="B35" s="371"/>
      <c r="C35" s="371"/>
      <c r="D35" s="371"/>
      <c r="E35" s="340"/>
    </row>
    <row r="36" spans="1:5" x14ac:dyDescent="0.2">
      <c r="A36" s="339"/>
      <c r="B36" s="371"/>
      <c r="C36" s="371"/>
      <c r="D36" s="371"/>
      <c r="E36" s="340"/>
    </row>
    <row r="37" spans="1:5" x14ac:dyDescent="0.2">
      <c r="A37" s="339"/>
      <c r="B37" s="371"/>
      <c r="C37" s="371"/>
      <c r="D37" s="371"/>
      <c r="E37" s="340"/>
    </row>
    <row r="38" spans="1:5" x14ac:dyDescent="0.2">
      <c r="A38" s="339"/>
      <c r="B38" s="371"/>
      <c r="C38" s="371"/>
      <c r="D38" s="371"/>
      <c r="E38" s="340"/>
    </row>
    <row r="39" spans="1:5" x14ac:dyDescent="0.2">
      <c r="A39" s="339"/>
      <c r="B39" s="371"/>
      <c r="C39" s="371"/>
      <c r="D39" s="371"/>
      <c r="E39" s="340"/>
    </row>
    <row r="40" spans="1:5" x14ac:dyDescent="0.2">
      <c r="A40" s="339"/>
      <c r="B40" s="371"/>
      <c r="C40" s="371"/>
      <c r="D40" s="371"/>
      <c r="E40" s="340"/>
    </row>
    <row r="41" spans="1:5" x14ac:dyDescent="0.2">
      <c r="A41" s="339"/>
      <c r="B41" s="371"/>
      <c r="C41" s="371"/>
      <c r="D41" s="371"/>
      <c r="E41" s="340"/>
    </row>
    <row r="42" spans="1:5" x14ac:dyDescent="0.2">
      <c r="A42" s="339"/>
      <c r="B42" s="371"/>
      <c r="C42" s="371"/>
      <c r="D42" s="371"/>
      <c r="E42" s="340"/>
    </row>
    <row r="43" spans="1:5" x14ac:dyDescent="0.2">
      <c r="A43" s="339"/>
      <c r="B43" s="371"/>
      <c r="C43" s="371"/>
      <c r="D43" s="371"/>
      <c r="E43" s="340"/>
    </row>
    <row r="44" spans="1:5" x14ac:dyDescent="0.2">
      <c r="A44" s="341"/>
      <c r="B44" s="341"/>
      <c r="C44" s="341"/>
      <c r="D44" s="341"/>
      <c r="E44" s="341"/>
    </row>
    <row r="45" spans="1:5" x14ac:dyDescent="0.2">
      <c r="A45" s="341"/>
      <c r="B45" s="462" t="s">
        <v>446</v>
      </c>
      <c r="C45" s="371"/>
      <c r="D45" s="341"/>
      <c r="E45" s="341"/>
    </row>
    <row r="46" spans="1:5" x14ac:dyDescent="0.2">
      <c r="A46" s="341"/>
      <c r="B46" s="638" t="s">
        <v>447</v>
      </c>
      <c r="C46" s="371"/>
      <c r="D46" s="371"/>
      <c r="E46" s="341"/>
    </row>
    <row r="47" spans="1:5" x14ac:dyDescent="0.2">
      <c r="A47" s="341"/>
      <c r="B47" s="371"/>
      <c r="C47" s="371"/>
      <c r="D47" s="371"/>
      <c r="E47" s="341"/>
    </row>
    <row r="48" spans="1:5" x14ac:dyDescent="0.2">
      <c r="A48" s="341"/>
      <c r="B48" s="371"/>
      <c r="C48" s="371"/>
      <c r="D48" s="371"/>
      <c r="E48" s="341"/>
    </row>
    <row r="49" spans="1:5" x14ac:dyDescent="0.2">
      <c r="A49" s="341"/>
      <c r="B49" s="371"/>
      <c r="C49" s="371"/>
      <c r="D49" s="371"/>
      <c r="E49" s="341"/>
    </row>
    <row r="50" spans="1:5" x14ac:dyDescent="0.2">
      <c r="A50" s="341"/>
      <c r="B50" s="371"/>
      <c r="C50" s="371"/>
      <c r="D50" s="371"/>
      <c r="E50" s="341"/>
    </row>
    <row r="51" spans="1:5" x14ac:dyDescent="0.2">
      <c r="A51" s="341"/>
      <c r="B51" s="371"/>
      <c r="C51" s="371"/>
      <c r="D51" s="371"/>
      <c r="E51" s="341"/>
    </row>
    <row r="52" spans="1:5" x14ac:dyDescent="0.2">
      <c r="A52" s="341"/>
      <c r="B52" s="371"/>
      <c r="C52" s="371"/>
      <c r="D52" s="371"/>
      <c r="E52" s="341"/>
    </row>
    <row r="53" spans="1:5" x14ac:dyDescent="0.2">
      <c r="A53" s="341"/>
      <c r="B53" s="371"/>
      <c r="C53" s="371"/>
      <c r="D53" s="371"/>
      <c r="E53" s="341"/>
    </row>
    <row r="54" spans="1:5" x14ac:dyDescent="0.2">
      <c r="A54" s="341"/>
      <c r="B54" s="371"/>
      <c r="C54" s="371"/>
      <c r="D54" s="371"/>
      <c r="E54" s="341"/>
    </row>
    <row r="55" spans="1:5" x14ac:dyDescent="0.2">
      <c r="A55" s="341"/>
      <c r="B55" s="371"/>
      <c r="C55" s="371"/>
      <c r="D55" s="371"/>
      <c r="E55" s="341"/>
    </row>
    <row r="56" spans="1:5" x14ac:dyDescent="0.2">
      <c r="A56" s="341"/>
      <c r="B56" s="371"/>
      <c r="C56" s="371"/>
      <c r="D56" s="371"/>
      <c r="E56" s="341"/>
    </row>
    <row r="57" spans="1:5" x14ac:dyDescent="0.2">
      <c r="A57" s="341"/>
      <c r="B57" s="371"/>
      <c r="C57" s="371"/>
      <c r="D57" s="371"/>
      <c r="E57" s="341"/>
    </row>
    <row r="58" spans="1:5" x14ac:dyDescent="0.2">
      <c r="A58" s="341"/>
      <c r="B58" s="371"/>
      <c r="C58" s="371"/>
      <c r="D58" s="371"/>
      <c r="E58" s="341"/>
    </row>
    <row r="59" spans="1:5" x14ac:dyDescent="0.2">
      <c r="A59" s="341"/>
      <c r="B59" s="371"/>
      <c r="C59" s="371"/>
      <c r="D59" s="371"/>
      <c r="E59" s="341"/>
    </row>
    <row r="60" spans="1:5" x14ac:dyDescent="0.2">
      <c r="A60" s="341"/>
      <c r="B60" s="371"/>
      <c r="C60" s="371"/>
      <c r="D60" s="371"/>
      <c r="E60" s="341"/>
    </row>
    <row r="61" spans="1:5" x14ac:dyDescent="0.2">
      <c r="A61" s="341"/>
      <c r="B61" s="371"/>
      <c r="C61" s="371"/>
      <c r="D61" s="371"/>
      <c r="E61" s="341"/>
    </row>
    <row r="62" spans="1:5" x14ac:dyDescent="0.2">
      <c r="A62" s="341"/>
      <c r="B62" s="371"/>
      <c r="C62" s="371"/>
      <c r="D62" s="371"/>
      <c r="E62" s="341"/>
    </row>
    <row r="63" spans="1:5" x14ac:dyDescent="0.2">
      <c r="A63" s="341"/>
      <c r="B63" s="371"/>
      <c r="C63" s="371"/>
      <c r="D63" s="371"/>
      <c r="E63" s="341"/>
    </row>
    <row r="64" spans="1:5" x14ac:dyDescent="0.2">
      <c r="A64" s="341"/>
      <c r="B64" s="371"/>
      <c r="C64" s="371"/>
      <c r="D64" s="371"/>
      <c r="E64" s="341"/>
    </row>
    <row r="65" spans="1:5" x14ac:dyDescent="0.2">
      <c r="A65" s="341"/>
      <c r="B65" s="371"/>
      <c r="C65" s="371"/>
      <c r="D65" s="371"/>
      <c r="E65" s="341"/>
    </row>
    <row r="66" spans="1:5" x14ac:dyDescent="0.2">
      <c r="A66" s="341"/>
      <c r="B66" s="371"/>
      <c r="C66" s="371"/>
      <c r="D66" s="371"/>
      <c r="E66" s="341"/>
    </row>
    <row r="67" spans="1:5" x14ac:dyDescent="0.2">
      <c r="A67" s="341"/>
      <c r="B67" s="371"/>
      <c r="C67" s="371"/>
      <c r="D67" s="371"/>
      <c r="E67" s="341"/>
    </row>
    <row r="68" spans="1:5" x14ac:dyDescent="0.2">
      <c r="A68" s="341"/>
      <c r="B68" s="371"/>
      <c r="C68" s="371"/>
      <c r="D68" s="371"/>
      <c r="E68" s="341"/>
    </row>
    <row r="69" spans="1:5" x14ac:dyDescent="0.2">
      <c r="A69" s="341"/>
      <c r="B69" s="371"/>
      <c r="C69" s="371"/>
      <c r="D69" s="371"/>
      <c r="E69" s="341"/>
    </row>
    <row r="70" spans="1:5" x14ac:dyDescent="0.2">
      <c r="A70" s="341"/>
      <c r="B70" s="371"/>
      <c r="C70" s="371"/>
      <c r="D70" s="371"/>
      <c r="E70" s="341"/>
    </row>
    <row r="71" spans="1:5" x14ac:dyDescent="0.2">
      <c r="A71" s="341"/>
      <c r="B71" s="371"/>
      <c r="C71" s="371"/>
      <c r="D71" s="371"/>
      <c r="E71" s="341"/>
    </row>
    <row r="72" spans="1:5" x14ac:dyDescent="0.2">
      <c r="A72" s="341"/>
      <c r="B72" s="371"/>
      <c r="C72" s="371"/>
      <c r="D72" s="371"/>
      <c r="E72" s="341"/>
    </row>
    <row r="73" spans="1:5" x14ac:dyDescent="0.2">
      <c r="A73" s="341"/>
      <c r="B73" s="371"/>
      <c r="C73" s="371"/>
      <c r="D73" s="371"/>
      <c r="E73" s="341"/>
    </row>
    <row r="74" spans="1:5" x14ac:dyDescent="0.2">
      <c r="A74" s="341"/>
      <c r="B74" s="371"/>
      <c r="C74" s="371"/>
      <c r="D74" s="371"/>
      <c r="E74" s="341"/>
    </row>
    <row r="75" spans="1:5" x14ac:dyDescent="0.2">
      <c r="A75" s="341"/>
      <c r="B75" s="371"/>
      <c r="C75" s="371"/>
      <c r="D75" s="371"/>
      <c r="E75" s="341"/>
    </row>
    <row r="76" spans="1:5" x14ac:dyDescent="0.2">
      <c r="A76" s="341"/>
      <c r="B76" s="371"/>
      <c r="C76" s="371"/>
      <c r="D76" s="371"/>
      <c r="E76" s="341"/>
    </row>
    <row r="77" spans="1:5" x14ac:dyDescent="0.2">
      <c r="A77" s="341"/>
      <c r="B77" s="371"/>
      <c r="C77" s="371"/>
      <c r="D77" s="371"/>
      <c r="E77" s="341"/>
    </row>
    <row r="78" spans="1:5" x14ac:dyDescent="0.2">
      <c r="A78" s="341"/>
      <c r="B78" s="341"/>
      <c r="C78" s="341"/>
      <c r="D78" s="341"/>
      <c r="E78" s="341"/>
    </row>
  </sheetData>
  <mergeCells count="16">
    <mergeCell ref="C8:D8"/>
    <mergeCell ref="C9:D9"/>
    <mergeCell ref="B45:C45"/>
    <mergeCell ref="B46:D77"/>
    <mergeCell ref="C10:D10"/>
    <mergeCell ref="C11:D11"/>
    <mergeCell ref="C12:D12"/>
    <mergeCell ref="C13:D13"/>
    <mergeCell ref="C14:D14"/>
    <mergeCell ref="C15:D15"/>
    <mergeCell ref="B18:D43"/>
    <mergeCell ref="A1:E1"/>
    <mergeCell ref="C4:D4"/>
    <mergeCell ref="C5:D5"/>
    <mergeCell ref="C6:D6"/>
    <mergeCell ref="C7:D7"/>
  </mergeCells>
  <phoneticPr fontId="6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J2313"/>
  <sheetViews>
    <sheetView workbookViewId="0">
      <pane ySplit="4" topLeftCell="A1521" activePane="bottomLeft" state="frozen"/>
      <selection pane="bottomLeft" activeCell="H1524" sqref="H1524"/>
    </sheetView>
  </sheetViews>
  <sheetFormatPr defaultColWidth="12.5703125" defaultRowHeight="15.75" customHeight="1" x14ac:dyDescent="0.2"/>
  <cols>
    <col min="1" max="5" width="31.42578125" customWidth="1"/>
    <col min="6" max="6" width="34.42578125" customWidth="1"/>
    <col min="7" max="10" width="31.42578125" customWidth="1"/>
  </cols>
  <sheetData>
    <row r="1" spans="1:10" x14ac:dyDescent="0.2">
      <c r="A1" s="639" t="s">
        <v>448</v>
      </c>
      <c r="B1" s="371"/>
      <c r="C1" s="371"/>
      <c r="D1" s="371"/>
      <c r="E1" s="371"/>
      <c r="F1" s="371"/>
      <c r="G1" s="371"/>
      <c r="H1" s="371"/>
      <c r="I1" s="371"/>
      <c r="J1" s="371"/>
    </row>
    <row r="2" spans="1:10" x14ac:dyDescent="0.2">
      <c r="A2" s="112" t="s">
        <v>449</v>
      </c>
      <c r="B2" s="115" t="s">
        <v>450</v>
      </c>
      <c r="C2" s="115" t="s">
        <v>451</v>
      </c>
      <c r="D2" s="115" t="s">
        <v>450</v>
      </c>
      <c r="E2" s="115" t="s">
        <v>452</v>
      </c>
      <c r="F2" s="115" t="s">
        <v>453</v>
      </c>
      <c r="G2" s="115" t="s">
        <v>454</v>
      </c>
      <c r="H2" s="115" t="s">
        <v>455</v>
      </c>
      <c r="I2" s="115" t="s">
        <v>452</v>
      </c>
      <c r="J2" s="115" t="s">
        <v>456</v>
      </c>
    </row>
    <row r="3" spans="1:10" x14ac:dyDescent="0.2">
      <c r="A3" s="641" t="s">
        <v>12908</v>
      </c>
      <c r="B3" s="112" t="s">
        <v>457</v>
      </c>
      <c r="C3" s="112" t="s">
        <v>458</v>
      </c>
      <c r="D3" s="112" t="s">
        <v>459</v>
      </c>
      <c r="E3" s="112" t="s">
        <v>460</v>
      </c>
      <c r="F3" s="112" t="s">
        <v>461</v>
      </c>
      <c r="G3" s="112" t="s">
        <v>462</v>
      </c>
      <c r="H3" s="112" t="s">
        <v>463</v>
      </c>
      <c r="I3" s="112" t="s">
        <v>464</v>
      </c>
      <c r="J3" s="112" t="s">
        <v>465</v>
      </c>
    </row>
    <row r="4" spans="1:10" x14ac:dyDescent="0.2">
      <c r="A4" s="342" t="s">
        <v>466</v>
      </c>
      <c r="B4" s="343"/>
      <c r="C4" s="343"/>
      <c r="D4" s="343"/>
      <c r="E4" s="343"/>
      <c r="F4" s="343"/>
      <c r="G4" s="343"/>
      <c r="H4" s="343"/>
      <c r="I4" s="343"/>
      <c r="J4" s="343"/>
    </row>
    <row r="5" spans="1:10" x14ac:dyDescent="0.2">
      <c r="A5" s="344" t="str">
        <f t="shared" ref="A5:A2307" ca="1" si="0">IF(ISBLANK(INDIRECT($A$3&amp;ROW())), INDIRECT("B"&amp;ROW()), INDIRECT($A$3&amp;ROW()))</f>
        <v>其他</v>
      </c>
      <c r="B5" s="345" t="s">
        <v>467</v>
      </c>
      <c r="C5" s="344" t="s">
        <v>468</v>
      </c>
      <c r="D5" s="344" t="s">
        <v>469</v>
      </c>
      <c r="E5" s="344"/>
      <c r="F5" s="344"/>
      <c r="G5" s="344" t="s">
        <v>470</v>
      </c>
      <c r="H5" s="344" t="s">
        <v>470</v>
      </c>
      <c r="I5" s="344"/>
      <c r="J5" s="344"/>
    </row>
    <row r="6" spans="1:10" x14ac:dyDescent="0.2">
      <c r="A6" s="346" t="str">
        <f t="shared" ca="1" si="0"/>
        <v>战略家</v>
      </c>
      <c r="B6" s="346" t="s">
        <v>471</v>
      </c>
      <c r="C6" s="346"/>
      <c r="D6" s="346" t="s">
        <v>472</v>
      </c>
      <c r="E6" s="346"/>
      <c r="F6" s="346" t="s">
        <v>473</v>
      </c>
      <c r="G6" s="346" t="s">
        <v>474</v>
      </c>
      <c r="H6" s="346" t="s">
        <v>475</v>
      </c>
      <c r="I6" s="346"/>
      <c r="J6" s="346" t="s">
        <v>476</v>
      </c>
    </row>
    <row r="7" spans="1:10" x14ac:dyDescent="0.2">
      <c r="A7" s="346" t="str">
        <f t="shared" ca="1" si="0"/>
        <v>宝物猎人</v>
      </c>
      <c r="B7" s="346" t="s">
        <v>477</v>
      </c>
      <c r="C7" s="346" t="s">
        <v>478</v>
      </c>
      <c r="D7" s="346" t="s">
        <v>479</v>
      </c>
      <c r="E7" s="346"/>
      <c r="F7" s="346" t="s">
        <v>480</v>
      </c>
      <c r="G7" s="346" t="s">
        <v>481</v>
      </c>
      <c r="H7" s="346" t="s">
        <v>482</v>
      </c>
      <c r="I7" s="346"/>
      <c r="J7" s="346" t="s">
        <v>483</v>
      </c>
    </row>
    <row r="8" spans="1:10" x14ac:dyDescent="0.2">
      <c r="A8" s="346" t="str">
        <f t="shared" ca="1" si="0"/>
        <v>滴水不漏的旅行者</v>
      </c>
      <c r="B8" s="346" t="s">
        <v>484</v>
      </c>
      <c r="C8" s="346"/>
      <c r="D8" s="346" t="s">
        <v>485</v>
      </c>
      <c r="E8" s="346"/>
      <c r="F8" s="346" t="s">
        <v>486</v>
      </c>
      <c r="G8" s="346" t="s">
        <v>487</v>
      </c>
      <c r="H8" s="346" t="s">
        <v>488</v>
      </c>
      <c r="I8" s="346"/>
      <c r="J8" s="346" t="s">
        <v>489</v>
      </c>
    </row>
    <row r="9" spans="1:10" x14ac:dyDescent="0.2">
      <c r="A9" s="346" t="str">
        <f t="shared" ca="1" si="0"/>
        <v>收藏家</v>
      </c>
      <c r="B9" s="346" t="s">
        <v>490</v>
      </c>
      <c r="C9" s="346"/>
      <c r="D9" s="346" t="s">
        <v>491</v>
      </c>
      <c r="E9" s="346"/>
      <c r="F9" s="346" t="s">
        <v>492</v>
      </c>
      <c r="G9" s="346" t="s">
        <v>493</v>
      </c>
      <c r="H9" s="346" t="s">
        <v>493</v>
      </c>
      <c r="I9" s="346"/>
      <c r="J9" s="346" t="s">
        <v>494</v>
      </c>
    </row>
    <row r="10" spans="1:10" x14ac:dyDescent="0.2">
      <c r="A10" s="346" t="str">
        <f t="shared" ca="1" si="0"/>
        <v>弱点</v>
      </c>
      <c r="B10" s="346" t="s">
        <v>495</v>
      </c>
      <c r="C10" s="346" t="s">
        <v>496</v>
      </c>
      <c r="D10" s="346" t="s">
        <v>497</v>
      </c>
      <c r="E10" s="346"/>
      <c r="F10" s="346" t="s">
        <v>498</v>
      </c>
      <c r="G10" s="346" t="s">
        <v>499</v>
      </c>
      <c r="H10" s="346" t="s">
        <v>500</v>
      </c>
      <c r="I10" s="346"/>
      <c r="J10" s="346" t="s">
        <v>500</v>
      </c>
    </row>
    <row r="11" spans="1:10" x14ac:dyDescent="0.2">
      <c r="A11" s="346" t="str">
        <f t="shared" ca="1" si="0"/>
        <v>以下地区的怪物都一样</v>
      </c>
      <c r="B11" s="346" t="s">
        <v>501</v>
      </c>
      <c r="C11" s="346" t="s">
        <v>502</v>
      </c>
      <c r="D11" s="346" t="s">
        <v>503</v>
      </c>
      <c r="E11" s="346"/>
      <c r="F11" s="346" t="s">
        <v>504</v>
      </c>
      <c r="G11" s="346" t="s">
        <v>505</v>
      </c>
      <c r="H11" s="346" t="s">
        <v>506</v>
      </c>
      <c r="I11" s="346"/>
      <c r="J11" s="346"/>
    </row>
    <row r="12" spans="1:10" x14ac:dyDescent="0.2">
      <c r="A12" s="346" t="str">
        <f t="shared" ca="1" si="0"/>
        <v>危险度</v>
      </c>
      <c r="B12" s="346" t="s">
        <v>507</v>
      </c>
      <c r="C12" s="346" t="s">
        <v>508</v>
      </c>
      <c r="D12" s="346" t="s">
        <v>509</v>
      </c>
      <c r="E12" s="346"/>
      <c r="F12" s="346" t="s">
        <v>510</v>
      </c>
      <c r="G12" s="346" t="s">
        <v>511</v>
      </c>
      <c r="H12" s="346" t="s">
        <v>512</v>
      </c>
      <c r="I12" s="346"/>
      <c r="J12" s="346" t="s">
        <v>513</v>
      </c>
    </row>
    <row r="13" spans="1:10" x14ac:dyDescent="0.2">
      <c r="A13" s="346" t="str">
        <f t="shared" ca="1" si="0"/>
        <v>掉落物</v>
      </c>
      <c r="B13" s="346" t="s">
        <v>514</v>
      </c>
      <c r="C13" s="346" t="s">
        <v>515</v>
      </c>
      <c r="D13" s="346" t="s">
        <v>516</v>
      </c>
      <c r="E13" s="346"/>
      <c r="F13" s="346" t="s">
        <v>517</v>
      </c>
      <c r="G13" s="346" t="s">
        <v>518</v>
      </c>
      <c r="H13" s="346" t="s">
        <v>518</v>
      </c>
      <c r="I13" s="346"/>
      <c r="J13" s="346" t="s">
        <v>519</v>
      </c>
    </row>
    <row r="14" spans="1:10" x14ac:dyDescent="0.2">
      <c r="A14" s="346" t="str">
        <f t="shared" ca="1" si="0"/>
        <v>章节</v>
      </c>
      <c r="B14" s="346" t="s">
        <v>520</v>
      </c>
      <c r="C14" s="346" t="s">
        <v>521</v>
      </c>
      <c r="D14" s="346" t="s">
        <v>522</v>
      </c>
      <c r="E14" s="346"/>
      <c r="F14" s="346" t="s">
        <v>523</v>
      </c>
      <c r="G14" s="346" t="s">
        <v>524</v>
      </c>
      <c r="H14" s="346" t="s">
        <v>525</v>
      </c>
      <c r="I14" s="346"/>
      <c r="J14" s="346"/>
    </row>
    <row r="15" spans="1:10" x14ac:dyDescent="0.2">
      <c r="A15" s="346" t="str">
        <f t="shared" ca="1" si="0"/>
        <v>Boss</v>
      </c>
      <c r="B15" s="346" t="s">
        <v>15</v>
      </c>
      <c r="C15" s="346" t="s">
        <v>15</v>
      </c>
      <c r="D15" s="346" t="s">
        <v>15</v>
      </c>
      <c r="E15" s="346"/>
      <c r="F15" s="346" t="s">
        <v>526</v>
      </c>
      <c r="G15" s="346" t="s">
        <v>15</v>
      </c>
      <c r="H15" s="346" t="s">
        <v>15</v>
      </c>
      <c r="I15" s="346"/>
      <c r="J15" s="346" t="s">
        <v>527</v>
      </c>
    </row>
    <row r="16" spans="1:10" x14ac:dyDescent="0.2">
      <c r="A16" s="346" t="str">
        <f t="shared" ca="1" si="0"/>
        <v>小Boss</v>
      </c>
      <c r="B16" s="346" t="s">
        <v>528</v>
      </c>
      <c r="C16" s="346" t="s">
        <v>528</v>
      </c>
      <c r="D16" s="346" t="s">
        <v>528</v>
      </c>
      <c r="E16" s="346"/>
      <c r="F16" s="346" t="s">
        <v>529</v>
      </c>
      <c r="G16" s="346" t="s">
        <v>530</v>
      </c>
      <c r="H16" s="346" t="s">
        <v>530</v>
      </c>
      <c r="I16" s="346"/>
      <c r="J16" s="346" t="s">
        <v>531</v>
      </c>
    </row>
    <row r="17" spans="1:10" x14ac:dyDescent="0.2">
      <c r="A17" s="346" t="str">
        <f t="shared" ca="1" si="0"/>
        <v>特殊怪</v>
      </c>
      <c r="B17" s="346" t="s">
        <v>532</v>
      </c>
      <c r="C17" s="346"/>
      <c r="D17" s="346" t="s">
        <v>532</v>
      </c>
      <c r="E17" s="346"/>
      <c r="F17" s="346" t="s">
        <v>533</v>
      </c>
      <c r="G17" s="346" t="s">
        <v>534</v>
      </c>
      <c r="H17" s="346" t="s">
        <v>534</v>
      </c>
      <c r="I17" s="346"/>
      <c r="J17" s="346"/>
    </row>
    <row r="18" spans="1:10" x14ac:dyDescent="0.2">
      <c r="A18" s="346" t="str">
        <f t="shared" ca="1" si="0"/>
        <v>普通野怪</v>
      </c>
      <c r="B18" s="346" t="s">
        <v>535</v>
      </c>
      <c r="C18" s="346" t="s">
        <v>536</v>
      </c>
      <c r="D18" s="346" t="s">
        <v>535</v>
      </c>
      <c r="E18" s="346"/>
      <c r="F18" s="346" t="s">
        <v>535</v>
      </c>
      <c r="G18" s="346" t="s">
        <v>537</v>
      </c>
      <c r="H18" s="346" t="s">
        <v>537</v>
      </c>
      <c r="I18" s="346"/>
      <c r="J18" s="346" t="s">
        <v>538</v>
      </c>
    </row>
    <row r="19" spans="1:10" x14ac:dyDescent="0.2">
      <c r="A19" s="346" t="str">
        <f t="shared" ca="1" si="0"/>
        <v>宝箱</v>
      </c>
      <c r="B19" s="346" t="s">
        <v>539</v>
      </c>
      <c r="C19" s="346"/>
      <c r="D19" s="346" t="s">
        <v>540</v>
      </c>
      <c r="E19" s="346"/>
      <c r="F19" s="346" t="s">
        <v>541</v>
      </c>
      <c r="G19" s="346" t="s">
        <v>542</v>
      </c>
      <c r="H19" s="346" t="s">
        <v>543</v>
      </c>
      <c r="I19" s="346"/>
      <c r="J19" s="346" t="s">
        <v>543</v>
      </c>
    </row>
    <row r="20" spans="1:10" x14ac:dyDescent="0.2">
      <c r="A20" s="346" t="str">
        <f t="shared" ca="1" si="0"/>
        <v>上锁宝箱</v>
      </c>
      <c r="B20" s="346" t="s">
        <v>544</v>
      </c>
      <c r="C20" s="346"/>
      <c r="D20" s="346" t="s">
        <v>545</v>
      </c>
      <c r="E20" s="346"/>
      <c r="F20" s="346" t="s">
        <v>546</v>
      </c>
      <c r="G20" s="346" t="s">
        <v>547</v>
      </c>
      <c r="H20" s="346" t="s">
        <v>548</v>
      </c>
      <c r="I20" s="346"/>
      <c r="J20" s="346"/>
    </row>
    <row r="21" spans="1:10" x14ac:dyDescent="0.2">
      <c r="A21" s="346" t="str">
        <f t="shared" ca="1" si="0"/>
        <v>隐藏的道具</v>
      </c>
      <c r="B21" s="346" t="s">
        <v>549</v>
      </c>
      <c r="C21" s="346"/>
      <c r="D21" s="346" t="s">
        <v>550</v>
      </c>
      <c r="E21" s="346"/>
      <c r="F21" s="346" t="s">
        <v>551</v>
      </c>
      <c r="G21" s="346" t="s">
        <v>552</v>
      </c>
      <c r="H21" s="346" t="s">
        <v>553</v>
      </c>
      <c r="I21" s="346"/>
      <c r="J21" s="346" t="s">
        <v>554</v>
      </c>
    </row>
    <row r="22" spans="1:10" x14ac:dyDescent="0.2">
      <c r="A22" s="347" t="str">
        <f t="shared" ca="1" si="0"/>
        <v>从ＮＰＣ打听到的资讯</v>
      </c>
      <c r="B22" s="347" t="s">
        <v>555</v>
      </c>
      <c r="C22" s="347"/>
      <c r="D22" s="347"/>
      <c r="E22" s="347"/>
      <c r="F22" s="347"/>
      <c r="G22" s="347" t="s">
        <v>556</v>
      </c>
      <c r="H22" s="347" t="s">
        <v>557</v>
      </c>
      <c r="I22" s="347"/>
      <c r="J22" s="347"/>
    </row>
    <row r="23" spans="1:10" x14ac:dyDescent="0.2">
      <c r="A23" s="346" t="str">
        <f t="shared" ca="1" si="0"/>
        <v>无</v>
      </c>
      <c r="B23" s="346" t="s">
        <v>558</v>
      </c>
      <c r="C23" s="346" t="s">
        <v>559</v>
      </c>
      <c r="D23" s="346" t="s">
        <v>560</v>
      </c>
      <c r="E23" s="346"/>
      <c r="F23" s="346" t="s">
        <v>561</v>
      </c>
      <c r="G23" s="346" t="s">
        <v>562</v>
      </c>
      <c r="H23" s="346" t="s">
        <v>563</v>
      </c>
      <c r="I23" s="346"/>
      <c r="J23" s="346" t="s">
        <v>564</v>
      </c>
    </row>
    <row r="24" spans="1:10" x14ac:dyDescent="0.2">
      <c r="A24" s="346" t="str">
        <f t="shared" ca="1" si="0"/>
        <v>旅店的折扣资讯</v>
      </c>
      <c r="B24" s="346" t="s">
        <v>565</v>
      </c>
      <c r="C24" s="346" t="s">
        <v>566</v>
      </c>
      <c r="D24" s="346" t="s">
        <v>567</v>
      </c>
      <c r="E24" s="346"/>
      <c r="F24" s="346" t="s">
        <v>568</v>
      </c>
      <c r="G24" s="346" t="s">
        <v>569</v>
      </c>
      <c r="H24" s="346" t="s">
        <v>570</v>
      </c>
      <c r="I24" s="346"/>
      <c r="J24" s="346" t="s">
        <v>571</v>
      </c>
    </row>
    <row r="25" spans="1:10" x14ac:dyDescent="0.2">
      <c r="A25" s="346" t="str">
        <f t="shared" ca="1" si="0"/>
        <v>「购买」杀价机率ＵＰ资讯</v>
      </c>
      <c r="B25" s="346" t="s">
        <v>572</v>
      </c>
      <c r="C25" s="346"/>
      <c r="D25" s="346" t="s">
        <v>573</v>
      </c>
      <c r="E25" s="346"/>
      <c r="F25" s="346" t="s">
        <v>574</v>
      </c>
      <c r="G25" s="346" t="s">
        <v>575</v>
      </c>
      <c r="H25" s="346" t="s">
        <v>576</v>
      </c>
      <c r="I25" s="346"/>
      <c r="J25" s="346" t="s">
        <v>577</v>
      </c>
    </row>
    <row r="26" spans="1:10" x14ac:dyDescent="0.2">
      <c r="A26" s="346" t="str">
        <f t="shared" ca="1" si="0"/>
        <v>「偷取」成功机率ＵＰ资讯</v>
      </c>
      <c r="B26" s="346" t="s">
        <v>578</v>
      </c>
      <c r="C26" s="51" t="s">
        <v>579</v>
      </c>
      <c r="D26" s="346" t="s">
        <v>580</v>
      </c>
      <c r="E26" s="346"/>
      <c r="F26" s="346" t="s">
        <v>581</v>
      </c>
      <c r="G26" s="346" t="s">
        <v>582</v>
      </c>
      <c r="H26" s="346" t="s">
        <v>583</v>
      </c>
      <c r="I26" s="346"/>
      <c r="J26" s="346" t="s">
        <v>584</v>
      </c>
    </row>
    <row r="27" spans="1:10" x14ac:dyDescent="0.2">
      <c r="A27" s="346" t="str">
        <f t="shared" ca="1" si="0"/>
        <v>杂货店商品追加资讯</v>
      </c>
      <c r="B27" s="346" t="s">
        <v>585</v>
      </c>
      <c r="C27" s="346"/>
      <c r="D27" s="346" t="s">
        <v>586</v>
      </c>
      <c r="E27" s="346"/>
      <c r="F27" s="346" t="s">
        <v>587</v>
      </c>
      <c r="G27" s="346" t="s">
        <v>588</v>
      </c>
      <c r="H27" s="346" t="s">
        <v>589</v>
      </c>
      <c r="I27" s="346"/>
      <c r="J27" s="346" t="s">
        <v>590</v>
      </c>
    </row>
    <row r="28" spans="1:10" x14ac:dyDescent="0.2">
      <c r="A28" s="346" t="str">
        <f t="shared" ca="1" si="0"/>
        <v>武器店商品追加资讯</v>
      </c>
      <c r="B28" s="346" t="s">
        <v>591</v>
      </c>
      <c r="C28" s="346" t="s">
        <v>592</v>
      </c>
      <c r="D28" s="346" t="s">
        <v>593</v>
      </c>
      <c r="E28" s="346"/>
      <c r="F28" s="346" t="s">
        <v>594</v>
      </c>
      <c r="G28" s="346" t="s">
        <v>595</v>
      </c>
      <c r="H28" s="346" t="s">
        <v>596</v>
      </c>
      <c r="I28" s="346"/>
      <c r="J28" s="346" t="s">
        <v>597</v>
      </c>
    </row>
    <row r="29" spans="1:10" x14ac:dyDescent="0.2">
      <c r="A29" s="346" t="str">
        <f t="shared" ca="1" si="0"/>
        <v>「引导」必须等级降低资讯</v>
      </c>
      <c r="B29" s="346" t="s">
        <v>598</v>
      </c>
      <c r="C29" s="346"/>
      <c r="D29" s="346" t="s">
        <v>599</v>
      </c>
      <c r="E29" s="346"/>
      <c r="F29" s="346" t="s">
        <v>600</v>
      </c>
      <c r="G29" s="346" t="s">
        <v>601</v>
      </c>
      <c r="H29" s="346" t="s">
        <v>602</v>
      </c>
      <c r="I29" s="346"/>
      <c r="J29" s="346" t="s">
        <v>603</v>
      </c>
    </row>
    <row r="30" spans="1:10" x14ac:dyDescent="0.2">
      <c r="A30" s="346" t="str">
        <f t="shared" ca="1" si="0"/>
        <v>「诱惑」成功机率ＵＰ资讯</v>
      </c>
      <c r="B30" s="346" t="s">
        <v>604</v>
      </c>
      <c r="C30" s="51" t="s">
        <v>605</v>
      </c>
      <c r="D30" s="346" t="s">
        <v>606</v>
      </c>
      <c r="E30" s="346"/>
      <c r="F30" s="346" t="s">
        <v>607</v>
      </c>
      <c r="G30" s="346" t="s">
        <v>608</v>
      </c>
      <c r="H30" s="346" t="s">
        <v>609</v>
      </c>
      <c r="I30" s="346"/>
      <c r="J30" s="346" t="s">
        <v>610</v>
      </c>
    </row>
    <row r="31" spans="1:10" x14ac:dyDescent="0.2">
      <c r="A31" s="346" t="str">
        <f t="shared" ca="1" si="0"/>
        <v>「比试」必须等级降低资讯</v>
      </c>
      <c r="B31" s="346" t="s">
        <v>611</v>
      </c>
      <c r="C31" s="346"/>
      <c r="D31" s="346" t="s">
        <v>612</v>
      </c>
      <c r="E31" s="346"/>
      <c r="F31" s="346" t="s">
        <v>613</v>
      </c>
      <c r="G31" s="346" t="s">
        <v>614</v>
      </c>
      <c r="H31" s="346" t="s">
        <v>615</v>
      </c>
      <c r="I31" s="346"/>
      <c r="J31" s="346" t="s">
        <v>616</v>
      </c>
    </row>
    <row r="32" spans="1:10" x14ac:dyDescent="0.2">
      <c r="A32" s="346" t="str">
        <f t="shared" ca="1" si="0"/>
        <v>「唆使」先制化的资讯</v>
      </c>
      <c r="B32" s="346" t="s">
        <v>617</v>
      </c>
      <c r="C32" s="51" t="s">
        <v>618</v>
      </c>
      <c r="D32" s="346" t="s">
        <v>619</v>
      </c>
      <c r="E32" s="346"/>
      <c r="F32" s="346" t="s">
        <v>620</v>
      </c>
      <c r="G32" s="346" t="s">
        <v>621</v>
      </c>
      <c r="H32" s="346" t="s">
        <v>622</v>
      </c>
      <c r="I32" s="346"/>
      <c r="J32" s="346" t="s">
        <v>623</v>
      </c>
    </row>
    <row r="33" spans="1:10" x14ac:dyDescent="0.2">
      <c r="A33" s="346" t="str">
        <f t="shared" ca="1" si="0"/>
        <v>隐藏道具的资讯</v>
      </c>
      <c r="B33" s="346" t="s">
        <v>624</v>
      </c>
      <c r="C33" s="346" t="s">
        <v>625</v>
      </c>
      <c r="D33" s="346" t="s">
        <v>626</v>
      </c>
      <c r="E33" s="346"/>
      <c r="F33" s="346" t="s">
        <v>627</v>
      </c>
      <c r="G33" s="346" t="s">
        <v>628</v>
      </c>
      <c r="H33" s="346" t="s">
        <v>629</v>
      </c>
      <c r="I33" s="346"/>
      <c r="J33" s="346" t="s">
        <v>630</v>
      </c>
    </row>
    <row r="34" spans="1:10" x14ac:dyDescent="0.2">
      <c r="A34" s="344" t="str">
        <f t="shared" ca="1" si="0"/>
        <v>角色</v>
      </c>
      <c r="B34" s="345" t="s">
        <v>631</v>
      </c>
      <c r="C34" s="344" t="s">
        <v>632</v>
      </c>
      <c r="D34" s="344" t="s">
        <v>633</v>
      </c>
      <c r="E34" s="344"/>
      <c r="F34" s="344"/>
      <c r="G34" s="344" t="s">
        <v>634</v>
      </c>
      <c r="H34" s="344" t="s">
        <v>634</v>
      </c>
      <c r="I34" s="344"/>
      <c r="J34" s="344"/>
    </row>
    <row r="35" spans="1:10" x14ac:dyDescent="0.2">
      <c r="A35" s="346" t="str">
        <f t="shared" ca="1" si="0"/>
        <v>欧菲莉亚</v>
      </c>
      <c r="B35" s="346" t="s">
        <v>635</v>
      </c>
      <c r="C35" s="346" t="s">
        <v>635</v>
      </c>
      <c r="D35" s="346" t="s">
        <v>635</v>
      </c>
      <c r="E35" s="346"/>
      <c r="F35" s="346" t="s">
        <v>635</v>
      </c>
      <c r="G35" s="53" t="s">
        <v>636</v>
      </c>
      <c r="H35" s="346" t="s">
        <v>637</v>
      </c>
      <c r="I35" s="346"/>
      <c r="J35" s="346" t="s">
        <v>638</v>
      </c>
    </row>
    <row r="36" spans="1:10" x14ac:dyDescent="0.2">
      <c r="A36" s="346" t="str">
        <f t="shared" ca="1" si="0"/>
        <v>赛拉斯</v>
      </c>
      <c r="B36" s="346" t="s">
        <v>639</v>
      </c>
      <c r="C36" s="346" t="s">
        <v>639</v>
      </c>
      <c r="D36" s="346" t="s">
        <v>639</v>
      </c>
      <c r="E36" s="346"/>
      <c r="F36" s="346" t="s">
        <v>639</v>
      </c>
      <c r="G36" s="53" t="s">
        <v>640</v>
      </c>
      <c r="H36" s="346" t="s">
        <v>641</v>
      </c>
      <c r="I36" s="346"/>
      <c r="J36" s="346" t="s">
        <v>642</v>
      </c>
    </row>
    <row r="37" spans="1:10" x14ac:dyDescent="0.2">
      <c r="A37" s="346" t="str">
        <f t="shared" ca="1" si="0"/>
        <v>特蕾莎</v>
      </c>
      <c r="B37" s="346" t="s">
        <v>643</v>
      </c>
      <c r="C37" s="346" t="s">
        <v>643</v>
      </c>
      <c r="D37" s="346" t="s">
        <v>643</v>
      </c>
      <c r="E37" s="346"/>
      <c r="F37" s="346" t="s">
        <v>643</v>
      </c>
      <c r="G37" s="53" t="s">
        <v>644</v>
      </c>
      <c r="H37" s="346" t="s">
        <v>644</v>
      </c>
      <c r="I37" s="346"/>
      <c r="J37" s="346" t="s">
        <v>645</v>
      </c>
    </row>
    <row r="38" spans="1:10" x14ac:dyDescent="0.2">
      <c r="A38" s="346" t="str">
        <f t="shared" ca="1" si="0"/>
        <v>欧尔贝克</v>
      </c>
      <c r="B38" s="346" t="s">
        <v>646</v>
      </c>
      <c r="C38" s="346" t="s">
        <v>646</v>
      </c>
      <c r="D38" s="346" t="s">
        <v>646</v>
      </c>
      <c r="E38" s="346"/>
      <c r="F38" s="346" t="s">
        <v>646</v>
      </c>
      <c r="G38" s="53" t="s">
        <v>647</v>
      </c>
      <c r="H38" s="346" t="s">
        <v>648</v>
      </c>
      <c r="I38" s="346"/>
      <c r="J38" s="346" t="s">
        <v>649</v>
      </c>
    </row>
    <row r="39" spans="1:10" x14ac:dyDescent="0.2">
      <c r="A39" s="346" t="str">
        <f t="shared" ca="1" si="0"/>
        <v>普里姆萝洁</v>
      </c>
      <c r="B39" s="346" t="s">
        <v>650</v>
      </c>
      <c r="C39" s="346" t="s">
        <v>650</v>
      </c>
      <c r="D39" s="346" t="s">
        <v>650</v>
      </c>
      <c r="E39" s="346"/>
      <c r="F39" s="346" t="s">
        <v>650</v>
      </c>
      <c r="G39" s="53" t="s">
        <v>651</v>
      </c>
      <c r="H39" s="346" t="s">
        <v>652</v>
      </c>
      <c r="I39" s="346"/>
      <c r="J39" s="346" t="s">
        <v>653</v>
      </c>
    </row>
    <row r="40" spans="1:10" x14ac:dyDescent="0.2">
      <c r="A40" s="346" t="str">
        <f t="shared" ca="1" si="0"/>
        <v>亚芬</v>
      </c>
      <c r="B40" s="346" t="s">
        <v>654</v>
      </c>
      <c r="C40" s="346" t="s">
        <v>654</v>
      </c>
      <c r="D40" s="346" t="s">
        <v>654</v>
      </c>
      <c r="E40" s="346"/>
      <c r="F40" s="346" t="s">
        <v>654</v>
      </c>
      <c r="G40" s="53" t="s">
        <v>655</v>
      </c>
      <c r="H40" s="346" t="s">
        <v>656</v>
      </c>
      <c r="I40" s="346"/>
      <c r="J40" s="346" t="s">
        <v>657</v>
      </c>
    </row>
    <row r="41" spans="1:10" x14ac:dyDescent="0.2">
      <c r="A41" s="346" t="str">
        <f t="shared" ca="1" si="0"/>
        <v>泰里翁</v>
      </c>
      <c r="B41" s="346" t="s">
        <v>658</v>
      </c>
      <c r="C41" s="346" t="s">
        <v>658</v>
      </c>
      <c r="D41" s="346" t="s">
        <v>658</v>
      </c>
      <c r="E41" s="346"/>
      <c r="F41" s="346" t="s">
        <v>658</v>
      </c>
      <c r="G41" s="53" t="s">
        <v>659</v>
      </c>
      <c r="H41" s="346" t="s">
        <v>659</v>
      </c>
      <c r="I41" s="346"/>
      <c r="J41" s="346" t="s">
        <v>660</v>
      </c>
    </row>
    <row r="42" spans="1:10" x14ac:dyDescent="0.2">
      <c r="A42" s="346" t="str">
        <f t="shared" ca="1" si="0"/>
        <v>海茵特</v>
      </c>
      <c r="B42" s="346" t="s">
        <v>661</v>
      </c>
      <c r="C42" s="346" t="s">
        <v>661</v>
      </c>
      <c r="D42" s="346" t="s">
        <v>661</v>
      </c>
      <c r="E42" s="346"/>
      <c r="F42" s="346" t="s">
        <v>661</v>
      </c>
      <c r="G42" s="53" t="s">
        <v>662</v>
      </c>
      <c r="H42" s="346" t="s">
        <v>662</v>
      </c>
      <c r="I42" s="346"/>
      <c r="J42" s="346" t="s">
        <v>663</v>
      </c>
    </row>
    <row r="43" spans="1:10" x14ac:dyDescent="0.2">
      <c r="A43" s="344" t="str">
        <f t="shared" ca="1" si="0"/>
        <v>地图指令</v>
      </c>
      <c r="B43" s="344" t="s">
        <v>664</v>
      </c>
      <c r="C43" s="344" t="s">
        <v>665</v>
      </c>
      <c r="D43" s="344" t="s">
        <v>666</v>
      </c>
      <c r="E43" s="344"/>
      <c r="F43" s="344"/>
      <c r="G43" s="344" t="s">
        <v>667</v>
      </c>
      <c r="H43" s="344" t="s">
        <v>668</v>
      </c>
      <c r="I43" s="344"/>
      <c r="J43" s="344" t="s">
        <v>669</v>
      </c>
    </row>
    <row r="44" spans="1:10" x14ac:dyDescent="0.2">
      <c r="A44" s="346" t="str">
        <f t="shared" ca="1" si="0"/>
        <v>引导</v>
      </c>
      <c r="B44" s="346" t="s">
        <v>670</v>
      </c>
      <c r="C44" s="346" t="s">
        <v>671</v>
      </c>
      <c r="D44" s="346" t="s">
        <v>672</v>
      </c>
      <c r="E44" s="346"/>
      <c r="F44" s="346" t="s">
        <v>673</v>
      </c>
      <c r="G44" s="53" t="s">
        <v>674</v>
      </c>
      <c r="H44" s="346" t="s">
        <v>675</v>
      </c>
      <c r="I44" s="346"/>
      <c r="J44" s="346" t="s">
        <v>676</v>
      </c>
    </row>
    <row r="45" spans="1:10" x14ac:dyDescent="0.2">
      <c r="A45" s="346" t="str">
        <f t="shared" ca="1" si="0"/>
        <v>探查</v>
      </c>
      <c r="B45" s="346" t="s">
        <v>677</v>
      </c>
      <c r="C45" s="346" t="s">
        <v>678</v>
      </c>
      <c r="D45" s="346" t="s">
        <v>679</v>
      </c>
      <c r="E45" s="346"/>
      <c r="F45" s="346" t="s">
        <v>680</v>
      </c>
      <c r="G45" s="53" t="s">
        <v>681</v>
      </c>
      <c r="H45" s="346" t="s">
        <v>681</v>
      </c>
      <c r="I45" s="346"/>
      <c r="J45" s="346" t="s">
        <v>682</v>
      </c>
    </row>
    <row r="46" spans="1:10" x14ac:dyDescent="0.2">
      <c r="A46" s="346" t="str">
        <f t="shared" ca="1" si="0"/>
        <v>购买</v>
      </c>
      <c r="B46" s="346" t="s">
        <v>683</v>
      </c>
      <c r="C46" s="346" t="s">
        <v>684</v>
      </c>
      <c r="D46" s="346" t="s">
        <v>685</v>
      </c>
      <c r="E46" s="346"/>
      <c r="F46" s="346" t="s">
        <v>686</v>
      </c>
      <c r="G46" s="53" t="s">
        <v>687</v>
      </c>
      <c r="H46" s="346" t="s">
        <v>688</v>
      </c>
      <c r="I46" s="346"/>
      <c r="J46" s="346" t="s">
        <v>689</v>
      </c>
    </row>
    <row r="47" spans="1:10" x14ac:dyDescent="0.2">
      <c r="A47" s="346" t="str">
        <f t="shared" ca="1" si="0"/>
        <v>比试</v>
      </c>
      <c r="B47" s="346" t="s">
        <v>690</v>
      </c>
      <c r="C47" s="346" t="s">
        <v>691</v>
      </c>
      <c r="D47" s="346" t="s">
        <v>692</v>
      </c>
      <c r="E47" s="346"/>
      <c r="F47" s="346" t="s">
        <v>693</v>
      </c>
      <c r="G47" s="53" t="s">
        <v>694</v>
      </c>
      <c r="H47" s="346" t="s">
        <v>695</v>
      </c>
      <c r="I47" s="346"/>
      <c r="J47" s="346" t="s">
        <v>696</v>
      </c>
    </row>
    <row r="48" spans="1:10" x14ac:dyDescent="0.2">
      <c r="A48" s="346" t="str">
        <f t="shared" ca="1" si="0"/>
        <v>诱惑</v>
      </c>
      <c r="B48" s="346" t="s">
        <v>697</v>
      </c>
      <c r="C48" s="346" t="s">
        <v>698</v>
      </c>
      <c r="D48" s="346" t="s">
        <v>699</v>
      </c>
      <c r="E48" s="346"/>
      <c r="F48" s="346" t="s">
        <v>700</v>
      </c>
      <c r="G48" s="53" t="s">
        <v>701</v>
      </c>
      <c r="H48" s="346" t="s">
        <v>702</v>
      </c>
      <c r="I48" s="346"/>
      <c r="J48" s="346" t="s">
        <v>701</v>
      </c>
    </row>
    <row r="49" spans="1:10" x14ac:dyDescent="0.2">
      <c r="A49" s="346" t="str">
        <f t="shared" ca="1" si="0"/>
        <v>打听</v>
      </c>
      <c r="B49" s="346" t="s">
        <v>703</v>
      </c>
      <c r="C49" s="346" t="s">
        <v>704</v>
      </c>
      <c r="D49" s="346" t="s">
        <v>705</v>
      </c>
      <c r="E49" s="346"/>
      <c r="F49" s="346" t="s">
        <v>706</v>
      </c>
      <c r="G49" s="53" t="s">
        <v>707</v>
      </c>
      <c r="H49" s="346" t="s">
        <v>708</v>
      </c>
      <c r="I49" s="346"/>
      <c r="J49" s="346" t="s">
        <v>709</v>
      </c>
    </row>
    <row r="50" spans="1:10" x14ac:dyDescent="0.2">
      <c r="A50" s="346" t="str">
        <f t="shared" ca="1" si="0"/>
        <v>偷取</v>
      </c>
      <c r="B50" s="346" t="s">
        <v>710</v>
      </c>
      <c r="C50" s="346" t="s">
        <v>711</v>
      </c>
      <c r="D50" s="346" t="s">
        <v>712</v>
      </c>
      <c r="E50" s="346"/>
      <c r="F50" s="346" t="s">
        <v>713</v>
      </c>
      <c r="G50" s="53" t="s">
        <v>714</v>
      </c>
      <c r="H50" s="346" t="s">
        <v>714</v>
      </c>
      <c r="I50" s="346"/>
      <c r="J50" s="346" t="s">
        <v>715</v>
      </c>
    </row>
    <row r="51" spans="1:10" x14ac:dyDescent="0.2">
      <c r="A51" s="346" t="str">
        <f t="shared" ca="1" si="0"/>
        <v>唆使</v>
      </c>
      <c r="B51" s="346" t="s">
        <v>716</v>
      </c>
      <c r="C51" s="346" t="s">
        <v>717</v>
      </c>
      <c r="D51" s="346" t="s">
        <v>718</v>
      </c>
      <c r="E51" s="346"/>
      <c r="F51" s="346" t="s">
        <v>719</v>
      </c>
      <c r="G51" s="53" t="s">
        <v>720</v>
      </c>
      <c r="H51" s="346" t="s">
        <v>720</v>
      </c>
      <c r="I51" s="346"/>
      <c r="J51" s="346" t="s">
        <v>721</v>
      </c>
    </row>
    <row r="52" spans="1:10" x14ac:dyDescent="0.2">
      <c r="A52" s="344" t="str">
        <f t="shared" ca="1" si="0"/>
        <v>固有行动</v>
      </c>
      <c r="B52" s="344" t="s">
        <v>722</v>
      </c>
      <c r="C52" s="344" t="s">
        <v>723</v>
      </c>
      <c r="D52" s="344" t="s">
        <v>722</v>
      </c>
      <c r="E52" s="344"/>
      <c r="F52" s="344"/>
      <c r="G52" s="344" t="s">
        <v>724</v>
      </c>
      <c r="H52" s="344" t="s">
        <v>725</v>
      </c>
      <c r="I52" s="344"/>
      <c r="J52" s="344" t="s">
        <v>726</v>
      </c>
    </row>
    <row r="53" spans="1:10" x14ac:dyDescent="0.2">
      <c r="A53" s="346" t="str">
        <f t="shared" ca="1" si="0"/>
        <v>援助</v>
      </c>
      <c r="B53" s="346" t="s">
        <v>727</v>
      </c>
      <c r="C53" s="346"/>
      <c r="D53" s="346" t="s">
        <v>728</v>
      </c>
      <c r="E53" s="346"/>
      <c r="F53" s="346" t="s">
        <v>729</v>
      </c>
      <c r="G53" s="346" t="s">
        <v>730</v>
      </c>
      <c r="H53" s="346" t="s">
        <v>730</v>
      </c>
      <c r="I53" s="346"/>
      <c r="J53" s="346" t="s">
        <v>731</v>
      </c>
    </row>
    <row r="54" spans="1:10" x14ac:dyDescent="0.2">
      <c r="A54" s="346" t="str">
        <f t="shared" ca="1" si="0"/>
        <v>预习</v>
      </c>
      <c r="B54" s="346" t="s">
        <v>732</v>
      </c>
      <c r="C54" s="346"/>
      <c r="D54" s="346" t="s">
        <v>733</v>
      </c>
      <c r="E54" s="346"/>
      <c r="F54" s="346" t="s">
        <v>734</v>
      </c>
      <c r="G54" s="346" t="s">
        <v>735</v>
      </c>
      <c r="H54" s="346" t="s">
        <v>736</v>
      </c>
      <c r="I54" s="346"/>
      <c r="J54" s="346" t="s">
        <v>737</v>
      </c>
    </row>
    <row r="55" spans="1:10" x14ac:dyDescent="0.2">
      <c r="A55" s="346" t="str">
        <f t="shared" ca="1" si="0"/>
        <v>走路赚钱</v>
      </c>
      <c r="B55" s="346" t="s">
        <v>738</v>
      </c>
      <c r="C55" s="346"/>
      <c r="D55" s="346" t="s">
        <v>739</v>
      </c>
      <c r="E55" s="346"/>
      <c r="F55" s="346" t="s">
        <v>740</v>
      </c>
      <c r="G55" s="346" t="s">
        <v>741</v>
      </c>
      <c r="H55" s="346" t="s">
        <v>742</v>
      </c>
      <c r="I55" s="346"/>
      <c r="J55" s="346" t="s">
        <v>743</v>
      </c>
    </row>
    <row r="56" spans="1:10" x14ac:dyDescent="0.2">
      <c r="A56" s="346" t="str">
        <f t="shared" ca="1" si="0"/>
        <v>防御增幅</v>
      </c>
      <c r="B56" s="346" t="s">
        <v>744</v>
      </c>
      <c r="C56" s="346"/>
      <c r="D56" s="346" t="s">
        <v>745</v>
      </c>
      <c r="E56" s="346"/>
      <c r="F56" s="346" t="s">
        <v>746</v>
      </c>
      <c r="G56" s="346" t="s">
        <v>747</v>
      </c>
      <c r="H56" s="346" t="s">
        <v>748</v>
      </c>
      <c r="I56" s="346"/>
      <c r="J56" s="346" t="s">
        <v>749</v>
      </c>
    </row>
    <row r="57" spans="1:10" x14ac:dyDescent="0.2">
      <c r="A57" s="346" t="str">
        <f t="shared" ca="1" si="0"/>
        <v>援助</v>
      </c>
      <c r="B57" s="346" t="s">
        <v>727</v>
      </c>
      <c r="C57" s="346"/>
      <c r="D57" s="346" t="s">
        <v>728</v>
      </c>
      <c r="E57" s="346"/>
      <c r="F57" s="346" t="s">
        <v>729</v>
      </c>
      <c r="G57" s="346" t="s">
        <v>730</v>
      </c>
      <c r="H57" s="346" t="s">
        <v>730</v>
      </c>
      <c r="I57" s="346"/>
      <c r="J57" s="346" t="s">
        <v>731</v>
      </c>
    </row>
    <row r="58" spans="1:10" x14ac:dyDescent="0.2">
      <c r="A58" s="346" t="str">
        <f t="shared" ca="1" si="0"/>
        <v>调合</v>
      </c>
      <c r="B58" s="346" t="s">
        <v>750</v>
      </c>
      <c r="C58" s="346"/>
      <c r="D58" s="346" t="s">
        <v>751</v>
      </c>
      <c r="E58" s="346"/>
      <c r="F58" s="346" t="s">
        <v>752</v>
      </c>
      <c r="G58" s="346" t="s">
        <v>753</v>
      </c>
      <c r="H58" s="346" t="s">
        <v>754</v>
      </c>
      <c r="I58" s="346"/>
      <c r="J58" s="346" t="s">
        <v>753</v>
      </c>
    </row>
    <row r="59" spans="1:10" x14ac:dyDescent="0.2">
      <c r="A59" s="346" t="str">
        <f t="shared" ca="1" si="0"/>
        <v>开锁</v>
      </c>
      <c r="B59" s="346" t="s">
        <v>755</v>
      </c>
      <c r="C59" s="346"/>
      <c r="D59" s="346" t="s">
        <v>756</v>
      </c>
      <c r="E59" s="346"/>
      <c r="F59" s="346" t="s">
        <v>757</v>
      </c>
      <c r="G59" s="346" t="s">
        <v>758</v>
      </c>
      <c r="H59" s="346" t="s">
        <v>759</v>
      </c>
      <c r="I59" s="346"/>
      <c r="J59" s="346" t="s">
        <v>760</v>
      </c>
    </row>
    <row r="60" spans="1:10" x14ac:dyDescent="0.2">
      <c r="A60" s="346" t="str">
        <f t="shared" ca="1" si="0"/>
        <v>捕获</v>
      </c>
      <c r="B60" s="346" t="s">
        <v>761</v>
      </c>
      <c r="C60" s="346"/>
      <c r="D60" s="346" t="s">
        <v>761</v>
      </c>
      <c r="E60" s="346"/>
      <c r="F60" s="346" t="s">
        <v>762</v>
      </c>
      <c r="G60" s="346" t="s">
        <v>763</v>
      </c>
      <c r="H60" s="346" t="s">
        <v>764</v>
      </c>
      <c r="I60" s="346"/>
      <c r="J60" s="346" t="s">
        <v>763</v>
      </c>
    </row>
    <row r="61" spans="1:10" x14ac:dyDescent="0.2">
      <c r="A61" s="344" t="str">
        <f t="shared" ca="1" si="0"/>
        <v>职业</v>
      </c>
      <c r="B61" s="344" t="s">
        <v>765</v>
      </c>
      <c r="C61" s="344" t="s">
        <v>766</v>
      </c>
      <c r="D61" s="344" t="s">
        <v>767</v>
      </c>
      <c r="E61" s="344"/>
      <c r="F61" s="344"/>
      <c r="G61" s="344" t="s">
        <v>768</v>
      </c>
      <c r="H61" s="344" t="s">
        <v>769</v>
      </c>
      <c r="I61" s="344"/>
      <c r="J61" s="344" t="s">
        <v>770</v>
      </c>
    </row>
    <row r="62" spans="1:10" x14ac:dyDescent="0.2">
      <c r="A62" s="346" t="str">
        <f t="shared" ca="1" si="0"/>
        <v>神官</v>
      </c>
      <c r="B62" s="346" t="s">
        <v>771</v>
      </c>
      <c r="C62" s="346" t="s">
        <v>772</v>
      </c>
      <c r="D62" s="346" t="s">
        <v>773</v>
      </c>
      <c r="E62" s="346"/>
      <c r="F62" s="346" t="s">
        <v>774</v>
      </c>
      <c r="G62" s="346" t="s">
        <v>775</v>
      </c>
      <c r="H62" s="346" t="s">
        <v>775</v>
      </c>
      <c r="I62" s="346"/>
      <c r="J62" s="346" t="s">
        <v>775</v>
      </c>
    </row>
    <row r="63" spans="1:10" x14ac:dyDescent="0.2">
      <c r="A63" s="346" t="str">
        <f t="shared" ca="1" si="0"/>
        <v>学者</v>
      </c>
      <c r="B63" s="346" t="s">
        <v>776</v>
      </c>
      <c r="C63" s="346" t="s">
        <v>777</v>
      </c>
      <c r="D63" s="346" t="s">
        <v>778</v>
      </c>
      <c r="E63" s="346"/>
      <c r="F63" s="346" t="s">
        <v>779</v>
      </c>
      <c r="G63" s="346" t="s">
        <v>780</v>
      </c>
      <c r="H63" s="346" t="s">
        <v>781</v>
      </c>
      <c r="I63" s="346"/>
      <c r="J63" s="346" t="s">
        <v>781</v>
      </c>
    </row>
    <row r="64" spans="1:10" x14ac:dyDescent="0.2">
      <c r="A64" s="346" t="str">
        <f t="shared" ca="1" si="0"/>
        <v>商人</v>
      </c>
      <c r="B64" s="346" t="s">
        <v>782</v>
      </c>
      <c r="C64" s="346" t="s">
        <v>783</v>
      </c>
      <c r="D64" s="346" t="s">
        <v>784</v>
      </c>
      <c r="E64" s="346"/>
      <c r="F64" s="346" t="s">
        <v>785</v>
      </c>
      <c r="G64" s="346" t="s">
        <v>786</v>
      </c>
      <c r="H64" s="346" t="s">
        <v>786</v>
      </c>
      <c r="I64" s="346"/>
      <c r="J64" s="346" t="s">
        <v>786</v>
      </c>
    </row>
    <row r="65" spans="1:10" x14ac:dyDescent="0.2">
      <c r="A65" s="346" t="str">
        <f t="shared" ca="1" si="0"/>
        <v>剑士</v>
      </c>
      <c r="B65" s="346" t="s">
        <v>787</v>
      </c>
      <c r="C65" s="346" t="s">
        <v>788</v>
      </c>
      <c r="D65" s="346" t="s">
        <v>789</v>
      </c>
      <c r="E65" s="346"/>
      <c r="F65" s="346" t="s">
        <v>790</v>
      </c>
      <c r="G65" s="346" t="s">
        <v>791</v>
      </c>
      <c r="H65" s="346" t="s">
        <v>792</v>
      </c>
      <c r="I65" s="346"/>
      <c r="J65" s="346" t="s">
        <v>793</v>
      </c>
    </row>
    <row r="66" spans="1:10" x14ac:dyDescent="0.2">
      <c r="A66" s="346" t="str">
        <f t="shared" ca="1" si="0"/>
        <v>舞娘</v>
      </c>
      <c r="B66" s="346" t="s">
        <v>794</v>
      </c>
      <c r="C66" s="346" t="s">
        <v>795</v>
      </c>
      <c r="D66" s="346" t="s">
        <v>796</v>
      </c>
      <c r="E66" s="346"/>
      <c r="F66" s="346" t="s">
        <v>797</v>
      </c>
      <c r="G66" s="346" t="s">
        <v>798</v>
      </c>
      <c r="H66" s="346" t="s">
        <v>799</v>
      </c>
      <c r="I66" s="346"/>
      <c r="J66" s="346" t="s">
        <v>800</v>
      </c>
    </row>
    <row r="67" spans="1:10" x14ac:dyDescent="0.2">
      <c r="A67" s="346" t="str">
        <f t="shared" ca="1" si="0"/>
        <v>药师</v>
      </c>
      <c r="B67" s="346" t="s">
        <v>801</v>
      </c>
      <c r="C67" s="346" t="s">
        <v>802</v>
      </c>
      <c r="D67" s="346" t="s">
        <v>803</v>
      </c>
      <c r="E67" s="346"/>
      <c r="F67" s="346" t="s">
        <v>804</v>
      </c>
      <c r="G67" s="346" t="s">
        <v>805</v>
      </c>
      <c r="H67" s="346" t="s">
        <v>806</v>
      </c>
      <c r="I67" s="346"/>
      <c r="J67" s="346" t="s">
        <v>807</v>
      </c>
    </row>
    <row r="68" spans="1:10" x14ac:dyDescent="0.2">
      <c r="A68" s="346" t="str">
        <f t="shared" ca="1" si="0"/>
        <v>盗贼</v>
      </c>
      <c r="B68" s="346" t="s">
        <v>808</v>
      </c>
      <c r="C68" s="346" t="s">
        <v>809</v>
      </c>
      <c r="D68" s="346" t="s">
        <v>810</v>
      </c>
      <c r="E68" s="346"/>
      <c r="F68" s="346" t="s">
        <v>811</v>
      </c>
      <c r="G68" s="346" t="s">
        <v>812</v>
      </c>
      <c r="H68" s="346" t="s">
        <v>813</v>
      </c>
      <c r="I68" s="346"/>
      <c r="J68" s="346" t="s">
        <v>814</v>
      </c>
    </row>
    <row r="69" spans="1:10" x14ac:dyDescent="0.2">
      <c r="A69" s="346" t="str">
        <f t="shared" ca="1" si="0"/>
        <v>猎人</v>
      </c>
      <c r="B69" s="346" t="s">
        <v>815</v>
      </c>
      <c r="C69" s="346" t="s">
        <v>816</v>
      </c>
      <c r="D69" s="346" t="s">
        <v>817</v>
      </c>
      <c r="E69" s="346"/>
      <c r="F69" s="346" t="s">
        <v>818</v>
      </c>
      <c r="G69" s="346" t="s">
        <v>819</v>
      </c>
      <c r="H69" s="346" t="s">
        <v>820</v>
      </c>
      <c r="I69" s="346"/>
      <c r="J69" s="346" t="s">
        <v>821</v>
      </c>
    </row>
    <row r="70" spans="1:10" x14ac:dyDescent="0.2">
      <c r="A70" s="346" t="str">
        <f t="shared" ca="1" si="0"/>
        <v>占星师</v>
      </c>
      <c r="B70" s="346" t="s">
        <v>822</v>
      </c>
      <c r="C70" s="346" t="s">
        <v>823</v>
      </c>
      <c r="D70" s="346" t="s">
        <v>824</v>
      </c>
      <c r="E70" s="346"/>
      <c r="F70" s="346" t="s">
        <v>825</v>
      </c>
      <c r="G70" s="346" t="s">
        <v>826</v>
      </c>
      <c r="H70" s="346" t="s">
        <v>827</v>
      </c>
      <c r="I70" s="346"/>
      <c r="J70" s="346" t="s">
        <v>828</v>
      </c>
    </row>
    <row r="71" spans="1:10" x14ac:dyDescent="0.2">
      <c r="A71" s="346" t="str">
        <f t="shared" ca="1" si="0"/>
        <v>符文大师</v>
      </c>
      <c r="B71" s="346" t="s">
        <v>829</v>
      </c>
      <c r="C71" s="346" t="s">
        <v>830</v>
      </c>
      <c r="D71" s="346" t="s">
        <v>831</v>
      </c>
      <c r="E71" s="346"/>
      <c r="F71" s="346" t="s">
        <v>832</v>
      </c>
      <c r="G71" s="346" t="s">
        <v>833</v>
      </c>
      <c r="H71" s="346" t="s">
        <v>834</v>
      </c>
      <c r="I71" s="346"/>
      <c r="J71" s="346" t="s">
        <v>835</v>
      </c>
    </row>
    <row r="72" spans="1:10" x14ac:dyDescent="0.2">
      <c r="A72" s="346" t="str">
        <f t="shared" ca="1" si="0"/>
        <v>武术家</v>
      </c>
      <c r="B72" s="346" t="s">
        <v>836</v>
      </c>
      <c r="C72" s="346" t="s">
        <v>837</v>
      </c>
      <c r="D72" s="346" t="s">
        <v>838</v>
      </c>
      <c r="E72" s="346"/>
      <c r="F72" s="346" t="s">
        <v>839</v>
      </c>
      <c r="G72" s="346" t="s">
        <v>840</v>
      </c>
      <c r="H72" s="346" t="s">
        <v>841</v>
      </c>
      <c r="I72" s="346"/>
      <c r="J72" s="346" t="s">
        <v>842</v>
      </c>
    </row>
    <row r="73" spans="1:10" x14ac:dyDescent="0.2">
      <c r="A73" s="346" t="str">
        <f t="shared" ca="1" si="0"/>
        <v>魔术师</v>
      </c>
      <c r="B73" s="346" t="s">
        <v>843</v>
      </c>
      <c r="C73" s="346" t="s">
        <v>844</v>
      </c>
      <c r="D73" s="346" t="s">
        <v>845</v>
      </c>
      <c r="E73" s="346"/>
      <c r="F73" s="346" t="s">
        <v>846</v>
      </c>
      <c r="G73" s="346" t="s">
        <v>847</v>
      </c>
      <c r="H73" s="346" t="s">
        <v>848</v>
      </c>
      <c r="I73" s="346"/>
      <c r="J73" s="346" t="s">
        <v>847</v>
      </c>
    </row>
    <row r="74" spans="1:10" x14ac:dyDescent="0.2">
      <c r="A74" s="344" t="str">
        <f t="shared" ca="1" si="0"/>
        <v>技能</v>
      </c>
      <c r="B74" s="344" t="s">
        <v>849</v>
      </c>
      <c r="C74" s="344" t="s">
        <v>850</v>
      </c>
      <c r="D74" s="344" t="s">
        <v>851</v>
      </c>
      <c r="E74" s="344"/>
      <c r="F74" s="344"/>
      <c r="G74" s="344" t="s">
        <v>852</v>
      </c>
      <c r="H74" s="344" t="s">
        <v>852</v>
      </c>
      <c r="I74" s="344"/>
      <c r="J74" s="344" t="s">
        <v>853</v>
      </c>
    </row>
    <row r="75" spans="1:10" x14ac:dyDescent="0.2">
      <c r="A75" s="346" t="str">
        <f t="shared" ca="1" si="0"/>
        <v>恢复魔法</v>
      </c>
      <c r="B75" s="346" t="s">
        <v>854</v>
      </c>
      <c r="C75" s="346" t="s">
        <v>855</v>
      </c>
      <c r="D75" s="346" t="s">
        <v>856</v>
      </c>
      <c r="E75" s="346"/>
      <c r="F75" s="346" t="s">
        <v>857</v>
      </c>
      <c r="G75" s="346" t="s">
        <v>858</v>
      </c>
      <c r="H75" s="346" t="s">
        <v>859</v>
      </c>
      <c r="I75" s="346"/>
      <c r="J75" s="346" t="s">
        <v>860</v>
      </c>
    </row>
    <row r="76" spans="1:10" x14ac:dyDescent="0.2">
      <c r="A76" s="346" t="str">
        <f t="shared" ca="1" si="0"/>
        <v>圣光</v>
      </c>
      <c r="B76" s="346" t="s">
        <v>861</v>
      </c>
      <c r="C76" s="346" t="s">
        <v>862</v>
      </c>
      <c r="D76" s="346" t="s">
        <v>863</v>
      </c>
      <c r="E76" s="346"/>
      <c r="F76" s="346" t="s">
        <v>864</v>
      </c>
      <c r="G76" s="346" t="s">
        <v>865</v>
      </c>
      <c r="H76" s="346" t="s">
        <v>866</v>
      </c>
      <c r="I76" s="346"/>
      <c r="J76" s="346" t="s">
        <v>867</v>
      </c>
    </row>
    <row r="77" spans="1:10" x14ac:dyDescent="0.2">
      <c r="A77" s="346" t="str">
        <f t="shared" ca="1" si="0"/>
        <v>守护轻纱</v>
      </c>
      <c r="B77" s="346" t="s">
        <v>868</v>
      </c>
      <c r="C77" s="346" t="s">
        <v>869</v>
      </c>
      <c r="D77" s="346" t="s">
        <v>870</v>
      </c>
      <c r="E77" s="346"/>
      <c r="F77" s="346" t="s">
        <v>871</v>
      </c>
      <c r="G77" s="346" t="s">
        <v>872</v>
      </c>
      <c r="H77" s="346" t="s">
        <v>873</v>
      </c>
      <c r="I77" s="346"/>
      <c r="J77" s="346" t="s">
        <v>874</v>
      </c>
    </row>
    <row r="78" spans="1:10" x14ac:dyDescent="0.2">
      <c r="A78" s="346" t="str">
        <f t="shared" ca="1" si="0"/>
        <v>光明魔法</v>
      </c>
      <c r="B78" s="346" t="s">
        <v>875</v>
      </c>
      <c r="C78" s="346" t="s">
        <v>876</v>
      </c>
      <c r="D78" s="346" t="s">
        <v>875</v>
      </c>
      <c r="E78" s="346"/>
      <c r="F78" s="346" t="s">
        <v>877</v>
      </c>
      <c r="G78" s="346" t="s">
        <v>878</v>
      </c>
      <c r="H78" s="346" t="s">
        <v>878</v>
      </c>
      <c r="I78" s="346"/>
      <c r="J78" s="346" t="s">
        <v>878</v>
      </c>
    </row>
    <row r="79" spans="1:10" x14ac:dyDescent="0.2">
      <c r="A79" s="346" t="str">
        <f t="shared" ca="1" si="0"/>
        <v>大恢复魔法</v>
      </c>
      <c r="B79" s="346" t="s">
        <v>879</v>
      </c>
      <c r="C79" s="346" t="s">
        <v>880</v>
      </c>
      <c r="D79" s="346" t="s">
        <v>881</v>
      </c>
      <c r="E79" s="346"/>
      <c r="F79" s="346" t="s">
        <v>882</v>
      </c>
      <c r="G79" s="346" t="s">
        <v>883</v>
      </c>
      <c r="H79" s="346" t="s">
        <v>884</v>
      </c>
      <c r="I79" s="346"/>
      <c r="J79" s="346" t="s">
        <v>885</v>
      </c>
    </row>
    <row r="80" spans="1:10" x14ac:dyDescent="0.2">
      <c r="A80" s="346" t="str">
        <f t="shared" ca="1" si="0"/>
        <v>反射轻纱</v>
      </c>
      <c r="B80" s="346" t="s">
        <v>886</v>
      </c>
      <c r="C80" s="346" t="s">
        <v>887</v>
      </c>
      <c r="D80" s="346" t="s">
        <v>888</v>
      </c>
      <c r="E80" s="346"/>
      <c r="F80" s="346" t="s">
        <v>889</v>
      </c>
      <c r="G80" s="346" t="s">
        <v>890</v>
      </c>
      <c r="H80" s="346" t="s">
        <v>891</v>
      </c>
      <c r="I80" s="346"/>
      <c r="J80" s="346" t="s">
        <v>892</v>
      </c>
    </row>
    <row r="81" spans="1:10" x14ac:dyDescent="0.2">
      <c r="A81" s="346" t="str">
        <f t="shared" ca="1" si="0"/>
        <v>复活魔法</v>
      </c>
      <c r="B81" s="346" t="s">
        <v>893</v>
      </c>
      <c r="C81" s="346" t="s">
        <v>894</v>
      </c>
      <c r="D81" s="346" t="s">
        <v>895</v>
      </c>
      <c r="E81" s="346"/>
      <c r="F81" s="346" t="s">
        <v>896</v>
      </c>
      <c r="G81" s="346" t="s">
        <v>897</v>
      </c>
      <c r="H81" s="346" t="s">
        <v>898</v>
      </c>
      <c r="I81" s="346"/>
      <c r="J81" s="346" t="s">
        <v>897</v>
      </c>
    </row>
    <row r="82" spans="1:10" x14ac:dyDescent="0.2">
      <c r="A82" s="346" t="str">
        <f t="shared" ca="1" si="0"/>
        <v>圣火神爱尔福林克的指引</v>
      </c>
      <c r="B82" s="346" t="s">
        <v>899</v>
      </c>
      <c r="C82" s="346" t="s">
        <v>900</v>
      </c>
      <c r="D82" s="346" t="s">
        <v>901</v>
      </c>
      <c r="E82" s="346"/>
      <c r="F82" s="346" t="s">
        <v>902</v>
      </c>
      <c r="G82" s="346" t="s">
        <v>903</v>
      </c>
      <c r="H82" s="346" t="s">
        <v>904</v>
      </c>
      <c r="I82" s="346"/>
      <c r="J82" s="346" t="s">
        <v>905</v>
      </c>
    </row>
    <row r="83" spans="1:10" x14ac:dyDescent="0.2">
      <c r="A83" s="346" t="str">
        <f t="shared" ca="1" si="0"/>
        <v>火焰魔法</v>
      </c>
      <c r="B83" s="346" t="s">
        <v>906</v>
      </c>
      <c r="C83" s="346" t="s">
        <v>907</v>
      </c>
      <c r="D83" s="346" t="s">
        <v>908</v>
      </c>
      <c r="E83" s="346"/>
      <c r="F83" s="346" t="s">
        <v>909</v>
      </c>
      <c r="G83" s="346" t="s">
        <v>910</v>
      </c>
      <c r="H83" s="346" t="s">
        <v>910</v>
      </c>
      <c r="I83" s="346"/>
      <c r="J83" s="346" t="s">
        <v>911</v>
      </c>
    </row>
    <row r="84" spans="1:10" x14ac:dyDescent="0.2">
      <c r="A84" s="346" t="str">
        <f t="shared" ca="1" si="0"/>
        <v>冰冻魔法</v>
      </c>
      <c r="B84" s="346" t="s">
        <v>912</v>
      </c>
      <c r="C84" s="346" t="s">
        <v>913</v>
      </c>
      <c r="D84" s="346" t="s">
        <v>914</v>
      </c>
      <c r="E84" s="346"/>
      <c r="F84" s="346" t="s">
        <v>915</v>
      </c>
      <c r="G84" s="346" t="s">
        <v>916</v>
      </c>
      <c r="H84" s="346" t="s">
        <v>917</v>
      </c>
      <c r="I84" s="346"/>
      <c r="J84" s="346" t="s">
        <v>918</v>
      </c>
    </row>
    <row r="85" spans="1:10" x14ac:dyDescent="0.2">
      <c r="A85" s="346" t="str">
        <f t="shared" ca="1" si="0"/>
        <v>雷击魔法</v>
      </c>
      <c r="B85" s="346" t="s">
        <v>919</v>
      </c>
      <c r="C85" s="346" t="s">
        <v>920</v>
      </c>
      <c r="D85" s="346" t="s">
        <v>921</v>
      </c>
      <c r="E85" s="346"/>
      <c r="F85" s="346" t="s">
        <v>922</v>
      </c>
      <c r="G85" s="346" t="s">
        <v>923</v>
      </c>
      <c r="H85" s="346" t="s">
        <v>924</v>
      </c>
      <c r="I85" s="346"/>
      <c r="J85" s="346" t="s">
        <v>925</v>
      </c>
    </row>
    <row r="86" spans="1:10" x14ac:dyDescent="0.2">
      <c r="A86" s="346" t="str">
        <f t="shared" ca="1" si="0"/>
        <v>调查</v>
      </c>
      <c r="B86" s="346" t="s">
        <v>926</v>
      </c>
      <c r="C86" s="346" t="s">
        <v>927</v>
      </c>
      <c r="D86" s="346" t="s">
        <v>926</v>
      </c>
      <c r="E86" s="346"/>
      <c r="F86" s="346" t="s">
        <v>928</v>
      </c>
      <c r="G86" s="346" t="s">
        <v>929</v>
      </c>
      <c r="H86" s="346" t="s">
        <v>930</v>
      </c>
      <c r="I86" s="346"/>
      <c r="J86" s="346" t="s">
        <v>931</v>
      </c>
    </row>
    <row r="87" spans="1:10" x14ac:dyDescent="0.2">
      <c r="A87" s="346" t="str">
        <f t="shared" ca="1" si="0"/>
        <v>大火焰魔法</v>
      </c>
      <c r="B87" s="346" t="s">
        <v>932</v>
      </c>
      <c r="C87" s="346" t="s">
        <v>933</v>
      </c>
      <c r="D87" s="346" t="s">
        <v>934</v>
      </c>
      <c r="E87" s="346"/>
      <c r="F87" s="346" t="s">
        <v>935</v>
      </c>
      <c r="G87" s="346" t="s">
        <v>936</v>
      </c>
      <c r="H87" s="346" t="s">
        <v>936</v>
      </c>
      <c r="I87" s="346"/>
      <c r="J87" s="346" t="s">
        <v>937</v>
      </c>
    </row>
    <row r="88" spans="1:10" x14ac:dyDescent="0.2">
      <c r="A88" s="346" t="str">
        <f t="shared" ca="1" si="0"/>
        <v>大冰冻魔法</v>
      </c>
      <c r="B88" s="346" t="s">
        <v>938</v>
      </c>
      <c r="C88" s="346" t="s">
        <v>939</v>
      </c>
      <c r="D88" s="346" t="s">
        <v>938</v>
      </c>
      <c r="E88" s="346"/>
      <c r="F88" s="346" t="s">
        <v>940</v>
      </c>
      <c r="G88" s="346" t="s">
        <v>941</v>
      </c>
      <c r="H88" s="346" t="s">
        <v>942</v>
      </c>
      <c r="I88" s="346"/>
      <c r="J88" s="346" t="s">
        <v>943</v>
      </c>
    </row>
    <row r="89" spans="1:10" x14ac:dyDescent="0.2">
      <c r="A89" s="346" t="str">
        <f t="shared" ca="1" si="0"/>
        <v>大雷击魔法</v>
      </c>
      <c r="B89" s="346" t="s">
        <v>944</v>
      </c>
      <c r="C89" s="346" t="s">
        <v>945</v>
      </c>
      <c r="D89" s="346" t="s">
        <v>946</v>
      </c>
      <c r="E89" s="346"/>
      <c r="F89" s="346" t="s">
        <v>947</v>
      </c>
      <c r="G89" s="346" t="s">
        <v>948</v>
      </c>
      <c r="H89" s="346" t="s">
        <v>949</v>
      </c>
      <c r="I89" s="346"/>
      <c r="J89" s="346" t="s">
        <v>950</v>
      </c>
    </row>
    <row r="90" spans="1:10" x14ac:dyDescent="0.2">
      <c r="A90" s="346" t="str">
        <f t="shared" ca="1" si="0"/>
        <v>硕学王阿雷芬的知识</v>
      </c>
      <c r="B90" s="346" t="s">
        <v>951</v>
      </c>
      <c r="C90" s="346" t="s">
        <v>952</v>
      </c>
      <c r="D90" s="346" t="s">
        <v>953</v>
      </c>
      <c r="E90" s="346"/>
      <c r="F90" s="346" t="s">
        <v>954</v>
      </c>
      <c r="G90" s="346" t="s">
        <v>955</v>
      </c>
      <c r="H90" s="346" t="s">
        <v>956</v>
      </c>
      <c r="I90" s="346"/>
      <c r="J90" s="346" t="s">
        <v>957</v>
      </c>
    </row>
    <row r="91" spans="1:10" x14ac:dyDescent="0.2">
      <c r="A91" s="346" t="str">
        <f t="shared" ca="1" si="0"/>
        <v>收钱</v>
      </c>
      <c r="B91" s="346" t="s">
        <v>958</v>
      </c>
      <c r="C91" s="346" t="s">
        <v>959</v>
      </c>
      <c r="D91" s="346" t="s">
        <v>739</v>
      </c>
      <c r="E91" s="346"/>
      <c r="F91" s="346" t="s">
        <v>960</v>
      </c>
      <c r="G91" s="346" t="s">
        <v>961</v>
      </c>
      <c r="H91" s="346" t="s">
        <v>962</v>
      </c>
      <c r="I91" s="346"/>
      <c r="J91" s="346" t="s">
        <v>963</v>
      </c>
    </row>
    <row r="92" spans="1:10" x14ac:dyDescent="0.2">
      <c r="A92" s="346" t="str">
        <f t="shared" ca="1" si="0"/>
        <v>呼风</v>
      </c>
      <c r="B92" s="346" t="s">
        <v>964</v>
      </c>
      <c r="C92" s="346" t="s">
        <v>965</v>
      </c>
      <c r="D92" s="346" t="s">
        <v>966</v>
      </c>
      <c r="E92" s="346"/>
      <c r="F92" s="346" t="s">
        <v>967</v>
      </c>
      <c r="G92" s="346" t="s">
        <v>968</v>
      </c>
      <c r="H92" s="346" t="s">
        <v>969</v>
      </c>
      <c r="I92" s="346"/>
      <c r="J92" s="346" t="s">
        <v>970</v>
      </c>
    </row>
    <row r="93" spans="1:10" x14ac:dyDescent="0.2">
      <c r="A93" s="346" t="str">
        <f t="shared" ca="1" si="0"/>
        <v>稍作休息</v>
      </c>
      <c r="B93" s="346" t="s">
        <v>971</v>
      </c>
      <c r="C93" s="346" t="s">
        <v>972</v>
      </c>
      <c r="D93" s="346" t="s">
        <v>973</v>
      </c>
      <c r="E93" s="346"/>
      <c r="F93" s="346" t="s">
        <v>974</v>
      </c>
      <c r="G93" s="346" t="s">
        <v>975</v>
      </c>
      <c r="H93" s="346" t="s">
        <v>975</v>
      </c>
      <c r="I93" s="346"/>
      <c r="J93" s="346" t="s">
        <v>976</v>
      </c>
    </row>
    <row r="94" spans="1:10" x14ac:dyDescent="0.2">
      <c r="A94" s="346" t="str">
        <f t="shared" ca="1" si="0"/>
        <v>大呼风</v>
      </c>
      <c r="B94" s="346" t="s">
        <v>977</v>
      </c>
      <c r="C94" s="346" t="s">
        <v>978</v>
      </c>
      <c r="D94" s="346" t="s">
        <v>979</v>
      </c>
      <c r="E94" s="346"/>
      <c r="F94" s="346" t="s">
        <v>980</v>
      </c>
      <c r="G94" s="346" t="s">
        <v>981</v>
      </c>
      <c r="H94" s="346" t="s">
        <v>982</v>
      </c>
      <c r="I94" s="346"/>
      <c r="J94" s="346" t="s">
        <v>983</v>
      </c>
    </row>
    <row r="95" spans="1:10" x14ac:dyDescent="0.2">
      <c r="A95" s="346" t="str">
        <f t="shared" ca="1" si="0"/>
        <v>ＢＰ传递</v>
      </c>
      <c r="B95" s="346" t="s">
        <v>984</v>
      </c>
      <c r="C95" s="346" t="s">
        <v>985</v>
      </c>
      <c r="D95" s="346" t="s">
        <v>986</v>
      </c>
      <c r="E95" s="346"/>
      <c r="F95" s="346" t="s">
        <v>987</v>
      </c>
      <c r="G95" s="346" t="s">
        <v>988</v>
      </c>
      <c r="H95" s="346" t="s">
        <v>989</v>
      </c>
      <c r="I95" s="346"/>
      <c r="J95" s="346" t="s">
        <v>990</v>
      </c>
    </row>
    <row r="96" spans="1:10" x14ac:dyDescent="0.2">
      <c r="A96" s="346" t="str">
        <f t="shared" ca="1" si="0"/>
        <v>紧急回避</v>
      </c>
      <c r="B96" s="346" t="s">
        <v>991</v>
      </c>
      <c r="C96" s="346" t="s">
        <v>992</v>
      </c>
      <c r="D96" s="346" t="s">
        <v>993</v>
      </c>
      <c r="E96" s="346"/>
      <c r="F96" s="346" t="s">
        <v>994</v>
      </c>
      <c r="G96" s="346" t="s">
        <v>995</v>
      </c>
      <c r="H96" s="346" t="s">
        <v>996</v>
      </c>
      <c r="I96" s="346"/>
      <c r="J96" s="346" t="s">
        <v>997</v>
      </c>
    </row>
    <row r="97" spans="1:10" x14ac:dyDescent="0.2">
      <c r="A97" s="346" t="str">
        <f t="shared" ca="1" si="0"/>
        <v>召唤佣兵</v>
      </c>
      <c r="B97" s="346" t="s">
        <v>998</v>
      </c>
      <c r="C97" s="346" t="s">
        <v>999</v>
      </c>
      <c r="D97" s="346" t="s">
        <v>1000</v>
      </c>
      <c r="E97" s="346"/>
      <c r="F97" s="346" t="s">
        <v>1001</v>
      </c>
      <c r="G97" s="346" t="s">
        <v>1002</v>
      </c>
      <c r="H97" s="346" t="s">
        <v>1003</v>
      </c>
      <c r="I97" s="346"/>
      <c r="J97" s="346" t="s">
        <v>1004</v>
      </c>
    </row>
    <row r="98" spans="1:10" x14ac:dyDescent="0.2">
      <c r="A98" s="346" t="str">
        <f t="shared" ca="1" si="0"/>
        <v>绅商伯比菲尔根的心眼</v>
      </c>
      <c r="B98" s="346" t="s">
        <v>1005</v>
      </c>
      <c r="C98" s="346" t="s">
        <v>1006</v>
      </c>
      <c r="D98" s="346" t="s">
        <v>1007</v>
      </c>
      <c r="E98" s="346"/>
      <c r="F98" s="346" t="s">
        <v>1008</v>
      </c>
      <c r="G98" s="346" t="s">
        <v>1009</v>
      </c>
      <c r="H98" s="346" t="s">
        <v>1010</v>
      </c>
      <c r="I98" s="346"/>
      <c r="J98" s="346" t="s">
        <v>1011</v>
      </c>
    </row>
    <row r="99" spans="1:10" x14ac:dyDescent="0.2">
      <c r="A99" s="346" t="str">
        <f t="shared" ca="1" si="0"/>
        <v>横一字斩</v>
      </c>
      <c r="B99" s="346" t="s">
        <v>1012</v>
      </c>
      <c r="C99" s="346" t="s">
        <v>1013</v>
      </c>
      <c r="D99" s="346" t="s">
        <v>1014</v>
      </c>
      <c r="E99" s="346"/>
      <c r="F99" s="346" t="s">
        <v>1015</v>
      </c>
      <c r="G99" s="346" t="s">
        <v>1016</v>
      </c>
      <c r="H99" s="346" t="s">
        <v>1017</v>
      </c>
      <c r="I99" s="346"/>
      <c r="J99" s="346" t="s">
        <v>1018</v>
      </c>
    </row>
    <row r="100" spans="1:10" x14ac:dyDescent="0.2">
      <c r="A100" s="346" t="str">
        <f t="shared" ca="1" si="0"/>
        <v>积攒</v>
      </c>
      <c r="B100" s="346" t="s">
        <v>1019</v>
      </c>
      <c r="C100" s="346" t="s">
        <v>1020</v>
      </c>
      <c r="D100" s="346" t="s">
        <v>1021</v>
      </c>
      <c r="E100" s="346"/>
      <c r="F100" s="346" t="s">
        <v>1022</v>
      </c>
      <c r="G100" s="346" t="s">
        <v>1023</v>
      </c>
      <c r="H100" s="346" t="s">
        <v>1024</v>
      </c>
      <c r="I100" s="346"/>
      <c r="J100" s="346" t="s">
        <v>1025</v>
      </c>
    </row>
    <row r="101" spans="1:10" x14ac:dyDescent="0.2">
      <c r="A101" s="346" t="str">
        <f t="shared" ca="1" si="0"/>
        <v>一番枪</v>
      </c>
      <c r="B101" s="346" t="s">
        <v>1026</v>
      </c>
      <c r="C101" s="346" t="s">
        <v>1027</v>
      </c>
      <c r="D101" s="346" t="s">
        <v>1028</v>
      </c>
      <c r="E101" s="346"/>
      <c r="F101" s="346" t="s">
        <v>1029</v>
      </c>
      <c r="G101" s="346" t="s">
        <v>1030</v>
      </c>
      <c r="H101" s="346" t="s">
        <v>1031</v>
      </c>
      <c r="I101" s="346"/>
      <c r="J101" s="346" t="s">
        <v>1030</v>
      </c>
    </row>
    <row r="102" spans="1:10" x14ac:dyDescent="0.2">
      <c r="A102" s="346" t="str">
        <f t="shared" ca="1" si="0"/>
        <v>挑衅</v>
      </c>
      <c r="B102" s="346" t="s">
        <v>1032</v>
      </c>
      <c r="C102" s="346" t="s">
        <v>1033</v>
      </c>
      <c r="D102" s="346" t="s">
        <v>1034</v>
      </c>
      <c r="E102" s="346"/>
      <c r="F102" s="346" t="s">
        <v>1035</v>
      </c>
      <c r="G102" s="346" t="s">
        <v>1036</v>
      </c>
      <c r="H102" s="346" t="s">
        <v>1037</v>
      </c>
      <c r="I102" s="346"/>
      <c r="J102" s="346" t="s">
        <v>1038</v>
      </c>
    </row>
    <row r="103" spans="1:10" x14ac:dyDescent="0.2">
      <c r="A103" s="346" t="str">
        <f t="shared" ca="1" si="0"/>
        <v>十字斩</v>
      </c>
      <c r="B103" s="346" t="s">
        <v>1039</v>
      </c>
      <c r="C103" s="346" t="s">
        <v>1040</v>
      </c>
      <c r="D103" s="346" t="s">
        <v>1041</v>
      </c>
      <c r="E103" s="346"/>
      <c r="F103" s="346" t="s">
        <v>1042</v>
      </c>
      <c r="G103" s="346" t="s">
        <v>1043</v>
      </c>
      <c r="H103" s="346" t="s">
        <v>1044</v>
      </c>
      <c r="I103" s="346"/>
      <c r="J103" s="346" t="s">
        <v>1045</v>
      </c>
    </row>
    <row r="104" spans="1:10" x14ac:dyDescent="0.2">
      <c r="A104" s="346" t="str">
        <f t="shared" ca="1" si="0"/>
        <v>铁壁</v>
      </c>
      <c r="B104" s="346" t="s">
        <v>1046</v>
      </c>
      <c r="C104" s="346" t="s">
        <v>1047</v>
      </c>
      <c r="D104" s="346" t="s">
        <v>1048</v>
      </c>
      <c r="E104" s="346"/>
      <c r="F104" s="346" t="s">
        <v>1049</v>
      </c>
      <c r="G104" s="346" t="s">
        <v>1050</v>
      </c>
      <c r="H104" s="346" t="s">
        <v>1051</v>
      </c>
      <c r="I104" s="346"/>
      <c r="J104" s="346" t="s">
        <v>1052</v>
      </c>
    </row>
    <row r="105" spans="1:10" x14ac:dyDescent="0.2">
      <c r="A105" s="346" t="str">
        <f t="shared" ca="1" si="0"/>
        <v>千枝枪</v>
      </c>
      <c r="B105" s="346" t="s">
        <v>1053</v>
      </c>
      <c r="C105" s="346" t="s">
        <v>1054</v>
      </c>
      <c r="D105" s="346" t="s">
        <v>1055</v>
      </c>
      <c r="E105" s="346"/>
      <c r="F105" s="346" t="s">
        <v>1056</v>
      </c>
      <c r="G105" s="346" t="s">
        <v>1057</v>
      </c>
      <c r="H105" s="346" t="s">
        <v>1058</v>
      </c>
      <c r="I105" s="346"/>
      <c r="J105" s="346" t="s">
        <v>1059</v>
      </c>
    </row>
    <row r="106" spans="1:10" x14ac:dyDescent="0.2">
      <c r="A106" s="346" t="str">
        <f t="shared" ca="1" si="0"/>
        <v>雷剑将布兰德的刚击</v>
      </c>
      <c r="B106" s="346" t="s">
        <v>1060</v>
      </c>
      <c r="C106" s="346" t="s">
        <v>1061</v>
      </c>
      <c r="D106" s="346" t="s">
        <v>1062</v>
      </c>
      <c r="E106" s="346"/>
      <c r="F106" s="346" t="s">
        <v>1063</v>
      </c>
      <c r="G106" s="346" t="s">
        <v>1064</v>
      </c>
      <c r="H106" s="346" t="s">
        <v>1065</v>
      </c>
      <c r="I106" s="346"/>
      <c r="J106" s="346" t="s">
        <v>1066</v>
      </c>
    </row>
    <row r="107" spans="1:10" x14ac:dyDescent="0.2">
      <c r="A107" s="346" t="str">
        <f t="shared" ca="1" si="0"/>
        <v>狮子之舞</v>
      </c>
      <c r="B107" s="346" t="s">
        <v>1067</v>
      </c>
      <c r="C107" s="346" t="s">
        <v>1068</v>
      </c>
      <c r="D107" s="346" t="s">
        <v>1069</v>
      </c>
      <c r="E107" s="346"/>
      <c r="F107" s="346" t="s">
        <v>1070</v>
      </c>
      <c r="G107" s="346" t="s">
        <v>1071</v>
      </c>
      <c r="H107" s="346" t="s">
        <v>1072</v>
      </c>
      <c r="I107" s="346"/>
      <c r="J107" s="346" t="s">
        <v>1073</v>
      </c>
    </row>
    <row r="108" spans="1:10" x14ac:dyDescent="0.2">
      <c r="A108" s="346" t="str">
        <f t="shared" ca="1" si="0"/>
        <v>月夜之诗</v>
      </c>
      <c r="B108" s="346" t="s">
        <v>1074</v>
      </c>
      <c r="C108" s="346" t="s">
        <v>1075</v>
      </c>
      <c r="D108" s="346" t="s">
        <v>1076</v>
      </c>
      <c r="E108" s="346"/>
      <c r="F108" s="346" t="s">
        <v>1077</v>
      </c>
      <c r="G108" s="346" t="s">
        <v>1078</v>
      </c>
      <c r="H108" s="346" t="s">
        <v>1079</v>
      </c>
      <c r="I108" s="346"/>
      <c r="J108" s="346" t="s">
        <v>1080</v>
      </c>
    </row>
    <row r="109" spans="1:10" x14ac:dyDescent="0.2">
      <c r="A109" s="346" t="str">
        <f t="shared" ca="1" si="0"/>
        <v>孔雀之舞</v>
      </c>
      <c r="B109" s="346" t="s">
        <v>1081</v>
      </c>
      <c r="C109" s="346" t="s">
        <v>1082</v>
      </c>
      <c r="D109" s="346" t="s">
        <v>1083</v>
      </c>
      <c r="E109" s="346"/>
      <c r="F109" s="346" t="s">
        <v>1084</v>
      </c>
      <c r="G109" s="346" t="s">
        <v>1085</v>
      </c>
      <c r="H109" s="346" t="s">
        <v>1085</v>
      </c>
      <c r="I109" s="346"/>
      <c r="J109" s="346" t="s">
        <v>1086</v>
      </c>
    </row>
    <row r="110" spans="1:10" x14ac:dyDescent="0.2">
      <c r="A110" s="346" t="str">
        <f t="shared" ca="1" si="0"/>
        <v>土龙之舞</v>
      </c>
      <c r="B110" s="346" t="s">
        <v>1087</v>
      </c>
      <c r="C110" s="346" t="s">
        <v>1088</v>
      </c>
      <c r="D110" s="346" t="s">
        <v>1089</v>
      </c>
      <c r="E110" s="346"/>
      <c r="F110" s="346" t="s">
        <v>1090</v>
      </c>
      <c r="G110" s="346" t="s">
        <v>1091</v>
      </c>
      <c r="H110" s="346" t="s">
        <v>1092</v>
      </c>
      <c r="I110" s="346"/>
      <c r="J110" s="346" t="s">
        <v>1093</v>
      </c>
    </row>
    <row r="111" spans="1:10" x14ac:dyDescent="0.2">
      <c r="A111" s="346" t="str">
        <f t="shared" ca="1" si="0"/>
        <v>暗夜之诗</v>
      </c>
      <c r="B111" s="346" t="s">
        <v>1094</v>
      </c>
      <c r="C111" s="346" t="s">
        <v>1095</v>
      </c>
      <c r="D111" s="346" t="s">
        <v>1096</v>
      </c>
      <c r="E111" s="346"/>
      <c r="F111" s="346" t="s">
        <v>1097</v>
      </c>
      <c r="G111" s="346" t="s">
        <v>1098</v>
      </c>
      <c r="H111" s="346" t="s">
        <v>1099</v>
      </c>
      <c r="I111" s="346"/>
      <c r="J111" s="346" t="s">
        <v>1100</v>
      </c>
    </row>
    <row r="112" spans="1:10" x14ac:dyDescent="0.2">
      <c r="A112" s="346" t="str">
        <f t="shared" ca="1" si="0"/>
        <v>黑豹之舞</v>
      </c>
      <c r="B112" s="346" t="s">
        <v>1101</v>
      </c>
      <c r="C112" s="346" t="s">
        <v>1102</v>
      </c>
      <c r="D112" s="346" t="s">
        <v>1103</v>
      </c>
      <c r="E112" s="346"/>
      <c r="F112" s="346" t="s">
        <v>1104</v>
      </c>
      <c r="G112" s="346" t="s">
        <v>1105</v>
      </c>
      <c r="H112" s="346" t="s">
        <v>1105</v>
      </c>
      <c r="I112" s="346"/>
      <c r="J112" s="346" t="s">
        <v>1106</v>
      </c>
    </row>
    <row r="113" spans="1:10" x14ac:dyDescent="0.2">
      <c r="A113" s="346" t="str">
        <f t="shared" ca="1" si="0"/>
        <v>百思不解之舞</v>
      </c>
      <c r="B113" s="346" t="s">
        <v>1107</v>
      </c>
      <c r="C113" s="346" t="s">
        <v>1108</v>
      </c>
      <c r="D113" s="346" t="s">
        <v>1109</v>
      </c>
      <c r="E113" s="346"/>
      <c r="F113" s="346" t="s">
        <v>1110</v>
      </c>
      <c r="G113" s="346" t="s">
        <v>1111</v>
      </c>
      <c r="H113" s="346" t="s">
        <v>1111</v>
      </c>
      <c r="I113" s="346"/>
      <c r="J113" s="346" t="s">
        <v>1112</v>
      </c>
    </row>
    <row r="114" spans="1:10" x14ac:dyDescent="0.2">
      <c r="A114" s="346" t="str">
        <f t="shared" ca="1" si="0"/>
        <v>舞姬希尔缇吉的耳语</v>
      </c>
      <c r="B114" s="346" t="s">
        <v>1113</v>
      </c>
      <c r="C114" s="346" t="s">
        <v>1114</v>
      </c>
      <c r="D114" s="346" t="s">
        <v>1115</v>
      </c>
      <c r="E114" s="346"/>
      <c r="F114" s="346" t="s">
        <v>1116</v>
      </c>
      <c r="G114" s="346" t="s">
        <v>1117</v>
      </c>
      <c r="H114" s="346" t="s">
        <v>1118</v>
      </c>
      <c r="I114" s="346"/>
      <c r="J114" s="346" t="s">
        <v>1119</v>
      </c>
    </row>
    <row r="115" spans="1:10" x14ac:dyDescent="0.2">
      <c r="A115" s="346" t="str">
        <f t="shared" ca="1" si="0"/>
        <v>应急处理</v>
      </c>
      <c r="B115" s="346" t="s">
        <v>1120</v>
      </c>
      <c r="C115" s="346" t="s">
        <v>1121</v>
      </c>
      <c r="D115" s="346" t="s">
        <v>1122</v>
      </c>
      <c r="E115" s="346"/>
      <c r="F115" s="346" t="s">
        <v>1123</v>
      </c>
      <c r="G115" s="346" t="s">
        <v>1124</v>
      </c>
      <c r="H115" s="346" t="s">
        <v>1125</v>
      </c>
      <c r="I115" s="346"/>
      <c r="J115" s="346" t="s">
        <v>1126</v>
      </c>
    </row>
    <row r="116" spans="1:10" x14ac:dyDescent="0.2">
      <c r="A116" s="346" t="str">
        <f t="shared" ca="1" si="0"/>
        <v>冰柱</v>
      </c>
      <c r="B116" s="346" t="s">
        <v>1127</v>
      </c>
      <c r="C116" s="346" t="s">
        <v>1128</v>
      </c>
      <c r="D116" s="346" t="s">
        <v>1129</v>
      </c>
      <c r="E116" s="346"/>
      <c r="F116" s="346" t="s">
        <v>1130</v>
      </c>
      <c r="G116" s="346" t="s">
        <v>1131</v>
      </c>
      <c r="H116" s="346" t="s">
        <v>1131</v>
      </c>
      <c r="I116" s="346"/>
      <c r="J116" s="346" t="s">
        <v>1132</v>
      </c>
    </row>
    <row r="117" spans="1:10" x14ac:dyDescent="0.2">
      <c r="A117" s="346" t="str">
        <f t="shared" ca="1" si="0"/>
        <v>健全化</v>
      </c>
      <c r="B117" s="346" t="s">
        <v>1133</v>
      </c>
      <c r="C117" s="346" t="s">
        <v>1134</v>
      </c>
      <c r="D117" s="346" t="s">
        <v>1135</v>
      </c>
      <c r="E117" s="346"/>
      <c r="F117" s="346" t="s">
        <v>1136</v>
      </c>
      <c r="G117" s="346" t="s">
        <v>1137</v>
      </c>
      <c r="H117" s="346" t="s">
        <v>1137</v>
      </c>
      <c r="I117" s="346"/>
      <c r="J117" s="346" t="s">
        <v>1137</v>
      </c>
    </row>
    <row r="118" spans="1:10" x14ac:dyDescent="0.2">
      <c r="A118" s="346" t="str">
        <f t="shared" ca="1" si="0"/>
        <v>大切断</v>
      </c>
      <c r="B118" s="346" t="s">
        <v>1138</v>
      </c>
      <c r="C118" s="346" t="s">
        <v>1139</v>
      </c>
      <c r="D118" s="346" t="s">
        <v>1138</v>
      </c>
      <c r="E118" s="346"/>
      <c r="F118" s="346" t="s">
        <v>1140</v>
      </c>
      <c r="G118" s="346" t="s">
        <v>1141</v>
      </c>
      <c r="H118" s="346" t="s">
        <v>1142</v>
      </c>
      <c r="I118" s="346"/>
      <c r="J118" s="346" t="s">
        <v>1142</v>
      </c>
    </row>
    <row r="119" spans="1:10" x14ac:dyDescent="0.2">
      <c r="A119" s="346" t="str">
        <f t="shared" ca="1" si="0"/>
        <v>毒处方</v>
      </c>
      <c r="B119" s="346" t="s">
        <v>1143</v>
      </c>
      <c r="C119" s="346" t="s">
        <v>1144</v>
      </c>
      <c r="D119" s="346" t="s">
        <v>1145</v>
      </c>
      <c r="E119" s="346"/>
      <c r="F119" s="346" t="s">
        <v>1146</v>
      </c>
      <c r="G119" s="346" t="s">
        <v>1147</v>
      </c>
      <c r="H119" s="346" t="s">
        <v>1148</v>
      </c>
      <c r="I119" s="346"/>
      <c r="J119" s="346" t="s">
        <v>1149</v>
      </c>
    </row>
    <row r="120" spans="1:10" x14ac:dyDescent="0.2">
      <c r="A120" s="346" t="str">
        <f t="shared" ca="1" si="0"/>
        <v>复活处理</v>
      </c>
      <c r="B120" s="346" t="s">
        <v>1150</v>
      </c>
      <c r="C120" s="346" t="s">
        <v>1151</v>
      </c>
      <c r="D120" s="346" t="s">
        <v>1152</v>
      </c>
      <c r="E120" s="346"/>
      <c r="F120" s="346" t="s">
        <v>1153</v>
      </c>
      <c r="G120" s="346" t="s">
        <v>1154</v>
      </c>
      <c r="H120" s="346" t="s">
        <v>1155</v>
      </c>
      <c r="I120" s="346"/>
      <c r="J120" s="346" t="s">
        <v>1156</v>
      </c>
    </row>
    <row r="121" spans="1:10" x14ac:dyDescent="0.2">
      <c r="A121" s="346" t="str">
        <f t="shared" ca="1" si="0"/>
        <v>死里求生斩</v>
      </c>
      <c r="B121" s="346" t="s">
        <v>1157</v>
      </c>
      <c r="C121" s="346" t="s">
        <v>1158</v>
      </c>
      <c r="D121" s="346" t="s">
        <v>1159</v>
      </c>
      <c r="E121" s="346"/>
      <c r="F121" s="346" t="s">
        <v>1160</v>
      </c>
      <c r="G121" s="346" t="s">
        <v>1161</v>
      </c>
      <c r="H121" s="346" t="s">
        <v>1162</v>
      </c>
      <c r="I121" s="346"/>
      <c r="J121" s="346" t="s">
        <v>1163</v>
      </c>
    </row>
    <row r="122" spans="1:10" x14ac:dyDescent="0.2">
      <c r="A122" s="346" t="str">
        <f t="shared" ca="1" si="0"/>
        <v>灵药公德塔的恩惠</v>
      </c>
      <c r="B122" s="346" t="s">
        <v>1164</v>
      </c>
      <c r="C122" s="346" t="s">
        <v>1165</v>
      </c>
      <c r="D122" s="346" t="s">
        <v>1166</v>
      </c>
      <c r="E122" s="346"/>
      <c r="F122" s="346" t="s">
        <v>1167</v>
      </c>
      <c r="G122" s="346" t="s">
        <v>1168</v>
      </c>
      <c r="H122" s="346" t="s">
        <v>1169</v>
      </c>
      <c r="I122" s="346"/>
      <c r="J122" s="346" t="s">
        <v>1170</v>
      </c>
    </row>
    <row r="123" spans="1:10" x14ac:dyDescent="0.2">
      <c r="A123" s="346" t="str">
        <f t="shared" ca="1" si="0"/>
        <v>偷取</v>
      </c>
      <c r="B123" s="346" t="s">
        <v>710</v>
      </c>
      <c r="C123" s="346" t="s">
        <v>711</v>
      </c>
      <c r="D123" s="346" t="s">
        <v>1171</v>
      </c>
      <c r="E123" s="346"/>
      <c r="F123" s="346" t="s">
        <v>1172</v>
      </c>
      <c r="G123" s="346" t="s">
        <v>714</v>
      </c>
      <c r="H123" s="346" t="s">
        <v>714</v>
      </c>
      <c r="I123" s="346"/>
      <c r="J123" s="346" t="s">
        <v>715</v>
      </c>
    </row>
    <row r="124" spans="1:10" x14ac:dyDescent="0.2">
      <c r="A124" s="346" t="str">
        <f t="shared" ca="1" si="0"/>
        <v>鬼火</v>
      </c>
      <c r="B124" s="346" t="s">
        <v>1173</v>
      </c>
      <c r="C124" s="346" t="s">
        <v>1174</v>
      </c>
      <c r="D124" s="346" t="s">
        <v>1175</v>
      </c>
      <c r="E124" s="346"/>
      <c r="F124" s="346" t="s">
        <v>1176</v>
      </c>
      <c r="G124" s="346" t="s">
        <v>1177</v>
      </c>
      <c r="H124" s="346" t="s">
        <v>1177</v>
      </c>
      <c r="I124" s="346"/>
      <c r="J124" s="346" t="s">
        <v>1177</v>
      </c>
    </row>
    <row r="125" spans="1:10" x14ac:dyDescent="0.2">
      <c r="A125" s="346" t="str">
        <f t="shared" ca="1" si="0"/>
        <v>吸血匕首</v>
      </c>
      <c r="B125" s="346" t="s">
        <v>1178</v>
      </c>
      <c r="C125" s="346" t="s">
        <v>1179</v>
      </c>
      <c r="D125" s="346" t="s">
        <v>1180</v>
      </c>
      <c r="E125" s="346"/>
      <c r="F125" s="346" t="s">
        <v>1181</v>
      </c>
      <c r="G125" s="346" t="s">
        <v>1182</v>
      </c>
      <c r="H125" s="346" t="s">
        <v>1182</v>
      </c>
      <c r="I125" s="346"/>
      <c r="J125" s="346" t="s">
        <v>1183</v>
      </c>
    </row>
    <row r="126" spans="1:10" x14ac:dyDescent="0.2">
      <c r="A126" s="346" t="str">
        <f t="shared" ca="1" si="0"/>
        <v>蝙蝠</v>
      </c>
      <c r="B126" s="346" t="s">
        <v>1184</v>
      </c>
      <c r="C126" s="346" t="s">
        <v>1185</v>
      </c>
      <c r="D126" s="346" t="s">
        <v>1186</v>
      </c>
      <c r="E126" s="346"/>
      <c r="F126" s="346" t="s">
        <v>1187</v>
      </c>
      <c r="G126" s="346" t="s">
        <v>1188</v>
      </c>
      <c r="H126" s="346" t="s">
        <v>1188</v>
      </c>
      <c r="I126" s="346"/>
      <c r="J126" s="346" t="s">
        <v>1189</v>
      </c>
    </row>
    <row r="127" spans="1:10" x14ac:dyDescent="0.2">
      <c r="A127" s="346" t="str">
        <f t="shared" ca="1" si="0"/>
        <v>猫头鹰</v>
      </c>
      <c r="B127" s="346" t="s">
        <v>1190</v>
      </c>
      <c r="C127" s="346" t="s">
        <v>1191</v>
      </c>
      <c r="D127" s="346" t="s">
        <v>1192</v>
      </c>
      <c r="E127" s="346"/>
      <c r="F127" s="346" t="s">
        <v>1193</v>
      </c>
      <c r="G127" s="346" t="s">
        <v>1194</v>
      </c>
      <c r="H127" s="346" t="s">
        <v>1195</v>
      </c>
      <c r="I127" s="346"/>
      <c r="J127" s="346" t="s">
        <v>1196</v>
      </c>
    </row>
    <row r="128" spans="1:10" x14ac:dyDescent="0.2">
      <c r="A128" s="346" t="str">
        <f t="shared" ca="1" si="0"/>
        <v>吸魔匕首</v>
      </c>
      <c r="B128" s="346" t="s">
        <v>1197</v>
      </c>
      <c r="C128" s="346" t="s">
        <v>1198</v>
      </c>
      <c r="D128" s="346" t="s">
        <v>1199</v>
      </c>
      <c r="E128" s="346"/>
      <c r="F128" s="346" t="s">
        <v>1200</v>
      </c>
      <c r="G128" s="346" t="s">
        <v>1201</v>
      </c>
      <c r="H128" s="346" t="s">
        <v>1201</v>
      </c>
      <c r="I128" s="346"/>
      <c r="J128" s="346" t="s">
        <v>1202</v>
      </c>
    </row>
    <row r="129" spans="1:10" x14ac:dyDescent="0.2">
      <c r="A129" s="346" t="str">
        <f t="shared" ca="1" si="0"/>
        <v>ＳＰ传递</v>
      </c>
      <c r="B129" s="346" t="s">
        <v>1203</v>
      </c>
      <c r="C129" s="346" t="s">
        <v>1204</v>
      </c>
      <c r="D129" s="346" t="s">
        <v>1205</v>
      </c>
      <c r="E129" s="346"/>
      <c r="F129" s="346" t="s">
        <v>1206</v>
      </c>
      <c r="G129" s="346" t="s">
        <v>1207</v>
      </c>
      <c r="H129" s="346" t="s">
        <v>1208</v>
      </c>
      <c r="I129" s="346"/>
      <c r="J129" s="346" t="s">
        <v>1209</v>
      </c>
    </row>
    <row r="130" spans="1:10" x14ac:dyDescent="0.2">
      <c r="A130" s="346" t="str">
        <f t="shared" ca="1" si="0"/>
        <v>盗公子埃伯尔的钩爪</v>
      </c>
      <c r="B130" s="346" t="s">
        <v>1210</v>
      </c>
      <c r="C130" s="346" t="s">
        <v>1211</v>
      </c>
      <c r="D130" s="346" t="s">
        <v>1212</v>
      </c>
      <c r="E130" s="346"/>
      <c r="F130" s="346" t="s">
        <v>1213</v>
      </c>
      <c r="G130" s="346" t="s">
        <v>1214</v>
      </c>
      <c r="H130" s="346" t="s">
        <v>1215</v>
      </c>
      <c r="I130" s="346"/>
      <c r="J130" s="346" t="s">
        <v>1216</v>
      </c>
    </row>
    <row r="131" spans="1:10" x14ac:dyDescent="0.2">
      <c r="A131" s="346" t="str">
        <f t="shared" ca="1" si="0"/>
        <v>五月雨箭</v>
      </c>
      <c r="B131" s="346" t="s">
        <v>1217</v>
      </c>
      <c r="C131" s="346" t="s">
        <v>1218</v>
      </c>
      <c r="D131" s="346" t="s">
        <v>1219</v>
      </c>
      <c r="E131" s="346"/>
      <c r="F131" s="346" t="s">
        <v>1220</v>
      </c>
      <c r="G131" s="346" t="s">
        <v>1221</v>
      </c>
      <c r="H131" s="346" t="s">
        <v>1221</v>
      </c>
      <c r="I131" s="346"/>
      <c r="J131" s="346" t="s">
        <v>1222</v>
      </c>
    </row>
    <row r="132" spans="1:10" x14ac:dyDescent="0.2">
      <c r="A132" s="346" t="str">
        <f t="shared" ca="1" si="0"/>
        <v>会心之箭</v>
      </c>
      <c r="B132" s="346" t="s">
        <v>1223</v>
      </c>
      <c r="C132" s="346" t="s">
        <v>1224</v>
      </c>
      <c r="D132" s="346" t="s">
        <v>1225</v>
      </c>
      <c r="E132" s="346"/>
      <c r="F132" s="346" t="s">
        <v>1226</v>
      </c>
      <c r="G132" s="346" t="s">
        <v>1227</v>
      </c>
      <c r="H132" s="346" t="s">
        <v>1228</v>
      </c>
      <c r="I132" s="346"/>
      <c r="J132" s="346" t="s">
        <v>1229</v>
      </c>
    </row>
    <row r="133" spans="1:10" x14ac:dyDescent="0.2">
      <c r="A133" s="346" t="str">
        <f t="shared" ca="1" si="0"/>
        <v>雷鸟</v>
      </c>
      <c r="B133" s="346" t="s">
        <v>1230</v>
      </c>
      <c r="C133" s="346" t="s">
        <v>1231</v>
      </c>
      <c r="D133" s="346" t="s">
        <v>1232</v>
      </c>
      <c r="E133" s="346"/>
      <c r="F133" s="346" t="s">
        <v>1233</v>
      </c>
      <c r="G133" s="346" t="s">
        <v>1234</v>
      </c>
      <c r="H133" s="346" t="s">
        <v>1235</v>
      </c>
      <c r="I133" s="346"/>
      <c r="J133" s="346" t="s">
        <v>1234</v>
      </c>
    </row>
    <row r="134" spans="1:10" x14ac:dyDescent="0.2">
      <c r="A134" s="346" t="str">
        <f t="shared" ca="1" si="0"/>
        <v>黏着捕网</v>
      </c>
      <c r="B134" s="346" t="s">
        <v>1236</v>
      </c>
      <c r="C134" s="346" t="s">
        <v>1237</v>
      </c>
      <c r="D134" s="346" t="s">
        <v>1238</v>
      </c>
      <c r="E134" s="346"/>
      <c r="F134" s="346" t="s">
        <v>1239</v>
      </c>
      <c r="G134" s="346" t="s">
        <v>1240</v>
      </c>
      <c r="H134" s="346" t="s">
        <v>1241</v>
      </c>
      <c r="I134" s="346"/>
      <c r="J134" s="346" t="s">
        <v>1242</v>
      </c>
    </row>
    <row r="135" spans="1:10" x14ac:dyDescent="0.2">
      <c r="A135" s="346" t="str">
        <f t="shared" ca="1" si="0"/>
        <v>点到为止</v>
      </c>
      <c r="B135" s="346" t="s">
        <v>1243</v>
      </c>
      <c r="C135" s="346" t="s">
        <v>1244</v>
      </c>
      <c r="D135" s="346" t="s">
        <v>1245</v>
      </c>
      <c r="E135" s="346"/>
      <c r="F135" s="346" t="s">
        <v>1246</v>
      </c>
      <c r="G135" s="346" t="s">
        <v>1247</v>
      </c>
      <c r="H135" s="346" t="s">
        <v>1248</v>
      </c>
      <c r="I135" s="346"/>
      <c r="J135" s="346" t="s">
        <v>1249</v>
      </c>
    </row>
    <row r="136" spans="1:10" x14ac:dyDescent="0.2">
      <c r="A136" s="346" t="str">
        <f t="shared" ca="1" si="0"/>
        <v>箭雨</v>
      </c>
      <c r="B136" s="346" t="s">
        <v>1250</v>
      </c>
      <c r="C136" s="346" t="s">
        <v>1251</v>
      </c>
      <c r="D136" s="346" t="s">
        <v>1252</v>
      </c>
      <c r="E136" s="346"/>
      <c r="F136" s="346" t="s">
        <v>1253</v>
      </c>
      <c r="G136" s="346" t="s">
        <v>1254</v>
      </c>
      <c r="H136" s="346" t="s">
        <v>1254</v>
      </c>
      <c r="I136" s="346"/>
      <c r="J136" s="346" t="s">
        <v>1255</v>
      </c>
    </row>
    <row r="137" spans="1:10" x14ac:dyDescent="0.2">
      <c r="A137" s="346" t="str">
        <f t="shared" ca="1" si="0"/>
        <v>瞄准目标</v>
      </c>
      <c r="B137" s="346" t="s">
        <v>1256</v>
      </c>
      <c r="C137" s="346" t="s">
        <v>1257</v>
      </c>
      <c r="D137" s="346" t="s">
        <v>1258</v>
      </c>
      <c r="E137" s="346"/>
      <c r="F137" s="346" t="s">
        <v>1259</v>
      </c>
      <c r="G137" s="346" t="s">
        <v>1260</v>
      </c>
      <c r="H137" s="346" t="s">
        <v>1261</v>
      </c>
      <c r="I137" s="346"/>
      <c r="J137" s="346" t="s">
        <v>1262</v>
      </c>
    </row>
    <row r="138" spans="1:10" x14ac:dyDescent="0.2">
      <c r="A138" s="346" t="str">
        <f t="shared" ca="1" si="0"/>
        <v>狩猎女王德雷芳朵的猛追</v>
      </c>
      <c r="B138" s="346" t="s">
        <v>1263</v>
      </c>
      <c r="C138" s="346" t="s">
        <v>1264</v>
      </c>
      <c r="D138" s="346" t="s">
        <v>1265</v>
      </c>
      <c r="E138" s="346"/>
      <c r="F138" s="346" t="s">
        <v>1266</v>
      </c>
      <c r="G138" s="346" t="s">
        <v>1267</v>
      </c>
      <c r="H138" s="346" t="s">
        <v>1268</v>
      </c>
      <c r="I138" s="346"/>
      <c r="J138" s="346" t="s">
        <v>1269</v>
      </c>
    </row>
    <row r="139" spans="1:10" x14ac:dyDescent="0.2">
      <c r="A139" s="346" t="str">
        <f t="shared" ca="1" si="0"/>
        <v>流星</v>
      </c>
      <c r="B139" s="346" t="s">
        <v>1270</v>
      </c>
      <c r="C139" s="346" t="s">
        <v>1271</v>
      </c>
      <c r="D139" s="346" t="s">
        <v>1272</v>
      </c>
      <c r="E139" s="346"/>
      <c r="F139" s="346" t="s">
        <v>1273</v>
      </c>
      <c r="G139" s="346" t="s">
        <v>1274</v>
      </c>
      <c r="H139" s="346" t="s">
        <v>1274</v>
      </c>
      <c r="I139" s="346"/>
      <c r="J139" s="346" t="s">
        <v>1274</v>
      </c>
    </row>
    <row r="140" spans="1:10" x14ac:dyDescent="0.2">
      <c r="A140" s="346" t="str">
        <f t="shared" ca="1" si="0"/>
        <v>ＢＰ增幅循环</v>
      </c>
      <c r="B140" s="346" t="s">
        <v>1275</v>
      </c>
      <c r="C140" s="346" t="s">
        <v>1276</v>
      </c>
      <c r="D140" s="346" t="s">
        <v>1277</v>
      </c>
      <c r="E140" s="346"/>
      <c r="F140" s="346" t="s">
        <v>1278</v>
      </c>
      <c r="G140" s="346" t="s">
        <v>1279</v>
      </c>
      <c r="H140" s="346" t="s">
        <v>1280</v>
      </c>
      <c r="I140" s="346"/>
      <c r="J140" s="346" t="s">
        <v>1281</v>
      </c>
    </row>
    <row r="141" spans="1:10" x14ac:dyDescent="0.2">
      <c r="A141" s="346" t="str">
        <f t="shared" ca="1" si="0"/>
        <v>会心循环</v>
      </c>
      <c r="B141" s="346" t="s">
        <v>1282</v>
      </c>
      <c r="C141" s="346" t="s">
        <v>1283</v>
      </c>
      <c r="D141" s="346" t="s">
        <v>1282</v>
      </c>
      <c r="E141" s="346"/>
      <c r="F141" s="346" t="s">
        <v>1284</v>
      </c>
      <c r="G141" s="346" t="s">
        <v>1285</v>
      </c>
      <c r="H141" s="346" t="s">
        <v>1286</v>
      </c>
      <c r="I141" s="346"/>
      <c r="J141" s="346" t="s">
        <v>1287</v>
      </c>
    </row>
    <row r="142" spans="1:10" x14ac:dyDescent="0.2">
      <c r="A142" s="346" t="str">
        <f t="shared" ca="1" si="0"/>
        <v>星咏之歌</v>
      </c>
      <c r="B142" s="346" t="s">
        <v>1288</v>
      </c>
      <c r="C142" s="346" t="s">
        <v>1289</v>
      </c>
      <c r="D142" s="346" t="s">
        <v>1290</v>
      </c>
      <c r="E142" s="346"/>
      <c r="F142" s="346" t="s">
        <v>1291</v>
      </c>
      <c r="G142" s="346" t="s">
        <v>1292</v>
      </c>
      <c r="H142" s="346" t="s">
        <v>1293</v>
      </c>
      <c r="I142" s="346"/>
      <c r="J142" s="346" t="s">
        <v>1294</v>
      </c>
    </row>
    <row r="143" spans="1:10" x14ac:dyDescent="0.2">
      <c r="A143" s="346" t="str">
        <f t="shared" ca="1" si="0"/>
        <v>消除循环</v>
      </c>
      <c r="B143" s="346" t="s">
        <v>1295</v>
      </c>
      <c r="C143" s="346" t="s">
        <v>1296</v>
      </c>
      <c r="D143" s="346" t="s">
        <v>1297</v>
      </c>
      <c r="E143" s="346"/>
      <c r="F143" s="346" t="s">
        <v>1298</v>
      </c>
      <c r="G143" s="346" t="s">
        <v>1299</v>
      </c>
      <c r="H143" s="346" t="s">
        <v>1300</v>
      </c>
      <c r="I143" s="346"/>
      <c r="J143" s="346" t="s">
        <v>1301</v>
      </c>
    </row>
    <row r="144" spans="1:10" x14ac:dyDescent="0.2">
      <c r="A144" s="346" t="str">
        <f t="shared" ca="1" si="0"/>
        <v>持续恢复魔法</v>
      </c>
      <c r="B144" s="346" t="s">
        <v>1302</v>
      </c>
      <c r="C144" s="346" t="s">
        <v>1303</v>
      </c>
      <c r="D144" s="346" t="s">
        <v>1304</v>
      </c>
      <c r="E144" s="346"/>
      <c r="F144" s="346" t="s">
        <v>1305</v>
      </c>
      <c r="G144" s="346" t="s">
        <v>1306</v>
      </c>
      <c r="H144" s="346" t="s">
        <v>1307</v>
      </c>
      <c r="I144" s="346"/>
      <c r="J144" s="346" t="s">
        <v>1308</v>
      </c>
    </row>
    <row r="145" spans="1:10" x14ac:dyDescent="0.2">
      <c r="A145" s="346" t="str">
        <f t="shared" ca="1" si="0"/>
        <v>反击循环</v>
      </c>
      <c r="B145" s="346" t="s">
        <v>1309</v>
      </c>
      <c r="C145" s="346" t="s">
        <v>1310</v>
      </c>
      <c r="D145" s="346" t="s">
        <v>1311</v>
      </c>
      <c r="E145" s="346"/>
      <c r="F145" s="346" t="s">
        <v>1312</v>
      </c>
      <c r="G145" s="346" t="s">
        <v>1313</v>
      </c>
      <c r="H145" s="346" t="s">
        <v>1314</v>
      </c>
      <c r="I145" s="346"/>
      <c r="J145" s="346" t="s">
        <v>1315</v>
      </c>
    </row>
    <row r="146" spans="1:10" x14ac:dyDescent="0.2">
      <c r="A146" s="346" t="str">
        <f t="shared" ca="1" si="0"/>
        <v>占星师史黛欧拉的预言</v>
      </c>
      <c r="B146" s="346" t="s">
        <v>1316</v>
      </c>
      <c r="C146" s="346" t="s">
        <v>1317</v>
      </c>
      <c r="D146" s="346" t="s">
        <v>1318</v>
      </c>
      <c r="E146" s="346"/>
      <c r="F146" s="346" t="s">
        <v>1319</v>
      </c>
      <c r="G146" s="346" t="s">
        <v>1320</v>
      </c>
      <c r="H146" s="346" t="s">
        <v>1321</v>
      </c>
      <c r="I146" s="346"/>
      <c r="J146" s="346" t="s">
        <v>1322</v>
      </c>
    </row>
    <row r="147" spans="1:10" x14ac:dyDescent="0.2">
      <c r="A147" s="346" t="str">
        <f t="shared" ca="1" si="0"/>
        <v>火之符文</v>
      </c>
      <c r="B147" s="346" t="s">
        <v>1323</v>
      </c>
      <c r="C147" s="346" t="s">
        <v>1324</v>
      </c>
      <c r="D147" s="346" t="s">
        <v>1325</v>
      </c>
      <c r="E147" s="346"/>
      <c r="F147" s="346" t="s">
        <v>1326</v>
      </c>
      <c r="G147" s="346" t="s">
        <v>1327</v>
      </c>
      <c r="H147" s="346" t="s">
        <v>1327</v>
      </c>
      <c r="I147" s="346"/>
      <c r="J147" s="346" t="s">
        <v>1328</v>
      </c>
    </row>
    <row r="148" spans="1:10" x14ac:dyDescent="0.2">
      <c r="A148" s="346" t="str">
        <f t="shared" ca="1" si="0"/>
        <v>冰之符文</v>
      </c>
      <c r="B148" s="346" t="s">
        <v>1329</v>
      </c>
      <c r="C148" s="346" t="s">
        <v>1330</v>
      </c>
      <c r="D148" s="346" t="s">
        <v>1331</v>
      </c>
      <c r="E148" s="346"/>
      <c r="F148" s="346" t="s">
        <v>1332</v>
      </c>
      <c r="G148" s="346" t="s">
        <v>1333</v>
      </c>
      <c r="H148" s="346" t="s">
        <v>1333</v>
      </c>
      <c r="I148" s="346"/>
      <c r="J148" s="346" t="s">
        <v>1334</v>
      </c>
    </row>
    <row r="149" spans="1:10" x14ac:dyDescent="0.2">
      <c r="A149" s="346" t="str">
        <f t="shared" ca="1" si="0"/>
        <v>雷之符文</v>
      </c>
      <c r="B149" s="346" t="s">
        <v>1335</v>
      </c>
      <c r="C149" s="348" t="s">
        <v>1336</v>
      </c>
      <c r="D149" s="346" t="s">
        <v>1337</v>
      </c>
      <c r="E149" s="346"/>
      <c r="F149" s="346" t="s">
        <v>1338</v>
      </c>
      <c r="G149" s="346" t="s">
        <v>1339</v>
      </c>
      <c r="H149" s="346" t="s">
        <v>1339</v>
      </c>
      <c r="I149" s="346"/>
      <c r="J149" s="346" t="s">
        <v>1340</v>
      </c>
    </row>
    <row r="150" spans="1:10" x14ac:dyDescent="0.2">
      <c r="A150" s="346" t="str">
        <f t="shared" ca="1" si="0"/>
        <v>风之符文</v>
      </c>
      <c r="B150" s="346" t="s">
        <v>1341</v>
      </c>
      <c r="C150" s="348" t="s">
        <v>1342</v>
      </c>
      <c r="D150" s="346" t="s">
        <v>1343</v>
      </c>
      <c r="E150" s="346"/>
      <c r="F150" s="346" t="s">
        <v>1344</v>
      </c>
      <c r="G150" s="346" t="s">
        <v>1345</v>
      </c>
      <c r="H150" s="346" t="s">
        <v>1346</v>
      </c>
      <c r="I150" s="346"/>
      <c r="J150" s="346" t="s">
        <v>1347</v>
      </c>
    </row>
    <row r="151" spans="1:10" x14ac:dyDescent="0.2">
      <c r="A151" s="346" t="str">
        <f t="shared" ca="1" si="0"/>
        <v>暗之符文</v>
      </c>
      <c r="B151" s="346" t="s">
        <v>1348</v>
      </c>
      <c r="C151" s="348" t="s">
        <v>1349</v>
      </c>
      <c r="D151" s="346" t="s">
        <v>1350</v>
      </c>
      <c r="E151" s="346"/>
      <c r="F151" s="346" t="s">
        <v>1351</v>
      </c>
      <c r="G151" s="346" t="s">
        <v>1352</v>
      </c>
      <c r="H151" s="346" t="s">
        <v>1353</v>
      </c>
      <c r="I151" s="346"/>
      <c r="J151" s="346" t="s">
        <v>1354</v>
      </c>
    </row>
    <row r="152" spans="1:10" x14ac:dyDescent="0.2">
      <c r="A152" s="346" t="str">
        <f t="shared" ca="1" si="0"/>
        <v>光之符文</v>
      </c>
      <c r="B152" s="346" t="s">
        <v>1355</v>
      </c>
      <c r="C152" s="346" t="s">
        <v>1356</v>
      </c>
      <c r="D152" s="346" t="s">
        <v>1357</v>
      </c>
      <c r="E152" s="346"/>
      <c r="F152" s="346" t="s">
        <v>1358</v>
      </c>
      <c r="G152" s="346" t="s">
        <v>1359</v>
      </c>
      <c r="H152" s="346" t="s">
        <v>1359</v>
      </c>
      <c r="I152" s="346"/>
      <c r="J152" s="346" t="s">
        <v>1360</v>
      </c>
    </row>
    <row r="153" spans="1:10" x14ac:dyDescent="0.2">
      <c r="A153" s="346" t="str">
        <f t="shared" ca="1" si="0"/>
        <v>扩散之符文</v>
      </c>
      <c r="B153" s="346" t="s">
        <v>1361</v>
      </c>
      <c r="C153" s="346" t="s">
        <v>1362</v>
      </c>
      <c r="D153" s="346" t="s">
        <v>1363</v>
      </c>
      <c r="E153" s="346"/>
      <c r="F153" s="346" t="s">
        <v>1364</v>
      </c>
      <c r="G153" s="346" t="s">
        <v>1365</v>
      </c>
      <c r="H153" s="346" t="s">
        <v>1366</v>
      </c>
      <c r="I153" s="346"/>
      <c r="J153" s="346" t="s">
        <v>1367</v>
      </c>
    </row>
    <row r="154" spans="1:10" x14ac:dyDescent="0.2">
      <c r="A154" s="346" t="str">
        <f t="shared" ca="1" si="0"/>
        <v>魔剑士巴罗格的霸气</v>
      </c>
      <c r="B154" s="346" t="s">
        <v>1368</v>
      </c>
      <c r="C154" s="346" t="s">
        <v>1369</v>
      </c>
      <c r="D154" s="346" t="s">
        <v>1370</v>
      </c>
      <c r="E154" s="346"/>
      <c r="F154" s="346" t="s">
        <v>1371</v>
      </c>
      <c r="G154" s="346" t="s">
        <v>1372</v>
      </c>
      <c r="H154" s="346" t="s">
        <v>1373</v>
      </c>
      <c r="I154" s="346"/>
      <c r="J154" s="346" t="s">
        <v>1374</v>
      </c>
    </row>
    <row r="155" spans="1:10" x14ac:dyDescent="0.2">
      <c r="A155" s="346" t="str">
        <f t="shared" ca="1" si="0"/>
        <v>剑之武艺：高丽犬</v>
      </c>
      <c r="B155" s="346" t="s">
        <v>1375</v>
      </c>
      <c r="C155" s="346" t="s">
        <v>1376</v>
      </c>
      <c r="D155" s="346" t="s">
        <v>1377</v>
      </c>
      <c r="E155" s="346"/>
      <c r="F155" s="346" t="s">
        <v>1378</v>
      </c>
      <c r="G155" s="346" t="s">
        <v>1379</v>
      </c>
      <c r="H155" s="346" t="s">
        <v>1380</v>
      </c>
      <c r="I155" s="346"/>
      <c r="J155" s="346" t="s">
        <v>1381</v>
      </c>
    </row>
    <row r="156" spans="1:10" x14ac:dyDescent="0.2">
      <c r="A156" s="346" t="str">
        <f t="shared" ca="1" si="0"/>
        <v>斧之武艺：猛虎</v>
      </c>
      <c r="B156" s="346" t="s">
        <v>1382</v>
      </c>
      <c r="C156" s="346" t="s">
        <v>1383</v>
      </c>
      <c r="D156" s="346" t="s">
        <v>1384</v>
      </c>
      <c r="E156" s="346"/>
      <c r="F156" s="346" t="s">
        <v>1385</v>
      </c>
      <c r="G156" s="346" t="s">
        <v>1386</v>
      </c>
      <c r="H156" s="346" t="s">
        <v>1387</v>
      </c>
      <c r="I156" s="346"/>
      <c r="J156" s="346" t="s">
        <v>1388</v>
      </c>
    </row>
    <row r="157" spans="1:10" x14ac:dyDescent="0.2">
      <c r="A157" s="346" t="str">
        <f t="shared" ca="1" si="0"/>
        <v>枪之武艺：麒麟</v>
      </c>
      <c r="B157" s="346" t="s">
        <v>1389</v>
      </c>
      <c r="C157" s="346" t="s">
        <v>1390</v>
      </c>
      <c r="D157" s="346" t="s">
        <v>1391</v>
      </c>
      <c r="E157" s="346"/>
      <c r="F157" s="346" t="s">
        <v>1392</v>
      </c>
      <c r="G157" s="346" t="s">
        <v>1393</v>
      </c>
      <c r="H157" s="346" t="s">
        <v>1394</v>
      </c>
      <c r="I157" s="346"/>
      <c r="J157" s="346" t="s">
        <v>1395</v>
      </c>
    </row>
    <row r="158" spans="1:10" x14ac:dyDescent="0.2">
      <c r="A158" s="346" t="str">
        <f t="shared" ca="1" si="0"/>
        <v>短剑之武艺：八咫鸟</v>
      </c>
      <c r="B158" s="346" t="s">
        <v>1396</v>
      </c>
      <c r="C158" s="346" t="s">
        <v>1396</v>
      </c>
      <c r="D158" s="346" t="s">
        <v>1396</v>
      </c>
      <c r="E158" s="346"/>
      <c r="F158" s="346" t="s">
        <v>1396</v>
      </c>
      <c r="G158" s="346" t="s">
        <v>1397</v>
      </c>
      <c r="H158" s="346" t="s">
        <v>1398</v>
      </c>
      <c r="I158" s="346"/>
      <c r="J158" s="346" t="s">
        <v>1399</v>
      </c>
    </row>
    <row r="159" spans="1:10" x14ac:dyDescent="0.2">
      <c r="A159" s="346" t="str">
        <f t="shared" ca="1" si="0"/>
        <v>杖之武艺：妖狐</v>
      </c>
      <c r="B159" s="346" t="s">
        <v>1400</v>
      </c>
      <c r="C159" s="346" t="s">
        <v>1401</v>
      </c>
      <c r="D159" s="346" t="s">
        <v>1402</v>
      </c>
      <c r="E159" s="346"/>
      <c r="F159" s="346" t="s">
        <v>1403</v>
      </c>
      <c r="G159" s="346" t="s">
        <v>1404</v>
      </c>
      <c r="H159" s="346" t="s">
        <v>1405</v>
      </c>
      <c r="I159" s="346"/>
      <c r="J159" s="346" t="s">
        <v>1406</v>
      </c>
    </row>
    <row r="160" spans="1:10" x14ac:dyDescent="0.2">
      <c r="A160" s="346" t="str">
        <f t="shared" ca="1" si="0"/>
        <v>弓之武艺：凤凰</v>
      </c>
      <c r="B160" s="346" t="s">
        <v>1407</v>
      </c>
      <c r="C160" s="346" t="s">
        <v>1408</v>
      </c>
      <c r="D160" s="346" t="s">
        <v>1409</v>
      </c>
      <c r="E160" s="346"/>
      <c r="F160" s="346" t="s">
        <v>1410</v>
      </c>
      <c r="G160" s="346" t="s">
        <v>1411</v>
      </c>
      <c r="H160" s="346" t="s">
        <v>1412</v>
      </c>
      <c r="I160" s="346"/>
      <c r="J160" s="346" t="s">
        <v>1413</v>
      </c>
    </row>
    <row r="161" spans="1:10" x14ac:dyDescent="0.2">
      <c r="A161" s="346" t="str">
        <f t="shared" ca="1" si="0"/>
        <v>破坏之武艺：貘</v>
      </c>
      <c r="B161" s="346" t="s">
        <v>1414</v>
      </c>
      <c r="C161" s="346" t="s">
        <v>1415</v>
      </c>
      <c r="D161" s="346" t="s">
        <v>1416</v>
      </c>
      <c r="E161" s="346"/>
      <c r="F161" s="346" t="s">
        <v>1417</v>
      </c>
      <c r="G161" s="346" t="s">
        <v>1418</v>
      </c>
      <c r="H161" s="346" t="s">
        <v>1419</v>
      </c>
      <c r="I161" s="346"/>
      <c r="J161" s="346" t="s">
        <v>1420</v>
      </c>
    </row>
    <row r="162" spans="1:10" x14ac:dyDescent="0.2">
      <c r="A162" s="346" t="str">
        <f t="shared" ca="1" si="0"/>
        <v>豪武匠温希德的咆哮</v>
      </c>
      <c r="B162" s="346" t="s">
        <v>1421</v>
      </c>
      <c r="C162" s="346" t="s">
        <v>1422</v>
      </c>
      <c r="D162" s="346" t="s">
        <v>1423</v>
      </c>
      <c r="E162" s="346"/>
      <c r="F162" s="346" t="s">
        <v>1424</v>
      </c>
      <c r="G162" s="346" t="s">
        <v>1425</v>
      </c>
      <c r="H162" s="346" t="s">
        <v>1426</v>
      </c>
      <c r="I162" s="346"/>
      <c r="J162" s="346" t="s">
        <v>1427</v>
      </c>
    </row>
    <row r="163" spans="1:10" x14ac:dyDescent="0.2">
      <c r="A163" s="346" t="str">
        <f t="shared" ca="1" si="0"/>
        <v>特大火焰魔法</v>
      </c>
      <c r="B163" s="346" t="s">
        <v>1428</v>
      </c>
      <c r="C163" s="346" t="s">
        <v>1429</v>
      </c>
      <c r="D163" s="346" t="s">
        <v>1429</v>
      </c>
      <c r="E163" s="346"/>
      <c r="F163" s="346" t="s">
        <v>1429</v>
      </c>
      <c r="G163" s="346" t="s">
        <v>1430</v>
      </c>
      <c r="H163" s="346" t="s">
        <v>1430</v>
      </c>
      <c r="I163" s="346"/>
      <c r="J163" s="346" t="s">
        <v>1431</v>
      </c>
    </row>
    <row r="164" spans="1:10" x14ac:dyDescent="0.2">
      <c r="A164" s="346" t="str">
        <f t="shared" ca="1" si="0"/>
        <v>特大冰冻魔法</v>
      </c>
      <c r="B164" s="346" t="s">
        <v>1432</v>
      </c>
      <c r="C164" s="346" t="s">
        <v>1433</v>
      </c>
      <c r="D164" s="346" t="s">
        <v>1433</v>
      </c>
      <c r="E164" s="346"/>
      <c r="F164" s="346" t="s">
        <v>1433</v>
      </c>
      <c r="G164" s="346" t="s">
        <v>1434</v>
      </c>
      <c r="H164" s="346" t="s">
        <v>1435</v>
      </c>
      <c r="I164" s="346"/>
      <c r="J164" s="346" t="s">
        <v>1436</v>
      </c>
    </row>
    <row r="165" spans="1:10" x14ac:dyDescent="0.2">
      <c r="A165" s="346" t="str">
        <f t="shared" ca="1" si="0"/>
        <v>特大雷击魔法</v>
      </c>
      <c r="B165" s="346" t="s">
        <v>1437</v>
      </c>
      <c r="C165" s="346" t="s">
        <v>1438</v>
      </c>
      <c r="D165" s="346" t="s">
        <v>1438</v>
      </c>
      <c r="E165" s="346"/>
      <c r="F165" s="346" t="s">
        <v>1438</v>
      </c>
      <c r="G165" s="346" t="s">
        <v>1439</v>
      </c>
      <c r="H165" s="346" t="s">
        <v>1440</v>
      </c>
      <c r="I165" s="346"/>
      <c r="J165" s="346" t="s">
        <v>1441</v>
      </c>
    </row>
    <row r="166" spans="1:10" x14ac:dyDescent="0.2">
      <c r="A166" s="346" t="str">
        <f t="shared" ca="1" si="0"/>
        <v>特大风尘魔法</v>
      </c>
      <c r="B166" s="346" t="s">
        <v>1442</v>
      </c>
      <c r="C166" s="346" t="s">
        <v>1443</v>
      </c>
      <c r="D166" s="346" t="s">
        <v>1443</v>
      </c>
      <c r="E166" s="346"/>
      <c r="F166" s="346" t="s">
        <v>1443</v>
      </c>
      <c r="G166" s="346" t="s">
        <v>1444</v>
      </c>
      <c r="H166" s="346" t="s">
        <v>1445</v>
      </c>
      <c r="I166" s="346"/>
      <c r="J166" s="346" t="s">
        <v>1444</v>
      </c>
    </row>
    <row r="167" spans="1:10" x14ac:dyDescent="0.2">
      <c r="A167" s="346" t="str">
        <f t="shared" ca="1" si="0"/>
        <v>特大光明魔法</v>
      </c>
      <c r="B167" s="346" t="s">
        <v>1446</v>
      </c>
      <c r="C167" s="346" t="s">
        <v>1447</v>
      </c>
      <c r="D167" s="346" t="s">
        <v>1447</v>
      </c>
      <c r="E167" s="346"/>
      <c r="F167" s="346" t="s">
        <v>1447</v>
      </c>
      <c r="G167" s="346" t="s">
        <v>1448</v>
      </c>
      <c r="H167" s="346" t="s">
        <v>1448</v>
      </c>
      <c r="I167" s="346"/>
      <c r="J167" s="346" t="s">
        <v>1448</v>
      </c>
    </row>
    <row r="168" spans="1:10" x14ac:dyDescent="0.2">
      <c r="A168" s="346" t="str">
        <f t="shared" ca="1" si="0"/>
        <v>特大暗黑魔法</v>
      </c>
      <c r="B168" s="346" t="s">
        <v>1449</v>
      </c>
      <c r="C168" s="346" t="s">
        <v>1450</v>
      </c>
      <c r="D168" s="346" t="s">
        <v>1450</v>
      </c>
      <c r="E168" s="346"/>
      <c r="F168" s="346" t="s">
        <v>1450</v>
      </c>
      <c r="G168" s="346" t="s">
        <v>1451</v>
      </c>
      <c r="H168" s="346" t="s">
        <v>1452</v>
      </c>
      <c r="I168" s="346"/>
      <c r="J168" s="346" t="s">
        <v>1451</v>
      </c>
    </row>
    <row r="169" spans="1:10" x14ac:dyDescent="0.2">
      <c r="A169" s="346" t="str">
        <f t="shared" ca="1" si="0"/>
        <v>属性防御破坏打击</v>
      </c>
      <c r="B169" s="346" t="s">
        <v>1453</v>
      </c>
      <c r="C169" s="346" t="s">
        <v>1454</v>
      </c>
      <c r="D169" s="346" t="s">
        <v>1455</v>
      </c>
      <c r="E169" s="346"/>
      <c r="F169" s="346" t="s">
        <v>1456</v>
      </c>
      <c r="G169" s="346" t="s">
        <v>1457</v>
      </c>
      <c r="H169" s="346" t="s">
        <v>1458</v>
      </c>
      <c r="I169" s="346"/>
      <c r="J169" s="346" t="s">
        <v>1459</v>
      </c>
    </row>
    <row r="170" spans="1:10" x14ac:dyDescent="0.2">
      <c r="A170" s="346" t="str">
        <f t="shared" ca="1" si="0"/>
        <v>魔大公德雷闪克的秘术</v>
      </c>
      <c r="B170" s="346" t="s">
        <v>1460</v>
      </c>
      <c r="C170" s="346" t="s">
        <v>1461</v>
      </c>
      <c r="D170" s="346" t="s">
        <v>1462</v>
      </c>
      <c r="E170" s="346"/>
      <c r="F170" s="346" t="s">
        <v>1463</v>
      </c>
      <c r="G170" s="346" t="s">
        <v>1464</v>
      </c>
      <c r="H170" s="346" t="s">
        <v>1465</v>
      </c>
      <c r="I170" s="346"/>
      <c r="J170" s="346" t="s">
        <v>1466</v>
      </c>
    </row>
    <row r="171" spans="1:10" x14ac:dyDescent="0.2">
      <c r="A171" s="344" t="str">
        <f t="shared" ca="1" si="0"/>
        <v>辅助技能</v>
      </c>
      <c r="B171" s="344" t="s">
        <v>1467</v>
      </c>
      <c r="C171" s="344" t="s">
        <v>1468</v>
      </c>
      <c r="D171" s="344" t="s">
        <v>1469</v>
      </c>
      <c r="E171" s="344"/>
      <c r="F171" s="344"/>
      <c r="G171" s="344" t="s">
        <v>1470</v>
      </c>
      <c r="H171" s="344" t="s">
        <v>1471</v>
      </c>
      <c r="I171" s="344"/>
      <c r="J171" s="344" t="s">
        <v>1472</v>
      </c>
    </row>
    <row r="172" spans="1:10" x14ac:dyDescent="0.2">
      <c r="A172" s="346" t="str">
        <f t="shared" ca="1" si="0"/>
        <v>强化回合数增加（受）</v>
      </c>
      <c r="B172" s="346" t="s">
        <v>440</v>
      </c>
      <c r="C172" s="346" t="s">
        <v>1473</v>
      </c>
      <c r="D172" s="346" t="s">
        <v>1474</v>
      </c>
      <c r="E172" s="346"/>
      <c r="F172" s="346" t="s">
        <v>1475</v>
      </c>
      <c r="G172" s="346" t="s">
        <v>1476</v>
      </c>
      <c r="H172" s="346" t="s">
        <v>1477</v>
      </c>
      <c r="I172" s="346"/>
      <c r="J172" s="346" t="s">
        <v>1478</v>
      </c>
    </row>
    <row r="173" spans="1:10" x14ac:dyDescent="0.2">
      <c r="A173" s="346" t="str">
        <f t="shared" ca="1" si="0"/>
        <v>最大ＳＰ＋５０</v>
      </c>
      <c r="B173" s="346" t="s">
        <v>1479</v>
      </c>
      <c r="C173" s="346" t="s">
        <v>1480</v>
      </c>
      <c r="D173" s="346" t="s">
        <v>1481</v>
      </c>
      <c r="E173" s="346"/>
      <c r="F173" s="346" t="s">
        <v>1482</v>
      </c>
      <c r="G173" s="346" t="s">
        <v>1483</v>
      </c>
      <c r="H173" s="346" t="s">
        <v>1483</v>
      </c>
      <c r="I173" s="346"/>
      <c r="J173" s="346" t="s">
        <v>1483</v>
      </c>
    </row>
    <row r="174" spans="1:10" x14ac:dyDescent="0.2">
      <c r="A174" s="346" t="str">
        <f t="shared" ca="1" si="0"/>
        <v>逃脱成功机率上升</v>
      </c>
      <c r="B174" s="346" t="s">
        <v>1484</v>
      </c>
      <c r="C174" s="346" t="s">
        <v>1485</v>
      </c>
      <c r="D174" s="346" t="s">
        <v>1486</v>
      </c>
      <c r="E174" s="346"/>
      <c r="F174" s="346" t="s">
        <v>1487</v>
      </c>
      <c r="G174" s="346" t="s">
        <v>1488</v>
      </c>
      <c r="H174" s="346" t="s">
        <v>1489</v>
      </c>
      <c r="I174" s="346"/>
      <c r="J174" s="346" t="s">
        <v>1490</v>
      </c>
    </row>
    <row r="175" spans="1:10" x14ac:dyDescent="0.2">
      <c r="A175" s="346" t="str">
        <f t="shared" ca="1" si="0"/>
        <v>突破恢复界限</v>
      </c>
      <c r="B175" s="346" t="s">
        <v>1491</v>
      </c>
      <c r="C175" s="346" t="s">
        <v>1492</v>
      </c>
      <c r="D175" s="346" t="s">
        <v>1493</v>
      </c>
      <c r="E175" s="346"/>
      <c r="F175" s="346" t="s">
        <v>1494</v>
      </c>
      <c r="G175" s="346" t="s">
        <v>1495</v>
      </c>
      <c r="H175" s="346" t="s">
        <v>1496</v>
      </c>
      <c r="I175" s="346"/>
      <c r="J175" s="346" t="s">
        <v>1497</v>
      </c>
    </row>
    <row r="176" spans="1:10" x14ac:dyDescent="0.2">
      <c r="A176" s="346" t="str">
        <f t="shared" ca="1" si="0"/>
        <v>遇敌机率减半</v>
      </c>
      <c r="B176" s="346" t="s">
        <v>1498</v>
      </c>
      <c r="C176" s="346" t="s">
        <v>1499</v>
      </c>
      <c r="D176" s="346" t="s">
        <v>1500</v>
      </c>
      <c r="E176" s="346"/>
      <c r="F176" s="346" t="s">
        <v>1501</v>
      </c>
      <c r="G176" s="346" t="s">
        <v>1502</v>
      </c>
      <c r="H176" s="346" t="s">
        <v>1503</v>
      </c>
      <c r="I176" s="346"/>
      <c r="J176" s="346" t="s">
        <v>1504</v>
      </c>
    </row>
    <row r="177" spans="1:10" x14ac:dyDescent="0.2">
      <c r="A177" s="346" t="str">
        <f t="shared" ca="1" si="0"/>
        <v>属性攻击力＋５０</v>
      </c>
      <c r="B177" s="346" t="s">
        <v>1505</v>
      </c>
      <c r="C177" s="346" t="s">
        <v>1506</v>
      </c>
      <c r="D177" s="346" t="s">
        <v>1507</v>
      </c>
      <c r="E177" s="346"/>
      <c r="F177" s="346" t="s">
        <v>1508</v>
      </c>
      <c r="G177" s="346" t="s">
        <v>1509</v>
      </c>
      <c r="H177" s="346" t="s">
        <v>1510</v>
      </c>
      <c r="I177" s="346"/>
      <c r="J177" s="346" t="s">
        <v>1511</v>
      </c>
    </row>
    <row r="178" spans="1:10" x14ac:dyDescent="0.2">
      <c r="A178" s="346" t="str">
        <f t="shared" ca="1" si="0"/>
        <v>回避偷袭</v>
      </c>
      <c r="B178" s="346" t="s">
        <v>1512</v>
      </c>
      <c r="C178" s="346" t="s">
        <v>1513</v>
      </c>
      <c r="D178" s="346" t="s">
        <v>1514</v>
      </c>
      <c r="E178" s="346"/>
      <c r="F178" s="346" t="s">
        <v>1515</v>
      </c>
      <c r="G178" s="346" t="s">
        <v>1516</v>
      </c>
      <c r="H178" s="346" t="s">
        <v>1517</v>
      </c>
      <c r="I178" s="346"/>
      <c r="J178" s="346" t="s">
        <v>1518</v>
      </c>
    </row>
    <row r="179" spans="1:10" x14ac:dyDescent="0.2">
      <c r="A179" s="346" t="str">
        <f t="shared" ca="1" si="0"/>
        <v>ＨＰ自动恢复</v>
      </c>
      <c r="B179" s="346" t="s">
        <v>1519</v>
      </c>
      <c r="C179" s="346" t="s">
        <v>1520</v>
      </c>
      <c r="D179" s="346" t="s">
        <v>1521</v>
      </c>
      <c r="E179" s="346"/>
      <c r="F179" s="346" t="s">
        <v>1522</v>
      </c>
      <c r="G179" s="346" t="s">
        <v>1523</v>
      </c>
      <c r="H179" s="346" t="s">
        <v>1524</v>
      </c>
      <c r="I179" s="346"/>
      <c r="J179" s="346" t="s">
        <v>1525</v>
      </c>
    </row>
    <row r="180" spans="1:10" x14ac:dyDescent="0.2">
      <c r="A180" s="346" t="str">
        <f t="shared" ca="1" si="0"/>
        <v>未消耗道具</v>
      </c>
      <c r="B180" s="346" t="s">
        <v>1526</v>
      </c>
      <c r="C180" s="346" t="s">
        <v>1527</v>
      </c>
      <c r="D180" s="346" t="s">
        <v>1528</v>
      </c>
      <c r="E180" s="346"/>
      <c r="F180" s="346" t="s">
        <v>1529</v>
      </c>
      <c r="G180" s="346" t="s">
        <v>1530</v>
      </c>
      <c r="H180" s="346" t="s">
        <v>1530</v>
      </c>
      <c r="I180" s="346"/>
      <c r="J180" s="346" t="s">
        <v>1531</v>
      </c>
    </row>
    <row r="181" spans="1:10" x14ac:dyDescent="0.2">
      <c r="A181" s="346" t="str">
        <f t="shared" ca="1" si="0"/>
        <v>获取金额上升</v>
      </c>
      <c r="B181" s="346" t="s">
        <v>1532</v>
      </c>
      <c r="C181" s="346" t="s">
        <v>1533</v>
      </c>
      <c r="D181" s="346" t="s">
        <v>1534</v>
      </c>
      <c r="E181" s="346"/>
      <c r="F181" s="346" t="s">
        <v>1535</v>
      </c>
      <c r="G181" s="346" t="s">
        <v>1536</v>
      </c>
      <c r="H181" s="346" t="s">
        <v>1537</v>
      </c>
      <c r="I181" s="346"/>
      <c r="J181" s="346" t="s">
        <v>1538</v>
      </c>
    </row>
    <row r="182" spans="1:10" x14ac:dyDescent="0.2">
      <c r="A182" s="346" t="str">
        <f t="shared" ca="1" si="0"/>
        <v>坚持到底</v>
      </c>
      <c r="B182" s="346" t="s">
        <v>1539</v>
      </c>
      <c r="C182" s="346" t="s">
        <v>1540</v>
      </c>
      <c r="D182" s="346" t="s">
        <v>1541</v>
      </c>
      <c r="E182" s="346"/>
      <c r="F182" s="346" t="s">
        <v>1542</v>
      </c>
      <c r="G182" s="346" t="s">
        <v>1543</v>
      </c>
      <c r="H182" s="346" t="s">
        <v>1544</v>
      </c>
      <c r="I182" s="346"/>
      <c r="J182" s="346" t="s">
        <v>1545</v>
      </c>
    </row>
    <row r="183" spans="1:10" x14ac:dyDescent="0.2">
      <c r="A183" s="346" t="str">
        <f t="shared" ca="1" si="0"/>
        <v>消耗ＳＰ下降</v>
      </c>
      <c r="B183" s="346" t="s">
        <v>1546</v>
      </c>
      <c r="C183" s="346" t="s">
        <v>1547</v>
      </c>
      <c r="D183" s="346" t="s">
        <v>1548</v>
      </c>
      <c r="E183" s="346"/>
      <c r="F183" s="346" t="s">
        <v>1549</v>
      </c>
      <c r="G183" s="346" t="s">
        <v>1550</v>
      </c>
      <c r="H183" s="346" t="s">
        <v>1550</v>
      </c>
      <c r="I183" s="346"/>
      <c r="J183" s="346" t="s">
        <v>1551</v>
      </c>
    </row>
    <row r="184" spans="1:10" x14ac:dyDescent="0.2">
      <c r="A184" s="346" t="str">
        <f t="shared" ca="1" si="0"/>
        <v>掩护</v>
      </c>
      <c r="B184" s="346" t="s">
        <v>1552</v>
      </c>
      <c r="C184" s="346" t="s">
        <v>1553</v>
      </c>
      <c r="D184" s="346" t="s">
        <v>1554</v>
      </c>
      <c r="E184" s="346"/>
      <c r="F184" s="346" t="s">
        <v>1555</v>
      </c>
      <c r="G184" s="346" t="s">
        <v>1556</v>
      </c>
      <c r="H184" s="346" t="s">
        <v>1557</v>
      </c>
      <c r="I184" s="346"/>
      <c r="J184" s="346" t="s">
        <v>1558</v>
      </c>
    </row>
    <row r="185" spans="1:10" x14ac:dyDescent="0.2">
      <c r="A185" s="346" t="str">
        <f t="shared" ca="1" si="0"/>
        <v>物理攻击力＋５０</v>
      </c>
      <c r="B185" s="346" t="s">
        <v>1559</v>
      </c>
      <c r="C185" s="346" t="s">
        <v>1560</v>
      </c>
      <c r="D185" s="346" t="s">
        <v>1561</v>
      </c>
      <c r="E185" s="346"/>
      <c r="F185" s="346" t="s">
        <v>1562</v>
      </c>
      <c r="G185" s="346" t="s">
        <v>1563</v>
      </c>
      <c r="H185" s="346" t="s">
        <v>1564</v>
      </c>
      <c r="I185" s="346"/>
      <c r="J185" s="346" t="s">
        <v>1565</v>
      </c>
    </row>
    <row r="186" spans="1:10" x14ac:dyDescent="0.2">
      <c r="A186" s="346" t="str">
        <f t="shared" ca="1" si="0"/>
        <v>状态异常时防御强化</v>
      </c>
      <c r="B186" s="346" t="s">
        <v>1566</v>
      </c>
      <c r="C186" s="346" t="s">
        <v>1567</v>
      </c>
      <c r="D186" s="346" t="s">
        <v>1568</v>
      </c>
      <c r="E186" s="346"/>
      <c r="F186" s="346" t="s">
        <v>1569</v>
      </c>
      <c r="G186" s="346" t="s">
        <v>1570</v>
      </c>
      <c r="H186" s="346" t="s">
        <v>1571</v>
      </c>
      <c r="I186" s="346"/>
      <c r="J186" s="346" t="s">
        <v>1572</v>
      </c>
    </row>
    <row r="187" spans="1:10" x14ac:dyDescent="0.2">
      <c r="A187" s="346" t="str">
        <f t="shared" ca="1" si="0"/>
        <v>突破伤害界限</v>
      </c>
      <c r="B187" s="346" t="s">
        <v>1573</v>
      </c>
      <c r="C187" s="346" t="s">
        <v>1574</v>
      </c>
      <c r="D187" s="346" t="s">
        <v>1575</v>
      </c>
      <c r="E187" s="346"/>
      <c r="F187" s="346" t="s">
        <v>1576</v>
      </c>
      <c r="G187" s="346" t="s">
        <v>1577</v>
      </c>
      <c r="H187" s="346" t="s">
        <v>1578</v>
      </c>
      <c r="I187" s="346"/>
      <c r="J187" s="346" t="s">
        <v>1579</v>
      </c>
    </row>
    <row r="188" spans="1:10" x14ac:dyDescent="0.2">
      <c r="A188" s="346" t="str">
        <f t="shared" ca="1" si="0"/>
        <v>强化回合数增加（予）</v>
      </c>
      <c r="B188" s="346" t="s">
        <v>442</v>
      </c>
      <c r="C188" s="346" t="s">
        <v>1580</v>
      </c>
      <c r="D188" s="346" t="s">
        <v>1581</v>
      </c>
      <c r="E188" s="346"/>
      <c r="F188" s="346" t="s">
        <v>1582</v>
      </c>
      <c r="G188" s="346" t="s">
        <v>1583</v>
      </c>
      <c r="H188" s="346" t="s">
        <v>1584</v>
      </c>
      <c r="I188" s="346"/>
      <c r="J188" s="346" t="s">
        <v>1585</v>
      </c>
    </row>
    <row r="189" spans="1:10" x14ac:dyDescent="0.2">
      <c r="A189" s="346" t="str">
        <f t="shared" ca="1" si="0"/>
        <v>反击</v>
      </c>
      <c r="B189" s="346" t="s">
        <v>1586</v>
      </c>
      <c r="C189" s="346" t="s">
        <v>1587</v>
      </c>
      <c r="D189" s="346" t="s">
        <v>1588</v>
      </c>
      <c r="E189" s="346"/>
      <c r="F189" s="346" t="s">
        <v>1589</v>
      </c>
      <c r="G189" s="346" t="s">
        <v>1590</v>
      </c>
      <c r="H189" s="346" t="s">
        <v>1591</v>
      </c>
      <c r="I189" s="346"/>
      <c r="J189" s="346" t="s">
        <v>1592</v>
      </c>
    </row>
    <row r="190" spans="1:10" x14ac:dyDescent="0.2">
      <c r="A190" s="346" t="str">
        <f t="shared" ca="1" si="0"/>
        <v>ＳＰ自动恢复</v>
      </c>
      <c r="B190" s="346" t="s">
        <v>1593</v>
      </c>
      <c r="C190" s="346" t="s">
        <v>1594</v>
      </c>
      <c r="D190" s="346" t="s">
        <v>1595</v>
      </c>
      <c r="E190" s="346"/>
      <c r="F190" s="346" t="s">
        <v>1596</v>
      </c>
      <c r="G190" s="346" t="s">
        <v>1597</v>
      </c>
      <c r="H190" s="346" t="s">
        <v>1598</v>
      </c>
      <c r="I190" s="346"/>
      <c r="J190" s="346" t="s">
        <v>1599</v>
      </c>
    </row>
    <row r="191" spans="1:10" x14ac:dyDescent="0.2">
      <c r="A191" s="346" t="str">
        <f t="shared" ca="1" si="0"/>
        <v>自动复活</v>
      </c>
      <c r="B191" s="346" t="s">
        <v>1600</v>
      </c>
      <c r="C191" s="346" t="s">
        <v>1601</v>
      </c>
      <c r="D191" s="346" t="s">
        <v>1600</v>
      </c>
      <c r="E191" s="346"/>
      <c r="F191" s="346" t="s">
        <v>1601</v>
      </c>
      <c r="G191" s="346" t="s">
        <v>1602</v>
      </c>
      <c r="H191" s="346" t="s">
        <v>1603</v>
      </c>
      <c r="I191" s="346"/>
      <c r="J191" s="346" t="s">
        <v>1602</v>
      </c>
    </row>
    <row r="192" spans="1:10" x14ac:dyDescent="0.2">
      <c r="A192" s="346" t="str">
        <f t="shared" ca="1" si="0"/>
        <v>用 “战斗” 攻击恢复ＳＰ</v>
      </c>
      <c r="B192" s="346" t="s">
        <v>1604</v>
      </c>
      <c r="C192" s="346" t="s">
        <v>1605</v>
      </c>
      <c r="D192" s="346" t="s">
        <v>1604</v>
      </c>
      <c r="E192" s="346"/>
      <c r="F192" s="346" t="s">
        <v>1606</v>
      </c>
      <c r="G192" s="346" t="s">
        <v>1607</v>
      </c>
      <c r="H192" s="346" t="s">
        <v>1608</v>
      </c>
      <c r="I192" s="346"/>
      <c r="J192" s="346" t="s">
        <v>1609</v>
      </c>
    </row>
    <row r="193" spans="1:10" x14ac:dyDescent="0.2">
      <c r="A193" s="346" t="str">
        <f t="shared" ca="1" si="0"/>
        <v>最大ＨＰ＋５００</v>
      </c>
      <c r="B193" s="346" t="s">
        <v>1610</v>
      </c>
      <c r="C193" s="346" t="s">
        <v>1611</v>
      </c>
      <c r="D193" s="346" t="s">
        <v>1612</v>
      </c>
      <c r="E193" s="346"/>
      <c r="F193" s="346" t="s">
        <v>1613</v>
      </c>
      <c r="G193" s="346" t="s">
        <v>1614</v>
      </c>
      <c r="H193" s="346" t="s">
        <v>1614</v>
      </c>
      <c r="I193" s="346"/>
      <c r="J193" s="346" t="s">
        <v>1614</v>
      </c>
    </row>
    <row r="194" spans="1:10" x14ac:dyDescent="0.2">
      <c r="A194" s="346" t="str">
        <f t="shared" ca="1" si="0"/>
        <v>状态异常回避上升</v>
      </c>
      <c r="B194" s="346" t="s">
        <v>1615</v>
      </c>
      <c r="C194" s="346" t="s">
        <v>1616</v>
      </c>
      <c r="D194" s="346" t="s">
        <v>1617</v>
      </c>
      <c r="E194" s="346"/>
      <c r="F194" s="346" t="s">
        <v>1618</v>
      </c>
      <c r="G194" s="346" t="s">
        <v>1619</v>
      </c>
      <c r="H194" s="346" t="s">
        <v>1620</v>
      </c>
      <c r="I194" s="346"/>
      <c r="J194" s="346" t="s">
        <v>1621</v>
      </c>
    </row>
    <row r="195" spans="1:10" x14ac:dyDescent="0.2">
      <c r="A195" s="346" t="str">
        <f t="shared" ca="1" si="0"/>
        <v>恢复效果上升</v>
      </c>
      <c r="B195" s="346" t="s">
        <v>1622</v>
      </c>
      <c r="C195" s="346" t="s">
        <v>1623</v>
      </c>
      <c r="D195" s="346" t="s">
        <v>1624</v>
      </c>
      <c r="E195" s="346"/>
      <c r="F195" s="346" t="s">
        <v>1625</v>
      </c>
      <c r="G195" s="346" t="s">
        <v>1626</v>
      </c>
      <c r="H195" s="346" t="s">
        <v>1627</v>
      </c>
      <c r="I195" s="346"/>
      <c r="J195" s="346" t="s">
        <v>1628</v>
      </c>
    </row>
    <row r="196" spans="1:10" x14ac:dyDescent="0.2">
      <c r="A196" s="346" t="str">
        <f t="shared" ca="1" si="0"/>
        <v>顺便战斗</v>
      </c>
      <c r="B196" s="346" t="s">
        <v>1629</v>
      </c>
      <c r="C196" s="346" t="s">
        <v>1630</v>
      </c>
      <c r="D196" s="346" t="s">
        <v>1631</v>
      </c>
      <c r="E196" s="346"/>
      <c r="F196" s="346" t="s">
        <v>1632</v>
      </c>
      <c r="G196" s="346" t="s">
        <v>1633</v>
      </c>
      <c r="H196" s="346" t="s">
        <v>1634</v>
      </c>
      <c r="I196" s="346"/>
      <c r="J196" s="346" t="s">
        <v>1635</v>
      </c>
    </row>
    <row r="197" spans="1:10" x14ac:dyDescent="0.2">
      <c r="A197" s="346" t="str">
        <f t="shared" ca="1" si="0"/>
        <v>行动速度＋５０</v>
      </c>
      <c r="B197" s="346" t="s">
        <v>1636</v>
      </c>
      <c r="C197" s="346" t="s">
        <v>1637</v>
      </c>
      <c r="D197" s="346" t="s">
        <v>1638</v>
      </c>
      <c r="E197" s="346"/>
      <c r="F197" s="346" t="s">
        <v>1639</v>
      </c>
      <c r="G197" s="346" t="s">
        <v>1640</v>
      </c>
      <c r="H197" s="346" t="s">
        <v>1641</v>
      </c>
      <c r="I197" s="346"/>
      <c r="J197" s="346" t="s">
        <v>1640</v>
      </c>
    </row>
    <row r="198" spans="1:10" x14ac:dyDescent="0.2">
      <c r="A198" s="346" t="str">
        <f t="shared" ca="1" si="0"/>
        <v>连偷带抢</v>
      </c>
      <c r="B198" s="346" t="s">
        <v>1642</v>
      </c>
      <c r="C198" s="346" t="s">
        <v>1643</v>
      </c>
      <c r="D198" s="346" t="s">
        <v>1644</v>
      </c>
      <c r="E198" s="346"/>
      <c r="F198" s="346" t="s">
        <v>1645</v>
      </c>
      <c r="G198" s="346" t="s">
        <v>1646</v>
      </c>
      <c r="H198" s="346" t="s">
        <v>1647</v>
      </c>
      <c r="I198" s="346"/>
      <c r="J198" s="346" t="s">
        <v>1648</v>
      </c>
    </row>
    <row r="199" spans="1:10" x14ac:dyDescent="0.2">
      <c r="A199" s="346" t="str">
        <f t="shared" ca="1" si="0"/>
        <v>弱体效果回合数增加</v>
      </c>
      <c r="B199" s="346" t="s">
        <v>1649</v>
      </c>
      <c r="C199" s="346" t="s">
        <v>1650</v>
      </c>
      <c r="D199" s="346" t="s">
        <v>1651</v>
      </c>
      <c r="E199" s="346"/>
      <c r="F199" s="346" t="s">
        <v>1652</v>
      </c>
      <c r="G199" s="346" t="s">
        <v>1653</v>
      </c>
      <c r="H199" s="346" t="s">
        <v>1654</v>
      </c>
      <c r="I199" s="346"/>
      <c r="J199" s="346" t="s">
        <v>1655</v>
      </c>
    </row>
    <row r="200" spans="1:10" x14ac:dyDescent="0.2">
      <c r="A200" s="346" t="str">
        <f t="shared" ca="1" si="0"/>
        <v>先制攻击的机率上升</v>
      </c>
      <c r="B200" s="346" t="s">
        <v>1656</v>
      </c>
      <c r="C200" s="346" t="s">
        <v>1657</v>
      </c>
      <c r="D200" s="346" t="s">
        <v>1658</v>
      </c>
      <c r="E200" s="346"/>
      <c r="F200" s="346" t="s">
        <v>1659</v>
      </c>
      <c r="G200" s="346" t="s">
        <v>1660</v>
      </c>
      <c r="H200" s="346" t="s">
        <v>1661</v>
      </c>
      <c r="I200" s="346"/>
      <c r="J200" s="346" t="s">
        <v>1662</v>
      </c>
    </row>
    <row r="201" spans="1:10" x14ac:dyDescent="0.2">
      <c r="A201" s="346" t="str">
        <f t="shared" ca="1" si="0"/>
        <v>暴击＋５０</v>
      </c>
      <c r="B201" s="346" t="s">
        <v>1663</v>
      </c>
      <c r="C201" s="346" t="s">
        <v>1664</v>
      </c>
      <c r="D201" s="346" t="s">
        <v>485</v>
      </c>
      <c r="E201" s="346"/>
      <c r="F201" s="346" t="s">
        <v>1665</v>
      </c>
      <c r="G201" s="346" t="s">
        <v>1666</v>
      </c>
      <c r="H201" s="346" t="s">
        <v>1667</v>
      </c>
      <c r="I201" s="346"/>
      <c r="J201" s="346" t="s">
        <v>1668</v>
      </c>
    </row>
    <row r="202" spans="1:10" x14ac:dyDescent="0.2">
      <c r="A202" s="346" t="str">
        <f t="shared" ca="1" si="0"/>
        <v>再次攻击</v>
      </c>
      <c r="B202" s="346" t="s">
        <v>1669</v>
      </c>
      <c r="C202" s="346" t="s">
        <v>1670</v>
      </c>
      <c r="D202" s="346" t="s">
        <v>1671</v>
      </c>
      <c r="E202" s="346"/>
      <c r="F202" s="346" t="s">
        <v>1672</v>
      </c>
      <c r="G202" s="346" t="s">
        <v>1673</v>
      </c>
      <c r="H202" s="346" t="s">
        <v>1674</v>
      </c>
      <c r="I202" s="346"/>
      <c r="J202" s="346" t="s">
        <v>1675</v>
      </c>
    </row>
    <row r="203" spans="1:10" x14ac:dyDescent="0.2">
      <c r="A203" s="346" t="str">
        <f t="shared" ca="1" si="0"/>
        <v>最后行动</v>
      </c>
      <c r="B203" s="346" t="s">
        <v>1676</v>
      </c>
      <c r="C203" s="346" t="s">
        <v>1677</v>
      </c>
      <c r="D203" s="346" t="s">
        <v>1676</v>
      </c>
      <c r="E203" s="346"/>
      <c r="F203" s="346" t="s">
        <v>1678</v>
      </c>
      <c r="G203" s="346" t="s">
        <v>1679</v>
      </c>
      <c r="H203" s="346" t="s">
        <v>1680</v>
      </c>
      <c r="I203" s="346"/>
      <c r="J203" s="346" t="s">
        <v>1681</v>
      </c>
    </row>
    <row r="204" spans="1:10" x14ac:dyDescent="0.2">
      <c r="A204" s="346" t="str">
        <f t="shared" ca="1" si="0"/>
        <v>提高获得ＪＰ</v>
      </c>
      <c r="B204" s="346" t="s">
        <v>1682</v>
      </c>
      <c r="C204" s="346" t="s">
        <v>1683</v>
      </c>
      <c r="D204" s="346" t="s">
        <v>1684</v>
      </c>
      <c r="E204" s="346"/>
      <c r="F204" s="346" t="s">
        <v>1685</v>
      </c>
      <c r="G204" s="346" t="s">
        <v>1686</v>
      </c>
      <c r="H204" s="346" t="s">
        <v>1687</v>
      </c>
      <c r="I204" s="346"/>
      <c r="J204" s="346" t="s">
        <v>1688</v>
      </c>
    </row>
    <row r="205" spans="1:10" x14ac:dyDescent="0.2">
      <c r="A205" s="346" t="str">
        <f t="shared" ca="1" si="0"/>
        <v>ＢＰ强化</v>
      </c>
      <c r="B205" s="346" t="s">
        <v>1689</v>
      </c>
      <c r="C205" s="346" t="s">
        <v>1690</v>
      </c>
      <c r="D205" s="346" t="s">
        <v>1691</v>
      </c>
      <c r="E205" s="346"/>
      <c r="F205" s="346" t="s">
        <v>1692</v>
      </c>
      <c r="G205" s="346" t="s">
        <v>1693</v>
      </c>
      <c r="H205" s="346" t="s">
        <v>1694</v>
      </c>
      <c r="I205" s="346"/>
      <c r="J205" s="346" t="s">
        <v>1695</v>
      </c>
    </row>
    <row r="206" spans="1:10" x14ac:dyDescent="0.2">
      <c r="A206" s="346" t="str">
        <f t="shared" ca="1" si="0"/>
        <v>ＢＰ吞噬者</v>
      </c>
      <c r="B206" s="346" t="s">
        <v>1696</v>
      </c>
      <c r="C206" s="346" t="s">
        <v>1697</v>
      </c>
      <c r="D206" s="346" t="s">
        <v>1698</v>
      </c>
      <c r="E206" s="346"/>
      <c r="F206" s="346" t="s">
        <v>1699</v>
      </c>
      <c r="G206" s="346" t="s">
        <v>1700</v>
      </c>
      <c r="H206" s="346" t="s">
        <v>1700</v>
      </c>
      <c r="I206" s="346"/>
      <c r="J206" s="346" t="s">
        <v>1701</v>
      </c>
    </row>
    <row r="207" spans="1:10" x14ac:dyDescent="0.2">
      <c r="A207" s="346" t="str">
        <f t="shared" ca="1" si="0"/>
        <v>天使的加护</v>
      </c>
      <c r="B207" s="346" t="s">
        <v>1702</v>
      </c>
      <c r="C207" s="346" t="s">
        <v>1703</v>
      </c>
      <c r="D207" s="346" t="s">
        <v>1704</v>
      </c>
      <c r="E207" s="346"/>
      <c r="F207" s="346" t="s">
        <v>1703</v>
      </c>
      <c r="G207" s="346" t="s">
        <v>1705</v>
      </c>
      <c r="H207" s="346" t="s">
        <v>1706</v>
      </c>
      <c r="I207" s="346"/>
      <c r="J207" s="346" t="s">
        <v>1707</v>
      </c>
    </row>
    <row r="208" spans="1:10" x14ac:dyDescent="0.2">
      <c r="A208" s="346" t="str">
        <f t="shared" ca="1" si="0"/>
        <v>物属交换</v>
      </c>
      <c r="B208" s="346" t="s">
        <v>1708</v>
      </c>
      <c r="C208" s="346" t="s">
        <v>1709</v>
      </c>
      <c r="D208" s="346" t="s">
        <v>1710</v>
      </c>
      <c r="E208" s="346"/>
      <c r="F208" s="346" t="s">
        <v>1711</v>
      </c>
      <c r="G208" s="346" t="s">
        <v>1712</v>
      </c>
      <c r="H208" s="346" t="s">
        <v>1713</v>
      </c>
      <c r="I208" s="346"/>
      <c r="J208" s="346" t="s">
        <v>1714</v>
      </c>
    </row>
    <row r="209" spans="1:10" x14ac:dyDescent="0.2">
      <c r="A209" s="346" t="str">
        <f t="shared" ca="1" si="0"/>
        <v>魔力还原</v>
      </c>
      <c r="B209" s="346" t="s">
        <v>1715</v>
      </c>
      <c r="C209" s="346" t="s">
        <v>1716</v>
      </c>
      <c r="D209" s="346" t="s">
        <v>1717</v>
      </c>
      <c r="E209" s="346"/>
      <c r="F209" s="346" t="s">
        <v>1718</v>
      </c>
      <c r="G209" s="346" t="s">
        <v>1719</v>
      </c>
      <c r="H209" s="346" t="s">
        <v>1720</v>
      </c>
      <c r="I209" s="346"/>
      <c r="J209" s="346" t="s">
        <v>1721</v>
      </c>
    </row>
    <row r="210" spans="1:10" x14ac:dyDescent="0.2">
      <c r="A210" s="346" t="str">
        <f t="shared" ca="1" si="0"/>
        <v>状态异常时攻击强化</v>
      </c>
      <c r="B210" s="346" t="s">
        <v>1722</v>
      </c>
      <c r="C210" s="346" t="s">
        <v>1723</v>
      </c>
      <c r="D210" s="346" t="s">
        <v>1724</v>
      </c>
      <c r="E210" s="346"/>
      <c r="F210" s="346" t="s">
        <v>1723</v>
      </c>
      <c r="G210" s="346" t="s">
        <v>1725</v>
      </c>
      <c r="H210" s="346" t="s">
        <v>1726</v>
      </c>
      <c r="I210" s="346"/>
      <c r="J210" s="346" t="s">
        <v>1727</v>
      </c>
    </row>
    <row r="211" spans="1:10" x14ac:dyDescent="0.2">
      <c r="A211" s="346" t="str">
        <f t="shared" ca="1" si="0"/>
        <v>永续元素提升</v>
      </c>
      <c r="B211" s="346" t="s">
        <v>1728</v>
      </c>
      <c r="C211" s="346" t="s">
        <v>1729</v>
      </c>
      <c r="D211" s="346" t="s">
        <v>1730</v>
      </c>
      <c r="E211" s="346"/>
      <c r="F211" s="346" t="s">
        <v>1731</v>
      </c>
      <c r="G211" s="346" t="s">
        <v>1732</v>
      </c>
      <c r="H211" s="346" t="s">
        <v>1733</v>
      </c>
      <c r="I211" s="346"/>
      <c r="J211" s="346" t="s">
        <v>1734</v>
      </c>
    </row>
    <row r="212" spans="1:10" x14ac:dyDescent="0.2">
      <c r="A212" s="346" t="str">
        <f t="shared" ca="1" si="0"/>
        <v>提高获得ＥＸＰ</v>
      </c>
      <c r="B212" s="346" t="s">
        <v>1735</v>
      </c>
      <c r="C212" s="346" t="s">
        <v>1736</v>
      </c>
      <c r="D212" s="346" t="s">
        <v>1737</v>
      </c>
      <c r="E212" s="346"/>
      <c r="F212" s="346" t="s">
        <v>1738</v>
      </c>
      <c r="G212" s="346" t="s">
        <v>1739</v>
      </c>
      <c r="H212" s="346" t="s">
        <v>1740</v>
      </c>
      <c r="I212" s="346"/>
      <c r="J212" s="346" t="s">
        <v>1741</v>
      </c>
    </row>
    <row r="213" spans="1:10" x14ac:dyDescent="0.2">
      <c r="A213" s="346" t="str">
        <f t="shared" ca="1" si="0"/>
        <v>物理防御力＋５０</v>
      </c>
      <c r="B213" s="346" t="s">
        <v>1742</v>
      </c>
      <c r="C213" s="346" t="s">
        <v>1743</v>
      </c>
      <c r="D213" s="346" t="s">
        <v>1744</v>
      </c>
      <c r="E213" s="346"/>
      <c r="F213" s="346" t="s">
        <v>1745</v>
      </c>
      <c r="G213" s="346" t="s">
        <v>1746</v>
      </c>
      <c r="H213" s="346" t="s">
        <v>1747</v>
      </c>
      <c r="I213" s="346"/>
      <c r="J213" s="346" t="s">
        <v>1747</v>
      </c>
    </row>
    <row r="214" spans="1:10" x14ac:dyDescent="0.2">
      <c r="A214" s="346" t="str">
        <f t="shared" ca="1" si="0"/>
        <v>火场怪力</v>
      </c>
      <c r="B214" s="346" t="s">
        <v>1748</v>
      </c>
      <c r="C214" s="346" t="s">
        <v>1749</v>
      </c>
      <c r="D214" s="346" t="s">
        <v>1750</v>
      </c>
      <c r="E214" s="346"/>
      <c r="F214" s="346" t="s">
        <v>1751</v>
      </c>
      <c r="G214" s="346" t="s">
        <v>1752</v>
      </c>
      <c r="H214" s="346" t="s">
        <v>1753</v>
      </c>
      <c r="I214" s="346"/>
      <c r="J214" s="346" t="s">
        <v>1754</v>
      </c>
    </row>
    <row r="215" spans="1:10" x14ac:dyDescent="0.2">
      <c r="A215" s="346" t="str">
        <f t="shared" ca="1" si="0"/>
        <v>永续物理提升</v>
      </c>
      <c r="B215" s="346" t="s">
        <v>1755</v>
      </c>
      <c r="C215" s="346" t="s">
        <v>1756</v>
      </c>
      <c r="D215" s="346" t="s">
        <v>1757</v>
      </c>
      <c r="E215" s="346"/>
      <c r="F215" s="346" t="s">
        <v>1758</v>
      </c>
      <c r="G215" s="346" t="s">
        <v>1759</v>
      </c>
      <c r="H215" s="346" t="s">
        <v>1760</v>
      </c>
      <c r="I215" s="346"/>
      <c r="J215" s="346" t="s">
        <v>1761</v>
      </c>
    </row>
    <row r="216" spans="1:10" x14ac:dyDescent="0.2">
      <c r="A216" s="346" t="str">
        <f t="shared" ca="1" si="0"/>
        <v>威慑</v>
      </c>
      <c r="B216" s="346" t="s">
        <v>1762</v>
      </c>
      <c r="C216" s="346" t="s">
        <v>1763</v>
      </c>
      <c r="D216" s="346" t="s">
        <v>1762</v>
      </c>
      <c r="E216" s="346"/>
      <c r="F216" s="346" t="s">
        <v>1764</v>
      </c>
      <c r="G216" s="346" t="s">
        <v>1765</v>
      </c>
      <c r="H216" s="346" t="s">
        <v>1766</v>
      </c>
      <c r="I216" s="346"/>
      <c r="J216" s="346" t="s">
        <v>1767</v>
      </c>
    </row>
    <row r="217" spans="1:10" x14ac:dyDescent="0.2">
      <c r="A217" s="346" t="str">
        <f t="shared" ca="1" si="0"/>
        <v>特攻强化</v>
      </c>
      <c r="B217" s="346" t="s">
        <v>1768</v>
      </c>
      <c r="C217" s="346" t="s">
        <v>1769</v>
      </c>
      <c r="D217" s="346" t="s">
        <v>1770</v>
      </c>
      <c r="E217" s="346"/>
      <c r="F217" s="346" t="s">
        <v>1771</v>
      </c>
      <c r="G217" s="346" t="s">
        <v>1772</v>
      </c>
      <c r="H217" s="346" t="s">
        <v>1773</v>
      </c>
      <c r="I217" s="346"/>
      <c r="J217" s="346" t="s">
        <v>1772</v>
      </c>
    </row>
    <row r="218" spans="1:10" x14ac:dyDescent="0.2">
      <c r="A218" s="346" t="str">
        <f t="shared" ca="1" si="0"/>
        <v>属性攻击强化</v>
      </c>
      <c r="B218" s="346" t="s">
        <v>1774</v>
      </c>
      <c r="C218" s="346" t="s">
        <v>1775</v>
      </c>
      <c r="D218" s="346" t="s">
        <v>1776</v>
      </c>
      <c r="E218" s="346"/>
      <c r="F218" s="346" t="s">
        <v>1777</v>
      </c>
      <c r="G218" s="346" t="s">
        <v>1778</v>
      </c>
      <c r="H218" s="346" t="s">
        <v>1779</v>
      </c>
      <c r="I218" s="346"/>
      <c r="J218" s="346" t="s">
        <v>1780</v>
      </c>
    </row>
    <row r="219" spans="1:10" x14ac:dyDescent="0.2">
      <c r="A219" s="346" t="str">
        <f t="shared" ca="1" si="0"/>
        <v>属性熟练化</v>
      </c>
      <c r="B219" s="346" t="s">
        <v>1781</v>
      </c>
      <c r="C219" s="346" t="s">
        <v>1782</v>
      </c>
      <c r="D219" s="346" t="s">
        <v>1783</v>
      </c>
      <c r="E219" s="346"/>
      <c r="F219" s="346" t="s">
        <v>1784</v>
      </c>
      <c r="G219" s="346" t="s">
        <v>1785</v>
      </c>
      <c r="H219" s="346" t="s">
        <v>1786</v>
      </c>
      <c r="I219" s="346"/>
      <c r="J219" s="346" t="s">
        <v>1787</v>
      </c>
    </row>
    <row r="220" spans="1:10" x14ac:dyDescent="0.2">
      <c r="A220" s="344" t="str">
        <f t="shared" ca="1" si="0"/>
        <v>支线故事</v>
      </c>
      <c r="B220" s="344" t="s">
        <v>1788</v>
      </c>
      <c r="C220" s="344" t="s">
        <v>1788</v>
      </c>
      <c r="D220" s="344" t="s">
        <v>1789</v>
      </c>
      <c r="E220" s="344"/>
      <c r="F220" s="344"/>
      <c r="G220" s="344" t="s">
        <v>1790</v>
      </c>
      <c r="H220" s="344" t="s">
        <v>1791</v>
      </c>
      <c r="I220" s="344"/>
      <c r="J220" s="344" t="s">
        <v>1792</v>
      </c>
    </row>
    <row r="221" spans="1:10" x14ac:dyDescent="0.2">
      <c r="A221" s="346" t="str">
        <f t="shared" ca="1" si="0"/>
        <v>旅行青年</v>
      </c>
      <c r="B221" s="53" t="s">
        <v>1793</v>
      </c>
      <c r="C221" s="346" t="s">
        <v>1794</v>
      </c>
      <c r="D221" s="346" t="s">
        <v>1795</v>
      </c>
      <c r="E221" s="346"/>
      <c r="F221" s="346" t="s">
        <v>1796</v>
      </c>
      <c r="G221" s="346" t="s">
        <v>1797</v>
      </c>
      <c r="H221" s="346" t="s">
        <v>1797</v>
      </c>
      <c r="I221" s="346"/>
      <c r="J221" s="346" t="s">
        <v>1798</v>
      </c>
    </row>
    <row r="222" spans="1:10" x14ac:dyDescent="0.2">
      <c r="A222" s="349" t="str">
        <f t="shared" ca="1" si="0"/>
        <v>圣火骑士迈尔斯（１）</v>
      </c>
      <c r="B222" s="138" t="s">
        <v>1799</v>
      </c>
      <c r="C222" s="349" t="s">
        <v>1800</v>
      </c>
      <c r="D222" s="349" t="s">
        <v>1801</v>
      </c>
      <c r="E222" s="349"/>
      <c r="F222" s="349" t="s">
        <v>1802</v>
      </c>
      <c r="G222" s="349" t="s">
        <v>1803</v>
      </c>
      <c r="H222" s="349" t="s">
        <v>1804</v>
      </c>
      <c r="I222" s="349"/>
      <c r="J222" s="349" t="s">
        <v>1805</v>
      </c>
    </row>
    <row r="223" spans="1:10" x14ac:dyDescent="0.2">
      <c r="A223" s="349" t="str">
        <f t="shared" ca="1" si="0"/>
        <v>被冤枉的囚犯</v>
      </c>
      <c r="B223" s="138" t="s">
        <v>1806</v>
      </c>
      <c r="C223" s="349" t="s">
        <v>1807</v>
      </c>
      <c r="D223" s="349" t="s">
        <v>1808</v>
      </c>
      <c r="E223" s="349"/>
      <c r="F223" s="349" t="s">
        <v>1809</v>
      </c>
      <c r="G223" s="349" t="s">
        <v>1810</v>
      </c>
      <c r="H223" s="349" t="s">
        <v>1810</v>
      </c>
      <c r="I223" s="349"/>
      <c r="J223" s="349" t="s">
        <v>1811</v>
      </c>
    </row>
    <row r="224" spans="1:10" x14ac:dyDescent="0.2">
      <c r="A224" s="349" t="str">
        <f t="shared" ca="1" si="0"/>
        <v>沉睡在冻土的巨人</v>
      </c>
      <c r="B224" s="138" t="s">
        <v>1812</v>
      </c>
      <c r="C224" s="349" t="s">
        <v>1813</v>
      </c>
      <c r="D224" s="349" t="s">
        <v>1814</v>
      </c>
      <c r="E224" s="349"/>
      <c r="F224" s="349" t="s">
        <v>1815</v>
      </c>
      <c r="G224" s="349" t="s">
        <v>1816</v>
      </c>
      <c r="H224" s="349" t="s">
        <v>1817</v>
      </c>
      <c r="I224" s="349"/>
      <c r="J224" s="349" t="s">
        <v>1818</v>
      </c>
    </row>
    <row r="225" spans="1:10" x14ac:dyDescent="0.2">
      <c r="A225" s="349" t="str">
        <f t="shared" ca="1" si="0"/>
        <v>莉安娜和爱丽莎，在那之后</v>
      </c>
      <c r="B225" s="138" t="s">
        <v>1819</v>
      </c>
      <c r="C225" s="349" t="s">
        <v>1820</v>
      </c>
      <c r="D225" s="349" t="s">
        <v>1821</v>
      </c>
      <c r="E225" s="349"/>
      <c r="F225" s="349" t="s">
        <v>1822</v>
      </c>
      <c r="G225" s="349" t="s">
        <v>1823</v>
      </c>
      <c r="H225" s="349" t="s">
        <v>1824</v>
      </c>
      <c r="I225" s="349"/>
      <c r="J225" s="349" t="s">
        <v>1825</v>
      </c>
    </row>
    <row r="226" spans="1:10" x14ac:dyDescent="0.2">
      <c r="A226" s="349" t="str">
        <f t="shared" ca="1" si="0"/>
        <v>圣火骑士迈尔斯（２）</v>
      </c>
      <c r="B226" s="17" t="s">
        <v>1826</v>
      </c>
      <c r="C226" s="349" t="s">
        <v>1827</v>
      </c>
      <c r="D226" s="349" t="s">
        <v>1828</v>
      </c>
      <c r="E226" s="349"/>
      <c r="F226" s="349" t="s">
        <v>1829</v>
      </c>
      <c r="G226" s="349" t="s">
        <v>1830</v>
      </c>
      <c r="H226" s="349" t="s">
        <v>1831</v>
      </c>
      <c r="I226" s="349"/>
      <c r="J226" s="349" t="s">
        <v>1832</v>
      </c>
    </row>
    <row r="227" spans="1:10" x14ac:dyDescent="0.2">
      <c r="A227" s="349" t="str">
        <f t="shared" ca="1" si="0"/>
        <v>暖心的发明</v>
      </c>
      <c r="B227" s="138" t="s">
        <v>1833</v>
      </c>
      <c r="C227" s="349"/>
      <c r="D227" s="349" t="s">
        <v>1834</v>
      </c>
      <c r="E227" s="349"/>
      <c r="F227" s="349" t="s">
        <v>1835</v>
      </c>
      <c r="G227" s="349" t="s">
        <v>1836</v>
      </c>
      <c r="H227" s="349" t="s">
        <v>1837</v>
      </c>
      <c r="I227" s="349"/>
      <c r="J227" s="349" t="s">
        <v>1838</v>
      </c>
    </row>
    <row r="228" spans="1:10" x14ac:dyDescent="0.2">
      <c r="A228" s="349" t="str">
        <f t="shared" ca="1" si="0"/>
        <v>年轻人的旅途</v>
      </c>
      <c r="B228" s="138" t="s">
        <v>1839</v>
      </c>
      <c r="C228" s="349"/>
      <c r="D228" s="349" t="s">
        <v>1840</v>
      </c>
      <c r="E228" s="349"/>
      <c r="F228" s="349" t="s">
        <v>1841</v>
      </c>
      <c r="G228" s="349" t="s">
        <v>1842</v>
      </c>
      <c r="H228" s="349" t="s">
        <v>1843</v>
      </c>
      <c r="I228" s="349"/>
      <c r="J228" s="349" t="s">
        <v>1844</v>
      </c>
    </row>
    <row r="229" spans="1:10" x14ac:dyDescent="0.2">
      <c r="A229" s="349" t="str">
        <f t="shared" ca="1" si="0"/>
        <v>亚莉安娜，在那之后（１）</v>
      </c>
      <c r="B229" s="138" t="s">
        <v>1845</v>
      </c>
      <c r="C229" s="349"/>
      <c r="D229" s="349" t="s">
        <v>1846</v>
      </c>
      <c r="E229" s="349"/>
      <c r="F229" s="349" t="s">
        <v>1847</v>
      </c>
      <c r="G229" s="349" t="s">
        <v>1848</v>
      </c>
      <c r="H229" s="349" t="s">
        <v>1849</v>
      </c>
      <c r="I229" s="349"/>
      <c r="J229" s="349" t="s">
        <v>1850</v>
      </c>
    </row>
    <row r="230" spans="1:10" x14ac:dyDescent="0.2">
      <c r="A230" s="349" t="str">
        <f t="shared" ca="1" si="0"/>
        <v>亚莉安娜，在那之后（２）</v>
      </c>
      <c r="B230" s="138" t="s">
        <v>1851</v>
      </c>
      <c r="C230" s="349"/>
      <c r="D230" s="349" t="s">
        <v>1852</v>
      </c>
      <c r="E230" s="349"/>
      <c r="F230" s="349" t="s">
        <v>1853</v>
      </c>
      <c r="G230" s="349" t="s">
        <v>1854</v>
      </c>
      <c r="H230" s="349" t="s">
        <v>1855</v>
      </c>
      <c r="I230" s="349"/>
      <c r="J230" s="349" t="s">
        <v>1856</v>
      </c>
    </row>
    <row r="231" spans="1:10" x14ac:dyDescent="0.2">
      <c r="A231" s="349" t="str">
        <f t="shared" ca="1" si="0"/>
        <v>圣火骑士迈尔斯（３）</v>
      </c>
      <c r="B231" s="138" t="s">
        <v>1857</v>
      </c>
      <c r="C231" s="349" t="s">
        <v>1858</v>
      </c>
      <c r="D231" s="349" t="s">
        <v>1859</v>
      </c>
      <c r="E231" s="349"/>
      <c r="F231" s="349" t="s">
        <v>1860</v>
      </c>
      <c r="G231" s="349" t="s">
        <v>1861</v>
      </c>
      <c r="H231" s="349" t="s">
        <v>1862</v>
      </c>
      <c r="I231" s="349"/>
      <c r="J231" s="349" t="s">
        <v>1863</v>
      </c>
    </row>
    <row r="232" spans="1:10" x14ac:dyDescent="0.2">
      <c r="A232" s="349" t="str">
        <f t="shared" ca="1" si="0"/>
        <v>名门的遗产</v>
      </c>
      <c r="B232" s="138" t="s">
        <v>1864</v>
      </c>
      <c r="C232" s="349"/>
      <c r="D232" s="349" t="s">
        <v>1865</v>
      </c>
      <c r="E232" s="349"/>
      <c r="F232" s="349" t="s">
        <v>1866</v>
      </c>
      <c r="G232" s="349" t="s">
        <v>1867</v>
      </c>
      <c r="H232" s="349" t="s">
        <v>1868</v>
      </c>
      <c r="I232" s="349"/>
      <c r="J232" s="349"/>
    </row>
    <row r="233" spans="1:10" x14ac:dyDescent="0.2">
      <c r="A233" s="349" t="str">
        <f t="shared" ca="1" si="0"/>
        <v>世界之龙</v>
      </c>
      <c r="B233" s="138" t="s">
        <v>1869</v>
      </c>
      <c r="C233" s="349"/>
      <c r="D233" s="349" t="s">
        <v>1870</v>
      </c>
      <c r="E233" s="349"/>
      <c r="F233" s="349" t="s">
        <v>1871</v>
      </c>
      <c r="G233" s="349" t="s">
        <v>1872</v>
      </c>
      <c r="H233" s="349" t="s">
        <v>1873</v>
      </c>
      <c r="I233" s="349"/>
      <c r="J233" s="349" t="s">
        <v>1874</v>
      </c>
    </row>
    <row r="234" spans="1:10" x14ac:dyDescent="0.2">
      <c r="A234" s="349" t="str">
        <f t="shared" ca="1" si="0"/>
        <v>药师欧根，在那之后</v>
      </c>
      <c r="B234" s="138" t="s">
        <v>1875</v>
      </c>
      <c r="C234" s="349"/>
      <c r="D234" s="349" t="s">
        <v>1876</v>
      </c>
      <c r="E234" s="349"/>
      <c r="F234" s="349" t="s">
        <v>1877</v>
      </c>
      <c r="G234" s="349" t="s">
        <v>1878</v>
      </c>
      <c r="H234" s="349" t="s">
        <v>1879</v>
      </c>
      <c r="I234" s="349"/>
      <c r="J234" s="349" t="s">
        <v>1880</v>
      </c>
    </row>
    <row r="235" spans="1:10" x14ac:dyDescent="0.2">
      <c r="A235" s="66" t="str">
        <f t="shared" ca="1" si="0"/>
        <v>教师提拉奇亚（１）</v>
      </c>
      <c r="B235" s="67" t="s">
        <v>1881</v>
      </c>
      <c r="C235" s="66" t="s">
        <v>1882</v>
      </c>
      <c r="D235" s="66" t="s">
        <v>1883</v>
      </c>
      <c r="E235" s="66"/>
      <c r="F235" s="66" t="s">
        <v>1884</v>
      </c>
      <c r="G235" s="66" t="s">
        <v>1885</v>
      </c>
      <c r="H235" s="66" t="s">
        <v>1886</v>
      </c>
      <c r="I235" s="66"/>
      <c r="J235" s="66" t="s">
        <v>1887</v>
      </c>
    </row>
    <row r="236" spans="1:10" x14ac:dyDescent="0.2">
      <c r="A236" s="66" t="str">
        <f t="shared" ca="1" si="0"/>
        <v>献给国王的珍品</v>
      </c>
      <c r="B236" s="67" t="s">
        <v>1888</v>
      </c>
      <c r="C236" s="23" t="s">
        <v>1889</v>
      </c>
      <c r="D236" s="66" t="s">
        <v>1890</v>
      </c>
      <c r="E236" s="66"/>
      <c r="F236" s="66" t="s">
        <v>1891</v>
      </c>
      <c r="G236" s="66" t="s">
        <v>1892</v>
      </c>
      <c r="H236" s="66" t="s">
        <v>1893</v>
      </c>
      <c r="I236" s="66"/>
      <c r="J236" s="66" t="s">
        <v>1894</v>
      </c>
    </row>
    <row r="237" spans="1:10" x14ac:dyDescent="0.2">
      <c r="A237" s="66" t="str">
        <f t="shared" ca="1" si="0"/>
        <v>黄金的世外桃源</v>
      </c>
      <c r="B237" s="67" t="s">
        <v>1895</v>
      </c>
      <c r="C237" s="66" t="s">
        <v>1896</v>
      </c>
      <c r="D237" s="66" t="s">
        <v>1897</v>
      </c>
      <c r="E237" s="66"/>
      <c r="F237" s="66" t="s">
        <v>1898</v>
      </c>
      <c r="G237" s="66" t="s">
        <v>1899</v>
      </c>
      <c r="H237" s="66" t="s">
        <v>1900</v>
      </c>
      <c r="I237" s="66"/>
      <c r="J237" s="66" t="s">
        <v>1901</v>
      </c>
    </row>
    <row r="238" spans="1:10" x14ac:dyDescent="0.2">
      <c r="A238" s="66" t="str">
        <f t="shared" ca="1" si="0"/>
        <v>绝佳的画作</v>
      </c>
      <c r="B238" s="67" t="s">
        <v>1902</v>
      </c>
      <c r="C238" s="66" t="s">
        <v>1903</v>
      </c>
      <c r="D238" s="66" t="s">
        <v>1904</v>
      </c>
      <c r="E238" s="66"/>
      <c r="F238" s="66" t="s">
        <v>1905</v>
      </c>
      <c r="G238" s="66" t="s">
        <v>1906</v>
      </c>
      <c r="H238" s="66" t="s">
        <v>1907</v>
      </c>
      <c r="I238" s="66"/>
      <c r="J238" s="66" t="s">
        <v>1908</v>
      </c>
    </row>
    <row r="239" spans="1:10" x14ac:dyDescent="0.2">
      <c r="A239" s="66" t="str">
        <f t="shared" ca="1" si="0"/>
        <v>教师提拉奇亚（２）</v>
      </c>
      <c r="B239" s="67" t="s">
        <v>1909</v>
      </c>
      <c r="C239" s="66" t="s">
        <v>1910</v>
      </c>
      <c r="D239" s="66" t="s">
        <v>1911</v>
      </c>
      <c r="E239" s="66"/>
      <c r="F239" s="66" t="s">
        <v>1912</v>
      </c>
      <c r="G239" s="66" t="s">
        <v>1913</v>
      </c>
      <c r="H239" s="66" t="s">
        <v>1914</v>
      </c>
      <c r="I239" s="66"/>
      <c r="J239" s="66" t="s">
        <v>1915</v>
      </c>
    </row>
    <row r="240" spans="1:10" x14ac:dyDescent="0.2">
      <c r="A240" s="66" t="str">
        <f t="shared" ca="1" si="0"/>
        <v>寻找父亲的旅行者克里斯（１）</v>
      </c>
      <c r="B240" s="67" t="s">
        <v>1916</v>
      </c>
      <c r="C240" s="66" t="s">
        <v>1917</v>
      </c>
      <c r="D240" s="66" t="s">
        <v>1918</v>
      </c>
      <c r="E240" s="66"/>
      <c r="F240" s="66" t="s">
        <v>1919</v>
      </c>
      <c r="G240" s="66" t="s">
        <v>1920</v>
      </c>
      <c r="H240" s="66" t="s">
        <v>1921</v>
      </c>
      <c r="I240" s="66"/>
      <c r="J240" s="66" t="s">
        <v>1922</v>
      </c>
    </row>
    <row r="241" spans="1:10" x14ac:dyDescent="0.2">
      <c r="A241" s="66" t="str">
        <f t="shared" ca="1" si="0"/>
        <v>代为报复</v>
      </c>
      <c r="B241" s="67" t="s">
        <v>1923</v>
      </c>
      <c r="C241" s="66"/>
      <c r="D241" s="66" t="s">
        <v>1924</v>
      </c>
      <c r="E241" s="66"/>
      <c r="F241" s="66" t="s">
        <v>1925</v>
      </c>
      <c r="G241" s="66" t="s">
        <v>1926</v>
      </c>
      <c r="H241" s="66" t="s">
        <v>1927</v>
      </c>
      <c r="I241" s="66"/>
      <c r="J241" s="66" t="s">
        <v>1928</v>
      </c>
    </row>
    <row r="242" spans="1:10" x14ac:dyDescent="0.2">
      <c r="A242" s="66" t="str">
        <f t="shared" ca="1" si="0"/>
        <v>守墓的工作</v>
      </c>
      <c r="B242" s="67" t="s">
        <v>1929</v>
      </c>
      <c r="C242" s="66"/>
      <c r="D242" s="66" t="s">
        <v>1930</v>
      </c>
      <c r="E242" s="66"/>
      <c r="F242" s="66" t="s">
        <v>1931</v>
      </c>
      <c r="G242" s="66" t="s">
        <v>1932</v>
      </c>
      <c r="H242" s="66" t="s">
        <v>1932</v>
      </c>
      <c r="I242" s="66"/>
      <c r="J242" s="66" t="s">
        <v>1933</v>
      </c>
    </row>
    <row r="243" spans="1:10" x14ac:dyDescent="0.2">
      <c r="A243" s="66" t="str">
        <f t="shared" ca="1" si="0"/>
        <v>米克与马克，在那之后</v>
      </c>
      <c r="B243" s="67" t="s">
        <v>1934</v>
      </c>
      <c r="C243" s="66"/>
      <c r="D243" s="66" t="s">
        <v>1935</v>
      </c>
      <c r="E243" s="66"/>
      <c r="F243" s="66" t="s">
        <v>1936</v>
      </c>
      <c r="G243" s="66" t="s">
        <v>1937</v>
      </c>
      <c r="H243" s="66" t="s">
        <v>1938</v>
      </c>
      <c r="I243" s="66"/>
      <c r="J243" s="66" t="s">
        <v>1939</v>
      </c>
    </row>
    <row r="244" spans="1:10" x14ac:dyDescent="0.2">
      <c r="A244" s="66" t="str">
        <f t="shared" ca="1" si="0"/>
        <v>教师提拉奇亚（３）</v>
      </c>
      <c r="B244" s="67" t="s">
        <v>1940</v>
      </c>
      <c r="C244" s="66" t="s">
        <v>1941</v>
      </c>
      <c r="D244" s="66" t="s">
        <v>1942</v>
      </c>
      <c r="E244" s="66"/>
      <c r="F244" s="66" t="s">
        <v>1943</v>
      </c>
      <c r="G244" s="66" t="s">
        <v>1944</v>
      </c>
      <c r="H244" s="162" t="s">
        <v>1945</v>
      </c>
      <c r="I244" s="66"/>
      <c r="J244" s="66" t="s">
        <v>1946</v>
      </c>
    </row>
    <row r="245" spans="1:10" x14ac:dyDescent="0.2">
      <c r="A245" s="66" t="str">
        <f t="shared" ca="1" si="0"/>
        <v>村里的风车</v>
      </c>
      <c r="B245" s="67" t="s">
        <v>1947</v>
      </c>
      <c r="C245" s="66"/>
      <c r="D245" s="66" t="s">
        <v>1948</v>
      </c>
      <c r="E245" s="66"/>
      <c r="F245" s="66" t="s">
        <v>1949</v>
      </c>
      <c r="G245" s="66" t="s">
        <v>1950</v>
      </c>
      <c r="H245" s="66" t="s">
        <v>1951</v>
      </c>
      <c r="I245" s="66"/>
      <c r="J245" s="66" t="s">
        <v>1952</v>
      </c>
    </row>
    <row r="246" spans="1:10" x14ac:dyDescent="0.2">
      <c r="A246" s="66" t="str">
        <f t="shared" ca="1" si="0"/>
        <v>害怕的羊</v>
      </c>
      <c r="B246" s="67" t="s">
        <v>1953</v>
      </c>
      <c r="C246" s="66"/>
      <c r="D246" s="66" t="s">
        <v>1954</v>
      </c>
      <c r="E246" s="66"/>
      <c r="F246" s="66" t="s">
        <v>1955</v>
      </c>
      <c r="G246" s="66" t="s">
        <v>1956</v>
      </c>
      <c r="H246" s="66" t="s">
        <v>1956</v>
      </c>
      <c r="I246" s="66"/>
      <c r="J246" s="66" t="s">
        <v>1957</v>
      </c>
    </row>
    <row r="247" spans="1:10" x14ac:dyDescent="0.2">
      <c r="A247" s="350" t="str">
        <f t="shared" ca="1" si="0"/>
        <v>冒险家卢・曼（１）</v>
      </c>
      <c r="B247" s="44" t="s">
        <v>1958</v>
      </c>
      <c r="C247" s="34" t="s">
        <v>1959</v>
      </c>
      <c r="D247" s="350" t="s">
        <v>1960</v>
      </c>
      <c r="E247" s="350"/>
      <c r="F247" s="350" t="s">
        <v>1961</v>
      </c>
      <c r="G247" s="350" t="s">
        <v>1962</v>
      </c>
      <c r="H247" s="350" t="s">
        <v>1963</v>
      </c>
      <c r="I247" s="350"/>
      <c r="J247" s="350" t="s">
        <v>1964</v>
      </c>
    </row>
    <row r="248" spans="1:10" x14ac:dyDescent="0.2">
      <c r="A248" s="350" t="str">
        <f t="shared" ca="1" si="0"/>
        <v>难缠的男子</v>
      </c>
      <c r="B248" s="44" t="s">
        <v>1965</v>
      </c>
      <c r="C248" s="350" t="s">
        <v>1966</v>
      </c>
      <c r="D248" s="350" t="s">
        <v>1967</v>
      </c>
      <c r="E248" s="350"/>
      <c r="F248" s="350" t="s">
        <v>1968</v>
      </c>
      <c r="G248" s="350" t="s">
        <v>1969</v>
      </c>
      <c r="H248" s="350" t="s">
        <v>1970</v>
      </c>
      <c r="I248" s="350"/>
      <c r="J248" s="350" t="s">
        <v>1971</v>
      </c>
    </row>
    <row r="249" spans="1:10" x14ac:dyDescent="0.2">
      <c r="A249" s="350" t="str">
        <f t="shared" ca="1" si="0"/>
        <v>玛莉公主，在那之后</v>
      </c>
      <c r="B249" s="44" t="s">
        <v>1972</v>
      </c>
      <c r="C249" s="350"/>
      <c r="D249" s="350" t="s">
        <v>1973</v>
      </c>
      <c r="E249" s="350"/>
      <c r="F249" s="350" t="s">
        <v>1974</v>
      </c>
      <c r="G249" s="350" t="s">
        <v>1975</v>
      </c>
      <c r="H249" s="350" t="s">
        <v>1976</v>
      </c>
      <c r="I249" s="350"/>
      <c r="J249" s="350" t="s">
        <v>1977</v>
      </c>
    </row>
    <row r="250" spans="1:10" x14ac:dyDescent="0.2">
      <c r="A250" s="350" t="str">
        <f t="shared" ca="1" si="0"/>
        <v>冒险家卢・曼（２）</v>
      </c>
      <c r="B250" s="44" t="s">
        <v>1978</v>
      </c>
      <c r="C250" s="34" t="s">
        <v>1979</v>
      </c>
      <c r="D250" s="350" t="s">
        <v>1980</v>
      </c>
      <c r="E250" s="350"/>
      <c r="F250" s="350" t="s">
        <v>1981</v>
      </c>
      <c r="G250" s="350" t="s">
        <v>1982</v>
      </c>
      <c r="H250" s="350" t="s">
        <v>1983</v>
      </c>
      <c r="I250" s="350"/>
      <c r="J250" s="350" t="s">
        <v>1984</v>
      </c>
    </row>
    <row r="251" spans="1:10" x14ac:dyDescent="0.2">
      <c r="A251" s="350" t="str">
        <f t="shared" ca="1" si="0"/>
        <v>被抛弃的男子</v>
      </c>
      <c r="B251" s="44" t="s">
        <v>1985</v>
      </c>
      <c r="C251" s="350"/>
      <c r="D251" s="350" t="s">
        <v>1986</v>
      </c>
      <c r="E251" s="350"/>
      <c r="F251" s="350" t="s">
        <v>1987</v>
      </c>
      <c r="G251" s="350" t="s">
        <v>1988</v>
      </c>
      <c r="H251" s="350" t="s">
        <v>1989</v>
      </c>
      <c r="I251" s="350"/>
      <c r="J251" s="350" t="s">
        <v>1990</v>
      </c>
    </row>
    <row r="252" spans="1:10" x14ac:dyDescent="0.2">
      <c r="A252" s="350" t="str">
        <f t="shared" ca="1" si="0"/>
        <v>商人的道路</v>
      </c>
      <c r="B252" s="44" t="s">
        <v>1991</v>
      </c>
      <c r="C252" s="350"/>
      <c r="D252" s="350" t="s">
        <v>1992</v>
      </c>
      <c r="E252" s="350"/>
      <c r="F252" s="350" t="s">
        <v>1993</v>
      </c>
      <c r="G252" s="350" t="s">
        <v>1994</v>
      </c>
      <c r="H252" s="350" t="s">
        <v>1994</v>
      </c>
      <c r="I252" s="350"/>
      <c r="J252" s="350" t="s">
        <v>1995</v>
      </c>
    </row>
    <row r="253" spans="1:10" x14ac:dyDescent="0.2">
      <c r="A253" s="350" t="str">
        <f t="shared" ca="1" si="0"/>
        <v>凶暴的海兽</v>
      </c>
      <c r="B253" s="44" t="s">
        <v>1996</v>
      </c>
      <c r="C253" s="350"/>
      <c r="D253" s="350" t="s">
        <v>1997</v>
      </c>
      <c r="E253" s="350"/>
      <c r="F253" s="350" t="s">
        <v>1998</v>
      </c>
      <c r="G253" s="350" t="s">
        <v>1999</v>
      </c>
      <c r="H253" s="350" t="s">
        <v>2000</v>
      </c>
      <c r="I253" s="350"/>
      <c r="J253" s="350" t="s">
        <v>2001</v>
      </c>
    </row>
    <row r="254" spans="1:10" x14ac:dyDescent="0.2">
      <c r="A254" s="350" t="str">
        <f t="shared" ca="1" si="0"/>
        <v>寻找父亲的旅行者克里斯（２）</v>
      </c>
      <c r="B254" s="44" t="s">
        <v>2002</v>
      </c>
      <c r="C254" s="350" t="s">
        <v>2003</v>
      </c>
      <c r="D254" s="350" t="s">
        <v>2004</v>
      </c>
      <c r="E254" s="350"/>
      <c r="F254" s="350" t="s">
        <v>2005</v>
      </c>
      <c r="G254" s="350" t="s">
        <v>2006</v>
      </c>
      <c r="H254" s="350" t="s">
        <v>2007</v>
      </c>
      <c r="I254" s="350"/>
      <c r="J254" s="350" t="s">
        <v>2008</v>
      </c>
    </row>
    <row r="255" spans="1:10" x14ac:dyDescent="0.2">
      <c r="A255" s="350" t="str">
        <f t="shared" ca="1" si="0"/>
        <v>冒险家卢・曼（３）</v>
      </c>
      <c r="B255" s="44" t="s">
        <v>2009</v>
      </c>
      <c r="C255" s="34" t="s">
        <v>2010</v>
      </c>
      <c r="D255" s="350" t="s">
        <v>1980</v>
      </c>
      <c r="E255" s="350"/>
      <c r="F255" s="350" t="s">
        <v>2011</v>
      </c>
      <c r="G255" s="350" t="s">
        <v>2012</v>
      </c>
      <c r="H255" s="350" t="s">
        <v>2013</v>
      </c>
      <c r="I255" s="350"/>
      <c r="J255" s="350" t="s">
        <v>2014</v>
      </c>
    </row>
    <row r="256" spans="1:10" x14ac:dyDescent="0.2">
      <c r="A256" s="350" t="str">
        <f t="shared" ca="1" si="0"/>
        <v>异国的香氛</v>
      </c>
      <c r="B256" s="44" t="s">
        <v>2015</v>
      </c>
      <c r="C256" s="350"/>
      <c r="D256" s="350" t="s">
        <v>2016</v>
      </c>
      <c r="E256" s="350"/>
      <c r="F256" s="350" t="s">
        <v>2017</v>
      </c>
      <c r="G256" s="350" t="s">
        <v>2018</v>
      </c>
      <c r="H256" s="350" t="s">
        <v>2019</v>
      </c>
      <c r="I256" s="350"/>
      <c r="J256" s="350" t="s">
        <v>2020</v>
      </c>
    </row>
    <row r="257" spans="1:10" x14ac:dyDescent="0.2">
      <c r="A257" s="350" t="str">
        <f t="shared" ca="1" si="0"/>
        <v>日记伯伯寻找的东西</v>
      </c>
      <c r="B257" s="44" t="s">
        <v>2021</v>
      </c>
      <c r="C257" s="350"/>
      <c r="D257" s="350" t="s">
        <v>2022</v>
      </c>
      <c r="E257" s="350"/>
      <c r="F257" s="350" t="s">
        <v>2023</v>
      </c>
      <c r="G257" s="350" t="s">
        <v>2024</v>
      </c>
      <c r="H257" s="350" t="s">
        <v>2025</v>
      </c>
      <c r="I257" s="350"/>
      <c r="J257" s="350" t="s">
        <v>2026</v>
      </c>
    </row>
    <row r="258" spans="1:10" x14ac:dyDescent="0.2">
      <c r="A258" s="350" t="str">
        <f t="shared" ca="1" si="0"/>
        <v>寇蒂莉亚与诺雅，在那之后</v>
      </c>
      <c r="B258" s="44" t="s">
        <v>2027</v>
      </c>
      <c r="C258" s="350"/>
      <c r="D258" s="350" t="s">
        <v>2028</v>
      </c>
      <c r="E258" s="350"/>
      <c r="F258" s="350" t="s">
        <v>2029</v>
      </c>
      <c r="G258" s="350" t="s">
        <v>2030</v>
      </c>
      <c r="H258" s="350" t="s">
        <v>2031</v>
      </c>
      <c r="I258" s="350"/>
      <c r="J258" s="350" t="s">
        <v>2032</v>
      </c>
    </row>
    <row r="259" spans="1:10" x14ac:dyDescent="0.2">
      <c r="A259" s="346" t="str">
        <f t="shared" ca="1" si="0"/>
        <v>历史研究家诺艾尔（１）</v>
      </c>
      <c r="B259" s="53" t="s">
        <v>2033</v>
      </c>
      <c r="C259" s="346"/>
      <c r="D259" s="346" t="s">
        <v>2034</v>
      </c>
      <c r="E259" s="346"/>
      <c r="F259" s="346" t="s">
        <v>2035</v>
      </c>
      <c r="G259" s="346" t="s">
        <v>2036</v>
      </c>
      <c r="H259" s="346" t="s">
        <v>2037</v>
      </c>
      <c r="I259" s="346"/>
      <c r="J259" s="346" t="s">
        <v>2038</v>
      </c>
    </row>
    <row r="260" spans="1:10" x14ac:dyDescent="0.2">
      <c r="A260" s="346" t="str">
        <f t="shared" ca="1" si="0"/>
        <v>农田的肥料</v>
      </c>
      <c r="B260" s="53" t="s">
        <v>2039</v>
      </c>
      <c r="C260" s="346"/>
      <c r="D260" s="346" t="s">
        <v>2040</v>
      </c>
      <c r="E260" s="346"/>
      <c r="F260" s="346" t="s">
        <v>2041</v>
      </c>
      <c r="G260" s="346" t="s">
        <v>2042</v>
      </c>
      <c r="H260" s="346" t="s">
        <v>2043</v>
      </c>
      <c r="I260" s="346"/>
      <c r="J260" s="346" t="s">
        <v>2044</v>
      </c>
    </row>
    <row r="261" spans="1:10" x14ac:dyDescent="0.2">
      <c r="A261" s="346" t="str">
        <f t="shared" ca="1" si="0"/>
        <v>无法忘怀的回忆</v>
      </c>
      <c r="B261" s="53" t="s">
        <v>2045</v>
      </c>
      <c r="C261" s="346"/>
      <c r="D261" s="346" t="s">
        <v>2046</v>
      </c>
      <c r="E261" s="346"/>
      <c r="F261" s="346" t="s">
        <v>2047</v>
      </c>
      <c r="G261" s="346" t="s">
        <v>2048</v>
      </c>
      <c r="H261" s="346" t="s">
        <v>2049</v>
      </c>
      <c r="I261" s="346"/>
      <c r="J261" s="346" t="s">
        <v>2050</v>
      </c>
    </row>
    <row r="262" spans="1:10" x14ac:dyDescent="0.2">
      <c r="A262" s="346" t="str">
        <f t="shared" ca="1" si="0"/>
        <v>历史研究家诺艾尔（２）</v>
      </c>
      <c r="B262" s="53" t="s">
        <v>2051</v>
      </c>
      <c r="C262" s="346"/>
      <c r="D262" s="346" t="s">
        <v>2052</v>
      </c>
      <c r="E262" s="346"/>
      <c r="F262" s="346" t="s">
        <v>2053</v>
      </c>
      <c r="G262" s="346" t="s">
        <v>2054</v>
      </c>
      <c r="H262" s="346" t="s">
        <v>2055</v>
      </c>
      <c r="I262" s="346"/>
      <c r="J262" s="346" t="s">
        <v>2056</v>
      </c>
    </row>
    <row r="263" spans="1:10" x14ac:dyDescent="0.2">
      <c r="A263" s="346" t="str">
        <f t="shared" ca="1" si="0"/>
        <v>无赖</v>
      </c>
      <c r="B263" s="53" t="s">
        <v>2057</v>
      </c>
      <c r="C263" s="346"/>
      <c r="D263" s="346" t="s">
        <v>2058</v>
      </c>
      <c r="E263" s="346"/>
      <c r="F263" s="346" t="s">
        <v>2059</v>
      </c>
      <c r="G263" s="346" t="s">
        <v>2060</v>
      </c>
      <c r="H263" s="346" t="s">
        <v>2061</v>
      </c>
      <c r="I263" s="346"/>
      <c r="J263" s="346" t="s">
        <v>2062</v>
      </c>
    </row>
    <row r="264" spans="1:10" x14ac:dyDescent="0.2">
      <c r="A264" s="346" t="str">
        <f t="shared" ca="1" si="0"/>
        <v>异国的语言</v>
      </c>
      <c r="B264" s="53" t="s">
        <v>2063</v>
      </c>
      <c r="C264" s="51" t="s">
        <v>2064</v>
      </c>
      <c r="D264" s="346" t="s">
        <v>2065</v>
      </c>
      <c r="E264" s="346"/>
      <c r="F264" s="346" t="s">
        <v>2066</v>
      </c>
      <c r="G264" s="346" t="s">
        <v>2067</v>
      </c>
      <c r="H264" s="346" t="s">
        <v>2068</v>
      </c>
      <c r="I264" s="346"/>
      <c r="J264" s="346" t="s">
        <v>2069</v>
      </c>
    </row>
    <row r="265" spans="1:10" x14ac:dyDescent="0.2">
      <c r="A265" s="346" t="str">
        <f t="shared" ca="1" si="0"/>
        <v>王家的秘密</v>
      </c>
      <c r="B265" s="53" t="s">
        <v>2070</v>
      </c>
      <c r="C265" s="346"/>
      <c r="D265" s="346" t="s">
        <v>2071</v>
      </c>
      <c r="E265" s="346"/>
      <c r="F265" s="346" t="s">
        <v>2072</v>
      </c>
      <c r="G265" s="346" t="s">
        <v>2073</v>
      </c>
      <c r="H265" s="346" t="s">
        <v>2073</v>
      </c>
      <c r="I265" s="346"/>
      <c r="J265" s="346" t="s">
        <v>2074</v>
      </c>
    </row>
    <row r="266" spans="1:10" x14ac:dyDescent="0.2">
      <c r="A266" s="346" t="str">
        <f t="shared" ca="1" si="0"/>
        <v>学者拉塞尔，在那之后</v>
      </c>
      <c r="B266" s="53" t="s">
        <v>2075</v>
      </c>
      <c r="C266" s="346"/>
      <c r="D266" s="346" t="s">
        <v>2076</v>
      </c>
      <c r="E266" s="346"/>
      <c r="F266" s="346" t="s">
        <v>2077</v>
      </c>
      <c r="G266" s="346" t="s">
        <v>2078</v>
      </c>
      <c r="H266" s="346" t="s">
        <v>2079</v>
      </c>
      <c r="I266" s="346"/>
      <c r="J266" s="346" t="s">
        <v>2080</v>
      </c>
    </row>
    <row r="267" spans="1:10" x14ac:dyDescent="0.2">
      <c r="A267" s="346" t="str">
        <f t="shared" ca="1" si="0"/>
        <v>历史研究家诺艾尔（３）</v>
      </c>
      <c r="B267" s="53" t="s">
        <v>2081</v>
      </c>
      <c r="C267" s="346"/>
      <c r="D267" s="346" t="s">
        <v>2082</v>
      </c>
      <c r="E267" s="346"/>
      <c r="F267" s="346" t="s">
        <v>2083</v>
      </c>
      <c r="G267" s="346" t="s">
        <v>2084</v>
      </c>
      <c r="H267" s="346" t="s">
        <v>2085</v>
      </c>
      <c r="I267" s="346"/>
      <c r="J267" s="346" t="s">
        <v>2086</v>
      </c>
    </row>
    <row r="268" spans="1:10" x14ac:dyDescent="0.2">
      <c r="A268" s="346" t="str">
        <f t="shared" ca="1" si="0"/>
        <v>所谓演员</v>
      </c>
      <c r="B268" s="53" t="s">
        <v>2087</v>
      </c>
      <c r="C268" s="346"/>
      <c r="D268" s="346" t="s">
        <v>2088</v>
      </c>
      <c r="E268" s="346"/>
      <c r="F268" s="346" t="s">
        <v>2089</v>
      </c>
      <c r="G268" s="346" t="s">
        <v>2090</v>
      </c>
      <c r="H268" s="346" t="s">
        <v>2091</v>
      </c>
      <c r="I268" s="346"/>
      <c r="J268" s="346"/>
    </row>
    <row r="269" spans="1:10" x14ac:dyDescent="0.2">
      <c r="A269" s="346" t="str">
        <f t="shared" ca="1" si="0"/>
        <v>舞台的主角</v>
      </c>
      <c r="B269" s="53" t="s">
        <v>2092</v>
      </c>
      <c r="C269" s="346"/>
      <c r="D269" s="346" t="s">
        <v>2093</v>
      </c>
      <c r="E269" s="346"/>
      <c r="F269" s="346" t="s">
        <v>2094</v>
      </c>
      <c r="G269" s="346" t="s">
        <v>2095</v>
      </c>
      <c r="H269" s="346" t="s">
        <v>2095</v>
      </c>
      <c r="I269" s="346"/>
      <c r="J269" s="346" t="s">
        <v>2096</v>
      </c>
    </row>
    <row r="270" spans="1:10" x14ac:dyDescent="0.2">
      <c r="A270" s="346" t="str">
        <f t="shared" ca="1" si="0"/>
        <v>旅途的最后</v>
      </c>
      <c r="B270" s="53" t="s">
        <v>2097</v>
      </c>
      <c r="C270" s="346"/>
      <c r="D270" s="346" t="s">
        <v>2098</v>
      </c>
      <c r="E270" s="346"/>
      <c r="F270" s="346" t="s">
        <v>2099</v>
      </c>
      <c r="G270" s="346" t="s">
        <v>2100</v>
      </c>
      <c r="H270" s="346" t="s">
        <v>2101</v>
      </c>
      <c r="I270" s="346"/>
      <c r="J270" s="346" t="s">
        <v>2102</v>
      </c>
    </row>
    <row r="271" spans="1:10" x14ac:dyDescent="0.2">
      <c r="A271" s="351" t="str">
        <f t="shared" ca="1" si="0"/>
        <v>巡游少女莉亚（１）</v>
      </c>
      <c r="B271" s="352" t="s">
        <v>2103</v>
      </c>
      <c r="C271" s="351" t="s">
        <v>2104</v>
      </c>
      <c r="D271" s="351" t="s">
        <v>2105</v>
      </c>
      <c r="E271" s="351"/>
      <c r="F271" s="351" t="s">
        <v>2106</v>
      </c>
      <c r="G271" s="351" t="s">
        <v>2107</v>
      </c>
      <c r="H271" s="351" t="s">
        <v>2108</v>
      </c>
      <c r="I271" s="351"/>
      <c r="J271" s="351" t="s">
        <v>2109</v>
      </c>
    </row>
    <row r="272" spans="1:10" x14ac:dyDescent="0.2">
      <c r="A272" s="351" t="str">
        <f t="shared" ca="1" si="0"/>
        <v>最后的演出</v>
      </c>
      <c r="B272" s="352" t="s">
        <v>2110</v>
      </c>
      <c r="C272" s="351" t="s">
        <v>2111</v>
      </c>
      <c r="D272" s="351" t="s">
        <v>2112</v>
      </c>
      <c r="E272" s="351"/>
      <c r="F272" s="351" t="s">
        <v>2113</v>
      </c>
      <c r="G272" s="351" t="s">
        <v>2114</v>
      </c>
      <c r="H272" s="351" t="s">
        <v>2115</v>
      </c>
      <c r="I272" s="351"/>
      <c r="J272" s="351" t="s">
        <v>2116</v>
      </c>
    </row>
    <row r="273" spans="1:10" x14ac:dyDescent="0.2">
      <c r="A273" s="351" t="str">
        <f t="shared" ca="1" si="0"/>
        <v>酒馆的保镖</v>
      </c>
      <c r="B273" s="352" t="s">
        <v>2117</v>
      </c>
      <c r="C273" s="351" t="s">
        <v>2118</v>
      </c>
      <c r="D273" s="351" t="s">
        <v>2119</v>
      </c>
      <c r="E273" s="351"/>
      <c r="F273" s="351" t="s">
        <v>2120</v>
      </c>
      <c r="G273" s="351" t="s">
        <v>2121</v>
      </c>
      <c r="H273" s="351" t="s">
        <v>2122</v>
      </c>
      <c r="I273" s="351"/>
      <c r="J273" s="351" t="s">
        <v>2123</v>
      </c>
    </row>
    <row r="274" spans="1:10" x14ac:dyDescent="0.2">
      <c r="A274" s="351" t="str">
        <f t="shared" ca="1" si="0"/>
        <v>商人阿里，在那之后</v>
      </c>
      <c r="B274" s="352" t="s">
        <v>2124</v>
      </c>
      <c r="C274" s="351" t="s">
        <v>2125</v>
      </c>
      <c r="D274" s="351" t="s">
        <v>2126</v>
      </c>
      <c r="E274" s="351"/>
      <c r="F274" s="351" t="s">
        <v>2127</v>
      </c>
      <c r="G274" s="351" t="s">
        <v>2128</v>
      </c>
      <c r="H274" s="351" t="s">
        <v>2129</v>
      </c>
      <c r="I274" s="351"/>
      <c r="J274" s="351" t="s">
        <v>2130</v>
      </c>
    </row>
    <row r="275" spans="1:10" x14ac:dyDescent="0.2">
      <c r="A275" s="351" t="str">
        <f t="shared" ca="1" si="0"/>
        <v>巡游少女莉亚（２）</v>
      </c>
      <c r="B275" s="352" t="s">
        <v>2131</v>
      </c>
      <c r="C275" s="351" t="s">
        <v>2132</v>
      </c>
      <c r="D275" s="351" t="s">
        <v>2133</v>
      </c>
      <c r="E275" s="351"/>
      <c r="F275" s="351" t="s">
        <v>2134</v>
      </c>
      <c r="G275" s="351" t="s">
        <v>2135</v>
      </c>
      <c r="H275" s="351" t="s">
        <v>2136</v>
      </c>
      <c r="I275" s="351"/>
      <c r="J275" s="351" t="s">
        <v>2137</v>
      </c>
    </row>
    <row r="276" spans="1:10" x14ac:dyDescent="0.2">
      <c r="A276" s="351" t="str">
        <f t="shared" ca="1" si="0"/>
        <v>探索甜味</v>
      </c>
      <c r="B276" s="352" t="s">
        <v>2138</v>
      </c>
      <c r="C276" s="351"/>
      <c r="D276" s="351" t="s">
        <v>2139</v>
      </c>
      <c r="E276" s="351"/>
      <c r="F276" s="351" t="s">
        <v>2140</v>
      </c>
      <c r="G276" s="351" t="s">
        <v>2141</v>
      </c>
      <c r="H276" s="351" t="s">
        <v>2142</v>
      </c>
      <c r="I276" s="351"/>
      <c r="J276" s="351" t="s">
        <v>2143</v>
      </c>
    </row>
    <row r="277" spans="1:10" x14ac:dyDescent="0.2">
      <c r="A277" s="351" t="str">
        <f t="shared" ca="1" si="0"/>
        <v>潜伏在沙漠中的身影</v>
      </c>
      <c r="B277" s="352" t="s">
        <v>2144</v>
      </c>
      <c r="C277" s="351"/>
      <c r="D277" s="351" t="s">
        <v>2145</v>
      </c>
      <c r="E277" s="351"/>
      <c r="F277" s="351" t="s">
        <v>2146</v>
      </c>
      <c r="G277" s="351" t="s">
        <v>2147</v>
      </c>
      <c r="H277" s="351" t="s">
        <v>2148</v>
      </c>
      <c r="I277" s="351"/>
      <c r="J277" s="351" t="s">
        <v>2149</v>
      </c>
    </row>
    <row r="278" spans="1:10" x14ac:dyDescent="0.2">
      <c r="A278" s="351" t="str">
        <f t="shared" ca="1" si="0"/>
        <v>守卫队长贝尔，在那之后</v>
      </c>
      <c r="B278" s="352" t="s">
        <v>2150</v>
      </c>
      <c r="C278" s="351"/>
      <c r="D278" s="351" t="s">
        <v>2151</v>
      </c>
      <c r="E278" s="351"/>
      <c r="F278" s="351" t="s">
        <v>2152</v>
      </c>
      <c r="G278" s="351" t="s">
        <v>2153</v>
      </c>
      <c r="H278" s="351" t="s">
        <v>2154</v>
      </c>
      <c r="I278" s="351"/>
      <c r="J278" s="351" t="s">
        <v>2155</v>
      </c>
    </row>
    <row r="279" spans="1:10" x14ac:dyDescent="0.2">
      <c r="A279" s="351" t="str">
        <f t="shared" ca="1" si="0"/>
        <v>巡游少女莉亚（３）</v>
      </c>
      <c r="B279" s="352" t="s">
        <v>2156</v>
      </c>
      <c r="C279" s="351" t="s">
        <v>2157</v>
      </c>
      <c r="D279" s="351" t="s">
        <v>2158</v>
      </c>
      <c r="E279" s="351"/>
      <c r="F279" s="351" t="s">
        <v>2159</v>
      </c>
      <c r="G279" s="351" t="s">
        <v>2160</v>
      </c>
      <c r="H279" s="351" t="s">
        <v>2161</v>
      </c>
      <c r="I279" s="351"/>
      <c r="J279" s="351" t="s">
        <v>2162</v>
      </c>
    </row>
    <row r="280" spans="1:10" x14ac:dyDescent="0.2">
      <c r="A280" s="351" t="str">
        <f t="shared" ca="1" si="0"/>
        <v>从未见过的东西</v>
      </c>
      <c r="B280" s="352" t="s">
        <v>2163</v>
      </c>
      <c r="C280" s="351"/>
      <c r="D280" s="351" t="s">
        <v>2164</v>
      </c>
      <c r="E280" s="351"/>
      <c r="F280" s="351" t="s">
        <v>2165</v>
      </c>
      <c r="G280" s="351" t="s">
        <v>2166</v>
      </c>
      <c r="H280" s="351" t="s">
        <v>2167</v>
      </c>
      <c r="I280" s="351"/>
      <c r="J280" s="351" t="s">
        <v>2168</v>
      </c>
    </row>
    <row r="281" spans="1:10" x14ac:dyDescent="0.2">
      <c r="A281" s="351" t="str">
        <f t="shared" ca="1" si="0"/>
        <v>罪人的愿望</v>
      </c>
      <c r="B281" s="352" t="s">
        <v>2169</v>
      </c>
      <c r="C281" s="351"/>
      <c r="D281" s="351" t="s">
        <v>2170</v>
      </c>
      <c r="E281" s="351"/>
      <c r="F281" s="351" t="s">
        <v>2171</v>
      </c>
      <c r="G281" s="351" t="s">
        <v>2172</v>
      </c>
      <c r="H281" s="351" t="s">
        <v>2173</v>
      </c>
      <c r="I281" s="351"/>
      <c r="J281" s="351" t="s">
        <v>2174</v>
      </c>
    </row>
    <row r="282" spans="1:10" x14ac:dyDescent="0.2">
      <c r="A282" s="351" t="str">
        <f t="shared" ca="1" si="0"/>
        <v>克林姆王，在那之后</v>
      </c>
      <c r="B282" s="352" t="s">
        <v>2175</v>
      </c>
      <c r="C282" s="351"/>
      <c r="D282" s="351" t="s">
        <v>2176</v>
      </c>
      <c r="E282" s="351"/>
      <c r="F282" s="351" t="s">
        <v>2177</v>
      </c>
      <c r="G282" s="351" t="s">
        <v>2178</v>
      </c>
      <c r="H282" s="351" t="s">
        <v>2179</v>
      </c>
      <c r="I282" s="351"/>
      <c r="J282" s="351" t="s">
        <v>2180</v>
      </c>
    </row>
    <row r="283" spans="1:10" x14ac:dyDescent="0.2">
      <c r="A283" s="349" t="str">
        <f t="shared" ca="1" si="0"/>
        <v>孤儿梅莉儿（１）</v>
      </c>
      <c r="B283" s="138" t="s">
        <v>2181</v>
      </c>
      <c r="C283" s="349" t="s">
        <v>2182</v>
      </c>
      <c r="D283" s="349" t="s">
        <v>2183</v>
      </c>
      <c r="E283" s="349"/>
      <c r="F283" s="349" t="s">
        <v>2184</v>
      </c>
      <c r="G283" s="349" t="s">
        <v>2185</v>
      </c>
      <c r="H283" s="349" t="s">
        <v>2186</v>
      </c>
      <c r="I283" s="349"/>
      <c r="J283" s="349" t="s">
        <v>2187</v>
      </c>
    </row>
    <row r="284" spans="1:10" x14ac:dyDescent="0.2">
      <c r="A284" s="349" t="str">
        <f t="shared" ca="1" si="0"/>
        <v>消失的鱼</v>
      </c>
      <c r="B284" s="138" t="s">
        <v>2188</v>
      </c>
      <c r="C284" s="349" t="s">
        <v>2189</v>
      </c>
      <c r="D284" s="349" t="s">
        <v>2190</v>
      </c>
      <c r="E284" s="349"/>
      <c r="F284" s="349" t="s">
        <v>2191</v>
      </c>
      <c r="G284" s="349" t="s">
        <v>2192</v>
      </c>
      <c r="H284" s="349" t="s">
        <v>2193</v>
      </c>
      <c r="I284" s="349"/>
      <c r="J284" s="349" t="s">
        <v>2194</v>
      </c>
    </row>
    <row r="285" spans="1:10" x14ac:dyDescent="0.2">
      <c r="A285" s="349" t="str">
        <f t="shared" ca="1" si="0"/>
        <v>与孙子重逢</v>
      </c>
      <c r="B285" s="138" t="s">
        <v>2195</v>
      </c>
      <c r="C285" s="349"/>
      <c r="D285" s="349" t="s">
        <v>2196</v>
      </c>
      <c r="E285" s="349"/>
      <c r="F285" s="349" t="s">
        <v>2197</v>
      </c>
      <c r="G285" s="349" t="s">
        <v>2198</v>
      </c>
      <c r="H285" s="349" t="s">
        <v>2199</v>
      </c>
      <c r="I285" s="349"/>
      <c r="J285" s="349" t="s">
        <v>2200</v>
      </c>
    </row>
    <row r="286" spans="1:10" x14ac:dyDescent="0.2">
      <c r="A286" s="349" t="str">
        <f t="shared" ca="1" si="0"/>
        <v>药师杰夫，在那之后（１）</v>
      </c>
      <c r="B286" s="138" t="s">
        <v>2201</v>
      </c>
      <c r="C286" s="349"/>
      <c r="D286" s="349" t="s">
        <v>2202</v>
      </c>
      <c r="E286" s="349"/>
      <c r="F286" s="349" t="s">
        <v>2203</v>
      </c>
      <c r="G286" s="349" t="s">
        <v>2204</v>
      </c>
      <c r="H286" s="349" t="s">
        <v>2205</v>
      </c>
      <c r="I286" s="349"/>
      <c r="J286" s="349" t="s">
        <v>2206</v>
      </c>
    </row>
    <row r="287" spans="1:10" x14ac:dyDescent="0.2">
      <c r="A287" s="349" t="str">
        <f t="shared" ca="1" si="0"/>
        <v>药师杰夫，在那之后（２）</v>
      </c>
      <c r="B287" s="138" t="s">
        <v>2207</v>
      </c>
      <c r="C287" s="349"/>
      <c r="D287" s="349" t="s">
        <v>2208</v>
      </c>
      <c r="E287" s="349"/>
      <c r="F287" s="349" t="s">
        <v>2209</v>
      </c>
      <c r="G287" s="349" t="s">
        <v>2210</v>
      </c>
      <c r="H287" s="349" t="s">
        <v>2211</v>
      </c>
      <c r="I287" s="349"/>
      <c r="J287" s="349" t="s">
        <v>2212</v>
      </c>
    </row>
    <row r="288" spans="1:10" x14ac:dyDescent="0.2">
      <c r="A288" s="349" t="str">
        <f t="shared" ca="1" si="0"/>
        <v>孤儿梅莉儿（２）</v>
      </c>
      <c r="B288" s="138" t="s">
        <v>2213</v>
      </c>
      <c r="C288" s="349" t="s">
        <v>2214</v>
      </c>
      <c r="D288" s="349" t="s">
        <v>2215</v>
      </c>
      <c r="E288" s="349"/>
      <c r="F288" s="349" t="s">
        <v>2216</v>
      </c>
      <c r="G288" s="349" t="s">
        <v>2217</v>
      </c>
      <c r="H288" s="349" t="s">
        <v>2218</v>
      </c>
      <c r="I288" s="349"/>
      <c r="J288" s="349" t="s">
        <v>2219</v>
      </c>
    </row>
    <row r="289" spans="1:10" x14ac:dyDescent="0.2">
      <c r="A289" s="349" t="str">
        <f t="shared" ca="1" si="0"/>
        <v>命中注定之人（２）</v>
      </c>
      <c r="B289" s="138" t="s">
        <v>2220</v>
      </c>
      <c r="C289" s="349"/>
      <c r="D289" s="349" t="s">
        <v>2221</v>
      </c>
      <c r="E289" s="349"/>
      <c r="F289" s="349" t="s">
        <v>2222</v>
      </c>
      <c r="G289" s="349" t="s">
        <v>2223</v>
      </c>
      <c r="H289" s="349" t="s">
        <v>2223</v>
      </c>
      <c r="I289" s="349"/>
      <c r="J289" s="349" t="s">
        <v>2224</v>
      </c>
    </row>
    <row r="290" spans="1:10" x14ac:dyDescent="0.2">
      <c r="A290" s="349" t="str">
        <f t="shared" ca="1" si="0"/>
        <v>爱担心的男子</v>
      </c>
      <c r="B290" s="138" t="s">
        <v>2225</v>
      </c>
      <c r="C290" s="349"/>
      <c r="D290" s="349" t="s">
        <v>2226</v>
      </c>
      <c r="E290" s="349"/>
      <c r="F290" s="349" t="s">
        <v>2227</v>
      </c>
      <c r="G290" s="349" t="s">
        <v>2228</v>
      </c>
      <c r="H290" s="349" t="s">
        <v>2229</v>
      </c>
      <c r="I290" s="349"/>
      <c r="J290" s="349" t="s">
        <v>2230</v>
      </c>
    </row>
    <row r="291" spans="1:10" x14ac:dyDescent="0.2">
      <c r="A291" s="349" t="str">
        <f t="shared" ca="1" si="0"/>
        <v>盯上巡礼者的无耻之人</v>
      </c>
      <c r="B291" s="138" t="s">
        <v>2231</v>
      </c>
      <c r="C291" s="349"/>
      <c r="D291" s="349" t="s">
        <v>2232</v>
      </c>
      <c r="E291" s="349"/>
      <c r="F291" s="349" t="s">
        <v>2233</v>
      </c>
      <c r="G291" s="349" t="s">
        <v>2234</v>
      </c>
      <c r="H291" s="349" t="s">
        <v>2235</v>
      </c>
      <c r="I291" s="349"/>
      <c r="J291" s="349" t="s">
        <v>2236</v>
      </c>
    </row>
    <row r="292" spans="1:10" x14ac:dyDescent="0.2">
      <c r="A292" s="349" t="str">
        <f t="shared" ca="1" si="0"/>
        <v>随着川流而来的尸体</v>
      </c>
      <c r="B292" s="138" t="s">
        <v>2237</v>
      </c>
      <c r="C292" s="10" t="s">
        <v>2238</v>
      </c>
      <c r="D292" s="349" t="s">
        <v>2239</v>
      </c>
      <c r="E292" s="349"/>
      <c r="F292" s="349" t="s">
        <v>2240</v>
      </c>
      <c r="G292" s="349" t="s">
        <v>2241</v>
      </c>
      <c r="H292" s="349" t="s">
        <v>2242</v>
      </c>
      <c r="I292" s="349"/>
      <c r="J292" s="349" t="s">
        <v>2243</v>
      </c>
    </row>
    <row r="293" spans="1:10" x14ac:dyDescent="0.2">
      <c r="A293" s="349" t="str">
        <f t="shared" ca="1" si="0"/>
        <v>好友３人组，在那之后</v>
      </c>
      <c r="B293" s="138" t="s">
        <v>2244</v>
      </c>
      <c r="C293" s="349"/>
      <c r="D293" s="349" t="s">
        <v>2245</v>
      </c>
      <c r="E293" s="349"/>
      <c r="F293" s="349" t="s">
        <v>2246</v>
      </c>
      <c r="G293" s="349" t="s">
        <v>2247</v>
      </c>
      <c r="H293" s="349" t="s">
        <v>2248</v>
      </c>
      <c r="I293" s="349"/>
      <c r="J293" s="349" t="s">
        <v>2249</v>
      </c>
    </row>
    <row r="294" spans="1:10" x14ac:dyDescent="0.2">
      <c r="A294" s="349" t="str">
        <f t="shared" ca="1" si="0"/>
        <v>孤儿梅莉儿（３）</v>
      </c>
      <c r="B294" s="138" t="s">
        <v>2250</v>
      </c>
      <c r="C294" s="9" t="s">
        <v>2251</v>
      </c>
      <c r="D294" s="349" t="s">
        <v>2252</v>
      </c>
      <c r="E294" s="349"/>
      <c r="F294" s="349" t="s">
        <v>2253</v>
      </c>
      <c r="G294" s="349" t="s">
        <v>2254</v>
      </c>
      <c r="H294" s="349" t="s">
        <v>2255</v>
      </c>
      <c r="I294" s="349"/>
      <c r="J294" s="349" t="s">
        <v>2256</v>
      </c>
    </row>
    <row r="295" spans="1:10" x14ac:dyDescent="0.2">
      <c r="A295" s="349" t="str">
        <f t="shared" ca="1" si="0"/>
        <v>梦想家贵族</v>
      </c>
      <c r="B295" s="138" t="s">
        <v>2257</v>
      </c>
      <c r="C295" s="349"/>
      <c r="D295" s="349" t="s">
        <v>2258</v>
      </c>
      <c r="E295" s="349"/>
      <c r="F295" s="349" t="s">
        <v>2259</v>
      </c>
      <c r="G295" s="349" t="s">
        <v>2260</v>
      </c>
      <c r="H295" s="349" t="s">
        <v>2261</v>
      </c>
      <c r="I295" s="349"/>
      <c r="J295" s="349" t="s">
        <v>2262</v>
      </c>
    </row>
    <row r="296" spans="1:10" x14ac:dyDescent="0.2">
      <c r="A296" s="349" t="str">
        <f t="shared" ca="1" si="0"/>
        <v>贵族的藏宝</v>
      </c>
      <c r="B296" s="138" t="s">
        <v>2263</v>
      </c>
      <c r="C296" s="349"/>
      <c r="D296" s="349" t="s">
        <v>2264</v>
      </c>
      <c r="E296" s="349"/>
      <c r="F296" s="349" t="s">
        <v>2265</v>
      </c>
      <c r="G296" s="349" t="s">
        <v>2266</v>
      </c>
      <c r="H296" s="349" t="s">
        <v>2267</v>
      </c>
      <c r="I296" s="349"/>
      <c r="J296" s="349"/>
    </row>
    <row r="297" spans="1:10" x14ac:dyDescent="0.2">
      <c r="A297" s="349" t="str">
        <f t="shared" ca="1" si="0"/>
        <v>哈洛德，在那之后后续</v>
      </c>
      <c r="B297" s="138" t="s">
        <v>2268</v>
      </c>
      <c r="C297" s="349"/>
      <c r="D297" s="349" t="s">
        <v>2269</v>
      </c>
      <c r="E297" s="349"/>
      <c r="F297" s="349" t="s">
        <v>2270</v>
      </c>
      <c r="G297" s="349" t="s">
        <v>2271</v>
      </c>
      <c r="H297" s="349" t="s">
        <v>2272</v>
      </c>
      <c r="I297" s="349"/>
      <c r="J297" s="349" t="s">
        <v>2273</v>
      </c>
    </row>
    <row r="298" spans="1:10" x14ac:dyDescent="0.2">
      <c r="A298" s="350" t="str">
        <f t="shared" ca="1" si="0"/>
        <v>托付龙蛋的少女艾蜜莉（１）</v>
      </c>
      <c r="B298" s="44" t="s">
        <v>2274</v>
      </c>
      <c r="C298" s="350" t="s">
        <v>2275</v>
      </c>
      <c r="D298" s="350" t="s">
        <v>2276</v>
      </c>
      <c r="E298" s="350"/>
      <c r="F298" s="350" t="s">
        <v>2277</v>
      </c>
      <c r="G298" s="350" t="s">
        <v>2278</v>
      </c>
      <c r="H298" s="350" t="s">
        <v>2279</v>
      </c>
      <c r="I298" s="350"/>
      <c r="J298" s="350" t="s">
        <v>2280</v>
      </c>
    </row>
    <row r="299" spans="1:10" x14ac:dyDescent="0.2">
      <c r="A299" s="350" t="str">
        <f t="shared" ca="1" si="0"/>
        <v>命中注定之人（１）</v>
      </c>
      <c r="B299" s="44" t="s">
        <v>2281</v>
      </c>
      <c r="C299" s="350"/>
      <c r="D299" s="350" t="s">
        <v>2282</v>
      </c>
      <c r="E299" s="350"/>
      <c r="F299" s="350" t="s">
        <v>2283</v>
      </c>
      <c r="G299" s="350" t="s">
        <v>2284</v>
      </c>
      <c r="H299" s="350" t="s">
        <v>2284</v>
      </c>
      <c r="I299" s="350"/>
      <c r="J299" s="350" t="s">
        <v>2285</v>
      </c>
    </row>
    <row r="300" spans="1:10" x14ac:dyDescent="0.2">
      <c r="A300" s="350" t="str">
        <f t="shared" ca="1" si="0"/>
        <v>谋反的火种</v>
      </c>
      <c r="B300" s="44" t="s">
        <v>2286</v>
      </c>
      <c r="C300" s="34" t="s">
        <v>2287</v>
      </c>
      <c r="D300" s="350" t="s">
        <v>2288</v>
      </c>
      <c r="E300" s="350"/>
      <c r="F300" s="350" t="s">
        <v>2289</v>
      </c>
      <c r="G300" s="350" t="s">
        <v>2290</v>
      </c>
      <c r="H300" s="350" t="s">
        <v>2291</v>
      </c>
      <c r="I300" s="350"/>
      <c r="J300" s="350" t="s">
        <v>2292</v>
      </c>
    </row>
    <row r="301" spans="1:10" x14ac:dyDescent="0.2">
      <c r="A301" s="350" t="str">
        <f t="shared" ca="1" si="0"/>
        <v>盗贼的规矩</v>
      </c>
      <c r="B301" s="44" t="s">
        <v>2293</v>
      </c>
      <c r="C301" s="350"/>
      <c r="D301" s="350" t="s">
        <v>2294</v>
      </c>
      <c r="E301" s="350"/>
      <c r="F301" s="350" t="s">
        <v>2295</v>
      </c>
      <c r="G301" s="350" t="s">
        <v>2296</v>
      </c>
      <c r="H301" s="350" t="s">
        <v>2297</v>
      </c>
      <c r="I301" s="350"/>
      <c r="J301" s="350" t="s">
        <v>2298</v>
      </c>
    </row>
    <row r="302" spans="1:10" x14ac:dyDescent="0.2">
      <c r="A302" s="350" t="str">
        <f t="shared" ca="1" si="0"/>
        <v>希斯柯特，在那之后</v>
      </c>
      <c r="B302" s="44" t="s">
        <v>2299</v>
      </c>
      <c r="C302" s="350"/>
      <c r="D302" s="350" t="s">
        <v>2300</v>
      </c>
      <c r="E302" s="350"/>
      <c r="F302" s="350" t="s">
        <v>2301</v>
      </c>
      <c r="G302" s="350" t="s">
        <v>2302</v>
      </c>
      <c r="H302" s="350" t="s">
        <v>2303</v>
      </c>
      <c r="I302" s="350"/>
      <c r="J302" s="350" t="s">
        <v>2304</v>
      </c>
    </row>
    <row r="303" spans="1:10" x14ac:dyDescent="0.2">
      <c r="A303" s="350" t="str">
        <f t="shared" ca="1" si="0"/>
        <v>托付龙蛋的少女艾蜜莉（２）</v>
      </c>
      <c r="B303" s="44" t="s">
        <v>2305</v>
      </c>
      <c r="C303" s="350" t="s">
        <v>2306</v>
      </c>
      <c r="D303" s="350" t="s">
        <v>2307</v>
      </c>
      <c r="E303" s="350"/>
      <c r="F303" s="350" t="s">
        <v>2308</v>
      </c>
      <c r="G303" s="350" t="s">
        <v>2309</v>
      </c>
      <c r="H303" s="350" t="s">
        <v>2310</v>
      </c>
      <c r="I303" s="350"/>
      <c r="J303" s="350" t="s">
        <v>2311</v>
      </c>
    </row>
    <row r="304" spans="1:10" x14ac:dyDescent="0.2">
      <c r="A304" s="350" t="str">
        <f t="shared" ca="1" si="0"/>
        <v>纺织工房的转机</v>
      </c>
      <c r="B304" s="44" t="s">
        <v>2312</v>
      </c>
      <c r="C304" s="350"/>
      <c r="D304" s="350" t="s">
        <v>2313</v>
      </c>
      <c r="E304" s="350"/>
      <c r="F304" s="350" t="s">
        <v>2314</v>
      </c>
      <c r="G304" s="350" t="s">
        <v>2315</v>
      </c>
      <c r="H304" s="350" t="s">
        <v>2316</v>
      </c>
      <c r="I304" s="350"/>
      <c r="J304" s="350" t="s">
        <v>2317</v>
      </c>
    </row>
    <row r="305" spans="1:10" x14ac:dyDescent="0.2">
      <c r="A305" s="350" t="str">
        <f t="shared" ca="1" si="0"/>
        <v>采掘工人的烦恼</v>
      </c>
      <c r="B305" s="44" t="s">
        <v>2318</v>
      </c>
      <c r="C305" s="350" t="s">
        <v>2319</v>
      </c>
      <c r="D305" s="350" t="s">
        <v>2320</v>
      </c>
      <c r="E305" s="350"/>
      <c r="F305" s="350" t="s">
        <v>2321</v>
      </c>
      <c r="G305" s="350" t="s">
        <v>2322</v>
      </c>
      <c r="H305" s="350" t="s">
        <v>2323</v>
      </c>
      <c r="I305" s="350"/>
      <c r="J305" s="350" t="s">
        <v>2324</v>
      </c>
    </row>
    <row r="306" spans="1:10" x14ac:dyDescent="0.2">
      <c r="A306" s="350" t="str">
        <f t="shared" ca="1" si="0"/>
        <v>雷布洛与奥黛特，在那之后</v>
      </c>
      <c r="B306" s="44" t="s">
        <v>2325</v>
      </c>
      <c r="C306" s="350" t="s">
        <v>2326</v>
      </c>
      <c r="D306" s="350" t="s">
        <v>2327</v>
      </c>
      <c r="E306" s="350"/>
      <c r="F306" s="350" t="s">
        <v>2328</v>
      </c>
      <c r="G306" s="350" t="s">
        <v>2329</v>
      </c>
      <c r="H306" s="350" t="s">
        <v>2330</v>
      </c>
      <c r="I306" s="350"/>
      <c r="J306" s="350" t="s">
        <v>2331</v>
      </c>
    </row>
    <row r="307" spans="1:10" x14ac:dyDescent="0.2">
      <c r="A307" s="350" t="str">
        <f t="shared" ca="1" si="0"/>
        <v>托付龙蛋的少女艾蜜莉（３）</v>
      </c>
      <c r="B307" s="44" t="s">
        <v>2332</v>
      </c>
      <c r="C307" s="350" t="s">
        <v>2333</v>
      </c>
      <c r="D307" s="350" t="s">
        <v>2334</v>
      </c>
      <c r="E307" s="350"/>
      <c r="F307" s="350" t="s">
        <v>2335</v>
      </c>
      <c r="G307" s="350" t="s">
        <v>2336</v>
      </c>
      <c r="H307" s="350" t="s">
        <v>2337</v>
      </c>
      <c r="I307" s="350"/>
      <c r="J307" s="350" t="s">
        <v>2338</v>
      </c>
    </row>
    <row r="308" spans="1:10" x14ac:dyDescent="0.2">
      <c r="A308" s="350" t="str">
        <f t="shared" ca="1" si="0"/>
        <v>不成器的儿子</v>
      </c>
      <c r="B308" s="44" t="s">
        <v>2339</v>
      </c>
      <c r="C308" s="350"/>
      <c r="D308" s="350" t="s">
        <v>2340</v>
      </c>
      <c r="E308" s="350"/>
      <c r="F308" s="350" t="s">
        <v>2341</v>
      </c>
      <c r="G308" s="350" t="s">
        <v>2342</v>
      </c>
      <c r="H308" s="350" t="s">
        <v>2343</v>
      </c>
      <c r="I308" s="350"/>
      <c r="J308" s="350" t="s">
        <v>2344</v>
      </c>
    </row>
    <row r="309" spans="1:10" x14ac:dyDescent="0.2">
      <c r="A309" s="350" t="str">
        <f t="shared" ca="1" si="0"/>
        <v>无路可退的男子</v>
      </c>
      <c r="B309" s="44" t="s">
        <v>2345</v>
      </c>
      <c r="C309" s="350"/>
      <c r="D309" s="350" t="s">
        <v>2346</v>
      </c>
      <c r="E309" s="350"/>
      <c r="F309" s="350" t="s">
        <v>2347</v>
      </c>
      <c r="G309" s="350" t="s">
        <v>2348</v>
      </c>
      <c r="H309" s="350" t="s">
        <v>2349</v>
      </c>
      <c r="I309" s="350"/>
      <c r="J309" s="350" t="s">
        <v>2350</v>
      </c>
    </row>
    <row r="310" spans="1:10" x14ac:dyDescent="0.2">
      <c r="A310" s="66" t="str">
        <f t="shared" ca="1" si="0"/>
        <v>魔物操控人的末裔阿什兰（１）</v>
      </c>
      <c r="B310" s="67" t="s">
        <v>2351</v>
      </c>
      <c r="C310" s="66" t="s">
        <v>2352</v>
      </c>
      <c r="D310" s="66" t="s">
        <v>2353</v>
      </c>
      <c r="E310" s="66"/>
      <c r="F310" s="66" t="s">
        <v>2354</v>
      </c>
      <c r="G310" s="66" t="s">
        <v>2355</v>
      </c>
      <c r="H310" s="66" t="s">
        <v>2356</v>
      </c>
      <c r="I310" s="66"/>
      <c r="J310" s="66" t="s">
        <v>2357</v>
      </c>
    </row>
    <row r="311" spans="1:10" x14ac:dyDescent="0.2">
      <c r="A311" s="66" t="str">
        <f t="shared" ca="1" si="0"/>
        <v>成人的仪式</v>
      </c>
      <c r="B311" s="67" t="s">
        <v>2358</v>
      </c>
      <c r="C311" s="66"/>
      <c r="D311" s="66" t="s">
        <v>2359</v>
      </c>
      <c r="E311" s="66"/>
      <c r="F311" s="66" t="s">
        <v>2360</v>
      </c>
      <c r="G311" s="66" t="s">
        <v>2361</v>
      </c>
      <c r="H311" s="66" t="s">
        <v>2362</v>
      </c>
      <c r="I311" s="66"/>
      <c r="J311" s="66" t="s">
        <v>2363</v>
      </c>
    </row>
    <row r="312" spans="1:10" x14ac:dyDescent="0.2">
      <c r="A312" s="66" t="str">
        <f t="shared" ca="1" si="0"/>
        <v>森林的指路牌</v>
      </c>
      <c r="B312" s="67" t="s">
        <v>2364</v>
      </c>
      <c r="C312" s="66"/>
      <c r="D312" s="66" t="s">
        <v>2365</v>
      </c>
      <c r="E312" s="66"/>
      <c r="F312" s="66" t="s">
        <v>2366</v>
      </c>
      <c r="G312" s="66" t="s">
        <v>2367</v>
      </c>
      <c r="H312" s="66" t="s">
        <v>2368</v>
      </c>
      <c r="I312" s="66"/>
      <c r="J312" s="66" t="s">
        <v>2369</v>
      </c>
    </row>
    <row r="313" spans="1:10" x14ac:dyDescent="0.2">
      <c r="A313" s="66" t="str">
        <f t="shared" ca="1" si="0"/>
        <v>团长与阿尔法丝，在那之后</v>
      </c>
      <c r="B313" s="67" t="s">
        <v>2370</v>
      </c>
      <c r="C313" s="66"/>
      <c r="D313" s="66" t="s">
        <v>2371</v>
      </c>
      <c r="E313" s="66"/>
      <c r="F313" s="66" t="s">
        <v>2372</v>
      </c>
      <c r="G313" s="66" t="s">
        <v>2373</v>
      </c>
      <c r="H313" s="66" t="s">
        <v>2374</v>
      </c>
      <c r="I313" s="66"/>
      <c r="J313" s="66" t="s">
        <v>2375</v>
      </c>
    </row>
    <row r="314" spans="1:10" x14ac:dyDescent="0.2">
      <c r="A314" s="66" t="str">
        <f t="shared" ca="1" si="0"/>
        <v>魔物操控人的末裔阿什兰（２）</v>
      </c>
      <c r="B314" s="67" t="s">
        <v>2376</v>
      </c>
      <c r="C314" s="66" t="s">
        <v>2377</v>
      </c>
      <c r="D314" s="66" t="s">
        <v>2378</v>
      </c>
      <c r="E314" s="66"/>
      <c r="F314" s="66" t="s">
        <v>2379</v>
      </c>
      <c r="G314" s="66" t="s">
        <v>2380</v>
      </c>
      <c r="H314" s="66" t="s">
        <v>2381</v>
      </c>
      <c r="I314" s="66"/>
      <c r="J314" s="66" t="s">
        <v>2382</v>
      </c>
    </row>
    <row r="315" spans="1:10" x14ac:dyDescent="0.2">
      <c r="A315" s="66" t="str">
        <f t="shared" ca="1" si="0"/>
        <v>成为剑斗士的憧憬</v>
      </c>
      <c r="B315" s="67" t="s">
        <v>2383</v>
      </c>
      <c r="C315" s="66"/>
      <c r="D315" s="66" t="s">
        <v>2384</v>
      </c>
      <c r="E315" s="66"/>
      <c r="F315" s="66" t="s">
        <v>2385</v>
      </c>
      <c r="G315" s="66" t="s">
        <v>2386</v>
      </c>
      <c r="H315" s="66" t="s">
        <v>2387</v>
      </c>
      <c r="I315" s="66"/>
      <c r="J315" s="66" t="s">
        <v>2388</v>
      </c>
    </row>
    <row r="316" spans="1:10" x14ac:dyDescent="0.2">
      <c r="A316" s="66" t="str">
        <f t="shared" ca="1" si="0"/>
        <v>绑架</v>
      </c>
      <c r="B316" s="67" t="s">
        <v>2389</v>
      </c>
      <c r="C316" s="66"/>
      <c r="D316" s="66" t="s">
        <v>2390</v>
      </c>
      <c r="E316" s="66"/>
      <c r="F316" s="66" t="s">
        <v>2391</v>
      </c>
      <c r="G316" s="66" t="s">
        <v>2392</v>
      </c>
      <c r="H316" s="66" t="s">
        <v>2393</v>
      </c>
      <c r="I316" s="66"/>
      <c r="J316" s="66" t="s">
        <v>2394</v>
      </c>
    </row>
    <row r="317" spans="1:10" x14ac:dyDescent="0.2">
      <c r="A317" s="66" t="str">
        <f t="shared" ca="1" si="0"/>
        <v>下注的事前准备</v>
      </c>
      <c r="B317" s="67" t="s">
        <v>2395</v>
      </c>
      <c r="C317" s="66"/>
      <c r="D317" s="66" t="s">
        <v>2396</v>
      </c>
      <c r="E317" s="66"/>
      <c r="F317" s="66" t="s">
        <v>2397</v>
      </c>
      <c r="G317" s="66" t="s">
        <v>2398</v>
      </c>
      <c r="H317" s="66" t="s">
        <v>2399</v>
      </c>
      <c r="I317" s="66"/>
      <c r="J317" s="66" t="s">
        <v>2400</v>
      </c>
    </row>
    <row r="318" spans="1:10" x14ac:dyDescent="0.2">
      <c r="A318" s="66" t="str">
        <f t="shared" ca="1" si="0"/>
        <v>亚雷克，在那之后</v>
      </c>
      <c r="B318" s="67" t="s">
        <v>2401</v>
      </c>
      <c r="C318" s="66"/>
      <c r="D318" s="66" t="s">
        <v>2402</v>
      </c>
      <c r="E318" s="66"/>
      <c r="F318" s="66" t="s">
        <v>2403</v>
      </c>
      <c r="G318" s="66" t="s">
        <v>2404</v>
      </c>
      <c r="H318" s="66" t="s">
        <v>2405</v>
      </c>
      <c r="I318" s="66"/>
      <c r="J318" s="66" t="s">
        <v>2406</v>
      </c>
    </row>
    <row r="319" spans="1:10" x14ac:dyDescent="0.2">
      <c r="A319" s="66" t="str">
        <f t="shared" ca="1" si="0"/>
        <v>魔物操控人的末裔阿什兰（３）</v>
      </c>
      <c r="B319" s="67" t="s">
        <v>2407</v>
      </c>
      <c r="C319" s="66" t="s">
        <v>2408</v>
      </c>
      <c r="D319" s="66" t="s">
        <v>2409</v>
      </c>
      <c r="E319" s="66"/>
      <c r="F319" s="66" t="s">
        <v>2410</v>
      </c>
      <c r="G319" s="66" t="s">
        <v>2411</v>
      </c>
      <c r="H319" s="66" t="s">
        <v>2412</v>
      </c>
      <c r="I319" s="66"/>
      <c r="J319" s="66" t="s">
        <v>2413</v>
      </c>
    </row>
    <row r="320" spans="1:10" x14ac:dyDescent="0.2">
      <c r="A320" s="66" t="str">
        <f t="shared" ca="1" si="0"/>
        <v>破坏遗迹的盗掘者</v>
      </c>
      <c r="B320" s="67" t="s">
        <v>2414</v>
      </c>
      <c r="C320" s="66"/>
      <c r="D320" s="66" t="s">
        <v>2415</v>
      </c>
      <c r="E320" s="66"/>
      <c r="F320" s="66" t="s">
        <v>2416</v>
      </c>
      <c r="G320" s="66" t="s">
        <v>2417</v>
      </c>
      <c r="H320" s="66" t="s">
        <v>2418</v>
      </c>
      <c r="I320" s="66"/>
      <c r="J320" s="66" t="s">
        <v>2419</v>
      </c>
    </row>
    <row r="321" spans="1:10" x14ac:dyDescent="0.2">
      <c r="A321" s="66" t="str">
        <f t="shared" ca="1" si="0"/>
        <v>无名野兽</v>
      </c>
      <c r="B321" s="67" t="s">
        <v>2420</v>
      </c>
      <c r="C321" s="66"/>
      <c r="D321" s="66" t="s">
        <v>2421</v>
      </c>
      <c r="E321" s="66"/>
      <c r="F321" s="66" t="s">
        <v>2422</v>
      </c>
      <c r="G321" s="66" t="s">
        <v>2423</v>
      </c>
      <c r="H321" s="66" t="s">
        <v>2424</v>
      </c>
      <c r="I321" s="66"/>
      <c r="J321" s="66"/>
    </row>
    <row r="322" spans="1:10" x14ac:dyDescent="0.2">
      <c r="A322" s="344" t="str">
        <f t="shared" ca="1" si="0"/>
        <v>地点</v>
      </c>
      <c r="B322" s="344" t="s">
        <v>2425</v>
      </c>
      <c r="C322" s="344"/>
      <c r="D322" s="344" t="s">
        <v>2426</v>
      </c>
      <c r="E322" s="344"/>
      <c r="F322" s="344"/>
      <c r="G322" s="344" t="s">
        <v>2427</v>
      </c>
      <c r="H322" s="344" t="s">
        <v>2428</v>
      </c>
      <c r="I322" s="344"/>
      <c r="J322" s="344"/>
    </row>
    <row r="323" spans="1:10" x14ac:dyDescent="0.2">
      <c r="A323" s="353" t="str">
        <f t="shared" ca="1" si="0"/>
        <v>Tier</v>
      </c>
      <c r="B323" s="354" t="s">
        <v>2429</v>
      </c>
      <c r="C323" s="354"/>
      <c r="D323" s="354" t="s">
        <v>2429</v>
      </c>
      <c r="E323" s="354"/>
      <c r="F323" s="354" t="s">
        <v>2429</v>
      </c>
      <c r="G323" s="354"/>
      <c r="H323" s="354"/>
      <c r="I323" s="354"/>
      <c r="J323" s="354"/>
    </row>
    <row r="324" spans="1:10" x14ac:dyDescent="0.2">
      <c r="A324" s="353" t="str">
        <f t="shared" ca="1" si="0"/>
        <v>弗洛斯特兰多地区</v>
      </c>
      <c r="B324" s="354" t="s">
        <v>1</v>
      </c>
      <c r="C324" s="354"/>
      <c r="D324" s="354" t="s">
        <v>2430</v>
      </c>
      <c r="E324" s="354"/>
      <c r="F324" s="354" t="s">
        <v>2431</v>
      </c>
      <c r="G324" s="354" t="s">
        <v>2432</v>
      </c>
      <c r="H324" s="354" t="s">
        <v>2433</v>
      </c>
      <c r="I324" s="354"/>
      <c r="J324" s="354" t="s">
        <v>2434</v>
      </c>
    </row>
    <row r="325" spans="1:10" x14ac:dyDescent="0.2">
      <c r="A325" s="353" t="str">
        <f t="shared" ca="1" si="0"/>
        <v>弗雷姆葛雷斯</v>
      </c>
      <c r="B325" s="354" t="s">
        <v>2435</v>
      </c>
      <c r="C325" s="354"/>
      <c r="D325" s="354" t="s">
        <v>2436</v>
      </c>
      <c r="E325" s="354"/>
      <c r="F325" s="354" t="s">
        <v>2437</v>
      </c>
      <c r="G325" s="353" t="s">
        <v>2438</v>
      </c>
      <c r="H325" s="354" t="s">
        <v>2438</v>
      </c>
      <c r="I325" s="354"/>
      <c r="J325" s="354" t="s">
        <v>2439</v>
      </c>
    </row>
    <row r="326" spans="1:10" x14ac:dyDescent="0.2">
      <c r="A326" s="353" t="str">
        <f t="shared" ca="1" si="0"/>
        <v>弗雷姆葛雷斯 -大圣堂前-</v>
      </c>
      <c r="B326" s="354" t="s">
        <v>2440</v>
      </c>
      <c r="C326" s="354"/>
      <c r="D326" s="354" t="s">
        <v>2441</v>
      </c>
      <c r="E326" s="354"/>
      <c r="F326" s="354" t="s">
        <v>2442</v>
      </c>
      <c r="G326" s="353" t="s">
        <v>2443</v>
      </c>
      <c r="H326" s="354" t="s">
        <v>2444</v>
      </c>
      <c r="I326" s="354"/>
      <c r="J326" s="354" t="s">
        <v>2445</v>
      </c>
    </row>
    <row r="327" spans="1:10" x14ac:dyDescent="0.2">
      <c r="A327" s="353" t="str">
        <f t="shared" ca="1" si="0"/>
        <v>弗雷姆葛雷斯 -大圣堂-</v>
      </c>
      <c r="B327" s="354" t="s">
        <v>2446</v>
      </c>
      <c r="C327" s="354"/>
      <c r="D327" s="354" t="s">
        <v>2447</v>
      </c>
      <c r="E327" s="354"/>
      <c r="F327" s="354" t="s">
        <v>2448</v>
      </c>
      <c r="G327" s="354" t="s">
        <v>2449</v>
      </c>
      <c r="H327" s="354" t="s">
        <v>2450</v>
      </c>
      <c r="I327" s="354"/>
      <c r="J327" s="354" t="s">
        <v>2451</v>
      </c>
    </row>
    <row r="328" spans="1:10" x14ac:dyDescent="0.2">
      <c r="A328" s="353" t="str">
        <f t="shared" ca="1" si="0"/>
        <v>北弗雷姆葛雷斯雪道</v>
      </c>
      <c r="B328" s="354" t="s">
        <v>2452</v>
      </c>
      <c r="C328" s="354"/>
      <c r="D328" s="354" t="s">
        <v>2453</v>
      </c>
      <c r="E328" s="354"/>
      <c r="F328" s="354" t="s">
        <v>2454</v>
      </c>
      <c r="G328" s="353" t="s">
        <v>2455</v>
      </c>
      <c r="H328" s="354" t="s">
        <v>2455</v>
      </c>
      <c r="I328" s="354"/>
      <c r="J328" s="354" t="s">
        <v>2456</v>
      </c>
    </row>
    <row r="329" spans="1:10" x14ac:dyDescent="0.2">
      <c r="A329" s="353" t="str">
        <f t="shared" ca="1" si="0"/>
        <v>西弗雷姆葛雷斯雪道</v>
      </c>
      <c r="B329" s="354" t="s">
        <v>2457</v>
      </c>
      <c r="C329" s="354"/>
      <c r="D329" s="354" t="s">
        <v>2458</v>
      </c>
      <c r="E329" s="354"/>
      <c r="F329" s="354" t="s">
        <v>2459</v>
      </c>
      <c r="G329" s="353" t="s">
        <v>2460</v>
      </c>
      <c r="H329" s="354" t="s">
        <v>2460</v>
      </c>
      <c r="I329" s="354"/>
      <c r="J329" s="354" t="s">
        <v>2461</v>
      </c>
    </row>
    <row r="330" spans="1:10" x14ac:dyDescent="0.2">
      <c r="A330" s="353" t="str">
        <f t="shared" ca="1" si="0"/>
        <v>冰之洞窟</v>
      </c>
      <c r="B330" s="354" t="s">
        <v>2462</v>
      </c>
      <c r="C330" s="354" t="s">
        <v>2463</v>
      </c>
      <c r="D330" s="354" t="s">
        <v>2464</v>
      </c>
      <c r="E330" s="354"/>
      <c r="F330" s="354" t="s">
        <v>2465</v>
      </c>
      <c r="G330" s="353" t="s">
        <v>2466</v>
      </c>
      <c r="H330" s="354" t="s">
        <v>2466</v>
      </c>
      <c r="I330" s="354"/>
      <c r="J330" s="354" t="s">
        <v>2467</v>
      </c>
    </row>
    <row r="331" spans="1:10" x14ac:dyDescent="0.2">
      <c r="A331" s="353" t="str">
        <f t="shared" ca="1" si="0"/>
        <v>通往原初洞窟的道路</v>
      </c>
      <c r="B331" s="354" t="s">
        <v>2468</v>
      </c>
      <c r="C331" s="354" t="s">
        <v>2469</v>
      </c>
      <c r="D331" s="354" t="s">
        <v>2470</v>
      </c>
      <c r="E331" s="354"/>
      <c r="F331" s="354" t="s">
        <v>2471</v>
      </c>
      <c r="G331" s="353" t="s">
        <v>2472</v>
      </c>
      <c r="H331" s="354" t="s">
        <v>2472</v>
      </c>
      <c r="I331" s="354"/>
      <c r="J331" s="354" t="s">
        <v>2473</v>
      </c>
    </row>
    <row r="332" spans="1:10" x14ac:dyDescent="0.2">
      <c r="A332" s="353" t="str">
        <f t="shared" ca="1" si="0"/>
        <v>原初洞窟</v>
      </c>
      <c r="B332" s="354" t="s">
        <v>2474</v>
      </c>
      <c r="C332" s="354" t="s">
        <v>2475</v>
      </c>
      <c r="D332" s="354" t="s">
        <v>2476</v>
      </c>
      <c r="E332" s="354"/>
      <c r="F332" s="354" t="s">
        <v>2477</v>
      </c>
      <c r="G332" s="353" t="s">
        <v>2478</v>
      </c>
      <c r="H332" s="354" t="s">
        <v>2478</v>
      </c>
      <c r="I332" s="354"/>
      <c r="J332" s="354" t="s">
        <v>2479</v>
      </c>
    </row>
    <row r="333" spans="1:10" x14ac:dyDescent="0.2">
      <c r="A333" s="353" t="str">
        <f t="shared" ca="1" si="0"/>
        <v>史迪尔斯诺</v>
      </c>
      <c r="B333" s="354" t="s">
        <v>2480</v>
      </c>
      <c r="C333" s="354"/>
      <c r="D333" s="354" t="s">
        <v>2481</v>
      </c>
      <c r="E333" s="354"/>
      <c r="F333" s="354" t="s">
        <v>2482</v>
      </c>
      <c r="G333" s="353" t="s">
        <v>2483</v>
      </c>
      <c r="H333" s="354" t="s">
        <v>2484</v>
      </c>
      <c r="I333" s="354"/>
      <c r="J333" s="354" t="s">
        <v>2485</v>
      </c>
    </row>
    <row r="334" spans="1:10" x14ac:dyDescent="0.2">
      <c r="A334" s="353" t="str">
        <f t="shared" ca="1" si="0"/>
        <v>西史迪尔斯诺雪道</v>
      </c>
      <c r="B334" s="354" t="s">
        <v>2486</v>
      </c>
      <c r="C334" s="354"/>
      <c r="D334" s="354" t="s">
        <v>2487</v>
      </c>
      <c r="E334" s="354"/>
      <c r="F334" s="354" t="s">
        <v>2488</v>
      </c>
      <c r="G334" s="353" t="s">
        <v>2489</v>
      </c>
      <c r="H334" s="354" t="s">
        <v>2490</v>
      </c>
      <c r="I334" s="354"/>
      <c r="J334" s="354" t="s">
        <v>2491</v>
      </c>
    </row>
    <row r="335" spans="1:10" x14ac:dyDescent="0.2">
      <c r="A335" s="353" t="str">
        <f t="shared" ca="1" si="0"/>
        <v>巨王灵庙</v>
      </c>
      <c r="B335" s="354" t="s">
        <v>2492</v>
      </c>
      <c r="C335" s="354" t="s">
        <v>2493</v>
      </c>
      <c r="D335" s="354" t="s">
        <v>2494</v>
      </c>
      <c r="E335" s="354"/>
      <c r="F335" s="354" t="s">
        <v>2495</v>
      </c>
      <c r="G335" s="353" t="s">
        <v>2496</v>
      </c>
      <c r="H335" s="354" t="s">
        <v>2497</v>
      </c>
      <c r="I335" s="354"/>
      <c r="J335" s="354" t="s">
        <v>2498</v>
      </c>
    </row>
    <row r="336" spans="1:10" x14ac:dyDescent="0.2">
      <c r="A336" s="353" t="str">
        <f t="shared" ca="1" si="0"/>
        <v>通往黑曜馆的道路</v>
      </c>
      <c r="B336" s="354" t="s">
        <v>2499</v>
      </c>
      <c r="C336" s="354"/>
      <c r="D336" s="354" t="s">
        <v>2500</v>
      </c>
      <c r="E336" s="354"/>
      <c r="F336" s="354" t="s">
        <v>2501</v>
      </c>
      <c r="G336" s="353" t="s">
        <v>2502</v>
      </c>
      <c r="H336" s="354" t="s">
        <v>2503</v>
      </c>
      <c r="I336" s="354"/>
      <c r="J336" s="354" t="s">
        <v>2504</v>
      </c>
    </row>
    <row r="337" spans="1:10" x14ac:dyDescent="0.2">
      <c r="A337" s="353" t="str">
        <f t="shared" ca="1" si="0"/>
        <v>通往黑曜馆的密道</v>
      </c>
      <c r="B337" s="354" t="s">
        <v>2505</v>
      </c>
      <c r="C337" s="354"/>
      <c r="D337" s="354" t="s">
        <v>2506</v>
      </c>
      <c r="E337" s="354"/>
      <c r="F337" s="354" t="s">
        <v>2507</v>
      </c>
      <c r="G337" s="353" t="s">
        <v>2508</v>
      </c>
      <c r="H337" s="354" t="s">
        <v>2509</v>
      </c>
      <c r="I337" s="354"/>
      <c r="J337" s="354" t="s">
        <v>2510</v>
      </c>
    </row>
    <row r="338" spans="1:10" x14ac:dyDescent="0.2">
      <c r="A338" s="353" t="str">
        <f t="shared" ca="1" si="0"/>
        <v>通往白色森林的道路</v>
      </c>
      <c r="B338" s="354" t="s">
        <v>2511</v>
      </c>
      <c r="C338" s="354"/>
      <c r="D338" s="354" t="s">
        <v>2512</v>
      </c>
      <c r="E338" s="354"/>
      <c r="F338" s="354" t="s">
        <v>2513</v>
      </c>
      <c r="G338" s="353" t="s">
        <v>2514</v>
      </c>
      <c r="H338" s="354" t="s">
        <v>2515</v>
      </c>
      <c r="I338" s="354"/>
      <c r="J338" s="354" t="s">
        <v>2516</v>
      </c>
    </row>
    <row r="339" spans="1:10" x14ac:dyDescent="0.2">
      <c r="A339" s="353" t="str">
        <f t="shared" ca="1" si="0"/>
        <v>白色森林</v>
      </c>
      <c r="B339" s="354" t="s">
        <v>2517</v>
      </c>
      <c r="C339" s="354"/>
      <c r="D339" s="354" t="s">
        <v>2518</v>
      </c>
      <c r="E339" s="354"/>
      <c r="F339" s="354" t="s">
        <v>2519</v>
      </c>
      <c r="G339" s="353" t="s">
        <v>2520</v>
      </c>
      <c r="H339" s="353" t="s">
        <v>2520</v>
      </c>
      <c r="I339" s="354"/>
      <c r="J339" s="354" t="s">
        <v>2521</v>
      </c>
    </row>
    <row r="340" spans="1:10" x14ac:dyDescent="0.2">
      <c r="A340" s="353" t="str">
        <f t="shared" ca="1" si="0"/>
        <v>诺斯利奇</v>
      </c>
      <c r="B340" s="354" t="s">
        <v>2522</v>
      </c>
      <c r="C340" s="354"/>
      <c r="D340" s="354" t="s">
        <v>2523</v>
      </c>
      <c r="E340" s="354"/>
      <c r="F340" s="354" t="s">
        <v>2524</v>
      </c>
      <c r="G340" s="353" t="s">
        <v>2525</v>
      </c>
      <c r="H340" s="354" t="s">
        <v>2526</v>
      </c>
      <c r="I340" s="354"/>
      <c r="J340" s="354" t="s">
        <v>2527</v>
      </c>
    </row>
    <row r="341" spans="1:10" x14ac:dyDescent="0.2">
      <c r="A341" s="353" t="str">
        <f t="shared" ca="1" si="0"/>
        <v>诺斯利奇 -废教会前-</v>
      </c>
      <c r="B341" s="354" t="s">
        <v>2528</v>
      </c>
      <c r="C341" s="354"/>
      <c r="D341" s="354" t="s">
        <v>2529</v>
      </c>
      <c r="E341" s="354"/>
      <c r="F341" s="354" t="s">
        <v>2530</v>
      </c>
      <c r="G341" s="353" t="s">
        <v>2531</v>
      </c>
      <c r="H341" s="354" t="s">
        <v>2532</v>
      </c>
      <c r="I341" s="354"/>
      <c r="J341" s="354" t="s">
        <v>2533</v>
      </c>
    </row>
    <row r="342" spans="1:10" x14ac:dyDescent="0.2">
      <c r="A342" s="353" t="str">
        <f t="shared" ca="1" si="0"/>
        <v>南诺斯利奇雪道</v>
      </c>
      <c r="B342" s="354" t="s">
        <v>2534</v>
      </c>
      <c r="C342" s="354"/>
      <c r="D342" s="354" t="s">
        <v>2535</v>
      </c>
      <c r="E342" s="354"/>
      <c r="F342" s="354" t="s">
        <v>2536</v>
      </c>
      <c r="G342" s="353" t="s">
        <v>2537</v>
      </c>
      <c r="H342" s="354" t="s">
        <v>2538</v>
      </c>
      <c r="I342" s="354"/>
      <c r="J342" s="354" t="s">
        <v>2539</v>
      </c>
    </row>
    <row r="343" spans="1:10" x14ac:dyDescent="0.2">
      <c r="A343" s="353" t="str">
        <f t="shared" ca="1" si="0"/>
        <v>冰龙口</v>
      </c>
      <c r="B343" s="354" t="s">
        <v>2540</v>
      </c>
      <c r="C343" s="354"/>
      <c r="D343" s="354" t="s">
        <v>2541</v>
      </c>
      <c r="E343" s="354"/>
      <c r="F343" s="354" t="s">
        <v>2542</v>
      </c>
      <c r="G343" s="353" t="s">
        <v>2543</v>
      </c>
      <c r="H343" s="354" t="s">
        <v>2544</v>
      </c>
      <c r="I343" s="354"/>
      <c r="J343" s="354" t="s">
        <v>2545</v>
      </c>
    </row>
    <row r="344" spans="1:10" x14ac:dyDescent="0.2">
      <c r="A344" s="353" t="str">
        <f t="shared" ca="1" si="0"/>
        <v>废教会地下</v>
      </c>
      <c r="B344" s="354" t="s">
        <v>2546</v>
      </c>
      <c r="C344" s="354"/>
      <c r="D344" s="354" t="s">
        <v>2547</v>
      </c>
      <c r="E344" s="354"/>
      <c r="F344" s="354" t="s">
        <v>2548</v>
      </c>
      <c r="G344" s="353" t="s">
        <v>2549</v>
      </c>
      <c r="H344" s="354" t="s">
        <v>2550</v>
      </c>
      <c r="I344" s="354"/>
      <c r="J344" s="354" t="s">
        <v>2551</v>
      </c>
    </row>
    <row r="345" spans="1:10" x14ac:dyDescent="0.2">
      <c r="A345" s="355" t="str">
        <f t="shared" ca="1" si="0"/>
        <v>芙拉特兰多地区</v>
      </c>
      <c r="B345" s="356" t="s">
        <v>2</v>
      </c>
      <c r="C345" s="356" t="s">
        <v>2552</v>
      </c>
      <c r="D345" s="356" t="s">
        <v>2553</v>
      </c>
      <c r="E345" s="356"/>
      <c r="F345" s="356" t="s">
        <v>2554</v>
      </c>
      <c r="G345" s="356" t="s">
        <v>2555</v>
      </c>
      <c r="H345" s="356" t="s">
        <v>2556</v>
      </c>
      <c r="I345" s="356"/>
      <c r="J345" s="356" t="s">
        <v>2557</v>
      </c>
    </row>
    <row r="346" spans="1:10" x14ac:dyDescent="0.2">
      <c r="A346" s="355" t="str">
        <f t="shared" ca="1" si="0"/>
        <v>阿特拉斯达姆</v>
      </c>
      <c r="B346" s="356" t="s">
        <v>2558</v>
      </c>
      <c r="C346" s="356" t="s">
        <v>2559</v>
      </c>
      <c r="D346" s="356" t="s">
        <v>2560</v>
      </c>
      <c r="E346" s="356"/>
      <c r="F346" s="356" t="s">
        <v>2561</v>
      </c>
      <c r="G346" s="355" t="s">
        <v>2562</v>
      </c>
      <c r="H346" s="356" t="s">
        <v>2563</v>
      </c>
      <c r="I346" s="356"/>
      <c r="J346" s="356" t="s">
        <v>2564</v>
      </c>
    </row>
    <row r="347" spans="1:10" x14ac:dyDescent="0.2">
      <c r="A347" s="355" t="str">
        <f t="shared" ca="1" si="0"/>
        <v>阿特拉斯达姆 -王城前-</v>
      </c>
      <c r="B347" s="356" t="s">
        <v>2565</v>
      </c>
      <c r="C347" s="356"/>
      <c r="D347" s="356" t="s">
        <v>2566</v>
      </c>
      <c r="E347" s="356"/>
      <c r="F347" s="356" t="s">
        <v>2567</v>
      </c>
      <c r="G347" s="355" t="s">
        <v>2568</v>
      </c>
      <c r="H347" s="356" t="s">
        <v>2569</v>
      </c>
      <c r="I347" s="356"/>
      <c r="J347" s="356" t="s">
        <v>2570</v>
      </c>
    </row>
    <row r="348" spans="1:10" x14ac:dyDescent="0.2">
      <c r="A348" s="355" t="str">
        <f t="shared" ca="1" si="0"/>
        <v>阿特拉斯达姆 -王立学院-</v>
      </c>
      <c r="B348" s="356" t="s">
        <v>2571</v>
      </c>
      <c r="C348" s="356" t="s">
        <v>2572</v>
      </c>
      <c r="D348" s="356" t="s">
        <v>2573</v>
      </c>
      <c r="E348" s="356"/>
      <c r="F348" s="356" t="s">
        <v>2574</v>
      </c>
      <c r="G348" s="355" t="s">
        <v>2575</v>
      </c>
      <c r="H348" s="356" t="s">
        <v>2576</v>
      </c>
      <c r="I348" s="356"/>
      <c r="J348" s="356" t="s">
        <v>2577</v>
      </c>
    </row>
    <row r="349" spans="1:10" x14ac:dyDescent="0.2">
      <c r="A349" s="355" t="str">
        <f t="shared" ca="1" si="0"/>
        <v>阿特拉斯达姆 -王城-</v>
      </c>
      <c r="B349" s="356" t="s">
        <v>2578</v>
      </c>
      <c r="C349" s="356" t="s">
        <v>2579</v>
      </c>
      <c r="D349" s="356" t="s">
        <v>2580</v>
      </c>
      <c r="E349" s="356"/>
      <c r="F349" s="356" t="s">
        <v>2581</v>
      </c>
      <c r="G349" s="355" t="s">
        <v>2582</v>
      </c>
      <c r="H349" s="356" t="s">
        <v>2583</v>
      </c>
      <c r="I349" s="356"/>
      <c r="J349" s="356" t="s">
        <v>2584</v>
      </c>
    </row>
    <row r="350" spans="1:10" x14ac:dyDescent="0.2">
      <c r="A350" s="355" t="str">
        <f t="shared" ca="1" si="0"/>
        <v>东阿特拉斯达姆平原</v>
      </c>
      <c r="B350" s="356" t="s">
        <v>2585</v>
      </c>
      <c r="C350" s="356" t="s">
        <v>2586</v>
      </c>
      <c r="D350" s="356" t="s">
        <v>2587</v>
      </c>
      <c r="E350" s="356"/>
      <c r="F350" s="356" t="s">
        <v>2588</v>
      </c>
      <c r="G350" s="355" t="s">
        <v>2589</v>
      </c>
      <c r="H350" s="356" t="s">
        <v>2590</v>
      </c>
      <c r="I350" s="356"/>
      <c r="J350" s="356" t="s">
        <v>2591</v>
      </c>
    </row>
    <row r="351" spans="1:10" x14ac:dyDescent="0.2">
      <c r="A351" s="355" t="str">
        <f t="shared" ca="1" si="0"/>
        <v>北阿特拉斯达姆平原</v>
      </c>
      <c r="B351" s="356" t="s">
        <v>2592</v>
      </c>
      <c r="C351" s="356" t="s">
        <v>2593</v>
      </c>
      <c r="D351" s="356" t="s">
        <v>2594</v>
      </c>
      <c r="E351" s="356"/>
      <c r="F351" s="356" t="s">
        <v>2595</v>
      </c>
      <c r="G351" s="355" t="s">
        <v>2596</v>
      </c>
      <c r="H351" s="356" t="s">
        <v>2597</v>
      </c>
      <c r="I351" s="356"/>
      <c r="J351" s="356" t="s">
        <v>2598</v>
      </c>
    </row>
    <row r="352" spans="1:10" x14ac:dyDescent="0.2">
      <c r="A352" s="355" t="str">
        <f t="shared" ca="1" si="0"/>
        <v>夜啼之森</v>
      </c>
      <c r="B352" s="356" t="s">
        <v>2599</v>
      </c>
      <c r="C352" s="356"/>
      <c r="D352" s="356" t="s">
        <v>2600</v>
      </c>
      <c r="E352" s="356"/>
      <c r="F352" s="356" t="s">
        <v>2601</v>
      </c>
      <c r="G352" s="355" t="s">
        <v>2602</v>
      </c>
      <c r="H352" s="356" t="s">
        <v>2602</v>
      </c>
      <c r="I352" s="356"/>
      <c r="J352" s="356" t="s">
        <v>2603</v>
      </c>
    </row>
    <row r="353" spans="1:10" x14ac:dyDescent="0.2">
      <c r="A353" s="355" t="str">
        <f t="shared" ca="1" si="0"/>
        <v>地下研究室</v>
      </c>
      <c r="B353" s="356" t="s">
        <v>2604</v>
      </c>
      <c r="C353" s="356" t="s">
        <v>2605</v>
      </c>
      <c r="D353" s="356" t="s">
        <v>2606</v>
      </c>
      <c r="E353" s="356"/>
      <c r="F353" s="356" t="s">
        <v>2607</v>
      </c>
      <c r="G353" s="355" t="s">
        <v>2608</v>
      </c>
      <c r="H353" s="356" t="s">
        <v>2608</v>
      </c>
      <c r="I353" s="356"/>
      <c r="J353" s="356" t="s">
        <v>2608</v>
      </c>
    </row>
    <row r="354" spans="1:10" x14ac:dyDescent="0.2">
      <c r="A354" s="355" t="str">
        <f t="shared" ca="1" si="0"/>
        <v>诺布尔寇德</v>
      </c>
      <c r="B354" s="356" t="s">
        <v>2609</v>
      </c>
      <c r="C354" s="356" t="s">
        <v>2610</v>
      </c>
      <c r="D354" s="356" t="s">
        <v>2611</v>
      </c>
      <c r="E354" s="356"/>
      <c r="F354" s="356" t="s">
        <v>2612</v>
      </c>
      <c r="G354" s="355" t="s">
        <v>2613</v>
      </c>
      <c r="H354" s="356" t="s">
        <v>2614</v>
      </c>
      <c r="I354" s="356"/>
      <c r="J354" s="356" t="s">
        <v>2615</v>
      </c>
    </row>
    <row r="355" spans="1:10" x14ac:dyDescent="0.2">
      <c r="A355" s="355" t="str">
        <f t="shared" ca="1" si="0"/>
        <v>诺布尔寇德 -东地区-</v>
      </c>
      <c r="B355" s="356" t="s">
        <v>2616</v>
      </c>
      <c r="C355" s="356" t="s">
        <v>2617</v>
      </c>
      <c r="D355" s="356" t="s">
        <v>2618</v>
      </c>
      <c r="E355" s="356"/>
      <c r="F355" s="356" t="s">
        <v>2619</v>
      </c>
      <c r="G355" s="355" t="s">
        <v>2620</v>
      </c>
      <c r="H355" s="356" t="s">
        <v>2621</v>
      </c>
      <c r="I355" s="356"/>
      <c r="J355" s="356" t="s">
        <v>2622</v>
      </c>
    </row>
    <row r="356" spans="1:10" x14ac:dyDescent="0.2">
      <c r="A356" s="355" t="str">
        <f t="shared" ca="1" si="0"/>
        <v>西诺布尔寇德平原</v>
      </c>
      <c r="B356" s="356" t="s">
        <v>2623</v>
      </c>
      <c r="C356" s="356"/>
      <c r="D356" s="356" t="s">
        <v>2624</v>
      </c>
      <c r="E356" s="356"/>
      <c r="F356" s="356" t="s">
        <v>2625</v>
      </c>
      <c r="G356" s="355" t="s">
        <v>2626</v>
      </c>
      <c r="H356" s="356" t="s">
        <v>2627</v>
      </c>
      <c r="I356" s="356"/>
      <c r="J356" s="356" t="s">
        <v>2628</v>
      </c>
    </row>
    <row r="357" spans="1:10" x14ac:dyDescent="0.2">
      <c r="A357" s="355" t="str">
        <f t="shared" ca="1" si="0"/>
        <v>虚无的王座</v>
      </c>
      <c r="B357" s="356" t="s">
        <v>2629</v>
      </c>
      <c r="C357" s="356"/>
      <c r="D357" s="356" t="s">
        <v>2630</v>
      </c>
      <c r="E357" s="356"/>
      <c r="F357" s="356" t="s">
        <v>2631</v>
      </c>
      <c r="G357" s="355" t="s">
        <v>2632</v>
      </c>
      <c r="H357" s="356" t="s">
        <v>2633</v>
      </c>
      <c r="I357" s="356"/>
      <c r="J357" s="356" t="s">
        <v>2634</v>
      </c>
    </row>
    <row r="358" spans="1:10" x14ac:dyDescent="0.2">
      <c r="A358" s="355" t="str">
        <f t="shared" ca="1" si="0"/>
        <v>奥立克的宅邸</v>
      </c>
      <c r="B358" s="356" t="s">
        <v>2635</v>
      </c>
      <c r="C358" s="356"/>
      <c r="D358" s="356" t="s">
        <v>2636</v>
      </c>
      <c r="E358" s="356"/>
      <c r="F358" s="356" t="s">
        <v>2637</v>
      </c>
      <c r="G358" s="355" t="s">
        <v>2638</v>
      </c>
      <c r="H358" s="356" t="s">
        <v>2639</v>
      </c>
      <c r="I358" s="356"/>
      <c r="J358" s="356" t="s">
        <v>2640</v>
      </c>
    </row>
    <row r="359" spans="1:10" x14ac:dyDescent="0.2">
      <c r="A359" s="355" t="str">
        <f t="shared" ca="1" si="0"/>
        <v>黑曜会之馆</v>
      </c>
      <c r="B359" s="356" t="s">
        <v>2641</v>
      </c>
      <c r="C359" s="356"/>
      <c r="D359" s="356" t="s">
        <v>2642</v>
      </c>
      <c r="E359" s="356"/>
      <c r="F359" s="356" t="s">
        <v>2643</v>
      </c>
      <c r="G359" s="355" t="s">
        <v>2644</v>
      </c>
      <c r="H359" s="356" t="s">
        <v>2645</v>
      </c>
      <c r="I359" s="356"/>
      <c r="J359" s="356" t="s">
        <v>2646</v>
      </c>
    </row>
    <row r="360" spans="1:10" x14ac:dyDescent="0.2">
      <c r="A360" s="355" t="str">
        <f t="shared" ca="1" si="0"/>
        <v>维斯帕米尔</v>
      </c>
      <c r="B360" s="356" t="s">
        <v>2647</v>
      </c>
      <c r="C360" s="356"/>
      <c r="D360" s="356" t="s">
        <v>2648</v>
      </c>
      <c r="E360" s="356"/>
      <c r="F360" s="356" t="s">
        <v>2649</v>
      </c>
      <c r="G360" s="355" t="s">
        <v>2650</v>
      </c>
      <c r="H360" s="356" t="s">
        <v>2651</v>
      </c>
      <c r="I360" s="356"/>
      <c r="J360" s="356" t="s">
        <v>2652</v>
      </c>
    </row>
    <row r="361" spans="1:10" x14ac:dyDescent="0.2">
      <c r="A361" s="355" t="str">
        <f t="shared" ca="1" si="0"/>
        <v>西维斯帕米尔平原</v>
      </c>
      <c r="B361" s="356" t="s">
        <v>2653</v>
      </c>
      <c r="C361" s="356"/>
      <c r="D361" s="356" t="s">
        <v>2654</v>
      </c>
      <c r="E361" s="356"/>
      <c r="F361" s="356" t="s">
        <v>2655</v>
      </c>
      <c r="G361" s="355" t="s">
        <v>2656</v>
      </c>
      <c r="H361" s="356" t="s">
        <v>2657</v>
      </c>
      <c r="I361" s="356"/>
      <c r="J361" s="356" t="s">
        <v>2658</v>
      </c>
    </row>
    <row r="362" spans="1:10" x14ac:dyDescent="0.2">
      <c r="A362" s="355" t="str">
        <f t="shared" ca="1" si="0"/>
        <v>净化之森</v>
      </c>
      <c r="B362" s="356" t="s">
        <v>2659</v>
      </c>
      <c r="C362" s="356"/>
      <c r="D362" s="356" t="s">
        <v>2660</v>
      </c>
      <c r="E362" s="356"/>
      <c r="F362" s="356" t="s">
        <v>2661</v>
      </c>
      <c r="G362" s="355" t="s">
        <v>2662</v>
      </c>
      <c r="H362" s="356" t="s">
        <v>2663</v>
      </c>
      <c r="I362" s="356"/>
      <c r="J362" s="356" t="s">
        <v>2664</v>
      </c>
    </row>
    <row r="363" spans="1:10" x14ac:dyDescent="0.2">
      <c r="A363" s="355" t="str">
        <f t="shared" ca="1" si="0"/>
        <v>占星师的祠堂</v>
      </c>
      <c r="B363" s="356" t="s">
        <v>2665</v>
      </c>
      <c r="C363" s="356"/>
      <c r="D363" s="356" t="s">
        <v>2666</v>
      </c>
      <c r="E363" s="356"/>
      <c r="F363" s="356" t="s">
        <v>2667</v>
      </c>
      <c r="G363" s="355" t="s">
        <v>2668</v>
      </c>
      <c r="H363" s="356" t="s">
        <v>2669</v>
      </c>
      <c r="I363" s="356"/>
      <c r="J363" s="356" t="s">
        <v>2670</v>
      </c>
    </row>
    <row r="364" spans="1:10" x14ac:dyDescent="0.2">
      <c r="A364" s="355" t="str">
        <f t="shared" ca="1" si="0"/>
        <v>漆黑洞窟</v>
      </c>
      <c r="B364" s="356" t="s">
        <v>2671</v>
      </c>
      <c r="C364" s="356"/>
      <c r="D364" s="356" t="s">
        <v>2672</v>
      </c>
      <c r="E364" s="356"/>
      <c r="F364" s="356" t="s">
        <v>2673</v>
      </c>
      <c r="G364" s="355" t="s">
        <v>2674</v>
      </c>
      <c r="H364" s="356" t="s">
        <v>2674</v>
      </c>
      <c r="I364" s="356"/>
      <c r="J364" s="356" t="s">
        <v>2675</v>
      </c>
    </row>
    <row r="365" spans="1:10" x14ac:dyDescent="0.2">
      <c r="A365" s="357" t="str">
        <f t="shared" ca="1" si="0"/>
        <v>寇斯特兰多地区</v>
      </c>
      <c r="B365" s="358" t="s">
        <v>3</v>
      </c>
      <c r="C365" s="358" t="s">
        <v>2676</v>
      </c>
      <c r="D365" s="358" t="s">
        <v>2677</v>
      </c>
      <c r="E365" s="358"/>
      <c r="F365" s="358" t="s">
        <v>2678</v>
      </c>
      <c r="G365" s="358" t="s">
        <v>2679</v>
      </c>
      <c r="H365" s="358" t="s">
        <v>2680</v>
      </c>
      <c r="I365" s="358"/>
      <c r="J365" s="358" t="s">
        <v>2681</v>
      </c>
    </row>
    <row r="366" spans="1:10" x14ac:dyDescent="0.2">
      <c r="A366" s="357" t="str">
        <f t="shared" ca="1" si="0"/>
        <v>利布尔泰德</v>
      </c>
      <c r="B366" s="358" t="s">
        <v>2682</v>
      </c>
      <c r="C366" s="358" t="s">
        <v>2683</v>
      </c>
      <c r="D366" s="358" t="s">
        <v>2684</v>
      </c>
      <c r="E366" s="358"/>
      <c r="F366" s="358" t="s">
        <v>2685</v>
      </c>
      <c r="G366" s="357" t="s">
        <v>2686</v>
      </c>
      <c r="H366" s="358" t="s">
        <v>2687</v>
      </c>
      <c r="I366" s="358"/>
      <c r="J366" s="358" t="s">
        <v>2688</v>
      </c>
    </row>
    <row r="367" spans="1:10" x14ac:dyDescent="0.2">
      <c r="A367" s="357" t="str">
        <f t="shared" ca="1" si="0"/>
        <v>东利布尔泰德海道</v>
      </c>
      <c r="B367" s="358" t="s">
        <v>2689</v>
      </c>
      <c r="C367" s="358" t="s">
        <v>2690</v>
      </c>
      <c r="D367" s="358" t="s">
        <v>2691</v>
      </c>
      <c r="E367" s="358"/>
      <c r="F367" s="358" t="s">
        <v>2692</v>
      </c>
      <c r="G367" s="357" t="s">
        <v>2693</v>
      </c>
      <c r="H367" s="358" t="s">
        <v>2694</v>
      </c>
      <c r="I367" s="358"/>
      <c r="J367" s="358" t="s">
        <v>2695</v>
      </c>
    </row>
    <row r="368" spans="1:10" x14ac:dyDescent="0.2">
      <c r="A368" s="357" t="str">
        <f t="shared" ca="1" si="0"/>
        <v>北利布尔泰德海道</v>
      </c>
      <c r="B368" s="358" t="s">
        <v>2696</v>
      </c>
      <c r="C368" s="358" t="s">
        <v>2697</v>
      </c>
      <c r="D368" s="358" t="s">
        <v>2698</v>
      </c>
      <c r="E368" s="358"/>
      <c r="F368" s="358" t="s">
        <v>2699</v>
      </c>
      <c r="G368" s="357" t="s">
        <v>2700</v>
      </c>
      <c r="H368" s="358" t="s">
        <v>2701</v>
      </c>
      <c r="I368" s="358"/>
      <c r="J368" s="358" t="s">
        <v>2702</v>
      </c>
    </row>
    <row r="369" spans="1:10" x14ac:dyDescent="0.2">
      <c r="A369" s="357" t="str">
        <f t="shared" ca="1" si="0"/>
        <v>波隐岩窟</v>
      </c>
      <c r="B369" s="358" t="s">
        <v>2703</v>
      </c>
      <c r="C369" s="358"/>
      <c r="D369" s="358" t="s">
        <v>2704</v>
      </c>
      <c r="E369" s="358"/>
      <c r="F369" s="358" t="s">
        <v>2705</v>
      </c>
      <c r="G369" s="357" t="s">
        <v>2706</v>
      </c>
      <c r="H369" s="358" t="s">
        <v>2707</v>
      </c>
      <c r="I369" s="358"/>
      <c r="J369" s="358" t="s">
        <v>2708</v>
      </c>
    </row>
    <row r="370" spans="1:10" x14ac:dyDescent="0.2">
      <c r="A370" s="357" t="str">
        <f t="shared" ca="1" si="0"/>
        <v>通往麦亚洞窟的道路</v>
      </c>
      <c r="B370" s="358" t="s">
        <v>2709</v>
      </c>
      <c r="C370" s="358" t="s">
        <v>2710</v>
      </c>
      <c r="D370" s="358" t="s">
        <v>2711</v>
      </c>
      <c r="E370" s="358"/>
      <c r="F370" s="358" t="s">
        <v>2712</v>
      </c>
      <c r="G370" s="357" t="s">
        <v>2713</v>
      </c>
      <c r="H370" s="358" t="s">
        <v>2714</v>
      </c>
      <c r="I370" s="358"/>
      <c r="J370" s="358" t="s">
        <v>2715</v>
      </c>
    </row>
    <row r="371" spans="1:10" x14ac:dyDescent="0.2">
      <c r="A371" s="357" t="str">
        <f t="shared" ca="1" si="0"/>
        <v>麦亚洞窟</v>
      </c>
      <c r="B371" s="358" t="s">
        <v>2716</v>
      </c>
      <c r="C371" s="358" t="s">
        <v>2717</v>
      </c>
      <c r="D371" s="358" t="s">
        <v>2718</v>
      </c>
      <c r="E371" s="358"/>
      <c r="F371" s="358" t="s">
        <v>2719</v>
      </c>
      <c r="G371" s="357" t="s">
        <v>2720</v>
      </c>
      <c r="H371" s="358" t="s">
        <v>2721</v>
      </c>
      <c r="I371" s="358"/>
      <c r="J371" s="358" t="s">
        <v>2722</v>
      </c>
    </row>
    <row r="372" spans="1:10" x14ac:dyDescent="0.2">
      <c r="A372" s="357" t="str">
        <f t="shared" ca="1" si="0"/>
        <v>葛鲁德修亚</v>
      </c>
      <c r="B372" s="358" t="s">
        <v>2723</v>
      </c>
      <c r="C372" s="359" t="s">
        <v>2724</v>
      </c>
      <c r="D372" s="358" t="s">
        <v>2725</v>
      </c>
      <c r="E372" s="358"/>
      <c r="F372" s="358" t="s">
        <v>2726</v>
      </c>
      <c r="G372" s="357" t="s">
        <v>2727</v>
      </c>
      <c r="H372" s="358" t="s">
        <v>2728</v>
      </c>
      <c r="I372" s="358"/>
      <c r="J372" s="358" t="s">
        <v>2729</v>
      </c>
    </row>
    <row r="373" spans="1:10" x14ac:dyDescent="0.2">
      <c r="A373" s="357" t="str">
        <f t="shared" ca="1" si="0"/>
        <v>葛鲁德修亚 -贵族街-</v>
      </c>
      <c r="B373" s="358" t="s">
        <v>2730</v>
      </c>
      <c r="C373" s="358"/>
      <c r="D373" s="358" t="s">
        <v>2731</v>
      </c>
      <c r="E373" s="358"/>
      <c r="F373" s="358" t="s">
        <v>2732</v>
      </c>
      <c r="G373" s="357" t="s">
        <v>2733</v>
      </c>
      <c r="H373" s="358" t="s">
        <v>2734</v>
      </c>
      <c r="I373" s="358"/>
      <c r="J373" s="358" t="s">
        <v>2735</v>
      </c>
    </row>
    <row r="374" spans="1:10" x14ac:dyDescent="0.2">
      <c r="A374" s="357" t="str">
        <f t="shared" ca="1" si="0"/>
        <v>葛鲁德修亚 -大圣堂-</v>
      </c>
      <c r="B374" s="358" t="s">
        <v>2736</v>
      </c>
      <c r="C374" s="359" t="s">
        <v>2737</v>
      </c>
      <c r="D374" s="358" t="s">
        <v>2738</v>
      </c>
      <c r="E374" s="358"/>
      <c r="F374" s="358" t="s">
        <v>2739</v>
      </c>
      <c r="G374" s="357" t="s">
        <v>2740</v>
      </c>
      <c r="H374" s="358" t="s">
        <v>2741</v>
      </c>
      <c r="I374" s="358"/>
      <c r="J374" s="358" t="s">
        <v>2742</v>
      </c>
    </row>
    <row r="375" spans="1:10" x14ac:dyDescent="0.2">
      <c r="A375" s="357" t="str">
        <f t="shared" ca="1" si="0"/>
        <v>月隐海道</v>
      </c>
      <c r="B375" s="358" t="s">
        <v>2743</v>
      </c>
      <c r="C375" s="358" t="s">
        <v>2744</v>
      </c>
      <c r="D375" s="358" t="s">
        <v>2745</v>
      </c>
      <c r="E375" s="358"/>
      <c r="F375" s="358" t="s">
        <v>2746</v>
      </c>
      <c r="G375" s="357" t="s">
        <v>2747</v>
      </c>
      <c r="H375" s="358" t="s">
        <v>2748</v>
      </c>
      <c r="I375" s="358"/>
      <c r="J375" s="358" t="s">
        <v>2749</v>
      </c>
    </row>
    <row r="376" spans="1:10" x14ac:dyDescent="0.2">
      <c r="A376" s="357" t="str">
        <f t="shared" ca="1" si="0"/>
        <v>西葛鲁德修亚海道</v>
      </c>
      <c r="B376" s="358" t="s">
        <v>2750</v>
      </c>
      <c r="C376" s="358"/>
      <c r="D376" s="358" t="s">
        <v>2751</v>
      </c>
      <c r="E376" s="358"/>
      <c r="F376" s="358" t="s">
        <v>2752</v>
      </c>
      <c r="G376" s="357" t="s">
        <v>2753</v>
      </c>
      <c r="H376" s="358" t="s">
        <v>2754</v>
      </c>
      <c r="I376" s="358"/>
      <c r="J376" s="358" t="s">
        <v>2755</v>
      </c>
    </row>
    <row r="377" spans="1:10" x14ac:dyDescent="0.2">
      <c r="A377" s="357" t="str">
        <f t="shared" ca="1" si="0"/>
        <v>噬船海穴</v>
      </c>
      <c r="B377" s="358" t="s">
        <v>2756</v>
      </c>
      <c r="C377" s="358"/>
      <c r="D377" s="358" t="s">
        <v>2757</v>
      </c>
      <c r="E377" s="358"/>
      <c r="F377" s="358" t="s">
        <v>2758</v>
      </c>
      <c r="G377" s="357" t="s">
        <v>2759</v>
      </c>
      <c r="H377" s="358" t="s">
        <v>2759</v>
      </c>
      <c r="I377" s="358"/>
      <c r="J377" s="358" t="s">
        <v>2760</v>
      </c>
    </row>
    <row r="378" spans="1:10" x14ac:dyDescent="0.2">
      <c r="A378" s="357" t="str">
        <f t="shared" ca="1" si="0"/>
        <v>通往青碧洞窟的道路</v>
      </c>
      <c r="B378" s="358" t="s">
        <v>2761</v>
      </c>
      <c r="C378" s="358"/>
      <c r="D378" s="358" t="s">
        <v>2762</v>
      </c>
      <c r="E378" s="358"/>
      <c r="F378" s="358" t="s">
        <v>2763</v>
      </c>
      <c r="G378" s="357" t="s">
        <v>2764</v>
      </c>
      <c r="H378" s="358" t="s">
        <v>2764</v>
      </c>
      <c r="I378" s="358"/>
      <c r="J378" s="358" t="s">
        <v>2765</v>
      </c>
    </row>
    <row r="379" spans="1:10" x14ac:dyDescent="0.2">
      <c r="A379" s="357" t="str">
        <f t="shared" ca="1" si="0"/>
        <v>青碧洞窟</v>
      </c>
      <c r="B379" s="358" t="s">
        <v>2766</v>
      </c>
      <c r="C379" s="358"/>
      <c r="D379" s="358" t="s">
        <v>2767</v>
      </c>
      <c r="E379" s="358"/>
      <c r="F379" s="358" t="s">
        <v>2768</v>
      </c>
      <c r="G379" s="357" t="s">
        <v>2769</v>
      </c>
      <c r="H379" s="358" t="s">
        <v>2769</v>
      </c>
      <c r="I379" s="358"/>
      <c r="J379" s="358" t="s">
        <v>2770</v>
      </c>
    </row>
    <row r="380" spans="1:10" x14ac:dyDescent="0.2">
      <c r="A380" s="357" t="str">
        <f t="shared" ca="1" si="0"/>
        <v>通往海边洞窟的道路</v>
      </c>
      <c r="B380" s="358" t="s">
        <v>2771</v>
      </c>
      <c r="C380" s="358"/>
      <c r="D380" s="358" t="s">
        <v>2772</v>
      </c>
      <c r="E380" s="358"/>
      <c r="F380" s="358" t="s">
        <v>2773</v>
      </c>
      <c r="G380" s="357" t="s">
        <v>2774</v>
      </c>
      <c r="H380" s="358" t="s">
        <v>2775</v>
      </c>
      <c r="I380" s="358"/>
      <c r="J380" s="358" t="s">
        <v>2776</v>
      </c>
    </row>
    <row r="381" spans="1:10" x14ac:dyDescent="0.2">
      <c r="A381" s="357" t="str">
        <f t="shared" ca="1" si="0"/>
        <v>海边洞窟</v>
      </c>
      <c r="B381" s="358" t="s">
        <v>2777</v>
      </c>
      <c r="C381" s="358"/>
      <c r="D381" s="358" t="s">
        <v>2778</v>
      </c>
      <c r="E381" s="358"/>
      <c r="F381" s="358" t="s">
        <v>2779</v>
      </c>
      <c r="G381" s="357" t="s">
        <v>2780</v>
      </c>
      <c r="H381" s="358" t="s">
        <v>2781</v>
      </c>
      <c r="I381" s="358"/>
      <c r="J381" s="358" t="s">
        <v>2782</v>
      </c>
    </row>
    <row r="382" spans="1:10" x14ac:dyDescent="0.2">
      <c r="A382" s="357" t="str">
        <f t="shared" ca="1" si="0"/>
        <v>格兰波特</v>
      </c>
      <c r="B382" s="358" t="s">
        <v>2783</v>
      </c>
      <c r="C382" s="359" t="s">
        <v>2784</v>
      </c>
      <c r="D382" s="358" t="s">
        <v>2785</v>
      </c>
      <c r="E382" s="358"/>
      <c r="F382" s="358" t="s">
        <v>2786</v>
      </c>
      <c r="G382" s="357" t="s">
        <v>2787</v>
      </c>
      <c r="H382" s="358" t="s">
        <v>2788</v>
      </c>
      <c r="I382" s="358"/>
      <c r="J382" s="358" t="s">
        <v>2789</v>
      </c>
    </row>
    <row r="383" spans="1:10" x14ac:dyDescent="0.2">
      <c r="A383" s="357" t="str">
        <f t="shared" ca="1" si="0"/>
        <v>格兰波特 -摊贩街-</v>
      </c>
      <c r="B383" s="358" t="s">
        <v>2790</v>
      </c>
      <c r="C383" s="359" t="s">
        <v>2791</v>
      </c>
      <c r="D383" s="358" t="s">
        <v>2792</v>
      </c>
      <c r="E383" s="358"/>
      <c r="F383" s="358" t="s">
        <v>2793</v>
      </c>
      <c r="G383" s="357" t="s">
        <v>2794</v>
      </c>
      <c r="H383" s="358" t="s">
        <v>2795</v>
      </c>
      <c r="I383" s="358"/>
      <c r="J383" s="358" t="s">
        <v>2796</v>
      </c>
    </row>
    <row r="384" spans="1:10" x14ac:dyDescent="0.2">
      <c r="A384" s="357" t="str">
        <f t="shared" ca="1" si="0"/>
        <v>格兰波特 -大拍卖会场-</v>
      </c>
      <c r="B384" s="358" t="s">
        <v>2797</v>
      </c>
      <c r="C384" s="358"/>
      <c r="D384" s="358" t="s">
        <v>2798</v>
      </c>
      <c r="E384" s="358"/>
      <c r="F384" s="358" t="s">
        <v>2799</v>
      </c>
      <c r="G384" s="357" t="s">
        <v>2800</v>
      </c>
      <c r="H384" s="358" t="s">
        <v>2801</v>
      </c>
      <c r="I384" s="358"/>
      <c r="J384" s="358" t="s">
        <v>2802</v>
      </c>
    </row>
    <row r="385" spans="1:10" x14ac:dyDescent="0.2">
      <c r="A385" s="357" t="str">
        <f t="shared" ca="1" si="0"/>
        <v>西格兰波特海道</v>
      </c>
      <c r="B385" s="358" t="s">
        <v>2803</v>
      </c>
      <c r="C385" s="358"/>
      <c r="D385" s="358" t="s">
        <v>2804</v>
      </c>
      <c r="E385" s="358"/>
      <c r="F385" s="358" t="s">
        <v>2805</v>
      </c>
      <c r="G385" s="357" t="s">
        <v>2806</v>
      </c>
      <c r="H385" s="358" t="s">
        <v>2807</v>
      </c>
      <c r="I385" s="358"/>
      <c r="J385" s="358" t="s">
        <v>2808</v>
      </c>
    </row>
    <row r="386" spans="1:10" x14ac:dyDescent="0.2">
      <c r="A386" s="357" t="str">
        <f t="shared" ca="1" si="0"/>
        <v>腐王入江口</v>
      </c>
      <c r="B386" s="358" t="s">
        <v>2809</v>
      </c>
      <c r="C386" s="358"/>
      <c r="D386" s="358" t="s">
        <v>2810</v>
      </c>
      <c r="E386" s="358"/>
      <c r="F386" s="358" t="s">
        <v>2811</v>
      </c>
      <c r="G386" s="357" t="s">
        <v>2812</v>
      </c>
      <c r="H386" s="358" t="s">
        <v>2812</v>
      </c>
      <c r="I386" s="358"/>
      <c r="J386" s="358" t="s">
        <v>2813</v>
      </c>
    </row>
    <row r="387" spans="1:10" x14ac:dyDescent="0.2">
      <c r="A387" s="357" t="str">
        <f t="shared" ca="1" si="0"/>
        <v>格兰波特地下水道</v>
      </c>
      <c r="B387" s="358" t="s">
        <v>2814</v>
      </c>
      <c r="C387" s="358"/>
      <c r="D387" s="358" t="s">
        <v>2815</v>
      </c>
      <c r="E387" s="358"/>
      <c r="F387" s="358" t="s">
        <v>2816</v>
      </c>
      <c r="G387" s="357" t="s">
        <v>2817</v>
      </c>
      <c r="H387" s="358" t="s">
        <v>2818</v>
      </c>
      <c r="I387" s="358"/>
      <c r="J387" s="358" t="s">
        <v>2819</v>
      </c>
    </row>
    <row r="388" spans="1:10" x14ac:dyDescent="0.2">
      <c r="A388" s="93" t="str">
        <f t="shared" ca="1" si="0"/>
        <v>哈伊兰多地区</v>
      </c>
      <c r="B388" s="282" t="s">
        <v>4</v>
      </c>
      <c r="C388" s="282" t="s">
        <v>2820</v>
      </c>
      <c r="D388" s="282" t="s">
        <v>2821</v>
      </c>
      <c r="E388" s="282"/>
      <c r="F388" s="282" t="s">
        <v>2822</v>
      </c>
      <c r="G388" s="282" t="s">
        <v>2823</v>
      </c>
      <c r="H388" s="282" t="s">
        <v>2824</v>
      </c>
      <c r="I388" s="282"/>
      <c r="J388" s="282" t="s">
        <v>2825</v>
      </c>
    </row>
    <row r="389" spans="1:10" x14ac:dyDescent="0.2">
      <c r="A389" s="93" t="str">
        <f t="shared" ca="1" si="0"/>
        <v>鹅卵石村</v>
      </c>
      <c r="B389" s="282" t="s">
        <v>2826</v>
      </c>
      <c r="C389" s="282" t="s">
        <v>2827</v>
      </c>
      <c r="D389" s="282" t="s">
        <v>2828</v>
      </c>
      <c r="E389" s="282"/>
      <c r="F389" s="282" t="s">
        <v>2829</v>
      </c>
      <c r="G389" s="93" t="s">
        <v>2830</v>
      </c>
      <c r="H389" s="282" t="s">
        <v>2831</v>
      </c>
      <c r="I389" s="282"/>
      <c r="J389" s="282" t="s">
        <v>2832</v>
      </c>
    </row>
    <row r="390" spans="1:10" x14ac:dyDescent="0.2">
      <c r="A390" s="93" t="str">
        <f t="shared" ca="1" si="0"/>
        <v>南鹅卵石村山道</v>
      </c>
      <c r="B390" s="282" t="s">
        <v>2833</v>
      </c>
      <c r="C390" s="282"/>
      <c r="D390" s="282" t="s">
        <v>2834</v>
      </c>
      <c r="E390" s="282"/>
      <c r="F390" s="282" t="s">
        <v>2835</v>
      </c>
      <c r="G390" s="93" t="s">
        <v>2836</v>
      </c>
      <c r="H390" s="282" t="s">
        <v>2837</v>
      </c>
      <c r="I390" s="282"/>
      <c r="J390" s="282" t="s">
        <v>2838</v>
      </c>
    </row>
    <row r="391" spans="1:10" x14ac:dyDescent="0.2">
      <c r="A391" s="93" t="str">
        <f t="shared" ca="1" si="0"/>
        <v>北鹅卵石村山道</v>
      </c>
      <c r="B391" s="282" t="s">
        <v>2839</v>
      </c>
      <c r="C391" s="282"/>
      <c r="D391" s="282" t="s">
        <v>2840</v>
      </c>
      <c r="E391" s="282"/>
      <c r="F391" s="282" t="s">
        <v>2841</v>
      </c>
      <c r="G391" s="93" t="s">
        <v>2842</v>
      </c>
      <c r="H391" s="282" t="s">
        <v>2843</v>
      </c>
      <c r="I391" s="282"/>
      <c r="J391" s="282" t="s">
        <v>2844</v>
      </c>
    </row>
    <row r="392" spans="1:10" x14ac:dyDescent="0.2">
      <c r="A392" s="93" t="str">
        <f t="shared" ca="1" si="0"/>
        <v>无垢巢穴</v>
      </c>
      <c r="B392" s="282" t="s">
        <v>2845</v>
      </c>
      <c r="C392" s="282" t="s">
        <v>2846</v>
      </c>
      <c r="D392" s="282" t="s">
        <v>2847</v>
      </c>
      <c r="E392" s="282"/>
      <c r="F392" s="282" t="s">
        <v>2848</v>
      </c>
      <c r="G392" s="93" t="s">
        <v>2849</v>
      </c>
      <c r="H392" s="282" t="s">
        <v>2850</v>
      </c>
      <c r="I392" s="282"/>
      <c r="J392" s="282" t="s">
        <v>2851</v>
      </c>
    </row>
    <row r="393" spans="1:10" x14ac:dyDescent="0.2">
      <c r="A393" s="93" t="str">
        <f t="shared" ca="1" si="0"/>
        <v>通往山贼大本营的道路</v>
      </c>
      <c r="B393" s="282" t="s">
        <v>2852</v>
      </c>
      <c r="C393" s="282" t="s">
        <v>2853</v>
      </c>
      <c r="D393" s="282" t="s">
        <v>2854</v>
      </c>
      <c r="E393" s="282"/>
      <c r="F393" s="282" t="s">
        <v>2855</v>
      </c>
      <c r="G393" s="93" t="s">
        <v>2856</v>
      </c>
      <c r="H393" s="282" t="s">
        <v>2857</v>
      </c>
      <c r="I393" s="282"/>
      <c r="J393" s="282" t="s">
        <v>2858</v>
      </c>
    </row>
    <row r="394" spans="1:10" x14ac:dyDescent="0.2">
      <c r="A394" s="93" t="str">
        <f t="shared" ca="1" si="0"/>
        <v>山贼大本营</v>
      </c>
      <c r="B394" s="282" t="s">
        <v>2859</v>
      </c>
      <c r="C394" s="282"/>
      <c r="D394" s="282" t="s">
        <v>2860</v>
      </c>
      <c r="E394" s="282"/>
      <c r="F394" s="282" t="s">
        <v>2861</v>
      </c>
      <c r="G394" s="93" t="s">
        <v>2862</v>
      </c>
      <c r="H394" s="282" t="s">
        <v>2863</v>
      </c>
      <c r="I394" s="282"/>
      <c r="J394" s="282" t="s">
        <v>2864</v>
      </c>
    </row>
    <row r="395" spans="1:10" x14ac:dyDescent="0.2">
      <c r="A395" s="93" t="str">
        <f t="shared" ca="1" si="0"/>
        <v>斯托冈德</v>
      </c>
      <c r="B395" s="282" t="s">
        <v>2865</v>
      </c>
      <c r="C395" s="282" t="s">
        <v>2866</v>
      </c>
      <c r="D395" s="282" t="s">
        <v>2867</v>
      </c>
      <c r="E395" s="282"/>
      <c r="F395" s="282" t="s">
        <v>2868</v>
      </c>
      <c r="G395" s="93" t="s">
        <v>2869</v>
      </c>
      <c r="H395" s="282" t="s">
        <v>2870</v>
      </c>
      <c r="I395" s="282"/>
      <c r="J395" s="282" t="s">
        <v>2871</v>
      </c>
    </row>
    <row r="396" spans="1:10" x14ac:dyDescent="0.2">
      <c r="A396" s="93" t="str">
        <f t="shared" ca="1" si="0"/>
        <v>斯托冈德 -下街-</v>
      </c>
      <c r="B396" s="282" t="s">
        <v>2872</v>
      </c>
      <c r="C396" s="282"/>
      <c r="D396" s="282" t="s">
        <v>2873</v>
      </c>
      <c r="E396" s="282"/>
      <c r="F396" s="282" t="s">
        <v>2874</v>
      </c>
      <c r="G396" s="93" t="s">
        <v>2875</v>
      </c>
      <c r="H396" s="282" t="s">
        <v>2876</v>
      </c>
      <c r="I396" s="282"/>
      <c r="J396" s="282" t="s">
        <v>2877</v>
      </c>
    </row>
    <row r="397" spans="1:10" x14ac:dyDescent="0.2">
      <c r="A397" s="93" t="str">
        <f t="shared" ca="1" si="0"/>
        <v>斯托冈德 -上街-</v>
      </c>
      <c r="B397" s="282" t="s">
        <v>2878</v>
      </c>
      <c r="C397" s="282"/>
      <c r="D397" s="282" t="s">
        <v>2879</v>
      </c>
      <c r="E397" s="282"/>
      <c r="F397" s="282" t="s">
        <v>2880</v>
      </c>
      <c r="G397" s="93" t="s">
        <v>2881</v>
      </c>
      <c r="H397" s="282" t="s">
        <v>2882</v>
      </c>
      <c r="I397" s="282"/>
      <c r="J397" s="282" t="s">
        <v>2883</v>
      </c>
    </row>
    <row r="398" spans="1:10" x14ac:dyDescent="0.2">
      <c r="A398" s="93" t="str">
        <f t="shared" ca="1" si="0"/>
        <v>北斯托冈德山道</v>
      </c>
      <c r="B398" s="282" t="s">
        <v>2884</v>
      </c>
      <c r="C398" s="282"/>
      <c r="D398" s="282" t="s">
        <v>2885</v>
      </c>
      <c r="E398" s="282"/>
      <c r="F398" s="282" t="s">
        <v>2886</v>
      </c>
      <c r="G398" s="93" t="s">
        <v>2887</v>
      </c>
      <c r="H398" s="282" t="s">
        <v>2888</v>
      </c>
      <c r="I398" s="282"/>
      <c r="J398" s="282" t="s">
        <v>2889</v>
      </c>
    </row>
    <row r="399" spans="1:10" x14ac:dyDescent="0.2">
      <c r="A399" s="93" t="str">
        <f t="shared" ca="1" si="0"/>
        <v>西斯托冈德山道</v>
      </c>
      <c r="B399" s="282" t="s">
        <v>2890</v>
      </c>
      <c r="C399" s="282"/>
      <c r="D399" s="282" t="s">
        <v>2891</v>
      </c>
      <c r="E399" s="282"/>
      <c r="F399" s="282" t="s">
        <v>2892</v>
      </c>
      <c r="G399" s="93" t="s">
        <v>2893</v>
      </c>
      <c r="H399" s="282" t="s">
        <v>2894</v>
      </c>
      <c r="I399" s="282"/>
      <c r="J399" s="282" t="s">
        <v>2895</v>
      </c>
    </row>
    <row r="400" spans="1:10" x14ac:dyDescent="0.2">
      <c r="A400" s="93" t="str">
        <f t="shared" ca="1" si="0"/>
        <v>王家之墓</v>
      </c>
      <c r="B400" s="282" t="s">
        <v>2896</v>
      </c>
      <c r="C400" s="282" t="s">
        <v>2897</v>
      </c>
      <c r="D400" s="282" t="s">
        <v>2898</v>
      </c>
      <c r="E400" s="282"/>
      <c r="F400" s="282" t="s">
        <v>2899</v>
      </c>
      <c r="G400" s="93" t="s">
        <v>2900</v>
      </c>
      <c r="H400" s="282" t="s">
        <v>2900</v>
      </c>
      <c r="I400" s="282"/>
      <c r="J400" s="282" t="s">
        <v>2901</v>
      </c>
    </row>
    <row r="401" spans="1:10" x14ac:dyDescent="0.2">
      <c r="A401" s="93" t="str">
        <f t="shared" ca="1" si="0"/>
        <v>通往幻影之森的道路</v>
      </c>
      <c r="B401" s="282" t="s">
        <v>2902</v>
      </c>
      <c r="C401" s="282"/>
      <c r="D401" s="282" t="s">
        <v>2903</v>
      </c>
      <c r="E401" s="282"/>
      <c r="F401" s="282" t="s">
        <v>2904</v>
      </c>
      <c r="G401" s="93" t="s">
        <v>2905</v>
      </c>
      <c r="H401" s="282" t="s">
        <v>2905</v>
      </c>
      <c r="I401" s="282"/>
      <c r="J401" s="282" t="s">
        <v>2906</v>
      </c>
    </row>
    <row r="402" spans="1:10" x14ac:dyDescent="0.2">
      <c r="A402" s="93" t="str">
        <f t="shared" ca="1" si="0"/>
        <v>幻影之森</v>
      </c>
      <c r="B402" s="282" t="s">
        <v>2907</v>
      </c>
      <c r="C402" s="282"/>
      <c r="D402" s="282" t="s">
        <v>2908</v>
      </c>
      <c r="E402" s="282"/>
      <c r="F402" s="282" t="s">
        <v>2909</v>
      </c>
      <c r="G402" s="93" t="s">
        <v>2910</v>
      </c>
      <c r="H402" s="282" t="s">
        <v>2910</v>
      </c>
      <c r="I402" s="282"/>
      <c r="J402" s="282" t="s">
        <v>2911</v>
      </c>
    </row>
    <row r="403" spans="1:10" x14ac:dyDescent="0.2">
      <c r="A403" s="93" t="str">
        <f t="shared" ca="1" si="0"/>
        <v>伊冯的老家</v>
      </c>
      <c r="B403" s="282" t="s">
        <v>2912</v>
      </c>
      <c r="C403" s="282"/>
      <c r="D403" s="282" t="s">
        <v>2913</v>
      </c>
      <c r="E403" s="282"/>
      <c r="F403" s="282" t="s">
        <v>2914</v>
      </c>
      <c r="G403" s="93" t="s">
        <v>2915</v>
      </c>
      <c r="H403" s="282" t="s">
        <v>2916</v>
      </c>
      <c r="I403" s="282"/>
      <c r="J403" s="282" t="s">
        <v>2917</v>
      </c>
    </row>
    <row r="404" spans="1:10" x14ac:dyDescent="0.2">
      <c r="A404" s="93" t="str">
        <f t="shared" ca="1" si="0"/>
        <v>艾巴霍多</v>
      </c>
      <c r="B404" s="282" t="s">
        <v>2918</v>
      </c>
      <c r="C404" s="282"/>
      <c r="D404" s="282" t="s">
        <v>2919</v>
      </c>
      <c r="E404" s="282"/>
      <c r="F404" s="282" t="s">
        <v>2920</v>
      </c>
      <c r="G404" s="93" t="s">
        <v>2921</v>
      </c>
      <c r="H404" s="282" t="s">
        <v>2921</v>
      </c>
      <c r="I404" s="282"/>
      <c r="J404" s="282" t="s">
        <v>2922</v>
      </c>
    </row>
    <row r="405" spans="1:10" x14ac:dyDescent="0.2">
      <c r="A405" s="93" t="str">
        <f t="shared" ca="1" si="0"/>
        <v>艾巴霍多 -大剧场-</v>
      </c>
      <c r="B405" s="282" t="s">
        <v>2923</v>
      </c>
      <c r="C405" s="282"/>
      <c r="D405" s="282" t="s">
        <v>2924</v>
      </c>
      <c r="E405" s="282"/>
      <c r="F405" s="282" t="s">
        <v>2925</v>
      </c>
      <c r="G405" s="93" t="s">
        <v>2926</v>
      </c>
      <c r="H405" s="282" t="s">
        <v>2927</v>
      </c>
      <c r="I405" s="282"/>
      <c r="J405" s="282" t="s">
        <v>2928</v>
      </c>
    </row>
    <row r="406" spans="1:10" x14ac:dyDescent="0.2">
      <c r="A406" s="93" t="str">
        <f t="shared" ca="1" si="0"/>
        <v>西艾巴霍多山道</v>
      </c>
      <c r="B406" s="282" t="s">
        <v>2929</v>
      </c>
      <c r="C406" s="282"/>
      <c r="D406" s="282" t="s">
        <v>2930</v>
      </c>
      <c r="E406" s="282"/>
      <c r="F406" s="282" t="s">
        <v>2931</v>
      </c>
      <c r="G406" s="93" t="s">
        <v>2932</v>
      </c>
      <c r="H406" s="282" t="s">
        <v>2932</v>
      </c>
      <c r="I406" s="282"/>
      <c r="J406" s="282" t="s">
        <v>2933</v>
      </c>
    </row>
    <row r="407" spans="1:10" x14ac:dyDescent="0.2">
      <c r="A407" s="93" t="str">
        <f t="shared" ca="1" si="0"/>
        <v>艾巴霍多地下坑道遗迹</v>
      </c>
      <c r="B407" s="282" t="s">
        <v>2934</v>
      </c>
      <c r="C407" s="282"/>
      <c r="D407" s="282" t="s">
        <v>2935</v>
      </c>
      <c r="E407" s="282"/>
      <c r="F407" s="282" t="s">
        <v>2936</v>
      </c>
      <c r="G407" s="93" t="s">
        <v>2937</v>
      </c>
      <c r="H407" s="282" t="s">
        <v>2938</v>
      </c>
      <c r="I407" s="282"/>
      <c r="J407" s="282" t="s">
        <v>2939</v>
      </c>
    </row>
    <row r="408" spans="1:10" x14ac:dyDescent="0.2">
      <c r="A408" s="93" t="str">
        <f t="shared" ca="1" si="0"/>
        <v>魔剑士的祠堂</v>
      </c>
      <c r="B408" s="282" t="s">
        <v>2940</v>
      </c>
      <c r="C408" s="282"/>
      <c r="D408" s="282" t="s">
        <v>2941</v>
      </c>
      <c r="E408" s="282"/>
      <c r="F408" s="282" t="s">
        <v>2942</v>
      </c>
      <c r="G408" s="93" t="s">
        <v>2943</v>
      </c>
      <c r="H408" s="282" t="s">
        <v>2944</v>
      </c>
      <c r="I408" s="282"/>
      <c r="J408" s="282" t="s">
        <v>2945</v>
      </c>
    </row>
    <row r="409" spans="1:10" x14ac:dyDescent="0.2">
      <c r="A409" s="93" t="str">
        <f t="shared" ca="1" si="0"/>
        <v>大剧场</v>
      </c>
      <c r="B409" s="282" t="s">
        <v>2946</v>
      </c>
      <c r="C409" s="282" t="s">
        <v>2947</v>
      </c>
      <c r="D409" s="282" t="s">
        <v>2948</v>
      </c>
      <c r="E409" s="282"/>
      <c r="F409" s="282" t="s">
        <v>2947</v>
      </c>
      <c r="G409" s="93" t="s">
        <v>2949</v>
      </c>
      <c r="H409" s="282" t="s">
        <v>2950</v>
      </c>
      <c r="I409" s="282"/>
      <c r="J409" s="282" t="s">
        <v>2949</v>
      </c>
    </row>
    <row r="410" spans="1:10" x14ac:dyDescent="0.2">
      <c r="A410" s="93" t="str">
        <f t="shared" ca="1" si="0"/>
        <v>大剧场 -下层-</v>
      </c>
      <c r="B410" s="282" t="s">
        <v>2951</v>
      </c>
      <c r="C410" s="282" t="s">
        <v>2952</v>
      </c>
      <c r="D410" s="282" t="s">
        <v>2953</v>
      </c>
      <c r="E410" s="282"/>
      <c r="F410" s="282" t="s">
        <v>2954</v>
      </c>
      <c r="G410" s="93" t="s">
        <v>2955</v>
      </c>
      <c r="H410" s="282" t="s">
        <v>2956</v>
      </c>
      <c r="I410" s="282"/>
      <c r="J410" s="282" t="s">
        <v>2957</v>
      </c>
    </row>
    <row r="411" spans="1:10" x14ac:dyDescent="0.2">
      <c r="A411" s="93" t="str">
        <f t="shared" ca="1" si="0"/>
        <v>大剧场 -上层-</v>
      </c>
      <c r="B411" s="282" t="s">
        <v>2958</v>
      </c>
      <c r="C411" s="282" t="s">
        <v>2959</v>
      </c>
      <c r="D411" s="282" t="s">
        <v>2960</v>
      </c>
      <c r="E411" s="282"/>
      <c r="F411" s="282" t="s">
        <v>2961</v>
      </c>
      <c r="G411" s="53" t="s">
        <v>2962</v>
      </c>
      <c r="H411" s="282" t="s">
        <v>2963</v>
      </c>
      <c r="I411" s="282"/>
      <c r="J411" s="282" t="s">
        <v>2964</v>
      </c>
    </row>
    <row r="412" spans="1:10" x14ac:dyDescent="0.2">
      <c r="A412" s="93" t="str">
        <f t="shared" ca="1" si="0"/>
        <v>终结之门</v>
      </c>
      <c r="B412" s="282" t="s">
        <v>2965</v>
      </c>
      <c r="C412" s="282"/>
      <c r="D412" s="282" t="s">
        <v>2966</v>
      </c>
      <c r="E412" s="282"/>
      <c r="F412" s="282" t="s">
        <v>2967</v>
      </c>
      <c r="G412" s="93" t="s">
        <v>2968</v>
      </c>
      <c r="H412" s="282" t="s">
        <v>2969</v>
      </c>
      <c r="I412" s="282"/>
      <c r="J412" s="282"/>
    </row>
    <row r="413" spans="1:10" x14ac:dyDescent="0.2">
      <c r="A413" s="360" t="str">
        <f t="shared" ca="1" si="0"/>
        <v>桑兰多地区</v>
      </c>
      <c r="B413" s="361" t="s">
        <v>5</v>
      </c>
      <c r="C413" s="361" t="s">
        <v>2970</v>
      </c>
      <c r="D413" s="361" t="s">
        <v>2971</v>
      </c>
      <c r="E413" s="361"/>
      <c r="F413" s="361" t="s">
        <v>2972</v>
      </c>
      <c r="G413" s="361" t="s">
        <v>2973</v>
      </c>
      <c r="H413" s="361" t="s">
        <v>2974</v>
      </c>
      <c r="I413" s="361"/>
      <c r="J413" s="361" t="s">
        <v>2975</v>
      </c>
    </row>
    <row r="414" spans="1:10" x14ac:dyDescent="0.2">
      <c r="A414" s="360" t="str">
        <f t="shared" ca="1" si="0"/>
        <v>桑谢德</v>
      </c>
      <c r="B414" s="361" t="s">
        <v>2976</v>
      </c>
      <c r="C414" s="361" t="s">
        <v>2977</v>
      </c>
      <c r="D414" s="361" t="s">
        <v>2978</v>
      </c>
      <c r="E414" s="361"/>
      <c r="F414" s="361" t="s">
        <v>2979</v>
      </c>
      <c r="G414" s="360" t="s">
        <v>2980</v>
      </c>
      <c r="H414" s="361" t="s">
        <v>2981</v>
      </c>
      <c r="I414" s="361"/>
      <c r="J414" s="361" t="s">
        <v>2982</v>
      </c>
    </row>
    <row r="415" spans="1:10" x14ac:dyDescent="0.2">
      <c r="A415" s="360" t="str">
        <f t="shared" ca="1" si="0"/>
        <v>桑谢德 -酒馆-</v>
      </c>
      <c r="B415" s="361" t="s">
        <v>2983</v>
      </c>
      <c r="C415" s="361" t="s">
        <v>2984</v>
      </c>
      <c r="D415" s="361" t="s">
        <v>2985</v>
      </c>
      <c r="E415" s="361"/>
      <c r="F415" s="361" t="s">
        <v>2986</v>
      </c>
      <c r="G415" s="360" t="s">
        <v>2987</v>
      </c>
      <c r="H415" s="361" t="s">
        <v>2988</v>
      </c>
      <c r="I415" s="361"/>
      <c r="J415" s="361" t="s">
        <v>2989</v>
      </c>
    </row>
    <row r="416" spans="1:10" x14ac:dyDescent="0.2">
      <c r="A416" s="360" t="str">
        <f t="shared" ca="1" si="0"/>
        <v>南桑谢德沙道</v>
      </c>
      <c r="B416" s="361" t="s">
        <v>2990</v>
      </c>
      <c r="C416" s="361" t="s">
        <v>2991</v>
      </c>
      <c r="D416" s="361" t="s">
        <v>2992</v>
      </c>
      <c r="E416" s="361"/>
      <c r="F416" s="361" t="s">
        <v>2993</v>
      </c>
      <c r="G416" s="360" t="s">
        <v>2994</v>
      </c>
      <c r="H416" s="361" t="s">
        <v>2995</v>
      </c>
      <c r="I416" s="361"/>
      <c r="J416" s="361" t="s">
        <v>2996</v>
      </c>
    </row>
    <row r="417" spans="1:10" x14ac:dyDescent="0.2">
      <c r="A417" s="360" t="str">
        <f t="shared" ca="1" si="0"/>
        <v>东桑谢德沙道</v>
      </c>
      <c r="B417" s="361" t="s">
        <v>2997</v>
      </c>
      <c r="C417" s="361" t="s">
        <v>2998</v>
      </c>
      <c r="D417" s="361" t="s">
        <v>2999</v>
      </c>
      <c r="E417" s="361"/>
      <c r="F417" s="361" t="s">
        <v>3000</v>
      </c>
      <c r="G417" s="360" t="s">
        <v>3001</v>
      </c>
      <c r="H417" s="361" t="s">
        <v>3002</v>
      </c>
      <c r="I417" s="361"/>
      <c r="J417" s="361" t="s">
        <v>3003</v>
      </c>
    </row>
    <row r="418" spans="1:10" x14ac:dyDescent="0.2">
      <c r="A418" s="360" t="str">
        <f t="shared" ca="1" si="0"/>
        <v>砂笛洞窟</v>
      </c>
      <c r="B418" s="361" t="s">
        <v>3004</v>
      </c>
      <c r="C418" s="361"/>
      <c r="D418" s="361" t="s">
        <v>3005</v>
      </c>
      <c r="E418" s="361"/>
      <c r="F418" s="361" t="s">
        <v>3006</v>
      </c>
      <c r="G418" s="360" t="s">
        <v>3007</v>
      </c>
      <c r="H418" s="361" t="s">
        <v>3007</v>
      </c>
      <c r="I418" s="361"/>
      <c r="J418" s="361" t="s">
        <v>3008</v>
      </c>
    </row>
    <row r="419" spans="1:10" x14ac:dyDescent="0.2">
      <c r="A419" s="360" t="str">
        <f t="shared" ca="1" si="0"/>
        <v>桑谢德地下道</v>
      </c>
      <c r="B419" s="361" t="s">
        <v>3009</v>
      </c>
      <c r="C419" s="361" t="s">
        <v>3010</v>
      </c>
      <c r="D419" s="361" t="s">
        <v>3011</v>
      </c>
      <c r="E419" s="361"/>
      <c r="F419" s="361" t="s">
        <v>3012</v>
      </c>
      <c r="G419" s="360" t="s">
        <v>3013</v>
      </c>
      <c r="H419" s="361" t="s">
        <v>3014</v>
      </c>
      <c r="I419" s="361"/>
      <c r="J419" s="361" t="s">
        <v>3015</v>
      </c>
    </row>
    <row r="420" spans="1:10" x14ac:dyDescent="0.2">
      <c r="A420" s="360" t="str">
        <f t="shared" ca="1" si="0"/>
        <v>威尔斯宾克</v>
      </c>
      <c r="B420" s="361" t="s">
        <v>3016</v>
      </c>
      <c r="C420" s="361"/>
      <c r="D420" s="361" t="s">
        <v>3017</v>
      </c>
      <c r="E420" s="361"/>
      <c r="F420" s="361" t="s">
        <v>3018</v>
      </c>
      <c r="G420" s="360" t="s">
        <v>3019</v>
      </c>
      <c r="H420" s="361" t="s">
        <v>3020</v>
      </c>
      <c r="I420" s="361"/>
      <c r="J420" s="361" t="s">
        <v>3021</v>
      </c>
    </row>
    <row r="421" spans="1:10" x14ac:dyDescent="0.2">
      <c r="A421" s="360" t="str">
        <f t="shared" ca="1" si="0"/>
        <v>北威尔斯宾克沙道</v>
      </c>
      <c r="B421" s="361" t="s">
        <v>3022</v>
      </c>
      <c r="C421" s="361"/>
      <c r="D421" s="361" t="s">
        <v>3023</v>
      </c>
      <c r="E421" s="361"/>
      <c r="F421" s="361" t="s">
        <v>3024</v>
      </c>
      <c r="G421" s="360" t="s">
        <v>3025</v>
      </c>
      <c r="H421" s="361" t="s">
        <v>3026</v>
      </c>
      <c r="I421" s="361"/>
      <c r="J421" s="361" t="s">
        <v>3027</v>
      </c>
    </row>
    <row r="422" spans="1:10" x14ac:dyDescent="0.2">
      <c r="A422" s="360" t="str">
        <f t="shared" ca="1" si="0"/>
        <v>东威尔斯宾克沙道</v>
      </c>
      <c r="B422" s="361" t="s">
        <v>3028</v>
      </c>
      <c r="C422" s="361"/>
      <c r="D422" s="361" t="s">
        <v>3029</v>
      </c>
      <c r="E422" s="361"/>
      <c r="F422" s="361" t="s">
        <v>3030</v>
      </c>
      <c r="G422" s="360" t="s">
        <v>3031</v>
      </c>
      <c r="H422" s="361" t="s">
        <v>3032</v>
      </c>
      <c r="I422" s="361"/>
      <c r="J422" s="361" t="s">
        <v>3033</v>
      </c>
    </row>
    <row r="423" spans="1:10" x14ac:dyDescent="0.2">
      <c r="A423" s="360" t="str">
        <f t="shared" ca="1" si="0"/>
        <v>流沙洞窟</v>
      </c>
      <c r="B423" s="361" t="s">
        <v>3034</v>
      </c>
      <c r="C423" s="361"/>
      <c r="D423" s="361" t="s">
        <v>3035</v>
      </c>
      <c r="E423" s="361"/>
      <c r="F423" s="361" t="s">
        <v>3036</v>
      </c>
      <c r="G423" s="360" t="s">
        <v>3037</v>
      </c>
      <c r="H423" s="361" t="s">
        <v>3037</v>
      </c>
      <c r="I423" s="361"/>
      <c r="J423" s="361" t="s">
        <v>3038</v>
      </c>
    </row>
    <row r="424" spans="1:10" x14ac:dyDescent="0.2">
      <c r="A424" s="360" t="str">
        <f t="shared" ca="1" si="0"/>
        <v>南威尔斯宾克废道</v>
      </c>
      <c r="B424" s="361" t="s">
        <v>3039</v>
      </c>
      <c r="C424" s="361"/>
      <c r="D424" s="361" t="s">
        <v>3040</v>
      </c>
      <c r="E424" s="361"/>
      <c r="F424" s="361" t="s">
        <v>3041</v>
      </c>
      <c r="G424" s="360" t="s">
        <v>3042</v>
      </c>
      <c r="H424" s="361" t="s">
        <v>3043</v>
      </c>
      <c r="I424" s="361"/>
      <c r="J424" s="361" t="s">
        <v>3044</v>
      </c>
    </row>
    <row r="425" spans="1:10" x14ac:dyDescent="0.2">
      <c r="A425" s="360" t="str">
        <f t="shared" ca="1" si="0"/>
        <v>黑市</v>
      </c>
      <c r="B425" s="361" t="s">
        <v>3045</v>
      </c>
      <c r="C425" s="361"/>
      <c r="D425" s="361" t="s">
        <v>3046</v>
      </c>
      <c r="E425" s="361"/>
      <c r="F425" s="361" t="s">
        <v>3047</v>
      </c>
      <c r="G425" s="360" t="s">
        <v>3048</v>
      </c>
      <c r="H425" s="361" t="s">
        <v>3048</v>
      </c>
      <c r="I425" s="361"/>
      <c r="J425" s="361" t="s">
        <v>3049</v>
      </c>
    </row>
    <row r="426" spans="1:10" x14ac:dyDescent="0.2">
      <c r="A426" s="360" t="str">
        <f t="shared" ca="1" si="0"/>
        <v>西威尔斯宾克沙道</v>
      </c>
      <c r="B426" s="361" t="s">
        <v>3050</v>
      </c>
      <c r="C426" s="361"/>
      <c r="D426" s="361" t="s">
        <v>3051</v>
      </c>
      <c r="E426" s="361"/>
      <c r="F426" s="361" t="s">
        <v>3052</v>
      </c>
      <c r="G426" s="360" t="s">
        <v>3053</v>
      </c>
      <c r="H426" s="361" t="s">
        <v>3054</v>
      </c>
      <c r="I426" s="361"/>
      <c r="J426" s="361" t="s">
        <v>3055</v>
      </c>
    </row>
    <row r="427" spans="1:10" x14ac:dyDescent="0.2">
      <c r="A427" s="360" t="str">
        <f t="shared" ca="1" si="0"/>
        <v>蜥蜴人的巢穴</v>
      </c>
      <c r="B427" s="361" t="s">
        <v>3056</v>
      </c>
      <c r="C427" s="361"/>
      <c r="D427" s="361" t="s">
        <v>3057</v>
      </c>
      <c r="E427" s="361"/>
      <c r="F427" s="361" t="s">
        <v>3058</v>
      </c>
      <c r="G427" s="360" t="s">
        <v>3059</v>
      </c>
      <c r="H427" s="361" t="s">
        <v>3059</v>
      </c>
      <c r="I427" s="361"/>
      <c r="J427" s="361" t="s">
        <v>3060</v>
      </c>
    </row>
    <row r="428" spans="1:10" x14ac:dyDescent="0.2">
      <c r="A428" s="360" t="str">
        <f t="shared" ca="1" si="0"/>
        <v>马尔沙利姆</v>
      </c>
      <c r="B428" s="361" t="s">
        <v>3061</v>
      </c>
      <c r="C428" s="361" t="s">
        <v>3061</v>
      </c>
      <c r="D428" s="361" t="s">
        <v>3061</v>
      </c>
      <c r="E428" s="361"/>
      <c r="F428" s="361" t="s">
        <v>3062</v>
      </c>
      <c r="G428" s="360" t="s">
        <v>3063</v>
      </c>
      <c r="H428" s="361" t="s">
        <v>3064</v>
      </c>
      <c r="I428" s="361"/>
      <c r="J428" s="361" t="s">
        <v>3065</v>
      </c>
    </row>
    <row r="429" spans="1:10" x14ac:dyDescent="0.2">
      <c r="A429" s="360" t="str">
        <f t="shared" ca="1" si="0"/>
        <v>马尔沙利姆 -王宫-</v>
      </c>
      <c r="B429" s="361" t="s">
        <v>3066</v>
      </c>
      <c r="C429" s="361"/>
      <c r="D429" s="361" t="s">
        <v>3067</v>
      </c>
      <c r="E429" s="361"/>
      <c r="F429" s="361" t="s">
        <v>3068</v>
      </c>
      <c r="G429" s="360" t="s">
        <v>3069</v>
      </c>
      <c r="H429" s="361" t="s">
        <v>3070</v>
      </c>
      <c r="I429" s="361"/>
      <c r="J429" s="361" t="s">
        <v>3071</v>
      </c>
    </row>
    <row r="430" spans="1:10" x14ac:dyDescent="0.2">
      <c r="A430" s="360" t="str">
        <f t="shared" ca="1" si="0"/>
        <v>东马尔沙利姆沙道</v>
      </c>
      <c r="B430" s="361" t="s">
        <v>3072</v>
      </c>
      <c r="C430" s="361"/>
      <c r="D430" s="361" t="s">
        <v>3073</v>
      </c>
      <c r="E430" s="361"/>
      <c r="F430" s="361" t="s">
        <v>3074</v>
      </c>
      <c r="G430" s="360" t="s">
        <v>3075</v>
      </c>
      <c r="H430" s="361" t="s">
        <v>3076</v>
      </c>
      <c r="I430" s="361"/>
      <c r="J430" s="361" t="s">
        <v>3077</v>
      </c>
    </row>
    <row r="431" spans="1:10" x14ac:dyDescent="0.2">
      <c r="A431" s="360" t="str">
        <f t="shared" ca="1" si="0"/>
        <v>马尔沙利姆地下墓地</v>
      </c>
      <c r="B431" s="361" t="s">
        <v>3078</v>
      </c>
      <c r="C431" s="361" t="s">
        <v>3079</v>
      </c>
      <c r="D431" s="361" t="s">
        <v>3080</v>
      </c>
      <c r="E431" s="361"/>
      <c r="F431" s="361" t="s">
        <v>3081</v>
      </c>
      <c r="G431" s="360" t="s">
        <v>3082</v>
      </c>
      <c r="H431" s="361" t="s">
        <v>3083</v>
      </c>
      <c r="I431" s="361"/>
      <c r="J431" s="361" t="s">
        <v>3084</v>
      </c>
    </row>
    <row r="432" spans="1:10" x14ac:dyDescent="0.2">
      <c r="A432" s="360" t="str">
        <f t="shared" ca="1" si="0"/>
        <v>通往灰色沙丘遗迹的道路</v>
      </c>
      <c r="B432" s="361" t="s">
        <v>3085</v>
      </c>
      <c r="C432" s="361"/>
      <c r="D432" s="361" t="s">
        <v>3086</v>
      </c>
      <c r="E432" s="361"/>
      <c r="F432" s="361" t="s">
        <v>3087</v>
      </c>
      <c r="G432" s="360" t="s">
        <v>3088</v>
      </c>
      <c r="H432" s="361" t="s">
        <v>3089</v>
      </c>
      <c r="I432" s="361"/>
      <c r="J432" s="361" t="s">
        <v>3090</v>
      </c>
    </row>
    <row r="433" spans="1:10" x14ac:dyDescent="0.2">
      <c r="A433" s="360" t="str">
        <f t="shared" ca="1" si="0"/>
        <v>灰色沙丘遗迹</v>
      </c>
      <c r="B433" s="361" t="s">
        <v>3091</v>
      </c>
      <c r="C433" s="361"/>
      <c r="D433" s="361" t="s">
        <v>3092</v>
      </c>
      <c r="E433" s="361"/>
      <c r="F433" s="361" t="s">
        <v>3093</v>
      </c>
      <c r="G433" s="360" t="s">
        <v>3094</v>
      </c>
      <c r="H433" s="361" t="s">
        <v>3095</v>
      </c>
      <c r="I433" s="361"/>
      <c r="J433" s="361" t="s">
        <v>3096</v>
      </c>
    </row>
    <row r="434" spans="1:10" x14ac:dyDescent="0.2">
      <c r="A434" s="362" t="str">
        <f t="shared" ca="1" si="0"/>
        <v>利维兰多地区</v>
      </c>
      <c r="B434" s="363" t="s">
        <v>6</v>
      </c>
      <c r="C434" s="363" t="s">
        <v>3097</v>
      </c>
      <c r="D434" s="363" t="s">
        <v>3098</v>
      </c>
      <c r="E434" s="363"/>
      <c r="F434" s="363" t="s">
        <v>3099</v>
      </c>
      <c r="G434" s="363" t="s">
        <v>3100</v>
      </c>
      <c r="H434" s="363" t="s">
        <v>3101</v>
      </c>
      <c r="I434" s="363"/>
      <c r="J434" s="363" t="s">
        <v>3102</v>
      </c>
    </row>
    <row r="435" spans="1:10" x14ac:dyDescent="0.2">
      <c r="A435" s="362" t="str">
        <f t="shared" ca="1" si="0"/>
        <v>库利亚布鲁克</v>
      </c>
      <c r="B435" s="363" t="s">
        <v>3103</v>
      </c>
      <c r="C435" s="363" t="s">
        <v>3104</v>
      </c>
      <c r="D435" s="363" t="s">
        <v>3105</v>
      </c>
      <c r="E435" s="363"/>
      <c r="F435" s="363" t="s">
        <v>3106</v>
      </c>
      <c r="G435" s="362" t="s">
        <v>3107</v>
      </c>
      <c r="H435" s="363" t="s">
        <v>3108</v>
      </c>
      <c r="I435" s="363"/>
      <c r="J435" s="363" t="s">
        <v>3109</v>
      </c>
    </row>
    <row r="436" spans="1:10" x14ac:dyDescent="0.2">
      <c r="A436" s="362" t="str">
        <f t="shared" ca="1" si="0"/>
        <v>西库利亚布鲁克川道</v>
      </c>
      <c r="B436" s="363" t="s">
        <v>3110</v>
      </c>
      <c r="C436" s="363" t="s">
        <v>3111</v>
      </c>
      <c r="D436" s="363" t="s">
        <v>3112</v>
      </c>
      <c r="E436" s="363"/>
      <c r="F436" s="363" t="s">
        <v>3113</v>
      </c>
      <c r="G436" s="362" t="s">
        <v>3114</v>
      </c>
      <c r="H436" s="363" t="s">
        <v>3115</v>
      </c>
      <c r="I436" s="363"/>
      <c r="J436" s="363" t="s">
        <v>3116</v>
      </c>
    </row>
    <row r="437" spans="1:10" x14ac:dyDescent="0.2">
      <c r="A437" s="362" t="str">
        <f t="shared" ca="1" si="0"/>
        <v>南库利亚布鲁克川道</v>
      </c>
      <c r="B437" s="363" t="s">
        <v>3117</v>
      </c>
      <c r="C437" s="363" t="s">
        <v>3118</v>
      </c>
      <c r="D437" s="363" t="s">
        <v>3119</v>
      </c>
      <c r="E437" s="363"/>
      <c r="F437" s="363" t="s">
        <v>3120</v>
      </c>
      <c r="G437" s="362" t="s">
        <v>3121</v>
      </c>
      <c r="H437" s="363" t="s">
        <v>3122</v>
      </c>
      <c r="I437" s="363"/>
      <c r="J437" s="363" t="s">
        <v>3123</v>
      </c>
    </row>
    <row r="438" spans="1:10" x14ac:dyDescent="0.2">
      <c r="A438" s="362" t="str">
        <f t="shared" ca="1" si="0"/>
        <v>双子瀑布</v>
      </c>
      <c r="B438" s="363" t="s">
        <v>3124</v>
      </c>
      <c r="C438" s="363"/>
      <c r="D438" s="363" t="s">
        <v>3125</v>
      </c>
      <c r="E438" s="363"/>
      <c r="F438" s="363" t="s">
        <v>3126</v>
      </c>
      <c r="G438" s="362" t="s">
        <v>3127</v>
      </c>
      <c r="H438" s="363" t="s">
        <v>3128</v>
      </c>
      <c r="I438" s="363"/>
      <c r="J438" s="363" t="s">
        <v>3129</v>
      </c>
    </row>
    <row r="439" spans="1:10" x14ac:dyDescent="0.2">
      <c r="A439" s="362" t="str">
        <f t="shared" ca="1" si="0"/>
        <v>通往里欧洞窟的道路</v>
      </c>
      <c r="B439" s="363" t="s">
        <v>3130</v>
      </c>
      <c r="C439" s="363" t="s">
        <v>3131</v>
      </c>
      <c r="D439" s="363" t="s">
        <v>3132</v>
      </c>
      <c r="E439" s="363"/>
      <c r="F439" s="363" t="s">
        <v>3133</v>
      </c>
      <c r="G439" s="362" t="s">
        <v>3134</v>
      </c>
      <c r="H439" s="363" t="s">
        <v>3135</v>
      </c>
      <c r="I439" s="363"/>
      <c r="J439" s="363" t="s">
        <v>3136</v>
      </c>
    </row>
    <row r="440" spans="1:10" x14ac:dyDescent="0.2">
      <c r="A440" s="362" t="str">
        <f t="shared" ca="1" si="0"/>
        <v>里欧洞窟</v>
      </c>
      <c r="B440" s="363" t="s">
        <v>3137</v>
      </c>
      <c r="C440" s="363" t="s">
        <v>3138</v>
      </c>
      <c r="D440" s="363" t="s">
        <v>3139</v>
      </c>
      <c r="E440" s="363"/>
      <c r="F440" s="363" t="s">
        <v>3140</v>
      </c>
      <c r="G440" s="362" t="s">
        <v>3141</v>
      </c>
      <c r="H440" s="363" t="s">
        <v>3142</v>
      </c>
      <c r="I440" s="363"/>
      <c r="J440" s="363" t="s">
        <v>3143</v>
      </c>
    </row>
    <row r="441" spans="1:10" x14ac:dyDescent="0.2">
      <c r="A441" s="362" t="str">
        <f t="shared" ca="1" si="0"/>
        <v>圣特布里吉</v>
      </c>
      <c r="B441" s="363" t="s">
        <v>3144</v>
      </c>
      <c r="C441" s="363"/>
      <c r="D441" s="363" t="s">
        <v>3145</v>
      </c>
      <c r="E441" s="363"/>
      <c r="F441" s="363" t="s">
        <v>3146</v>
      </c>
      <c r="G441" s="362" t="s">
        <v>3147</v>
      </c>
      <c r="H441" s="363" t="s">
        <v>3148</v>
      </c>
      <c r="I441" s="363"/>
      <c r="J441" s="363" t="s">
        <v>3149</v>
      </c>
    </row>
    <row r="442" spans="1:10" x14ac:dyDescent="0.2">
      <c r="A442" s="362" t="str">
        <f t="shared" ca="1" si="0"/>
        <v>圣特布里吉 -上游-</v>
      </c>
      <c r="B442" s="363" t="s">
        <v>3150</v>
      </c>
      <c r="C442" s="363"/>
      <c r="D442" s="363" t="s">
        <v>3151</v>
      </c>
      <c r="E442" s="363"/>
      <c r="F442" s="363" t="s">
        <v>3152</v>
      </c>
      <c r="G442" s="362" t="s">
        <v>3153</v>
      </c>
      <c r="H442" s="363" t="s">
        <v>3154</v>
      </c>
      <c r="I442" s="363"/>
      <c r="J442" s="363" t="s">
        <v>3155</v>
      </c>
    </row>
    <row r="443" spans="1:10" x14ac:dyDescent="0.2">
      <c r="A443" s="362" t="str">
        <f t="shared" ca="1" si="0"/>
        <v>圣特布里吉 -大圣堂-</v>
      </c>
      <c r="B443" s="363" t="s">
        <v>3156</v>
      </c>
      <c r="C443" s="363"/>
      <c r="D443" s="363" t="s">
        <v>3157</v>
      </c>
      <c r="E443" s="363"/>
      <c r="F443" s="363" t="s">
        <v>3158</v>
      </c>
      <c r="G443" s="362" t="s">
        <v>3159</v>
      </c>
      <c r="H443" s="363" t="s">
        <v>3160</v>
      </c>
      <c r="I443" s="363"/>
      <c r="J443" s="363" t="s">
        <v>3161</v>
      </c>
    </row>
    <row r="444" spans="1:10" x14ac:dyDescent="0.2">
      <c r="A444" s="362" t="str">
        <f t="shared" ca="1" si="0"/>
        <v>东圣特布里吉川道</v>
      </c>
      <c r="B444" s="363" t="s">
        <v>3162</v>
      </c>
      <c r="C444" s="363"/>
      <c r="D444" s="363" t="s">
        <v>3163</v>
      </c>
      <c r="E444" s="363"/>
      <c r="F444" s="363" t="s">
        <v>3164</v>
      </c>
      <c r="G444" s="362" t="s">
        <v>3165</v>
      </c>
      <c r="H444" s="363" t="s">
        <v>3166</v>
      </c>
      <c r="I444" s="363"/>
      <c r="J444" s="363" t="s">
        <v>3167</v>
      </c>
    </row>
    <row r="445" spans="1:10" x14ac:dyDescent="0.2">
      <c r="A445" s="362" t="str">
        <f t="shared" ca="1" si="0"/>
        <v>边境河岸</v>
      </c>
      <c r="B445" s="363" t="s">
        <v>3168</v>
      </c>
      <c r="C445" s="363"/>
      <c r="D445" s="363" t="s">
        <v>3169</v>
      </c>
      <c r="E445" s="363"/>
      <c r="F445" s="363" t="s">
        <v>3170</v>
      </c>
      <c r="G445" s="362" t="s">
        <v>3171</v>
      </c>
      <c r="H445" s="363" t="s">
        <v>3172</v>
      </c>
      <c r="I445" s="363"/>
      <c r="J445" s="363" t="s">
        <v>3173</v>
      </c>
    </row>
    <row r="446" spans="1:10" x14ac:dyDescent="0.2">
      <c r="A446" s="362" t="str">
        <f t="shared" ca="1" si="0"/>
        <v>通往黑暗之森的道路</v>
      </c>
      <c r="B446" s="363" t="s">
        <v>3174</v>
      </c>
      <c r="C446" s="363"/>
      <c r="D446" s="363" t="s">
        <v>3175</v>
      </c>
      <c r="E446" s="363"/>
      <c r="F446" s="363" t="s">
        <v>3176</v>
      </c>
      <c r="G446" s="362" t="s">
        <v>3177</v>
      </c>
      <c r="H446" s="363" t="s">
        <v>3177</v>
      </c>
      <c r="I446" s="363"/>
      <c r="J446" s="363" t="s">
        <v>3178</v>
      </c>
    </row>
    <row r="447" spans="1:10" x14ac:dyDescent="0.2">
      <c r="A447" s="362" t="str">
        <f t="shared" ca="1" si="0"/>
        <v>黑暗之森</v>
      </c>
      <c r="B447" s="363" t="s">
        <v>3179</v>
      </c>
      <c r="C447" s="363"/>
      <c r="D447" s="363" t="s">
        <v>3180</v>
      </c>
      <c r="E447" s="363"/>
      <c r="F447" s="363" t="s">
        <v>3181</v>
      </c>
      <c r="G447" s="362" t="s">
        <v>3182</v>
      </c>
      <c r="H447" s="363" t="s">
        <v>3182</v>
      </c>
      <c r="I447" s="363"/>
      <c r="J447" s="363" t="s">
        <v>3183</v>
      </c>
    </row>
    <row r="448" spans="1:10" x14ac:dyDescent="0.2">
      <c r="A448" s="362" t="str">
        <f t="shared" ca="1" si="0"/>
        <v>利维耶拉之森</v>
      </c>
      <c r="B448" s="363" t="s">
        <v>3184</v>
      </c>
      <c r="C448" s="363"/>
      <c r="D448" s="363" t="s">
        <v>3185</v>
      </c>
      <c r="E448" s="363"/>
      <c r="F448" s="363" t="s">
        <v>3186</v>
      </c>
      <c r="G448" s="362" t="s">
        <v>3187</v>
      </c>
      <c r="H448" s="363" t="s">
        <v>3188</v>
      </c>
      <c r="I448" s="363"/>
      <c r="J448" s="363" t="s">
        <v>3189</v>
      </c>
    </row>
    <row r="449" spans="1:10" x14ac:dyDescent="0.2">
      <c r="A449" s="362" t="str">
        <f t="shared" ca="1" si="0"/>
        <v>利维福德</v>
      </c>
      <c r="B449" s="363" t="s">
        <v>3190</v>
      </c>
      <c r="C449" s="363"/>
      <c r="D449" s="363" t="s">
        <v>3191</v>
      </c>
      <c r="E449" s="363"/>
      <c r="F449" s="363" t="s">
        <v>3192</v>
      </c>
      <c r="G449" s="362" t="s">
        <v>3193</v>
      </c>
      <c r="H449" s="363" t="s">
        <v>3194</v>
      </c>
      <c r="I449" s="363"/>
      <c r="J449" s="363" t="s">
        <v>3195</v>
      </c>
    </row>
    <row r="450" spans="1:10" x14ac:dyDescent="0.2">
      <c r="A450" s="362" t="str">
        <f t="shared" ca="1" si="0"/>
        <v>利维福德 -下层-</v>
      </c>
      <c r="B450" s="363" t="s">
        <v>3196</v>
      </c>
      <c r="C450" s="363"/>
      <c r="D450" s="363" t="s">
        <v>3197</v>
      </c>
      <c r="E450" s="363"/>
      <c r="F450" s="363" t="s">
        <v>3198</v>
      </c>
      <c r="G450" s="362" t="s">
        <v>3199</v>
      </c>
      <c r="H450" s="363" t="s">
        <v>3200</v>
      </c>
      <c r="I450" s="363"/>
      <c r="J450" s="363" t="s">
        <v>3201</v>
      </c>
    </row>
    <row r="451" spans="1:10" x14ac:dyDescent="0.2">
      <c r="A451" s="362" t="str">
        <f t="shared" ca="1" si="0"/>
        <v>北利维福德川道</v>
      </c>
      <c r="B451" s="363" t="s">
        <v>3202</v>
      </c>
      <c r="C451" s="363"/>
      <c r="D451" s="363" t="s">
        <v>3203</v>
      </c>
      <c r="E451" s="363"/>
      <c r="F451" s="363" t="s">
        <v>3204</v>
      </c>
      <c r="G451" s="362" t="s">
        <v>3205</v>
      </c>
      <c r="H451" s="363" t="s">
        <v>3206</v>
      </c>
      <c r="I451" s="363"/>
      <c r="J451" s="363" t="s">
        <v>3207</v>
      </c>
    </row>
    <row r="452" spans="1:10" x14ac:dyDescent="0.2">
      <c r="A452" s="362" t="str">
        <f t="shared" ca="1" si="0"/>
        <v>贵族的藏身处遗迹</v>
      </c>
      <c r="B452" s="363" t="s">
        <v>3208</v>
      </c>
      <c r="C452" s="363"/>
      <c r="D452" s="363" t="s">
        <v>3209</v>
      </c>
      <c r="E452" s="363"/>
      <c r="F452" s="363" t="s">
        <v>3210</v>
      </c>
      <c r="G452" s="362" t="s">
        <v>3211</v>
      </c>
      <c r="H452" s="363" t="s">
        <v>3212</v>
      </c>
      <c r="I452" s="363"/>
      <c r="J452" s="363" t="s">
        <v>3213</v>
      </c>
    </row>
    <row r="453" spans="1:10" x14ac:dyDescent="0.2">
      <c r="A453" s="362" t="str">
        <f t="shared" ca="1" si="0"/>
        <v>豪武匠的祠堂</v>
      </c>
      <c r="B453" s="363" t="s">
        <v>3214</v>
      </c>
      <c r="C453" s="363"/>
      <c r="D453" s="363" t="s">
        <v>3215</v>
      </c>
      <c r="E453" s="363"/>
      <c r="F453" s="363" t="s">
        <v>3216</v>
      </c>
      <c r="G453" s="362" t="s">
        <v>3217</v>
      </c>
      <c r="H453" s="363" t="s">
        <v>3217</v>
      </c>
      <c r="I453" s="363"/>
      <c r="J453" s="363" t="s">
        <v>3218</v>
      </c>
    </row>
    <row r="454" spans="1:10" x14ac:dyDescent="0.2">
      <c r="A454" s="362" t="str">
        <f t="shared" ca="1" si="0"/>
        <v>通往领主宅邸的密道</v>
      </c>
      <c r="B454" s="363" t="s">
        <v>3219</v>
      </c>
      <c r="C454" s="363"/>
      <c r="D454" s="363" t="s">
        <v>3220</v>
      </c>
      <c r="E454" s="363"/>
      <c r="F454" s="363" t="s">
        <v>3221</v>
      </c>
      <c r="G454" s="362" t="s">
        <v>3222</v>
      </c>
      <c r="H454" s="363" t="s">
        <v>3223</v>
      </c>
      <c r="I454" s="363"/>
      <c r="J454" s="363" t="s">
        <v>3224</v>
      </c>
    </row>
    <row r="455" spans="1:10" x14ac:dyDescent="0.2">
      <c r="A455" s="362" t="str">
        <f t="shared" ca="1" si="0"/>
        <v>领主的宅邸</v>
      </c>
      <c r="B455" s="363" t="s">
        <v>3225</v>
      </c>
      <c r="C455" s="363"/>
      <c r="D455" s="363" t="s">
        <v>3226</v>
      </c>
      <c r="E455" s="363"/>
      <c r="F455" s="363" t="s">
        <v>3227</v>
      </c>
      <c r="G455" s="362" t="s">
        <v>3228</v>
      </c>
      <c r="H455" s="363" t="s">
        <v>3229</v>
      </c>
      <c r="I455" s="363"/>
      <c r="J455" s="363" t="s">
        <v>3230</v>
      </c>
    </row>
    <row r="456" spans="1:10" x14ac:dyDescent="0.2">
      <c r="A456" s="357" t="str">
        <f t="shared" ca="1" si="0"/>
        <v>克里夫兰多地区</v>
      </c>
      <c r="B456" s="358" t="s">
        <v>7</v>
      </c>
      <c r="C456" s="358" t="s">
        <v>3231</v>
      </c>
      <c r="D456" s="358" t="s">
        <v>3232</v>
      </c>
      <c r="E456" s="358"/>
      <c r="F456" s="358" t="s">
        <v>3233</v>
      </c>
      <c r="G456" s="358" t="s">
        <v>3234</v>
      </c>
      <c r="H456" s="358" t="s">
        <v>3235</v>
      </c>
      <c r="I456" s="358"/>
      <c r="J456" s="358" t="s">
        <v>3236</v>
      </c>
    </row>
    <row r="457" spans="1:10" x14ac:dyDescent="0.2">
      <c r="A457" s="357" t="str">
        <f t="shared" ca="1" si="0"/>
        <v>柏达弗尔</v>
      </c>
      <c r="B457" s="358" t="s">
        <v>3237</v>
      </c>
      <c r="C457" s="358" t="s">
        <v>3238</v>
      </c>
      <c r="D457" s="358" t="s">
        <v>3239</v>
      </c>
      <c r="E457" s="358"/>
      <c r="F457" s="358" t="s">
        <v>3240</v>
      </c>
      <c r="G457" s="357" t="s">
        <v>3241</v>
      </c>
      <c r="H457" s="358" t="s">
        <v>3242</v>
      </c>
      <c r="I457" s="358"/>
      <c r="J457" s="358" t="s">
        <v>3243</v>
      </c>
    </row>
    <row r="458" spans="1:10" x14ac:dyDescent="0.2">
      <c r="A458" s="357" t="str">
        <f t="shared" ca="1" si="0"/>
        <v>柏达弗尔 -下层-</v>
      </c>
      <c r="B458" s="358" t="s">
        <v>3244</v>
      </c>
      <c r="C458" s="358" t="s">
        <v>3245</v>
      </c>
      <c r="D458" s="358" t="s">
        <v>3246</v>
      </c>
      <c r="E458" s="358"/>
      <c r="F458" s="358" t="s">
        <v>3247</v>
      </c>
      <c r="G458" s="357" t="s">
        <v>3248</v>
      </c>
      <c r="H458" s="358" t="s">
        <v>3249</v>
      </c>
      <c r="I458" s="358"/>
      <c r="J458" s="358" t="s">
        <v>3250</v>
      </c>
    </row>
    <row r="459" spans="1:10" x14ac:dyDescent="0.2">
      <c r="A459" s="357" t="str">
        <f t="shared" ca="1" si="0"/>
        <v>柏达弗尔 -宅邸前-</v>
      </c>
      <c r="B459" s="358" t="s">
        <v>3251</v>
      </c>
      <c r="C459" s="358" t="s">
        <v>3252</v>
      </c>
      <c r="D459" s="358" t="s">
        <v>3253</v>
      </c>
      <c r="E459" s="358"/>
      <c r="F459" s="358" t="s">
        <v>3254</v>
      </c>
      <c r="G459" s="357" t="s">
        <v>3255</v>
      </c>
      <c r="H459" s="358" t="s">
        <v>3256</v>
      </c>
      <c r="I459" s="358"/>
      <c r="J459" s="358" t="s">
        <v>3257</v>
      </c>
    </row>
    <row r="460" spans="1:10" x14ac:dyDescent="0.2">
      <c r="A460" s="357" t="str">
        <f t="shared" ca="1" si="0"/>
        <v>北柏达弗尔崖道</v>
      </c>
      <c r="B460" s="358" t="s">
        <v>3258</v>
      </c>
      <c r="C460" s="358" t="s">
        <v>3259</v>
      </c>
      <c r="D460" s="358" t="s">
        <v>3260</v>
      </c>
      <c r="E460" s="358"/>
      <c r="F460" s="358" t="s">
        <v>3261</v>
      </c>
      <c r="G460" s="357" t="s">
        <v>3262</v>
      </c>
      <c r="H460" s="358" t="s">
        <v>3263</v>
      </c>
      <c r="I460" s="358"/>
      <c r="J460" s="358" t="s">
        <v>3264</v>
      </c>
    </row>
    <row r="461" spans="1:10" x14ac:dyDescent="0.2">
      <c r="A461" s="357" t="str">
        <f t="shared" ca="1" si="0"/>
        <v>南柏达弗尔崖道</v>
      </c>
      <c r="B461" s="358" t="s">
        <v>3265</v>
      </c>
      <c r="C461" s="358" t="s">
        <v>3266</v>
      </c>
      <c r="D461" s="358" t="s">
        <v>3267</v>
      </c>
      <c r="E461" s="358"/>
      <c r="F461" s="358" t="s">
        <v>3268</v>
      </c>
      <c r="G461" s="357" t="s">
        <v>3269</v>
      </c>
      <c r="H461" s="358" t="s">
        <v>3270</v>
      </c>
      <c r="I461" s="358"/>
      <c r="J461" s="358" t="s">
        <v>3271</v>
      </c>
    </row>
    <row r="462" spans="1:10" x14ac:dyDescent="0.2">
      <c r="A462" s="357" t="str">
        <f t="shared" ca="1" si="0"/>
        <v>鸟葬洞窟</v>
      </c>
      <c r="B462" s="358" t="s">
        <v>3272</v>
      </c>
      <c r="C462" s="358"/>
      <c r="D462" s="358" t="s">
        <v>3273</v>
      </c>
      <c r="E462" s="358"/>
      <c r="F462" s="358" t="s">
        <v>3274</v>
      </c>
      <c r="G462" s="357" t="s">
        <v>3275</v>
      </c>
      <c r="H462" s="358" t="s">
        <v>3276</v>
      </c>
      <c r="I462" s="358"/>
      <c r="J462" s="358" t="s">
        <v>3277</v>
      </c>
    </row>
    <row r="463" spans="1:10" x14ac:dyDescent="0.2">
      <c r="A463" s="357" t="str">
        <f t="shared" ca="1" si="0"/>
        <v>瑞布斯的宅邸</v>
      </c>
      <c r="B463" s="358" t="s">
        <v>3278</v>
      </c>
      <c r="C463" s="358" t="s">
        <v>3279</v>
      </c>
      <c r="D463" s="358" t="s">
        <v>3280</v>
      </c>
      <c r="E463" s="358"/>
      <c r="F463" s="358" t="s">
        <v>3281</v>
      </c>
      <c r="G463" s="357" t="s">
        <v>3282</v>
      </c>
      <c r="H463" s="358" t="s">
        <v>3282</v>
      </c>
      <c r="I463" s="358"/>
      <c r="J463" s="358" t="s">
        <v>3283</v>
      </c>
    </row>
    <row r="464" spans="1:10" x14ac:dyDescent="0.2">
      <c r="A464" s="357" t="str">
        <f t="shared" ca="1" si="0"/>
        <v>库欧利克雷斯特</v>
      </c>
      <c r="B464" s="358" t="s">
        <v>3284</v>
      </c>
      <c r="C464" s="358" t="s">
        <v>3285</v>
      </c>
      <c r="D464" s="358" t="s">
        <v>3286</v>
      </c>
      <c r="E464" s="358"/>
      <c r="F464" s="358" t="s">
        <v>3287</v>
      </c>
      <c r="G464" s="357" t="s">
        <v>3288</v>
      </c>
      <c r="H464" s="358" t="s">
        <v>3289</v>
      </c>
      <c r="I464" s="358"/>
      <c r="J464" s="358" t="s">
        <v>3290</v>
      </c>
    </row>
    <row r="465" spans="1:10" x14ac:dyDescent="0.2">
      <c r="A465" s="357" t="str">
        <f t="shared" ca="1" si="0"/>
        <v>库欧利克雷斯特 -矿山-</v>
      </c>
      <c r="B465" s="358" t="s">
        <v>3291</v>
      </c>
      <c r="C465" s="358" t="s">
        <v>3292</v>
      </c>
      <c r="D465" s="358" t="s">
        <v>3293</v>
      </c>
      <c r="E465" s="358"/>
      <c r="F465" s="358" t="s">
        <v>3294</v>
      </c>
      <c r="G465" s="357" t="s">
        <v>3295</v>
      </c>
      <c r="H465" s="358" t="s">
        <v>3296</v>
      </c>
      <c r="I465" s="358"/>
      <c r="J465" s="358" t="s">
        <v>3297</v>
      </c>
    </row>
    <row r="466" spans="1:10" x14ac:dyDescent="0.2">
      <c r="A466" s="357" t="str">
        <f t="shared" ca="1" si="0"/>
        <v>南库欧利克雷斯特崖道</v>
      </c>
      <c r="B466" s="358" t="s">
        <v>3298</v>
      </c>
      <c r="C466" s="358"/>
      <c r="D466" s="358" t="s">
        <v>3299</v>
      </c>
      <c r="E466" s="358"/>
      <c r="F466" s="358" t="s">
        <v>3300</v>
      </c>
      <c r="G466" s="357" t="s">
        <v>3301</v>
      </c>
      <c r="H466" s="358" t="s">
        <v>3302</v>
      </c>
      <c r="I466" s="358"/>
      <c r="J466" s="358" t="s">
        <v>3303</v>
      </c>
    </row>
    <row r="467" spans="1:10" x14ac:dyDescent="0.2">
      <c r="A467" s="357" t="str">
        <f t="shared" ca="1" si="0"/>
        <v>腐朽的开采所</v>
      </c>
      <c r="B467" s="358" t="s">
        <v>3304</v>
      </c>
      <c r="C467" s="358" t="s">
        <v>3305</v>
      </c>
      <c r="D467" s="358" t="s">
        <v>3306</v>
      </c>
      <c r="E467" s="358"/>
      <c r="F467" s="358" t="s">
        <v>3307</v>
      </c>
      <c r="G467" s="357" t="s">
        <v>3308</v>
      </c>
      <c r="H467" s="358" t="s">
        <v>3309</v>
      </c>
      <c r="I467" s="358"/>
      <c r="J467" s="358" t="s">
        <v>3310</v>
      </c>
    </row>
    <row r="468" spans="1:10" x14ac:dyDescent="0.2">
      <c r="A468" s="357" t="str">
        <f t="shared" ca="1" si="0"/>
        <v>通往莫洛克的宅邸的道路</v>
      </c>
      <c r="B468" s="358" t="s">
        <v>3311</v>
      </c>
      <c r="C468" s="359" t="s">
        <v>3312</v>
      </c>
      <c r="D468" s="358" t="s">
        <v>3313</v>
      </c>
      <c r="E468" s="358"/>
      <c r="F468" s="358" t="s">
        <v>3314</v>
      </c>
      <c r="G468" s="357" t="s">
        <v>3315</v>
      </c>
      <c r="H468" s="358" t="s">
        <v>3316</v>
      </c>
      <c r="I468" s="358"/>
      <c r="J468" s="358" t="s">
        <v>3317</v>
      </c>
    </row>
    <row r="469" spans="1:10" x14ac:dyDescent="0.2">
      <c r="A469" s="357" t="str">
        <f t="shared" ca="1" si="0"/>
        <v>莫洛克的宅邸</v>
      </c>
      <c r="B469" s="358" t="s">
        <v>3318</v>
      </c>
      <c r="C469" s="358" t="s">
        <v>3319</v>
      </c>
      <c r="D469" s="358" t="s">
        <v>3320</v>
      </c>
      <c r="E469" s="358"/>
      <c r="F469" s="358" t="s">
        <v>3321</v>
      </c>
      <c r="G469" s="357" t="s">
        <v>3322</v>
      </c>
      <c r="H469" s="358" t="s">
        <v>3322</v>
      </c>
      <c r="I469" s="358"/>
      <c r="J469" s="358" t="s">
        <v>3323</v>
      </c>
    </row>
    <row r="470" spans="1:10" x14ac:dyDescent="0.2">
      <c r="A470" s="357" t="str">
        <f t="shared" ca="1" si="0"/>
        <v>下水道</v>
      </c>
      <c r="B470" s="358" t="s">
        <v>3324</v>
      </c>
      <c r="C470" s="358" t="s">
        <v>3325</v>
      </c>
      <c r="D470" s="358" t="s">
        <v>3326</v>
      </c>
      <c r="E470" s="358"/>
      <c r="F470" s="358" t="s">
        <v>3327</v>
      </c>
      <c r="G470" s="357" t="s">
        <v>3328</v>
      </c>
      <c r="H470" s="358" t="s">
        <v>3328</v>
      </c>
      <c r="I470" s="358"/>
      <c r="J470" s="358" t="s">
        <v>3328</v>
      </c>
    </row>
    <row r="471" spans="1:10" x14ac:dyDescent="0.2">
      <c r="A471" s="357" t="str">
        <f t="shared" ca="1" si="0"/>
        <v>欧亚威尔</v>
      </c>
      <c r="B471" s="358" t="s">
        <v>3329</v>
      </c>
      <c r="C471" s="358" t="s">
        <v>3330</v>
      </c>
      <c r="D471" s="358" t="s">
        <v>3331</v>
      </c>
      <c r="E471" s="358"/>
      <c r="F471" s="358" t="s">
        <v>3330</v>
      </c>
      <c r="G471" s="357" t="s">
        <v>3332</v>
      </c>
      <c r="H471" s="358" t="s">
        <v>3333</v>
      </c>
      <c r="I471" s="358"/>
      <c r="J471" s="358" t="s">
        <v>3334</v>
      </c>
    </row>
    <row r="472" spans="1:10" x14ac:dyDescent="0.2">
      <c r="A472" s="357" t="str">
        <f t="shared" ca="1" si="0"/>
        <v>南欧亚威尔崖道</v>
      </c>
      <c r="B472" s="358" t="s">
        <v>3335</v>
      </c>
      <c r="C472" s="358"/>
      <c r="D472" s="358" t="s">
        <v>3336</v>
      </c>
      <c r="E472" s="358"/>
      <c r="F472" s="358" t="s">
        <v>3337</v>
      </c>
      <c r="G472" s="357" t="s">
        <v>3338</v>
      </c>
      <c r="H472" s="358" t="s">
        <v>3339</v>
      </c>
      <c r="I472" s="358"/>
      <c r="J472" s="358" t="s">
        <v>3340</v>
      </c>
    </row>
    <row r="473" spans="1:10" x14ac:dyDescent="0.2">
      <c r="A473" s="357" t="str">
        <f t="shared" ca="1" si="0"/>
        <v>龙咏神殿</v>
      </c>
      <c r="B473" s="358" t="s">
        <v>3341</v>
      </c>
      <c r="C473" s="358"/>
      <c r="D473" s="358" t="s">
        <v>3342</v>
      </c>
      <c r="E473" s="358"/>
      <c r="F473" s="358" t="s">
        <v>3343</v>
      </c>
      <c r="G473" s="357" t="s">
        <v>3344</v>
      </c>
      <c r="H473" s="358" t="s">
        <v>3345</v>
      </c>
      <c r="I473" s="358"/>
      <c r="J473" s="358" t="s">
        <v>3346</v>
      </c>
    </row>
    <row r="474" spans="1:10" x14ac:dyDescent="0.2">
      <c r="A474" s="357" t="str">
        <f t="shared" ca="1" si="0"/>
        <v>通往卢贝之森的道路</v>
      </c>
      <c r="B474" s="358" t="s">
        <v>3347</v>
      </c>
      <c r="C474" s="358" t="s">
        <v>3348</v>
      </c>
      <c r="D474" s="358" t="s">
        <v>3349</v>
      </c>
      <c r="E474" s="358"/>
      <c r="F474" s="358" t="s">
        <v>3350</v>
      </c>
      <c r="G474" s="357" t="s">
        <v>3351</v>
      </c>
      <c r="H474" s="358" t="s">
        <v>3352</v>
      </c>
      <c r="I474" s="358"/>
      <c r="J474" s="358" t="s">
        <v>3353</v>
      </c>
    </row>
    <row r="475" spans="1:10" x14ac:dyDescent="0.2">
      <c r="A475" s="357" t="str">
        <f t="shared" ca="1" si="0"/>
        <v>卢贝之森</v>
      </c>
      <c r="B475" s="358" t="s">
        <v>3354</v>
      </c>
      <c r="C475" s="358" t="s">
        <v>3355</v>
      </c>
      <c r="D475" s="358" t="s">
        <v>3356</v>
      </c>
      <c r="E475" s="358"/>
      <c r="F475" s="358" t="s">
        <v>3357</v>
      </c>
      <c r="G475" s="357" t="s">
        <v>3358</v>
      </c>
      <c r="H475" s="358" t="s">
        <v>3359</v>
      </c>
      <c r="I475" s="358"/>
      <c r="J475" s="358" t="s">
        <v>3360</v>
      </c>
    </row>
    <row r="476" spans="1:10" x14ac:dyDescent="0.2">
      <c r="A476" s="355" t="str">
        <f t="shared" ca="1" si="0"/>
        <v>伍多兰多地区</v>
      </c>
      <c r="B476" s="356" t="s">
        <v>8</v>
      </c>
      <c r="C476" s="356" t="s">
        <v>3361</v>
      </c>
      <c r="D476" s="356" t="s">
        <v>3362</v>
      </c>
      <c r="E476" s="356"/>
      <c r="F476" s="356" t="s">
        <v>3363</v>
      </c>
      <c r="G476" s="356" t="s">
        <v>3364</v>
      </c>
      <c r="H476" s="356" t="s">
        <v>3365</v>
      </c>
      <c r="I476" s="356"/>
      <c r="J476" s="356" t="s">
        <v>3366</v>
      </c>
    </row>
    <row r="477" spans="1:10" x14ac:dyDescent="0.2">
      <c r="A477" s="355" t="str">
        <f t="shared" ca="1" si="0"/>
        <v>希・沃尔基</v>
      </c>
      <c r="B477" s="356" t="s">
        <v>3367</v>
      </c>
      <c r="C477" s="356" t="s">
        <v>3367</v>
      </c>
      <c r="D477" s="356" t="s">
        <v>3367</v>
      </c>
      <c r="E477" s="356"/>
      <c r="F477" s="356" t="s">
        <v>3367</v>
      </c>
      <c r="G477" s="355" t="s">
        <v>3368</v>
      </c>
      <c r="H477" s="356" t="s">
        <v>3369</v>
      </c>
      <c r="I477" s="356"/>
      <c r="J477" s="356" t="s">
        <v>3370</v>
      </c>
    </row>
    <row r="478" spans="1:10" x14ac:dyDescent="0.2">
      <c r="A478" s="355" t="str">
        <f t="shared" ca="1" si="0"/>
        <v>北希・沃尔基森道</v>
      </c>
      <c r="B478" s="356" t="s">
        <v>3371</v>
      </c>
      <c r="C478" s="356" t="s">
        <v>3372</v>
      </c>
      <c r="D478" s="356" t="s">
        <v>3373</v>
      </c>
      <c r="E478" s="356"/>
      <c r="F478" s="356" t="s">
        <v>3374</v>
      </c>
      <c r="G478" s="355" t="s">
        <v>3375</v>
      </c>
      <c r="H478" s="356" t="s">
        <v>3376</v>
      </c>
      <c r="I478" s="356"/>
      <c r="J478" s="356" t="s">
        <v>3377</v>
      </c>
    </row>
    <row r="479" spans="1:10" x14ac:dyDescent="0.2">
      <c r="A479" s="355" t="str">
        <f t="shared" ca="1" si="0"/>
        <v>西希・沃尔基森道</v>
      </c>
      <c r="B479" s="356" t="s">
        <v>3378</v>
      </c>
      <c r="C479" s="356" t="s">
        <v>3379</v>
      </c>
      <c r="D479" s="356" t="s">
        <v>3380</v>
      </c>
      <c r="E479" s="356"/>
      <c r="F479" s="356" t="s">
        <v>3381</v>
      </c>
      <c r="G479" s="355" t="s">
        <v>3382</v>
      </c>
      <c r="H479" s="356" t="s">
        <v>3383</v>
      </c>
      <c r="I479" s="356"/>
      <c r="J479" s="356" t="s">
        <v>3384</v>
      </c>
    </row>
    <row r="480" spans="1:10" x14ac:dyDescent="0.2">
      <c r="A480" s="355" t="str">
        <f t="shared" ca="1" si="0"/>
        <v>兽径</v>
      </c>
      <c r="B480" s="356" t="s">
        <v>3385</v>
      </c>
      <c r="C480" s="356"/>
      <c r="D480" s="356" t="s">
        <v>3386</v>
      </c>
      <c r="E480" s="356"/>
      <c r="F480" s="356" t="s">
        <v>3387</v>
      </c>
      <c r="G480" s="355" t="s">
        <v>3388</v>
      </c>
      <c r="H480" s="356" t="s">
        <v>3389</v>
      </c>
      <c r="I480" s="356"/>
      <c r="J480" s="356" t="s">
        <v>3390</v>
      </c>
    </row>
    <row r="481" spans="1:10" x14ac:dyDescent="0.2">
      <c r="A481" s="355" t="str">
        <f t="shared" ca="1" si="0"/>
        <v>通往耳语之森的道路</v>
      </c>
      <c r="B481" s="356" t="s">
        <v>3391</v>
      </c>
      <c r="C481" s="356" t="s">
        <v>3392</v>
      </c>
      <c r="D481" s="356" t="s">
        <v>3393</v>
      </c>
      <c r="E481" s="356"/>
      <c r="F481" s="356" t="s">
        <v>3394</v>
      </c>
      <c r="G481" s="355" t="s">
        <v>3395</v>
      </c>
      <c r="H481" s="356" t="s">
        <v>3396</v>
      </c>
      <c r="I481" s="356"/>
      <c r="J481" s="356" t="s">
        <v>3397</v>
      </c>
    </row>
    <row r="482" spans="1:10" x14ac:dyDescent="0.2">
      <c r="A482" s="355" t="str">
        <f t="shared" ca="1" si="0"/>
        <v>耳语之森</v>
      </c>
      <c r="B482" s="356" t="s">
        <v>3398</v>
      </c>
      <c r="C482" s="356" t="s">
        <v>3399</v>
      </c>
      <c r="D482" s="356" t="s">
        <v>3400</v>
      </c>
      <c r="E482" s="356"/>
      <c r="F482" s="356" t="s">
        <v>3401</v>
      </c>
      <c r="G482" s="355" t="s">
        <v>3402</v>
      </c>
      <c r="H482" s="356" t="s">
        <v>3403</v>
      </c>
      <c r="I482" s="356"/>
      <c r="J482" s="356" t="s">
        <v>3404</v>
      </c>
    </row>
    <row r="483" spans="1:10" x14ac:dyDescent="0.2">
      <c r="A483" s="355" t="str">
        <f t="shared" ca="1" si="0"/>
        <v>维克塔霍洛</v>
      </c>
      <c r="B483" s="356" t="s">
        <v>3405</v>
      </c>
      <c r="C483" s="356" t="s">
        <v>3406</v>
      </c>
      <c r="D483" s="356" t="s">
        <v>3407</v>
      </c>
      <c r="E483" s="356"/>
      <c r="F483" s="356" t="s">
        <v>3408</v>
      </c>
      <c r="G483" s="355" t="s">
        <v>3409</v>
      </c>
      <c r="H483" s="356" t="s">
        <v>3410</v>
      </c>
      <c r="I483" s="356"/>
      <c r="J483" s="356" t="s">
        <v>3411</v>
      </c>
    </row>
    <row r="484" spans="1:10" x14ac:dyDescent="0.2">
      <c r="A484" s="355" t="str">
        <f t="shared" ca="1" si="0"/>
        <v>维克塔霍洛 -斗技场前-</v>
      </c>
      <c r="B484" s="356" t="s">
        <v>3412</v>
      </c>
      <c r="C484" s="356" t="s">
        <v>3413</v>
      </c>
      <c r="D484" s="356" t="s">
        <v>3414</v>
      </c>
      <c r="E484" s="356"/>
      <c r="F484" s="356" t="s">
        <v>3415</v>
      </c>
      <c r="G484" s="355" t="s">
        <v>3416</v>
      </c>
      <c r="H484" s="356" t="s">
        <v>3417</v>
      </c>
      <c r="I484" s="356"/>
      <c r="J484" s="356" t="s">
        <v>3418</v>
      </c>
    </row>
    <row r="485" spans="1:10" x14ac:dyDescent="0.2">
      <c r="A485" s="355" t="str">
        <f t="shared" ca="1" si="0"/>
        <v>维克塔霍洛 -斗技场-</v>
      </c>
      <c r="B485" s="356" t="s">
        <v>3419</v>
      </c>
      <c r="C485" s="356" t="s">
        <v>3420</v>
      </c>
      <c r="D485" s="356" t="s">
        <v>3421</v>
      </c>
      <c r="E485" s="356"/>
      <c r="F485" s="356" t="s">
        <v>3422</v>
      </c>
      <c r="G485" s="355" t="s">
        <v>3423</v>
      </c>
      <c r="H485" s="356" t="s">
        <v>3424</v>
      </c>
      <c r="I485" s="356"/>
      <c r="J485" s="356" t="s">
        <v>3425</v>
      </c>
    </row>
    <row r="486" spans="1:10" x14ac:dyDescent="0.2">
      <c r="A486" s="355" t="str">
        <f t="shared" ca="1" si="0"/>
        <v>东维克塔霍洛森道</v>
      </c>
      <c r="B486" s="356" t="s">
        <v>3426</v>
      </c>
      <c r="C486" s="356"/>
      <c r="D486" s="356" t="s">
        <v>3427</v>
      </c>
      <c r="E486" s="356"/>
      <c r="F486" s="356" t="s">
        <v>3428</v>
      </c>
      <c r="G486" s="355" t="s">
        <v>3429</v>
      </c>
      <c r="H486" s="356" t="s">
        <v>3430</v>
      </c>
      <c r="I486" s="356"/>
      <c r="J486" s="356" t="s">
        <v>3431</v>
      </c>
    </row>
    <row r="487" spans="1:10" x14ac:dyDescent="0.2">
      <c r="A487" s="355" t="str">
        <f t="shared" ca="1" si="0"/>
        <v>狩猎女王的祠堂</v>
      </c>
      <c r="B487" s="356" t="s">
        <v>3432</v>
      </c>
      <c r="C487" s="356" t="s">
        <v>3433</v>
      </c>
      <c r="D487" s="356" t="s">
        <v>3434</v>
      </c>
      <c r="E487" s="356"/>
      <c r="F487" s="356" t="s">
        <v>3435</v>
      </c>
      <c r="G487" s="355" t="s">
        <v>3436</v>
      </c>
      <c r="H487" s="356" t="s">
        <v>3437</v>
      </c>
      <c r="I487" s="356"/>
      <c r="J487" s="356" t="s">
        <v>3438</v>
      </c>
    </row>
    <row r="488" spans="1:10" x14ac:dyDescent="0.2">
      <c r="A488" s="355" t="str">
        <f t="shared" ca="1" si="0"/>
        <v>不归之森</v>
      </c>
      <c r="B488" s="356" t="s">
        <v>3439</v>
      </c>
      <c r="C488" s="356"/>
      <c r="D488" s="356" t="s">
        <v>3440</v>
      </c>
      <c r="E488" s="356"/>
      <c r="F488" s="356" t="s">
        <v>3441</v>
      </c>
      <c r="G488" s="355" t="s">
        <v>3442</v>
      </c>
      <c r="H488" s="356" t="s">
        <v>3443</v>
      </c>
      <c r="I488" s="356"/>
      <c r="J488" s="356" t="s">
        <v>3444</v>
      </c>
    </row>
    <row r="489" spans="1:10" x14ac:dyDescent="0.2">
      <c r="A489" s="355" t="str">
        <f t="shared" ca="1" si="0"/>
        <v>通往被遗忘的洞窟的道路</v>
      </c>
      <c r="B489" s="356" t="s">
        <v>3445</v>
      </c>
      <c r="C489" s="356"/>
      <c r="D489" s="356" t="s">
        <v>3446</v>
      </c>
      <c r="E489" s="356"/>
      <c r="F489" s="356" t="s">
        <v>3447</v>
      </c>
      <c r="G489" s="355" t="s">
        <v>3448</v>
      </c>
      <c r="H489" s="356" t="s">
        <v>3449</v>
      </c>
      <c r="I489" s="356"/>
      <c r="J489" s="356" t="s">
        <v>3450</v>
      </c>
    </row>
    <row r="490" spans="1:10" x14ac:dyDescent="0.2">
      <c r="A490" s="355" t="str">
        <f t="shared" ca="1" si="0"/>
        <v>被遗忘的洞窟</v>
      </c>
      <c r="B490" s="356" t="s">
        <v>3451</v>
      </c>
      <c r="C490" s="356"/>
      <c r="D490" s="356" t="s">
        <v>3452</v>
      </c>
      <c r="E490" s="356"/>
      <c r="F490" s="356" t="s">
        <v>3453</v>
      </c>
      <c r="G490" s="355" t="s">
        <v>3454</v>
      </c>
      <c r="H490" s="356" t="s">
        <v>3455</v>
      </c>
      <c r="I490" s="356"/>
      <c r="J490" s="356" t="s">
        <v>3456</v>
      </c>
    </row>
    <row r="491" spans="1:10" x14ac:dyDescent="0.2">
      <c r="A491" s="355" t="str">
        <f t="shared" ca="1" si="0"/>
        <v>达斯克瓦罗</v>
      </c>
      <c r="B491" s="356" t="s">
        <v>3457</v>
      </c>
      <c r="C491" s="356"/>
      <c r="D491" s="356" t="s">
        <v>3458</v>
      </c>
      <c r="E491" s="356"/>
      <c r="F491" s="356" t="s">
        <v>3459</v>
      </c>
      <c r="G491" s="355" t="s">
        <v>3460</v>
      </c>
      <c r="H491" s="356" t="s">
        <v>3461</v>
      </c>
      <c r="I491" s="356"/>
      <c r="J491" s="356" t="s">
        <v>3462</v>
      </c>
    </row>
    <row r="492" spans="1:10" x14ac:dyDescent="0.2">
      <c r="A492" s="355" t="str">
        <f t="shared" ca="1" si="0"/>
        <v>东达斯克瓦罗森道</v>
      </c>
      <c r="B492" s="356" t="s">
        <v>3463</v>
      </c>
      <c r="C492" s="356"/>
      <c r="D492" s="356" t="s">
        <v>3464</v>
      </c>
      <c r="E492" s="356"/>
      <c r="F492" s="356" t="s">
        <v>3465</v>
      </c>
      <c r="G492" s="355" t="s">
        <v>3466</v>
      </c>
      <c r="H492" s="356" t="s">
        <v>3467</v>
      </c>
      <c r="I492" s="356"/>
      <c r="J492" s="356" t="s">
        <v>3468</v>
      </c>
    </row>
    <row r="493" spans="1:10" x14ac:dyDescent="0.2">
      <c r="A493" s="355" t="str">
        <f t="shared" ca="1" si="0"/>
        <v>失落的遗迹</v>
      </c>
      <c r="B493" s="356" t="s">
        <v>3469</v>
      </c>
      <c r="C493" s="356"/>
      <c r="D493" s="356" t="s">
        <v>3470</v>
      </c>
      <c r="E493" s="356"/>
      <c r="F493" s="356" t="s">
        <v>3471</v>
      </c>
      <c r="G493" s="355" t="s">
        <v>3472</v>
      </c>
      <c r="H493" s="356" t="s">
        <v>3473</v>
      </c>
      <c r="I493" s="356"/>
      <c r="J493" s="356" t="s">
        <v>3474</v>
      </c>
    </row>
    <row r="494" spans="1:10" x14ac:dyDescent="0.2">
      <c r="A494" s="355" t="str">
        <f t="shared" ca="1" si="0"/>
        <v>魔大公的祠堂</v>
      </c>
      <c r="B494" s="356" t="s">
        <v>3475</v>
      </c>
      <c r="C494" s="356"/>
      <c r="D494" s="356" t="s">
        <v>3476</v>
      </c>
      <c r="E494" s="356"/>
      <c r="F494" s="356" t="s">
        <v>3477</v>
      </c>
      <c r="G494" s="355" t="s">
        <v>3478</v>
      </c>
      <c r="H494" s="356" t="s">
        <v>3478</v>
      </c>
      <c r="I494" s="356"/>
      <c r="J494" s="356" t="s">
        <v>3479</v>
      </c>
    </row>
    <row r="495" spans="1:10" x14ac:dyDescent="0.2">
      <c r="A495" s="355" t="str">
        <f t="shared" ca="1" si="0"/>
        <v>古代的遗迹</v>
      </c>
      <c r="B495" s="356" t="s">
        <v>3480</v>
      </c>
      <c r="C495" s="356"/>
      <c r="D495" s="356" t="s">
        <v>3481</v>
      </c>
      <c r="E495" s="356"/>
      <c r="F495" s="356" t="s">
        <v>3482</v>
      </c>
      <c r="G495" s="355" t="s">
        <v>3483</v>
      </c>
      <c r="H495" s="356" t="s">
        <v>3484</v>
      </c>
      <c r="I495" s="356"/>
      <c r="J495" s="356" t="s">
        <v>3485</v>
      </c>
    </row>
    <row r="496" spans="1:10" x14ac:dyDescent="0.2">
      <c r="A496" s="344" t="str">
        <f t="shared" ca="1" si="0"/>
        <v>道具</v>
      </c>
      <c r="B496" s="280" t="s">
        <v>3486</v>
      </c>
      <c r="C496" s="280" t="s">
        <v>3487</v>
      </c>
      <c r="D496" s="280" t="s">
        <v>3488</v>
      </c>
      <c r="E496" s="280"/>
      <c r="F496" s="280"/>
      <c r="G496" s="344" t="s">
        <v>3489</v>
      </c>
      <c r="H496" s="280" t="s">
        <v>3489</v>
      </c>
      <c r="I496" s="280"/>
      <c r="J496" s="280" t="s">
        <v>3490</v>
      </c>
    </row>
    <row r="497" spans="1:10" x14ac:dyDescent="0.2">
      <c r="A497" s="93" t="str">
        <f t="shared" ca="1" si="0"/>
        <v>ＨＰ恢复的葡萄</v>
      </c>
      <c r="B497" s="93" t="s">
        <v>3491</v>
      </c>
      <c r="C497" s="282" t="s">
        <v>3492</v>
      </c>
      <c r="D497" s="282" t="s">
        <v>3493</v>
      </c>
      <c r="E497" s="282"/>
      <c r="F497" s="282" t="s">
        <v>3494</v>
      </c>
      <c r="G497" s="93" t="s">
        <v>3495</v>
      </c>
      <c r="H497" s="282" t="s">
        <v>3496</v>
      </c>
      <c r="I497" s="282"/>
      <c r="J497" s="282" t="s">
        <v>3497</v>
      </c>
    </row>
    <row r="498" spans="1:10" x14ac:dyDescent="0.2">
      <c r="A498" s="93" t="str">
        <f t="shared" ca="1" si="0"/>
        <v>ＨＰ恢复的葡萄（大）</v>
      </c>
      <c r="B498" s="93" t="s">
        <v>3498</v>
      </c>
      <c r="C498" s="282" t="s">
        <v>3499</v>
      </c>
      <c r="D498" s="282" t="s">
        <v>3500</v>
      </c>
      <c r="E498" s="282"/>
      <c r="F498" s="282" t="s">
        <v>3501</v>
      </c>
      <c r="G498" s="93" t="s">
        <v>3502</v>
      </c>
      <c r="H498" s="282" t="s">
        <v>3503</v>
      </c>
      <c r="I498" s="282"/>
      <c r="J498" s="282" t="s">
        <v>3504</v>
      </c>
    </row>
    <row r="499" spans="1:10" x14ac:dyDescent="0.2">
      <c r="A499" s="93" t="str">
        <f t="shared" ca="1" si="0"/>
        <v>ＨＰ全体恢复的葡萄</v>
      </c>
      <c r="B499" s="93" t="s">
        <v>3505</v>
      </c>
      <c r="C499" s="282" t="s">
        <v>3506</v>
      </c>
      <c r="D499" s="282" t="s">
        <v>3507</v>
      </c>
      <c r="E499" s="282"/>
      <c r="F499" s="282" t="s">
        <v>3508</v>
      </c>
      <c r="G499" s="93" t="s">
        <v>3509</v>
      </c>
      <c r="H499" s="282" t="s">
        <v>3510</v>
      </c>
      <c r="I499" s="282"/>
      <c r="J499" s="282" t="s">
        <v>3511</v>
      </c>
    </row>
    <row r="500" spans="1:10" x14ac:dyDescent="0.2">
      <c r="A500" s="93" t="str">
        <f t="shared" ca="1" si="0"/>
        <v>ＳＰ恢复的李子</v>
      </c>
      <c r="B500" s="93" t="s">
        <v>3512</v>
      </c>
      <c r="C500" s="282" t="s">
        <v>3513</v>
      </c>
      <c r="D500" s="282" t="s">
        <v>3514</v>
      </c>
      <c r="E500" s="282"/>
      <c r="F500" s="282" t="s">
        <v>3515</v>
      </c>
      <c r="G500" s="93" t="s">
        <v>3516</v>
      </c>
      <c r="H500" s="282" t="s">
        <v>3517</v>
      </c>
      <c r="I500" s="282"/>
      <c r="J500" s="282" t="s">
        <v>3518</v>
      </c>
    </row>
    <row r="501" spans="1:10" x14ac:dyDescent="0.2">
      <c r="A501" s="93" t="str">
        <f t="shared" ca="1" si="0"/>
        <v>ＳＰ恢复的李子（大）</v>
      </c>
      <c r="B501" s="93" t="s">
        <v>3519</v>
      </c>
      <c r="C501" s="282" t="s">
        <v>3520</v>
      </c>
      <c r="D501" s="282" t="s">
        <v>3521</v>
      </c>
      <c r="E501" s="282"/>
      <c r="F501" s="282" t="s">
        <v>3522</v>
      </c>
      <c r="G501" s="93" t="s">
        <v>3523</v>
      </c>
      <c r="H501" s="282" t="s">
        <v>3524</v>
      </c>
      <c r="I501" s="282"/>
      <c r="J501" s="282" t="s">
        <v>3525</v>
      </c>
    </row>
    <row r="502" spans="1:10" x14ac:dyDescent="0.2">
      <c r="A502" s="93" t="str">
        <f t="shared" ca="1" si="0"/>
        <v>ＳＰ全体恢复的李子</v>
      </c>
      <c r="B502" s="93" t="s">
        <v>3526</v>
      </c>
      <c r="C502" s="282" t="s">
        <v>3527</v>
      </c>
      <c r="D502" s="282" t="s">
        <v>3528</v>
      </c>
      <c r="E502" s="282"/>
      <c r="F502" s="282" t="s">
        <v>3529</v>
      </c>
      <c r="G502" s="93" t="s">
        <v>3530</v>
      </c>
      <c r="H502" s="282" t="s">
        <v>3531</v>
      </c>
      <c r="I502" s="282"/>
      <c r="J502" s="282" t="s">
        <v>3532</v>
      </c>
    </row>
    <row r="503" spans="1:10" x14ac:dyDescent="0.2">
      <c r="A503" s="93" t="str">
        <f t="shared" ca="1" si="0"/>
        <v>ＢＰ恢复的石榴</v>
      </c>
      <c r="B503" s="93" t="s">
        <v>3533</v>
      </c>
      <c r="C503" s="282" t="s">
        <v>3534</v>
      </c>
      <c r="D503" s="282" t="s">
        <v>3535</v>
      </c>
      <c r="E503" s="282"/>
      <c r="F503" s="282" t="s">
        <v>3536</v>
      </c>
      <c r="G503" s="93" t="s">
        <v>3537</v>
      </c>
      <c r="H503" s="282" t="s">
        <v>3538</v>
      </c>
      <c r="I503" s="282"/>
      <c r="J503" s="282" t="s">
        <v>3539</v>
      </c>
    </row>
    <row r="504" spans="1:10" x14ac:dyDescent="0.2">
      <c r="A504" s="93" t="str">
        <f t="shared" ca="1" si="0"/>
        <v>ＢＰ恢复的石榴（大）</v>
      </c>
      <c r="B504" s="93" t="s">
        <v>3540</v>
      </c>
      <c r="C504" s="282" t="s">
        <v>3541</v>
      </c>
      <c r="D504" s="282" t="s">
        <v>3542</v>
      </c>
      <c r="E504" s="282"/>
      <c r="F504" s="282" t="s">
        <v>3543</v>
      </c>
      <c r="G504" s="53" t="s">
        <v>3544</v>
      </c>
      <c r="H504" s="282" t="s">
        <v>3545</v>
      </c>
      <c r="I504" s="282"/>
      <c r="J504" s="282" t="s">
        <v>3546</v>
      </c>
    </row>
    <row r="505" spans="1:10" x14ac:dyDescent="0.2">
      <c r="A505" s="93" t="str">
        <f t="shared" ca="1" si="0"/>
        <v>ＢＰ恢复的石榴（特大）</v>
      </c>
      <c r="B505" s="93" t="s">
        <v>3547</v>
      </c>
      <c r="C505" s="282" t="s">
        <v>3548</v>
      </c>
      <c r="D505" s="282" t="s">
        <v>3549</v>
      </c>
      <c r="E505" s="282"/>
      <c r="F505" s="282" t="s">
        <v>3550</v>
      </c>
      <c r="G505" s="53" t="s">
        <v>3551</v>
      </c>
      <c r="H505" s="282" t="s">
        <v>3552</v>
      </c>
      <c r="I505" s="282"/>
      <c r="J505" s="282" t="s">
        <v>3553</v>
      </c>
    </row>
    <row r="506" spans="1:10" x14ac:dyDescent="0.2">
      <c r="A506" s="93" t="str">
        <f t="shared" ca="1" si="0"/>
        <v>ＨＰ／ＳＰ恢复的果酱</v>
      </c>
      <c r="B506" s="93" t="s">
        <v>3554</v>
      </c>
      <c r="C506" s="282" t="s">
        <v>3555</v>
      </c>
      <c r="D506" s="282" t="s">
        <v>3556</v>
      </c>
      <c r="E506" s="282"/>
      <c r="F506" s="282" t="s">
        <v>3557</v>
      </c>
      <c r="G506" s="93" t="s">
        <v>3558</v>
      </c>
      <c r="H506" s="282" t="s">
        <v>3559</v>
      </c>
      <c r="I506" s="282"/>
      <c r="J506" s="282" t="s">
        <v>3560</v>
      </c>
    </row>
    <row r="507" spans="1:10" x14ac:dyDescent="0.2">
      <c r="A507" s="93" t="str">
        <f t="shared" ca="1" si="0"/>
        <v>ＨＰ／ＳＰ／ＢＰ恢复的果酱</v>
      </c>
      <c r="B507" s="93" t="s">
        <v>3561</v>
      </c>
      <c r="C507" s="282" t="s">
        <v>3562</v>
      </c>
      <c r="D507" s="282" t="s">
        <v>3563</v>
      </c>
      <c r="E507" s="282"/>
      <c r="F507" s="282" t="s">
        <v>3564</v>
      </c>
      <c r="G507" s="93" t="s">
        <v>3565</v>
      </c>
      <c r="H507" s="282" t="s">
        <v>3566</v>
      </c>
      <c r="I507" s="282"/>
      <c r="J507" s="282" t="s">
        <v>3567</v>
      </c>
    </row>
    <row r="508" spans="1:10" x14ac:dyDescent="0.2">
      <c r="A508" s="93" t="str">
        <f t="shared" ca="1" si="0"/>
        <v>复活的橄榄</v>
      </c>
      <c r="B508" s="93" t="s">
        <v>3568</v>
      </c>
      <c r="C508" s="282" t="s">
        <v>3569</v>
      </c>
      <c r="D508" s="282" t="s">
        <v>3570</v>
      </c>
      <c r="E508" s="282"/>
      <c r="F508" s="282" t="s">
        <v>3571</v>
      </c>
      <c r="G508" s="93" t="s">
        <v>3572</v>
      </c>
      <c r="H508" s="282" t="s">
        <v>3573</v>
      </c>
      <c r="I508" s="282"/>
      <c r="J508" s="282" t="s">
        <v>3574</v>
      </c>
    </row>
    <row r="509" spans="1:10" x14ac:dyDescent="0.2">
      <c r="A509" s="93" t="str">
        <f t="shared" ca="1" si="0"/>
        <v>复活的橄榄（大）</v>
      </c>
      <c r="B509" s="93" t="s">
        <v>3575</v>
      </c>
      <c r="C509" s="282" t="s">
        <v>3576</v>
      </c>
      <c r="D509" s="282" t="s">
        <v>3577</v>
      </c>
      <c r="E509" s="282"/>
      <c r="F509" s="282" t="s">
        <v>3578</v>
      </c>
      <c r="G509" s="93" t="s">
        <v>3579</v>
      </c>
      <c r="H509" s="282" t="s">
        <v>3580</v>
      </c>
      <c r="I509" s="282"/>
      <c r="J509" s="282" t="s">
        <v>3581</v>
      </c>
    </row>
    <row r="510" spans="1:10" x14ac:dyDescent="0.2">
      <c r="A510" s="93" t="str">
        <f t="shared" ca="1" si="0"/>
        <v>复活的橄榄（特大）</v>
      </c>
      <c r="B510" s="93" t="s">
        <v>3582</v>
      </c>
      <c r="C510" s="282" t="s">
        <v>3583</v>
      </c>
      <c r="D510" s="282" t="s">
        <v>3584</v>
      </c>
      <c r="E510" s="282"/>
      <c r="F510" s="282" t="s">
        <v>3585</v>
      </c>
      <c r="G510" s="93" t="s">
        <v>3586</v>
      </c>
      <c r="H510" s="282" t="s">
        <v>3587</v>
      </c>
      <c r="I510" s="282"/>
      <c r="J510" s="282" t="s">
        <v>3588</v>
      </c>
    </row>
    <row r="511" spans="1:10" x14ac:dyDescent="0.2">
      <c r="A511" s="93" t="str">
        <f t="shared" ca="1" si="0"/>
        <v>毒治疗药草</v>
      </c>
      <c r="B511" s="93" t="s">
        <v>3589</v>
      </c>
      <c r="C511" s="282" t="s">
        <v>3590</v>
      </c>
      <c r="D511" s="282" t="s">
        <v>3591</v>
      </c>
      <c r="E511" s="282"/>
      <c r="F511" s="282" t="s">
        <v>3592</v>
      </c>
      <c r="G511" s="93" t="s">
        <v>3593</v>
      </c>
      <c r="H511" s="282" t="s">
        <v>3594</v>
      </c>
      <c r="I511" s="282"/>
      <c r="J511" s="282" t="s">
        <v>3595</v>
      </c>
    </row>
    <row r="512" spans="1:10" x14ac:dyDescent="0.2">
      <c r="A512" s="93" t="str">
        <f t="shared" ca="1" si="0"/>
        <v>沉默治疗药草</v>
      </c>
      <c r="B512" s="93" t="s">
        <v>3596</v>
      </c>
      <c r="C512" s="282" t="s">
        <v>3597</v>
      </c>
      <c r="D512" s="282" t="s">
        <v>3598</v>
      </c>
      <c r="E512" s="282"/>
      <c r="F512" s="282" t="s">
        <v>3599</v>
      </c>
      <c r="G512" s="93" t="s">
        <v>3600</v>
      </c>
      <c r="H512" s="282" t="s">
        <v>3601</v>
      </c>
      <c r="I512" s="282"/>
      <c r="J512" s="282" t="s">
        <v>3602</v>
      </c>
    </row>
    <row r="513" spans="1:10" x14ac:dyDescent="0.2">
      <c r="A513" s="93" t="str">
        <f t="shared" ca="1" si="0"/>
        <v>黑暗治疗药草</v>
      </c>
      <c r="B513" s="93" t="s">
        <v>3603</v>
      </c>
      <c r="C513" s="282" t="s">
        <v>3604</v>
      </c>
      <c r="D513" s="282" t="s">
        <v>3605</v>
      </c>
      <c r="E513" s="282"/>
      <c r="F513" s="282" t="s">
        <v>3606</v>
      </c>
      <c r="G513" s="93" t="s">
        <v>3607</v>
      </c>
      <c r="H513" s="282" t="s">
        <v>3608</v>
      </c>
      <c r="I513" s="282"/>
      <c r="J513" s="282" t="s">
        <v>3609</v>
      </c>
    </row>
    <row r="514" spans="1:10" x14ac:dyDescent="0.2">
      <c r="A514" s="93" t="str">
        <f t="shared" ca="1" si="0"/>
        <v>混乱治疗药草</v>
      </c>
      <c r="B514" s="93" t="s">
        <v>3610</v>
      </c>
      <c r="C514" s="282" t="s">
        <v>3611</v>
      </c>
      <c r="D514" s="282" t="s">
        <v>3612</v>
      </c>
      <c r="E514" s="282"/>
      <c r="F514" s="282" t="s">
        <v>3613</v>
      </c>
      <c r="G514" s="93" t="s">
        <v>3614</v>
      </c>
      <c r="H514" s="282" t="s">
        <v>3615</v>
      </c>
      <c r="I514" s="282"/>
      <c r="J514" s="282" t="s">
        <v>3616</v>
      </c>
    </row>
    <row r="515" spans="1:10" x14ac:dyDescent="0.2">
      <c r="A515" s="93" t="str">
        <f t="shared" ca="1" si="0"/>
        <v>睡眠治疗药草</v>
      </c>
      <c r="B515" s="93" t="s">
        <v>3617</v>
      </c>
      <c r="C515" s="282" t="s">
        <v>3618</v>
      </c>
      <c r="D515" s="282" t="s">
        <v>3619</v>
      </c>
      <c r="E515" s="282"/>
      <c r="F515" s="282" t="s">
        <v>3620</v>
      </c>
      <c r="G515" s="93" t="s">
        <v>3621</v>
      </c>
      <c r="H515" s="282" t="s">
        <v>3622</v>
      </c>
      <c r="I515" s="282"/>
      <c r="J515" s="282" t="s">
        <v>3623</v>
      </c>
    </row>
    <row r="516" spans="1:10" x14ac:dyDescent="0.2">
      <c r="A516" s="93" t="str">
        <f t="shared" ca="1" si="0"/>
        <v>恐怖治疗药草</v>
      </c>
      <c r="B516" s="93" t="s">
        <v>3624</v>
      </c>
      <c r="C516" s="282" t="s">
        <v>3625</v>
      </c>
      <c r="D516" s="282" t="s">
        <v>3626</v>
      </c>
      <c r="E516" s="282"/>
      <c r="F516" s="282" t="s">
        <v>3627</v>
      </c>
      <c r="G516" s="93" t="s">
        <v>3628</v>
      </c>
      <c r="H516" s="282" t="s">
        <v>3629</v>
      </c>
      <c r="I516" s="282"/>
      <c r="J516" s="282" t="s">
        <v>3630</v>
      </c>
    </row>
    <row r="517" spans="1:10" x14ac:dyDescent="0.2">
      <c r="A517" s="93" t="str">
        <f t="shared" ca="1" si="0"/>
        <v>昏迷治疗药草</v>
      </c>
      <c r="B517" s="93" t="s">
        <v>3631</v>
      </c>
      <c r="C517" s="282" t="s">
        <v>3632</v>
      </c>
      <c r="D517" s="282" t="s">
        <v>3633</v>
      </c>
      <c r="E517" s="282"/>
      <c r="F517" s="282" t="s">
        <v>3634</v>
      </c>
      <c r="G517" s="93" t="s">
        <v>3635</v>
      </c>
      <c r="H517" s="282" t="s">
        <v>3636</v>
      </c>
      <c r="I517" s="282"/>
      <c r="J517" s="282" t="s">
        <v>3637</v>
      </c>
    </row>
    <row r="518" spans="1:10" x14ac:dyDescent="0.2">
      <c r="A518" s="93" t="str">
        <f t="shared" ca="1" si="0"/>
        <v>毒瓶</v>
      </c>
      <c r="B518" s="93" t="s">
        <v>3638</v>
      </c>
      <c r="C518" s="282" t="s">
        <v>3639</v>
      </c>
      <c r="D518" s="282" t="s">
        <v>3640</v>
      </c>
      <c r="E518" s="282"/>
      <c r="F518" s="282" t="s">
        <v>3641</v>
      </c>
      <c r="G518" s="93" t="s">
        <v>3642</v>
      </c>
      <c r="H518" s="282" t="s">
        <v>3642</v>
      </c>
      <c r="I518" s="282"/>
      <c r="J518" s="282" t="s">
        <v>3643</v>
      </c>
    </row>
    <row r="519" spans="1:10" x14ac:dyDescent="0.2">
      <c r="A519" s="93" t="str">
        <f t="shared" ca="1" si="0"/>
        <v>暗黑瓶</v>
      </c>
      <c r="B519" s="93" t="s">
        <v>3644</v>
      </c>
      <c r="C519" s="282" t="s">
        <v>3645</v>
      </c>
      <c r="D519" s="282" t="s">
        <v>3646</v>
      </c>
      <c r="E519" s="282"/>
      <c r="F519" s="282" t="s">
        <v>3647</v>
      </c>
      <c r="G519" s="93" t="s">
        <v>3648</v>
      </c>
      <c r="H519" s="282" t="s">
        <v>3649</v>
      </c>
      <c r="I519" s="282"/>
      <c r="J519" s="282" t="s">
        <v>3650</v>
      </c>
    </row>
    <row r="520" spans="1:10" x14ac:dyDescent="0.2">
      <c r="A520" s="93" t="str">
        <f t="shared" ca="1" si="0"/>
        <v>混乱瓶</v>
      </c>
      <c r="B520" s="93" t="s">
        <v>3651</v>
      </c>
      <c r="C520" s="282"/>
      <c r="D520" s="282" t="s">
        <v>3652</v>
      </c>
      <c r="E520" s="282"/>
      <c r="F520" s="282" t="s">
        <v>3653</v>
      </c>
      <c r="G520" s="93" t="s">
        <v>3654</v>
      </c>
      <c r="H520" s="282" t="s">
        <v>3655</v>
      </c>
      <c r="I520" s="282"/>
      <c r="J520" s="282" t="s">
        <v>3656</v>
      </c>
    </row>
    <row r="521" spans="1:10" x14ac:dyDescent="0.2">
      <c r="A521" s="93" t="str">
        <f t="shared" ca="1" si="0"/>
        <v>睡眠瓶</v>
      </c>
      <c r="B521" s="93" t="s">
        <v>3657</v>
      </c>
      <c r="C521" s="282"/>
      <c r="D521" s="282" t="s">
        <v>3658</v>
      </c>
      <c r="E521" s="282"/>
      <c r="F521" s="282" t="s">
        <v>3659</v>
      </c>
      <c r="G521" s="93" t="s">
        <v>3660</v>
      </c>
      <c r="H521" s="282" t="s">
        <v>3660</v>
      </c>
      <c r="I521" s="282"/>
      <c r="J521" s="282" t="s">
        <v>3661</v>
      </c>
    </row>
    <row r="522" spans="1:10" x14ac:dyDescent="0.2">
      <c r="A522" s="93" t="str">
        <f t="shared" ca="1" si="0"/>
        <v>火之精灵石</v>
      </c>
      <c r="B522" s="93" t="s">
        <v>3662</v>
      </c>
      <c r="C522" s="282" t="s">
        <v>3663</v>
      </c>
      <c r="D522" s="282" t="s">
        <v>3664</v>
      </c>
      <c r="E522" s="282"/>
      <c r="F522" s="282" t="s">
        <v>3665</v>
      </c>
      <c r="G522" s="93" t="s">
        <v>3666</v>
      </c>
      <c r="H522" s="282" t="s">
        <v>3667</v>
      </c>
      <c r="I522" s="282"/>
      <c r="J522" s="282" t="s">
        <v>3668</v>
      </c>
    </row>
    <row r="523" spans="1:10" x14ac:dyDescent="0.2">
      <c r="A523" s="93" t="str">
        <f t="shared" ca="1" si="0"/>
        <v>火之精灵石（大）</v>
      </c>
      <c r="B523" s="93" t="s">
        <v>3669</v>
      </c>
      <c r="C523" s="282" t="s">
        <v>3670</v>
      </c>
      <c r="D523" s="282" t="s">
        <v>3671</v>
      </c>
      <c r="E523" s="282"/>
      <c r="F523" s="348" t="s">
        <v>3672</v>
      </c>
      <c r="G523" s="93" t="s">
        <v>3673</v>
      </c>
      <c r="H523" s="282" t="s">
        <v>3674</v>
      </c>
      <c r="I523" s="282"/>
      <c r="J523" s="282" t="s">
        <v>3675</v>
      </c>
    </row>
    <row r="524" spans="1:10" x14ac:dyDescent="0.2">
      <c r="A524" s="93" t="str">
        <f t="shared" ca="1" si="0"/>
        <v>火之精灵石（特大）</v>
      </c>
      <c r="B524" s="93" t="s">
        <v>3676</v>
      </c>
      <c r="C524" s="282" t="s">
        <v>3677</v>
      </c>
      <c r="D524" s="282" t="s">
        <v>3678</v>
      </c>
      <c r="E524" s="282"/>
      <c r="F524" s="282" t="s">
        <v>3679</v>
      </c>
      <c r="G524" s="93" t="s">
        <v>3680</v>
      </c>
      <c r="H524" s="282" t="s">
        <v>3681</v>
      </c>
      <c r="I524" s="282"/>
      <c r="J524" s="282" t="s">
        <v>3682</v>
      </c>
    </row>
    <row r="525" spans="1:10" x14ac:dyDescent="0.2">
      <c r="A525" s="93" t="str">
        <f t="shared" ca="1" si="0"/>
        <v>冰之精灵石</v>
      </c>
      <c r="B525" s="93" t="s">
        <v>3683</v>
      </c>
      <c r="C525" s="282" t="s">
        <v>3684</v>
      </c>
      <c r="D525" s="282" t="s">
        <v>3685</v>
      </c>
      <c r="E525" s="282"/>
      <c r="F525" s="282" t="s">
        <v>3686</v>
      </c>
      <c r="G525" s="93" t="s">
        <v>3687</v>
      </c>
      <c r="H525" s="282" t="s">
        <v>3688</v>
      </c>
      <c r="I525" s="282"/>
      <c r="J525" s="282" t="s">
        <v>3689</v>
      </c>
    </row>
    <row r="526" spans="1:10" x14ac:dyDescent="0.2">
      <c r="A526" s="93" t="str">
        <f t="shared" ca="1" si="0"/>
        <v>冰之精灵石（大）</v>
      </c>
      <c r="B526" s="93" t="s">
        <v>3690</v>
      </c>
      <c r="C526" s="282" t="s">
        <v>3691</v>
      </c>
      <c r="D526" s="282" t="s">
        <v>3692</v>
      </c>
      <c r="E526" s="282"/>
      <c r="F526" s="282" t="s">
        <v>3693</v>
      </c>
      <c r="G526" s="53" t="s">
        <v>3694</v>
      </c>
      <c r="H526" s="282" t="s">
        <v>3695</v>
      </c>
      <c r="I526" s="282"/>
      <c r="J526" s="282" t="s">
        <v>3696</v>
      </c>
    </row>
    <row r="527" spans="1:10" x14ac:dyDescent="0.2">
      <c r="A527" s="93" t="str">
        <f t="shared" ca="1" si="0"/>
        <v>冰之精灵石（特大）</v>
      </c>
      <c r="B527" s="93" t="s">
        <v>3697</v>
      </c>
      <c r="C527" s="282" t="s">
        <v>3698</v>
      </c>
      <c r="D527" s="282" t="s">
        <v>3699</v>
      </c>
      <c r="E527" s="282"/>
      <c r="F527" s="282" t="s">
        <v>3700</v>
      </c>
      <c r="G527" s="93" t="s">
        <v>3701</v>
      </c>
      <c r="H527" s="83" t="s">
        <v>3702</v>
      </c>
      <c r="I527" s="282"/>
      <c r="J527" s="282" t="s">
        <v>3703</v>
      </c>
    </row>
    <row r="528" spans="1:10" x14ac:dyDescent="0.2">
      <c r="A528" s="93" t="str">
        <f t="shared" ca="1" si="0"/>
        <v>雷之精灵石</v>
      </c>
      <c r="B528" s="93" t="s">
        <v>3704</v>
      </c>
      <c r="C528" s="282" t="s">
        <v>3705</v>
      </c>
      <c r="D528" s="282" t="s">
        <v>3706</v>
      </c>
      <c r="E528" s="282"/>
      <c r="F528" s="282" t="s">
        <v>3707</v>
      </c>
      <c r="G528" s="93" t="s">
        <v>3708</v>
      </c>
      <c r="H528" s="282" t="s">
        <v>3709</v>
      </c>
      <c r="I528" s="282"/>
      <c r="J528" s="282" t="s">
        <v>3710</v>
      </c>
    </row>
    <row r="529" spans="1:10" x14ac:dyDescent="0.2">
      <c r="A529" s="93" t="str">
        <f t="shared" ca="1" si="0"/>
        <v>雷之精灵石（大）</v>
      </c>
      <c r="B529" s="93" t="s">
        <v>3711</v>
      </c>
      <c r="C529" s="282" t="s">
        <v>3712</v>
      </c>
      <c r="D529" s="282" t="s">
        <v>3713</v>
      </c>
      <c r="E529" s="282"/>
      <c r="F529" s="348" t="s">
        <v>3714</v>
      </c>
      <c r="G529" s="53" t="s">
        <v>3715</v>
      </c>
      <c r="H529" s="282" t="s">
        <v>3716</v>
      </c>
      <c r="I529" s="282"/>
      <c r="J529" s="282" t="s">
        <v>3717</v>
      </c>
    </row>
    <row r="530" spans="1:10" x14ac:dyDescent="0.2">
      <c r="A530" s="93" t="str">
        <f t="shared" ca="1" si="0"/>
        <v>雷之精灵石（特大）</v>
      </c>
      <c r="B530" s="93" t="s">
        <v>3718</v>
      </c>
      <c r="C530" s="282" t="s">
        <v>3719</v>
      </c>
      <c r="D530" s="282" t="s">
        <v>3720</v>
      </c>
      <c r="E530" s="282"/>
      <c r="F530" s="282" t="s">
        <v>3721</v>
      </c>
      <c r="G530" s="93" t="s">
        <v>3722</v>
      </c>
      <c r="H530" s="282" t="s">
        <v>3723</v>
      </c>
      <c r="I530" s="282"/>
      <c r="J530" s="282" t="s">
        <v>3724</v>
      </c>
    </row>
    <row r="531" spans="1:10" x14ac:dyDescent="0.2">
      <c r="A531" s="93" t="str">
        <f t="shared" ca="1" si="0"/>
        <v>风之精灵石</v>
      </c>
      <c r="B531" s="93" t="s">
        <v>3725</v>
      </c>
      <c r="C531" s="282" t="s">
        <v>3726</v>
      </c>
      <c r="D531" s="282" t="s">
        <v>3727</v>
      </c>
      <c r="E531" s="282"/>
      <c r="F531" s="282" t="s">
        <v>3728</v>
      </c>
      <c r="G531" s="93" t="s">
        <v>3729</v>
      </c>
      <c r="H531" s="282" t="s">
        <v>3730</v>
      </c>
      <c r="I531" s="282"/>
      <c r="J531" s="282" t="s">
        <v>3731</v>
      </c>
    </row>
    <row r="532" spans="1:10" x14ac:dyDescent="0.2">
      <c r="A532" s="93" t="str">
        <f t="shared" ca="1" si="0"/>
        <v>风之精灵石（大）</v>
      </c>
      <c r="B532" s="93" t="s">
        <v>3732</v>
      </c>
      <c r="C532" s="282" t="s">
        <v>3733</v>
      </c>
      <c r="D532" s="282" t="s">
        <v>3734</v>
      </c>
      <c r="E532" s="282"/>
      <c r="F532" s="282" t="s">
        <v>3735</v>
      </c>
      <c r="G532" s="93" t="s">
        <v>3736</v>
      </c>
      <c r="H532" s="282" t="s">
        <v>3737</v>
      </c>
      <c r="I532" s="282"/>
      <c r="J532" s="282" t="s">
        <v>3738</v>
      </c>
    </row>
    <row r="533" spans="1:10" x14ac:dyDescent="0.2">
      <c r="A533" s="93" t="str">
        <f t="shared" ca="1" si="0"/>
        <v>风之精灵石（特大）</v>
      </c>
      <c r="B533" s="93" t="s">
        <v>3739</v>
      </c>
      <c r="C533" s="282" t="s">
        <v>3740</v>
      </c>
      <c r="D533" s="282" t="s">
        <v>3741</v>
      </c>
      <c r="E533" s="282"/>
      <c r="F533" s="282" t="s">
        <v>3742</v>
      </c>
      <c r="G533" s="93" t="s">
        <v>3743</v>
      </c>
      <c r="H533" s="83" t="s">
        <v>3744</v>
      </c>
      <c r="I533" s="282"/>
      <c r="J533" s="282" t="s">
        <v>3745</v>
      </c>
    </row>
    <row r="534" spans="1:10" x14ac:dyDescent="0.2">
      <c r="A534" s="93" t="str">
        <f t="shared" ca="1" si="0"/>
        <v>光之精灵石</v>
      </c>
      <c r="B534" s="93" t="s">
        <v>3746</v>
      </c>
      <c r="C534" s="282" t="s">
        <v>3747</v>
      </c>
      <c r="D534" s="282" t="s">
        <v>3748</v>
      </c>
      <c r="E534" s="282"/>
      <c r="F534" s="282" t="s">
        <v>3749</v>
      </c>
      <c r="G534" s="93" t="s">
        <v>3750</v>
      </c>
      <c r="H534" s="282" t="s">
        <v>3751</v>
      </c>
      <c r="I534" s="282"/>
      <c r="J534" s="282" t="s">
        <v>3752</v>
      </c>
    </row>
    <row r="535" spans="1:10" x14ac:dyDescent="0.2">
      <c r="A535" s="93" t="str">
        <f t="shared" ca="1" si="0"/>
        <v>光之精灵石（大）</v>
      </c>
      <c r="B535" s="93" t="s">
        <v>3753</v>
      </c>
      <c r="C535" s="282" t="s">
        <v>3754</v>
      </c>
      <c r="D535" s="282" t="s">
        <v>3755</v>
      </c>
      <c r="E535" s="282"/>
      <c r="F535" s="282" t="s">
        <v>3756</v>
      </c>
      <c r="G535" s="93" t="s">
        <v>3757</v>
      </c>
      <c r="H535" s="282" t="s">
        <v>3758</v>
      </c>
      <c r="I535" s="282"/>
      <c r="J535" s="282" t="s">
        <v>3759</v>
      </c>
    </row>
    <row r="536" spans="1:10" x14ac:dyDescent="0.2">
      <c r="A536" s="93" t="str">
        <f t="shared" ca="1" si="0"/>
        <v>光之精灵石（特大）</v>
      </c>
      <c r="B536" s="93" t="s">
        <v>3760</v>
      </c>
      <c r="C536" s="282" t="s">
        <v>3761</v>
      </c>
      <c r="D536" s="282" t="s">
        <v>3762</v>
      </c>
      <c r="E536" s="282"/>
      <c r="F536" s="282" t="s">
        <v>3763</v>
      </c>
      <c r="G536" s="93" t="s">
        <v>3764</v>
      </c>
      <c r="H536" s="282" t="s">
        <v>3765</v>
      </c>
      <c r="I536" s="282"/>
      <c r="J536" s="282" t="s">
        <v>3766</v>
      </c>
    </row>
    <row r="537" spans="1:10" x14ac:dyDescent="0.2">
      <c r="A537" s="93" t="str">
        <f t="shared" ca="1" si="0"/>
        <v>暗之精灵石</v>
      </c>
      <c r="B537" s="93" t="s">
        <v>3767</v>
      </c>
      <c r="C537" s="282" t="s">
        <v>3768</v>
      </c>
      <c r="D537" s="282" t="s">
        <v>3769</v>
      </c>
      <c r="E537" s="282"/>
      <c r="F537" s="282" t="s">
        <v>3770</v>
      </c>
      <c r="G537" s="93" t="s">
        <v>3771</v>
      </c>
      <c r="H537" s="282" t="s">
        <v>3772</v>
      </c>
      <c r="I537" s="282"/>
      <c r="J537" s="282" t="s">
        <v>3773</v>
      </c>
    </row>
    <row r="538" spans="1:10" x14ac:dyDescent="0.2">
      <c r="A538" s="93" t="str">
        <f t="shared" ca="1" si="0"/>
        <v>暗之精灵石（大）</v>
      </c>
      <c r="B538" s="93" t="s">
        <v>3774</v>
      </c>
      <c r="C538" s="282" t="s">
        <v>3775</v>
      </c>
      <c r="D538" s="282" t="s">
        <v>3776</v>
      </c>
      <c r="E538" s="282"/>
      <c r="F538" s="282" t="s">
        <v>3777</v>
      </c>
      <c r="G538" s="93" t="s">
        <v>3778</v>
      </c>
      <c r="H538" s="282" t="s">
        <v>3779</v>
      </c>
      <c r="I538" s="282"/>
      <c r="J538" s="282" t="s">
        <v>3780</v>
      </c>
    </row>
    <row r="539" spans="1:10" x14ac:dyDescent="0.2">
      <c r="A539" s="93" t="str">
        <f t="shared" ca="1" si="0"/>
        <v>暗之精灵石（特大）</v>
      </c>
      <c r="B539" s="93" t="s">
        <v>3781</v>
      </c>
      <c r="C539" s="282" t="s">
        <v>3782</v>
      </c>
      <c r="D539" s="282" t="s">
        <v>3783</v>
      </c>
      <c r="E539" s="282"/>
      <c r="F539" s="282" t="s">
        <v>3784</v>
      </c>
      <c r="G539" s="93" t="s">
        <v>3785</v>
      </c>
      <c r="H539" s="282" t="s">
        <v>3786</v>
      </c>
      <c r="I539" s="282"/>
      <c r="J539" s="282" t="s">
        <v>3787</v>
      </c>
    </row>
    <row r="540" spans="1:10" x14ac:dyDescent="0.2">
      <c r="A540" s="93" t="str">
        <f t="shared" ca="1" si="0"/>
        <v>增强ＨＰ的坚果</v>
      </c>
      <c r="B540" s="93" t="s">
        <v>3788</v>
      </c>
      <c r="C540" s="282" t="s">
        <v>3789</v>
      </c>
      <c r="D540" s="282" t="s">
        <v>3790</v>
      </c>
      <c r="E540" s="282"/>
      <c r="F540" s="282" t="s">
        <v>3791</v>
      </c>
      <c r="G540" s="93" t="s">
        <v>3792</v>
      </c>
      <c r="H540" s="282" t="s">
        <v>3793</v>
      </c>
      <c r="I540" s="282"/>
      <c r="J540" s="282" t="s">
        <v>3794</v>
      </c>
    </row>
    <row r="541" spans="1:10" x14ac:dyDescent="0.2">
      <c r="A541" s="93" t="str">
        <f t="shared" ca="1" si="0"/>
        <v>增强ＨＰ的坚果（大）</v>
      </c>
      <c r="B541" s="93" t="s">
        <v>3795</v>
      </c>
      <c r="C541" s="282" t="s">
        <v>3796</v>
      </c>
      <c r="D541" s="282" t="s">
        <v>3797</v>
      </c>
      <c r="E541" s="282"/>
      <c r="F541" s="282" t="s">
        <v>3798</v>
      </c>
      <c r="G541" s="93" t="s">
        <v>3799</v>
      </c>
      <c r="H541" s="282" t="s">
        <v>3800</v>
      </c>
      <c r="I541" s="282"/>
      <c r="J541" s="282" t="s">
        <v>3801</v>
      </c>
    </row>
    <row r="542" spans="1:10" x14ac:dyDescent="0.2">
      <c r="A542" s="93" t="str">
        <f t="shared" ca="1" si="0"/>
        <v>增强ＨＰ的坚果（特大）</v>
      </c>
      <c r="B542" s="93" t="s">
        <v>3802</v>
      </c>
      <c r="C542" s="282" t="s">
        <v>3803</v>
      </c>
      <c r="D542" s="282" t="s">
        <v>3804</v>
      </c>
      <c r="E542" s="282"/>
      <c r="F542" s="348" t="s">
        <v>3805</v>
      </c>
      <c r="G542" s="93" t="s">
        <v>3806</v>
      </c>
      <c r="H542" s="83" t="s">
        <v>3807</v>
      </c>
      <c r="I542" s="282"/>
      <c r="J542" s="282" t="s">
        <v>3808</v>
      </c>
    </row>
    <row r="543" spans="1:10" x14ac:dyDescent="0.2">
      <c r="A543" s="93" t="str">
        <f t="shared" ca="1" si="0"/>
        <v>增强ＳＰ的坚果</v>
      </c>
      <c r="B543" s="93" t="s">
        <v>3809</v>
      </c>
      <c r="C543" s="282" t="s">
        <v>3810</v>
      </c>
      <c r="D543" s="282" t="s">
        <v>3811</v>
      </c>
      <c r="E543" s="282"/>
      <c r="F543" s="282" t="s">
        <v>3812</v>
      </c>
      <c r="G543" s="93" t="s">
        <v>3813</v>
      </c>
      <c r="H543" s="282" t="s">
        <v>3814</v>
      </c>
      <c r="I543" s="282"/>
      <c r="J543" s="282" t="s">
        <v>3815</v>
      </c>
    </row>
    <row r="544" spans="1:10" x14ac:dyDescent="0.2">
      <c r="A544" s="93" t="str">
        <f t="shared" ca="1" si="0"/>
        <v>增强ＳＰ的坚果（大）</v>
      </c>
      <c r="B544" s="93" t="s">
        <v>3816</v>
      </c>
      <c r="C544" s="282" t="s">
        <v>3817</v>
      </c>
      <c r="D544" s="282" t="s">
        <v>3818</v>
      </c>
      <c r="E544" s="282"/>
      <c r="F544" s="282" t="s">
        <v>3819</v>
      </c>
      <c r="G544" s="93" t="s">
        <v>3820</v>
      </c>
      <c r="H544" s="282" t="s">
        <v>3821</v>
      </c>
      <c r="I544" s="282"/>
      <c r="J544" s="282" t="s">
        <v>3822</v>
      </c>
    </row>
    <row r="545" spans="1:10" x14ac:dyDescent="0.2">
      <c r="A545" s="93" t="str">
        <f t="shared" ca="1" si="0"/>
        <v>增强ＳＰ的坚果（特大）</v>
      </c>
      <c r="B545" s="93" t="s">
        <v>3823</v>
      </c>
      <c r="C545" s="282" t="s">
        <v>3824</v>
      </c>
      <c r="D545" s="282" t="s">
        <v>3825</v>
      </c>
      <c r="E545" s="282"/>
      <c r="F545" s="282" t="s">
        <v>3826</v>
      </c>
      <c r="G545" s="93" t="s">
        <v>3827</v>
      </c>
      <c r="H545" s="83" t="s">
        <v>3828</v>
      </c>
      <c r="I545" s="282"/>
      <c r="J545" s="282" t="s">
        <v>3829</v>
      </c>
    </row>
    <row r="546" spans="1:10" x14ac:dyDescent="0.2">
      <c r="A546" s="93" t="str">
        <f t="shared" ca="1" si="0"/>
        <v>增强物攻的坚果</v>
      </c>
      <c r="B546" s="93" t="s">
        <v>3830</v>
      </c>
      <c r="C546" s="282" t="s">
        <v>3831</v>
      </c>
      <c r="D546" s="282" t="s">
        <v>3832</v>
      </c>
      <c r="E546" s="282"/>
      <c r="F546" s="282" t="s">
        <v>3833</v>
      </c>
      <c r="G546" s="93" t="s">
        <v>3834</v>
      </c>
      <c r="H546" s="282" t="s">
        <v>3835</v>
      </c>
      <c r="I546" s="282"/>
      <c r="J546" s="282" t="s">
        <v>3836</v>
      </c>
    </row>
    <row r="547" spans="1:10" x14ac:dyDescent="0.2">
      <c r="A547" s="93" t="str">
        <f t="shared" ca="1" si="0"/>
        <v>增强物攻的坚果（大）</v>
      </c>
      <c r="B547" s="93" t="s">
        <v>3837</v>
      </c>
      <c r="C547" s="282" t="s">
        <v>3838</v>
      </c>
      <c r="D547" s="282" t="s">
        <v>3839</v>
      </c>
      <c r="E547" s="282"/>
      <c r="F547" s="282" t="s">
        <v>3840</v>
      </c>
      <c r="G547" s="93" t="s">
        <v>3841</v>
      </c>
      <c r="H547" s="282" t="s">
        <v>3842</v>
      </c>
      <c r="I547" s="282"/>
      <c r="J547" s="282" t="s">
        <v>3843</v>
      </c>
    </row>
    <row r="548" spans="1:10" x14ac:dyDescent="0.2">
      <c r="A548" s="93" t="str">
        <f t="shared" ca="1" si="0"/>
        <v>增强物攻的坚果（特大）</v>
      </c>
      <c r="B548" s="93" t="s">
        <v>3844</v>
      </c>
      <c r="C548" s="282" t="s">
        <v>3845</v>
      </c>
      <c r="D548" s="282" t="s">
        <v>3846</v>
      </c>
      <c r="E548" s="282"/>
      <c r="F548" s="282" t="s">
        <v>3847</v>
      </c>
      <c r="G548" s="93" t="s">
        <v>3848</v>
      </c>
      <c r="H548" s="282" t="s">
        <v>3849</v>
      </c>
      <c r="I548" s="282"/>
      <c r="J548" s="282" t="s">
        <v>3850</v>
      </c>
    </row>
    <row r="549" spans="1:10" x14ac:dyDescent="0.2">
      <c r="A549" s="93" t="str">
        <f t="shared" ca="1" si="0"/>
        <v>增强物防的坚果</v>
      </c>
      <c r="B549" s="93" t="s">
        <v>3851</v>
      </c>
      <c r="C549" s="282" t="s">
        <v>3852</v>
      </c>
      <c r="D549" s="282" t="s">
        <v>3853</v>
      </c>
      <c r="E549" s="282"/>
      <c r="F549" s="282" t="s">
        <v>3854</v>
      </c>
      <c r="G549" s="93" t="s">
        <v>3855</v>
      </c>
      <c r="H549" s="83" t="s">
        <v>3856</v>
      </c>
      <c r="I549" s="282"/>
      <c r="J549" s="282" t="s">
        <v>3857</v>
      </c>
    </row>
    <row r="550" spans="1:10" x14ac:dyDescent="0.2">
      <c r="A550" s="93" t="str">
        <f t="shared" ca="1" si="0"/>
        <v>增强物防的坚果（大）</v>
      </c>
      <c r="B550" s="93" t="s">
        <v>3858</v>
      </c>
      <c r="C550" s="282" t="s">
        <v>3859</v>
      </c>
      <c r="D550" s="282" t="s">
        <v>3860</v>
      </c>
      <c r="E550" s="282"/>
      <c r="F550" s="282" t="s">
        <v>3861</v>
      </c>
      <c r="G550" s="93" t="s">
        <v>3862</v>
      </c>
      <c r="H550" s="83" t="s">
        <v>3863</v>
      </c>
      <c r="I550" s="282"/>
      <c r="J550" s="282" t="s">
        <v>3864</v>
      </c>
    </row>
    <row r="551" spans="1:10" x14ac:dyDescent="0.2">
      <c r="A551" s="93" t="str">
        <f t="shared" ca="1" si="0"/>
        <v>增强物防的坚果（特大）</v>
      </c>
      <c r="B551" s="93" t="s">
        <v>3865</v>
      </c>
      <c r="C551" s="282" t="s">
        <v>3866</v>
      </c>
      <c r="D551" s="282" t="s">
        <v>3867</v>
      </c>
      <c r="E551" s="282"/>
      <c r="F551" s="282" t="s">
        <v>3868</v>
      </c>
      <c r="G551" s="93" t="s">
        <v>3869</v>
      </c>
      <c r="H551" s="83" t="s">
        <v>3870</v>
      </c>
      <c r="I551" s="282"/>
      <c r="J551" s="282" t="s">
        <v>3871</v>
      </c>
    </row>
    <row r="552" spans="1:10" x14ac:dyDescent="0.2">
      <c r="A552" s="93" t="str">
        <f t="shared" ca="1" si="0"/>
        <v>增强属攻的坚果</v>
      </c>
      <c r="B552" s="93" t="s">
        <v>3872</v>
      </c>
      <c r="C552" s="282" t="s">
        <v>3873</v>
      </c>
      <c r="D552" s="282" t="s">
        <v>3874</v>
      </c>
      <c r="E552" s="282"/>
      <c r="F552" s="282" t="s">
        <v>3875</v>
      </c>
      <c r="G552" s="93" t="s">
        <v>3876</v>
      </c>
      <c r="H552" s="282" t="s">
        <v>3877</v>
      </c>
      <c r="I552" s="282"/>
      <c r="J552" s="282" t="s">
        <v>3878</v>
      </c>
    </row>
    <row r="553" spans="1:10" x14ac:dyDescent="0.2">
      <c r="A553" s="93" t="str">
        <f t="shared" ca="1" si="0"/>
        <v>增强属攻的坚果（大）</v>
      </c>
      <c r="B553" s="93" t="s">
        <v>3879</v>
      </c>
      <c r="C553" s="282" t="s">
        <v>3880</v>
      </c>
      <c r="D553" s="282" t="s">
        <v>3881</v>
      </c>
      <c r="E553" s="282"/>
      <c r="F553" s="282" t="s">
        <v>3882</v>
      </c>
      <c r="G553" s="93" t="s">
        <v>3883</v>
      </c>
      <c r="H553" s="282" t="s">
        <v>3884</v>
      </c>
      <c r="I553" s="282"/>
      <c r="J553" s="282" t="s">
        <v>3885</v>
      </c>
    </row>
    <row r="554" spans="1:10" x14ac:dyDescent="0.2">
      <c r="A554" s="93" t="str">
        <f t="shared" ca="1" si="0"/>
        <v>增强属攻的坚果（特大）</v>
      </c>
      <c r="B554" s="93" t="s">
        <v>3886</v>
      </c>
      <c r="C554" s="282" t="s">
        <v>3887</v>
      </c>
      <c r="D554" s="282" t="s">
        <v>3888</v>
      </c>
      <c r="E554" s="282"/>
      <c r="F554" s="282" t="s">
        <v>3889</v>
      </c>
      <c r="G554" s="93" t="s">
        <v>3890</v>
      </c>
      <c r="H554" s="282" t="s">
        <v>3891</v>
      </c>
      <c r="I554" s="282"/>
      <c r="J554" s="282" t="s">
        <v>3892</v>
      </c>
    </row>
    <row r="555" spans="1:10" x14ac:dyDescent="0.2">
      <c r="A555" s="93" t="str">
        <f t="shared" ca="1" si="0"/>
        <v>增强属防的坚果</v>
      </c>
      <c r="B555" s="93" t="s">
        <v>3893</v>
      </c>
      <c r="C555" s="282" t="s">
        <v>3894</v>
      </c>
      <c r="D555" s="282" t="s">
        <v>3895</v>
      </c>
      <c r="E555" s="282"/>
      <c r="F555" s="282" t="s">
        <v>3896</v>
      </c>
      <c r="G555" s="93" t="s">
        <v>3897</v>
      </c>
      <c r="H555" s="282" t="s">
        <v>3898</v>
      </c>
      <c r="I555" s="282"/>
      <c r="J555" s="282" t="s">
        <v>3899</v>
      </c>
    </row>
    <row r="556" spans="1:10" x14ac:dyDescent="0.2">
      <c r="A556" s="93" t="str">
        <f t="shared" ca="1" si="0"/>
        <v>增强属防的坚果（大）</v>
      </c>
      <c r="B556" s="93" t="s">
        <v>3900</v>
      </c>
      <c r="C556" s="282" t="s">
        <v>3901</v>
      </c>
      <c r="D556" s="282" t="s">
        <v>3902</v>
      </c>
      <c r="E556" s="282"/>
      <c r="F556" s="282" t="s">
        <v>3903</v>
      </c>
      <c r="G556" s="93" t="s">
        <v>3904</v>
      </c>
      <c r="H556" s="83" t="s">
        <v>3905</v>
      </c>
      <c r="I556" s="282"/>
      <c r="J556" s="282" t="s">
        <v>3906</v>
      </c>
    </row>
    <row r="557" spans="1:10" x14ac:dyDescent="0.2">
      <c r="A557" s="93" t="str">
        <f t="shared" ca="1" si="0"/>
        <v>增强属防的坚果（特大）</v>
      </c>
      <c r="B557" s="93" t="s">
        <v>3907</v>
      </c>
      <c r="C557" s="282" t="s">
        <v>3908</v>
      </c>
      <c r="D557" s="282" t="s">
        <v>3909</v>
      </c>
      <c r="E557" s="282"/>
      <c r="F557" s="282" t="s">
        <v>3910</v>
      </c>
      <c r="G557" s="93" t="s">
        <v>3911</v>
      </c>
      <c r="H557" s="83" t="s">
        <v>3912</v>
      </c>
      <c r="I557" s="282"/>
      <c r="J557" s="282" t="s">
        <v>3913</v>
      </c>
    </row>
    <row r="558" spans="1:10" x14ac:dyDescent="0.2">
      <c r="A558" s="93" t="str">
        <f t="shared" ca="1" si="0"/>
        <v>增强命中的坚果</v>
      </c>
      <c r="B558" s="93" t="s">
        <v>3914</v>
      </c>
      <c r="C558" s="282"/>
      <c r="D558" s="282" t="s">
        <v>3915</v>
      </c>
      <c r="E558" s="282"/>
      <c r="F558" s="282" t="s">
        <v>3916</v>
      </c>
      <c r="G558" s="93" t="s">
        <v>3917</v>
      </c>
      <c r="H558" s="282" t="s">
        <v>3918</v>
      </c>
      <c r="I558" s="282"/>
      <c r="J558" s="282" t="s">
        <v>3919</v>
      </c>
    </row>
    <row r="559" spans="1:10" x14ac:dyDescent="0.2">
      <c r="A559" s="93" t="str">
        <f t="shared" ca="1" si="0"/>
        <v>增强命中的坚果（大）</v>
      </c>
      <c r="B559" s="93" t="s">
        <v>3920</v>
      </c>
      <c r="C559" s="282"/>
      <c r="D559" s="282" t="s">
        <v>3921</v>
      </c>
      <c r="E559" s="282"/>
      <c r="F559" s="282" t="s">
        <v>3922</v>
      </c>
      <c r="G559" s="93" t="s">
        <v>3923</v>
      </c>
      <c r="H559" s="282" t="s">
        <v>3924</v>
      </c>
      <c r="I559" s="282"/>
      <c r="J559" s="282" t="s">
        <v>3925</v>
      </c>
    </row>
    <row r="560" spans="1:10" x14ac:dyDescent="0.2">
      <c r="A560" s="93" t="str">
        <f t="shared" ca="1" si="0"/>
        <v>增强命中的坚果（特大）</v>
      </c>
      <c r="B560" s="93" t="s">
        <v>3926</v>
      </c>
      <c r="C560" s="282"/>
      <c r="D560" s="282" t="s">
        <v>3927</v>
      </c>
      <c r="E560" s="282"/>
      <c r="F560" s="282" t="s">
        <v>3928</v>
      </c>
      <c r="G560" s="93" t="s">
        <v>3929</v>
      </c>
      <c r="H560" s="282" t="s">
        <v>3930</v>
      </c>
      <c r="I560" s="282"/>
      <c r="J560" s="282" t="s">
        <v>3931</v>
      </c>
    </row>
    <row r="561" spans="1:10" x14ac:dyDescent="0.2">
      <c r="A561" s="93" t="str">
        <f t="shared" ca="1" si="0"/>
        <v>增强回避的坚果</v>
      </c>
      <c r="B561" s="93" t="s">
        <v>3932</v>
      </c>
      <c r="C561" s="282"/>
      <c r="D561" s="282" t="s">
        <v>3933</v>
      </c>
      <c r="E561" s="282"/>
      <c r="F561" s="282" t="s">
        <v>3934</v>
      </c>
      <c r="G561" s="93" t="s">
        <v>3935</v>
      </c>
      <c r="H561" s="282" t="s">
        <v>3936</v>
      </c>
      <c r="I561" s="282"/>
      <c r="J561" s="282" t="s">
        <v>3937</v>
      </c>
    </row>
    <row r="562" spans="1:10" x14ac:dyDescent="0.2">
      <c r="A562" s="93" t="str">
        <f t="shared" ca="1" si="0"/>
        <v>增强回避的坚果（大）</v>
      </c>
      <c r="B562" s="93" t="s">
        <v>3938</v>
      </c>
      <c r="C562" s="282"/>
      <c r="D562" s="282" t="s">
        <v>3939</v>
      </c>
      <c r="E562" s="282"/>
      <c r="F562" s="282" t="s">
        <v>3940</v>
      </c>
      <c r="G562" s="93" t="s">
        <v>3941</v>
      </c>
      <c r="H562" s="83" t="s">
        <v>3942</v>
      </c>
      <c r="I562" s="282"/>
      <c r="J562" s="282" t="s">
        <v>3943</v>
      </c>
    </row>
    <row r="563" spans="1:10" x14ac:dyDescent="0.2">
      <c r="A563" s="93" t="str">
        <f t="shared" ca="1" si="0"/>
        <v>增强回避的坚果（特大）</v>
      </c>
      <c r="B563" s="93" t="s">
        <v>3944</v>
      </c>
      <c r="C563" s="282"/>
      <c r="D563" s="282" t="s">
        <v>3945</v>
      </c>
      <c r="E563" s="282"/>
      <c r="F563" s="282" t="s">
        <v>3946</v>
      </c>
      <c r="G563" s="93" t="s">
        <v>3947</v>
      </c>
      <c r="H563" s="83" t="s">
        <v>3948</v>
      </c>
      <c r="I563" s="282"/>
      <c r="J563" s="282" t="s">
        <v>3949</v>
      </c>
    </row>
    <row r="564" spans="1:10" x14ac:dyDescent="0.2">
      <c r="A564" s="93" t="str">
        <f t="shared" ca="1" si="0"/>
        <v>增强会心的坚果</v>
      </c>
      <c r="B564" s="93" t="s">
        <v>3950</v>
      </c>
      <c r="C564" s="282" t="s">
        <v>3951</v>
      </c>
      <c r="D564" s="282" t="s">
        <v>3952</v>
      </c>
      <c r="E564" s="282"/>
      <c r="F564" s="282" t="s">
        <v>3953</v>
      </c>
      <c r="G564" s="93" t="s">
        <v>3954</v>
      </c>
      <c r="H564" s="282" t="s">
        <v>3955</v>
      </c>
      <c r="I564" s="282"/>
      <c r="J564" s="282" t="s">
        <v>3956</v>
      </c>
    </row>
    <row r="565" spans="1:10" x14ac:dyDescent="0.2">
      <c r="A565" s="93" t="str">
        <f t="shared" ca="1" si="0"/>
        <v>增强会心的坚果（大）</v>
      </c>
      <c r="B565" s="93" t="s">
        <v>3957</v>
      </c>
      <c r="C565" s="282" t="s">
        <v>3958</v>
      </c>
      <c r="D565" s="282" t="s">
        <v>3959</v>
      </c>
      <c r="E565" s="282"/>
      <c r="F565" s="282" t="s">
        <v>3960</v>
      </c>
      <c r="G565" s="93" t="s">
        <v>3961</v>
      </c>
      <c r="H565" s="83" t="s">
        <v>3962</v>
      </c>
      <c r="I565" s="282"/>
      <c r="J565" s="282" t="s">
        <v>3963</v>
      </c>
    </row>
    <row r="566" spans="1:10" x14ac:dyDescent="0.2">
      <c r="A566" s="93" t="str">
        <f t="shared" ca="1" si="0"/>
        <v>增强会心的坚果（特大）</v>
      </c>
      <c r="B566" s="93" t="s">
        <v>3964</v>
      </c>
      <c r="C566" s="282" t="s">
        <v>3965</v>
      </c>
      <c r="D566" s="282" t="s">
        <v>3966</v>
      </c>
      <c r="E566" s="282"/>
      <c r="F566" s="282" t="s">
        <v>3967</v>
      </c>
      <c r="G566" s="93" t="s">
        <v>3968</v>
      </c>
      <c r="H566" s="83" t="s">
        <v>3969</v>
      </c>
      <c r="I566" s="282"/>
      <c r="J566" s="282" t="s">
        <v>3970</v>
      </c>
    </row>
    <row r="567" spans="1:10" x14ac:dyDescent="0.2">
      <c r="A567" s="93" t="str">
        <f t="shared" ca="1" si="0"/>
        <v>增强速度的坚果</v>
      </c>
      <c r="B567" s="93" t="s">
        <v>3971</v>
      </c>
      <c r="C567" s="282"/>
      <c r="D567" s="282" t="s">
        <v>3972</v>
      </c>
      <c r="E567" s="282"/>
      <c r="F567" s="282" t="s">
        <v>3973</v>
      </c>
      <c r="G567" s="93" t="s">
        <v>3974</v>
      </c>
      <c r="H567" s="282" t="s">
        <v>3975</v>
      </c>
      <c r="I567" s="282"/>
      <c r="J567" s="282" t="s">
        <v>3976</v>
      </c>
    </row>
    <row r="568" spans="1:10" x14ac:dyDescent="0.2">
      <c r="A568" s="93" t="str">
        <f t="shared" ca="1" si="0"/>
        <v>增强速度的坚果（大）</v>
      </c>
      <c r="B568" s="93" t="s">
        <v>3977</v>
      </c>
      <c r="C568" s="282"/>
      <c r="D568" s="282" t="s">
        <v>3978</v>
      </c>
      <c r="E568" s="282"/>
      <c r="F568" s="282" t="s">
        <v>3979</v>
      </c>
      <c r="G568" s="93" t="s">
        <v>3980</v>
      </c>
      <c r="H568" s="83" t="s">
        <v>3981</v>
      </c>
      <c r="I568" s="282"/>
      <c r="J568" s="282" t="s">
        <v>3982</v>
      </c>
    </row>
    <row r="569" spans="1:10" x14ac:dyDescent="0.2">
      <c r="A569" s="93" t="str">
        <f t="shared" ca="1" si="0"/>
        <v>增强速度的坚果（特大）</v>
      </c>
      <c r="B569" s="93" t="s">
        <v>3983</v>
      </c>
      <c r="C569" s="282"/>
      <c r="D569" s="282" t="s">
        <v>3984</v>
      </c>
      <c r="E569" s="282"/>
      <c r="F569" s="282" t="s">
        <v>3985</v>
      </c>
      <c r="G569" s="93" t="s">
        <v>3986</v>
      </c>
      <c r="H569" s="282" t="s">
        <v>3987</v>
      </c>
      <c r="I569" s="282"/>
      <c r="J569" s="282" t="s">
        <v>3988</v>
      </c>
    </row>
    <row r="570" spans="1:10" x14ac:dyDescent="0.2">
      <c r="A570" s="93" t="str">
        <f t="shared" ca="1" si="0"/>
        <v>一段麻绳</v>
      </c>
      <c r="B570" s="93" t="s">
        <v>3989</v>
      </c>
      <c r="C570" s="282"/>
      <c r="D570" s="282" t="s">
        <v>3990</v>
      </c>
      <c r="E570" s="282"/>
      <c r="F570" s="282" t="s">
        <v>3991</v>
      </c>
      <c r="G570" s="93" t="s">
        <v>3992</v>
      </c>
      <c r="H570" s="282" t="s">
        <v>3993</v>
      </c>
      <c r="I570" s="282"/>
      <c r="J570" s="282" t="s">
        <v>3994</v>
      </c>
    </row>
    <row r="571" spans="1:10" x14ac:dyDescent="0.2">
      <c r="A571" s="93" t="str">
        <f t="shared" ca="1" si="0"/>
        <v>绒毛娃娃</v>
      </c>
      <c r="B571" s="93" t="s">
        <v>3995</v>
      </c>
      <c r="C571" s="282" t="s">
        <v>3996</v>
      </c>
      <c r="D571" s="282" t="s">
        <v>3996</v>
      </c>
      <c r="E571" s="282"/>
      <c r="F571" s="282" t="s">
        <v>3996</v>
      </c>
      <c r="G571" s="93" t="s">
        <v>3997</v>
      </c>
      <c r="H571" s="282" t="s">
        <v>3998</v>
      </c>
      <c r="I571" s="282"/>
      <c r="J571" s="282" t="s">
        <v>3999</v>
      </c>
    </row>
    <row r="572" spans="1:10" x14ac:dyDescent="0.2">
      <c r="A572" s="93" t="str">
        <f t="shared" ca="1" si="0"/>
        <v>糖果</v>
      </c>
      <c r="B572" s="93" t="s">
        <v>4000</v>
      </c>
      <c r="C572" s="282" t="s">
        <v>4001</v>
      </c>
      <c r="D572" s="282" t="s">
        <v>4002</v>
      </c>
      <c r="E572" s="282"/>
      <c r="F572" s="282" t="s">
        <v>4003</v>
      </c>
      <c r="G572" s="93" t="s">
        <v>4004</v>
      </c>
      <c r="H572" s="282" t="s">
        <v>4004</v>
      </c>
      <c r="I572" s="282"/>
      <c r="J572" s="282" t="s">
        <v>4005</v>
      </c>
    </row>
    <row r="573" spans="1:10" x14ac:dyDescent="0.2">
      <c r="A573" s="93" t="str">
        <f t="shared" ca="1" si="0"/>
        <v>玻璃珠</v>
      </c>
      <c r="B573" s="93" t="s">
        <v>4006</v>
      </c>
      <c r="C573" s="282"/>
      <c r="D573" s="282" t="s">
        <v>4007</v>
      </c>
      <c r="E573" s="282"/>
      <c r="F573" s="282" t="s">
        <v>4008</v>
      </c>
      <c r="G573" s="93" t="s">
        <v>4009</v>
      </c>
      <c r="H573" s="282" t="s">
        <v>4009</v>
      </c>
      <c r="I573" s="282"/>
      <c r="J573" s="282" t="s">
        <v>4010</v>
      </c>
    </row>
    <row r="574" spans="1:10" x14ac:dyDescent="0.2">
      <c r="A574" s="93" t="str">
        <f t="shared" ca="1" si="0"/>
        <v>手帕</v>
      </c>
      <c r="B574" s="93" t="s">
        <v>4011</v>
      </c>
      <c r="C574" s="282" t="s">
        <v>4012</v>
      </c>
      <c r="D574" s="282" t="s">
        <v>4013</v>
      </c>
      <c r="E574" s="282"/>
      <c r="F574" s="282" t="s">
        <v>4014</v>
      </c>
      <c r="G574" s="93" t="s">
        <v>4015</v>
      </c>
      <c r="H574" s="282" t="s">
        <v>4015</v>
      </c>
      <c r="I574" s="282"/>
      <c r="J574" s="282" t="s">
        <v>4016</v>
      </c>
    </row>
    <row r="575" spans="1:10" x14ac:dyDescent="0.2">
      <c r="A575" s="93" t="str">
        <f t="shared" ca="1" si="0"/>
        <v>小酒壶</v>
      </c>
      <c r="B575" s="93" t="s">
        <v>4017</v>
      </c>
      <c r="C575" s="282" t="s">
        <v>4018</v>
      </c>
      <c r="D575" s="282" t="s">
        <v>4019</v>
      </c>
      <c r="E575" s="282"/>
      <c r="F575" s="282" t="s">
        <v>4020</v>
      </c>
      <c r="G575" s="93" t="s">
        <v>4021</v>
      </c>
      <c r="H575" s="282" t="s">
        <v>4022</v>
      </c>
      <c r="I575" s="282"/>
      <c r="J575" s="282"/>
    </row>
    <row r="576" spans="1:10" x14ac:dyDescent="0.2">
      <c r="A576" s="93" t="str">
        <f t="shared" ca="1" si="0"/>
        <v>种子</v>
      </c>
      <c r="B576" s="93" t="s">
        <v>4023</v>
      </c>
      <c r="C576" s="282"/>
      <c r="D576" s="282" t="s">
        <v>4024</v>
      </c>
      <c r="E576" s="282"/>
      <c r="F576" s="282" t="s">
        <v>4025</v>
      </c>
      <c r="G576" s="93" t="s">
        <v>4026</v>
      </c>
      <c r="H576" s="282" t="s">
        <v>4027</v>
      </c>
      <c r="I576" s="282"/>
      <c r="J576" s="282" t="s">
        <v>4028</v>
      </c>
    </row>
    <row r="577" spans="1:10" x14ac:dyDescent="0.2">
      <c r="A577" s="93" t="str">
        <f t="shared" ca="1" si="0"/>
        <v>鱼齿</v>
      </c>
      <c r="B577" s="93" t="s">
        <v>4029</v>
      </c>
      <c r="C577" s="282"/>
      <c r="D577" s="282" t="s">
        <v>4030</v>
      </c>
      <c r="E577" s="282"/>
      <c r="F577" s="282" t="s">
        <v>4031</v>
      </c>
      <c r="G577" s="93" t="s">
        <v>4032</v>
      </c>
      <c r="H577" s="282" t="s">
        <v>4033</v>
      </c>
      <c r="I577" s="282"/>
      <c r="J577" s="282" t="s">
        <v>4034</v>
      </c>
    </row>
    <row r="578" spans="1:10" x14ac:dyDescent="0.2">
      <c r="A578" s="93" t="str">
        <f t="shared" ca="1" si="0"/>
        <v>原石</v>
      </c>
      <c r="B578" s="93" t="s">
        <v>4035</v>
      </c>
      <c r="C578" s="282" t="s">
        <v>4036</v>
      </c>
      <c r="D578" s="282" t="s">
        <v>4037</v>
      </c>
      <c r="E578" s="282"/>
      <c r="F578" s="282" t="s">
        <v>4038</v>
      </c>
      <c r="G578" s="93" t="s">
        <v>4039</v>
      </c>
      <c r="H578" s="282" t="s">
        <v>4040</v>
      </c>
      <c r="I578" s="282"/>
      <c r="J578" s="282" t="s">
        <v>4041</v>
      </c>
    </row>
    <row r="579" spans="1:10" x14ac:dyDescent="0.2">
      <c r="A579" s="93" t="str">
        <f t="shared" ca="1" si="0"/>
        <v>树木果实</v>
      </c>
      <c r="B579" s="93" t="s">
        <v>4042</v>
      </c>
      <c r="C579" s="282" t="s">
        <v>4043</v>
      </c>
      <c r="D579" s="282" t="s">
        <v>4044</v>
      </c>
      <c r="E579" s="282"/>
      <c r="F579" s="282" t="s">
        <v>4045</v>
      </c>
      <c r="G579" s="93" t="s">
        <v>4046</v>
      </c>
      <c r="H579" s="282" t="s">
        <v>4047</v>
      </c>
      <c r="I579" s="282"/>
      <c r="J579" s="282" t="s">
        <v>4048</v>
      </c>
    </row>
    <row r="580" spans="1:10" x14ac:dyDescent="0.2">
      <c r="A580" s="93" t="str">
        <f t="shared" ca="1" si="0"/>
        <v>发梳</v>
      </c>
      <c r="B580" s="93" t="s">
        <v>4049</v>
      </c>
      <c r="C580" s="282"/>
      <c r="D580" s="282" t="s">
        <v>4050</v>
      </c>
      <c r="E580" s="282"/>
      <c r="F580" s="282" t="s">
        <v>4051</v>
      </c>
      <c r="G580" s="93" t="s">
        <v>4052</v>
      </c>
      <c r="H580" s="282" t="s">
        <v>4053</v>
      </c>
      <c r="I580" s="282"/>
      <c r="J580" s="282" t="s">
        <v>4054</v>
      </c>
    </row>
    <row r="581" spans="1:10" x14ac:dyDescent="0.2">
      <c r="A581" s="93" t="str">
        <f t="shared" ca="1" si="0"/>
        <v>空空的钱包</v>
      </c>
      <c r="B581" s="93" t="s">
        <v>4055</v>
      </c>
      <c r="C581" s="282" t="s">
        <v>4056</v>
      </c>
      <c r="D581" s="282" t="s">
        <v>4057</v>
      </c>
      <c r="E581" s="282"/>
      <c r="F581" s="282" t="s">
        <v>4058</v>
      </c>
      <c r="G581" s="93" t="s">
        <v>4059</v>
      </c>
      <c r="H581" s="282" t="s">
        <v>4060</v>
      </c>
      <c r="I581" s="282"/>
      <c r="J581" s="282" t="s">
        <v>4061</v>
      </c>
    </row>
    <row r="582" spans="1:10" x14ac:dyDescent="0.2">
      <c r="A582" s="93" t="str">
        <f t="shared" ca="1" si="0"/>
        <v>钱包</v>
      </c>
      <c r="B582" s="93" t="s">
        <v>4062</v>
      </c>
      <c r="C582" s="282"/>
      <c r="D582" s="282" t="s">
        <v>4063</v>
      </c>
      <c r="E582" s="282"/>
      <c r="F582" s="282" t="s">
        <v>4064</v>
      </c>
      <c r="G582" s="93" t="s">
        <v>4065</v>
      </c>
      <c r="H582" s="282" t="s">
        <v>4066</v>
      </c>
      <c r="I582" s="282"/>
      <c r="J582" s="282" t="s">
        <v>4067</v>
      </c>
    </row>
    <row r="583" spans="1:10" x14ac:dyDescent="0.2">
      <c r="A583" s="93" t="str">
        <f t="shared" ca="1" si="0"/>
        <v>装了破烂儿的小袋子</v>
      </c>
      <c r="B583" s="93" t="s">
        <v>4068</v>
      </c>
      <c r="C583" s="282"/>
      <c r="D583" s="282" t="s">
        <v>4069</v>
      </c>
      <c r="E583" s="282"/>
      <c r="F583" s="282" t="s">
        <v>4070</v>
      </c>
      <c r="G583" s="93" t="s">
        <v>4071</v>
      </c>
      <c r="H583" s="282" t="s">
        <v>4072</v>
      </c>
      <c r="I583" s="282"/>
      <c r="J583" s="282" t="s">
        <v>4073</v>
      </c>
    </row>
    <row r="584" spans="1:10" x14ac:dyDescent="0.2">
      <c r="A584" s="93" t="str">
        <f t="shared" ca="1" si="0"/>
        <v>大鸟的羽毛</v>
      </c>
      <c r="B584" s="93" t="s">
        <v>4074</v>
      </c>
      <c r="C584" s="282" t="s">
        <v>4075</v>
      </c>
      <c r="D584" s="282" t="s">
        <v>4076</v>
      </c>
      <c r="E584" s="282"/>
      <c r="F584" s="282" t="s">
        <v>4077</v>
      </c>
      <c r="G584" s="93" t="s">
        <v>4078</v>
      </c>
      <c r="H584" s="282" t="s">
        <v>4079</v>
      </c>
      <c r="I584" s="282"/>
      <c r="J584" s="282" t="s">
        <v>4080</v>
      </c>
    </row>
    <row r="585" spans="1:10" x14ac:dyDescent="0.2">
      <c r="A585" s="93" t="str">
        <f t="shared" ca="1" si="0"/>
        <v>貌似金矿石的东西</v>
      </c>
      <c r="B585" s="93" t="s">
        <v>4081</v>
      </c>
      <c r="C585" s="282"/>
      <c r="D585" s="282" t="s">
        <v>4082</v>
      </c>
      <c r="E585" s="282"/>
      <c r="F585" s="282" t="s">
        <v>4083</v>
      </c>
      <c r="G585" s="93" t="s">
        <v>4084</v>
      </c>
      <c r="H585" s="282" t="s">
        <v>4085</v>
      </c>
      <c r="I585" s="282"/>
      <c r="J585" s="282" t="s">
        <v>4086</v>
      </c>
    </row>
    <row r="586" spans="1:10" x14ac:dyDescent="0.2">
      <c r="A586" s="93" t="str">
        <f t="shared" ca="1" si="0"/>
        <v>金矿石般的东西</v>
      </c>
      <c r="B586" s="93" t="s">
        <v>4087</v>
      </c>
      <c r="C586" s="51" t="s">
        <v>4088</v>
      </c>
      <c r="D586" s="282" t="s">
        <v>4089</v>
      </c>
      <c r="E586" s="282"/>
      <c r="F586" s="282" t="s">
        <v>4090</v>
      </c>
      <c r="G586" s="93" t="s">
        <v>4091</v>
      </c>
      <c r="H586" s="282" t="s">
        <v>4092</v>
      </c>
      <c r="I586" s="282"/>
      <c r="J586" s="282" t="s">
        <v>4093</v>
      </c>
    </row>
    <row r="587" spans="1:10" x14ac:dyDescent="0.2">
      <c r="A587" s="93" t="str">
        <f t="shared" ca="1" si="0"/>
        <v>看起来像金矿石的东西</v>
      </c>
      <c r="B587" s="93" t="s">
        <v>4094</v>
      </c>
      <c r="C587" s="282"/>
      <c r="D587" s="282" t="s">
        <v>4095</v>
      </c>
      <c r="E587" s="282"/>
      <c r="F587" s="282" t="s">
        <v>4096</v>
      </c>
      <c r="G587" s="93" t="s">
        <v>4097</v>
      </c>
      <c r="H587" s="282" t="s">
        <v>4098</v>
      </c>
      <c r="I587" s="282"/>
      <c r="J587" s="282" t="s">
        <v>4099</v>
      </c>
    </row>
    <row r="588" spans="1:10" x14ac:dyDescent="0.2">
      <c r="A588" s="93" t="str">
        <f t="shared" ca="1" si="0"/>
        <v>铜制提灯</v>
      </c>
      <c r="B588" s="93" t="s">
        <v>4100</v>
      </c>
      <c r="C588" s="282" t="s">
        <v>4101</v>
      </c>
      <c r="D588" s="282" t="s">
        <v>4102</v>
      </c>
      <c r="E588" s="282"/>
      <c r="F588" s="282" t="s">
        <v>4103</v>
      </c>
      <c r="G588" s="93" t="s">
        <v>4104</v>
      </c>
      <c r="H588" s="282" t="s">
        <v>4105</v>
      </c>
      <c r="I588" s="282"/>
      <c r="J588" s="282"/>
    </row>
    <row r="589" spans="1:10" x14ac:dyDescent="0.2">
      <c r="A589" s="93" t="str">
        <f t="shared" ca="1" si="0"/>
        <v>骨头</v>
      </c>
      <c r="B589" s="93" t="s">
        <v>4106</v>
      </c>
      <c r="C589" s="282" t="s">
        <v>4107</v>
      </c>
      <c r="D589" s="282" t="s">
        <v>4108</v>
      </c>
      <c r="E589" s="282"/>
      <c r="F589" s="282" t="s">
        <v>4109</v>
      </c>
      <c r="G589" s="93" t="s">
        <v>4110</v>
      </c>
      <c r="H589" s="282" t="s">
        <v>4111</v>
      </c>
      <c r="I589" s="282"/>
      <c r="J589" s="282" t="s">
        <v>4112</v>
      </c>
    </row>
    <row r="590" spans="1:10" x14ac:dyDescent="0.2">
      <c r="A590" s="93" t="str">
        <f t="shared" ca="1" si="0"/>
        <v>磨损的鞋子</v>
      </c>
      <c r="B590" s="93" t="s">
        <v>4113</v>
      </c>
      <c r="C590" s="282" t="s">
        <v>4114</v>
      </c>
      <c r="D590" s="282" t="s">
        <v>4115</v>
      </c>
      <c r="E590" s="282"/>
      <c r="F590" s="282" t="s">
        <v>4116</v>
      </c>
      <c r="G590" s="93" t="s">
        <v>4117</v>
      </c>
      <c r="H590" s="282" t="s">
        <v>4118</v>
      </c>
      <c r="I590" s="282"/>
      <c r="J590" s="282" t="s">
        <v>4119</v>
      </c>
    </row>
    <row r="591" spans="1:10" x14ac:dyDescent="0.2">
      <c r="A591" s="93" t="str">
        <f t="shared" ca="1" si="0"/>
        <v>脏脏的布球</v>
      </c>
      <c r="B591" s="93" t="s">
        <v>4120</v>
      </c>
      <c r="C591" s="282"/>
      <c r="D591" s="282" t="s">
        <v>4121</v>
      </c>
      <c r="E591" s="282"/>
      <c r="F591" s="282" t="s">
        <v>4122</v>
      </c>
      <c r="G591" s="93" t="s">
        <v>4123</v>
      </c>
      <c r="H591" s="282" t="s">
        <v>4124</v>
      </c>
      <c r="I591" s="282"/>
      <c r="J591" s="282" t="s">
        <v>4125</v>
      </c>
    </row>
    <row r="592" spans="1:10" x14ac:dyDescent="0.2">
      <c r="A592" s="93" t="str">
        <f t="shared" ca="1" si="0"/>
        <v>项圈</v>
      </c>
      <c r="B592" s="93" t="s">
        <v>4126</v>
      </c>
      <c r="C592" s="282"/>
      <c r="D592" s="282" t="s">
        <v>4127</v>
      </c>
      <c r="E592" s="282"/>
      <c r="F592" s="282" t="s">
        <v>4128</v>
      </c>
      <c r="G592" s="93" t="s">
        <v>4129</v>
      </c>
      <c r="H592" s="282" t="s">
        <v>4130</v>
      </c>
      <c r="I592" s="282"/>
      <c r="J592" s="282" t="s">
        <v>4131</v>
      </c>
    </row>
    <row r="593" spans="1:10" x14ac:dyDescent="0.2">
      <c r="A593" s="93" t="str">
        <f t="shared" ca="1" si="0"/>
        <v>会中毒果实</v>
      </c>
      <c r="B593" s="93" t="s">
        <v>4132</v>
      </c>
      <c r="C593" s="282"/>
      <c r="D593" s="282" t="s">
        <v>4133</v>
      </c>
      <c r="E593" s="282"/>
      <c r="F593" s="282" t="s">
        <v>4134</v>
      </c>
      <c r="G593" s="93" t="s">
        <v>4135</v>
      </c>
      <c r="H593" s="282" t="s">
        <v>4136</v>
      </c>
      <c r="I593" s="282"/>
      <c r="J593" s="282" t="s">
        <v>4137</v>
      </c>
    </row>
    <row r="594" spans="1:10" x14ac:dyDescent="0.2">
      <c r="A594" s="93" t="str">
        <f t="shared" ca="1" si="0"/>
        <v>失神饮料</v>
      </c>
      <c r="B594" s="93" t="s">
        <v>4138</v>
      </c>
      <c r="C594" s="282"/>
      <c r="D594" s="282" t="s">
        <v>4139</v>
      </c>
      <c r="E594" s="282"/>
      <c r="F594" s="282" t="s">
        <v>4140</v>
      </c>
      <c r="G594" s="93" t="s">
        <v>4141</v>
      </c>
      <c r="H594" s="282" t="s">
        <v>4142</v>
      </c>
      <c r="I594" s="282"/>
      <c r="J594" s="282" t="s">
        <v>4143</v>
      </c>
    </row>
    <row r="595" spans="1:10" x14ac:dyDescent="0.2">
      <c r="A595" s="93" t="str">
        <f t="shared" ca="1" si="0"/>
        <v>鲜红的苹果</v>
      </c>
      <c r="B595" s="93" t="s">
        <v>4144</v>
      </c>
      <c r="C595" s="282" t="s">
        <v>4145</v>
      </c>
      <c r="D595" s="282" t="s">
        <v>4146</v>
      </c>
      <c r="E595" s="282"/>
      <c r="F595" s="282" t="s">
        <v>4147</v>
      </c>
      <c r="G595" s="93" t="s">
        <v>4148</v>
      </c>
      <c r="H595" s="282" t="s">
        <v>4149</v>
      </c>
      <c r="I595" s="282"/>
      <c r="J595" s="282" t="s">
        <v>4150</v>
      </c>
    </row>
    <row r="596" spans="1:10" x14ac:dyDescent="0.2">
      <c r="A596" s="93" t="str">
        <f t="shared" ca="1" si="0"/>
        <v>吐息瓶</v>
      </c>
      <c r="B596" s="93" t="s">
        <v>4151</v>
      </c>
      <c r="C596" s="282"/>
      <c r="D596" s="282" t="s">
        <v>4152</v>
      </c>
      <c r="E596" s="282"/>
      <c r="F596" s="282" t="s">
        <v>4153</v>
      </c>
      <c r="G596" s="93" t="s">
        <v>4154</v>
      </c>
      <c r="H596" s="282" t="s">
        <v>4154</v>
      </c>
      <c r="I596" s="282"/>
      <c r="J596" s="282" t="s">
        <v>4155</v>
      </c>
    </row>
    <row r="597" spans="1:10" x14ac:dyDescent="0.2">
      <c r="A597" s="93" t="str">
        <f t="shared" ca="1" si="0"/>
        <v>魔物香水</v>
      </c>
      <c r="B597" s="93" t="s">
        <v>4156</v>
      </c>
      <c r="C597" s="282"/>
      <c r="D597" s="282" t="s">
        <v>4157</v>
      </c>
      <c r="E597" s="282"/>
      <c r="F597" s="282" t="s">
        <v>4158</v>
      </c>
      <c r="G597" s="93" t="s">
        <v>4159</v>
      </c>
      <c r="H597" s="282" t="s">
        <v>4159</v>
      </c>
      <c r="I597" s="282"/>
      <c r="J597" s="282" t="s">
        <v>4160</v>
      </c>
    </row>
    <row r="598" spans="1:10" x14ac:dyDescent="0.2">
      <c r="A598" s="93" t="str">
        <f t="shared" ca="1" si="0"/>
        <v>小杯子</v>
      </c>
      <c r="B598" s="93" t="s">
        <v>4161</v>
      </c>
      <c r="C598" s="282"/>
      <c r="D598" s="282" t="s">
        <v>4162</v>
      </c>
      <c r="E598" s="282"/>
      <c r="F598" s="282" t="s">
        <v>4163</v>
      </c>
      <c r="G598" s="93" t="s">
        <v>4164</v>
      </c>
      <c r="H598" s="282" t="s">
        <v>4164</v>
      </c>
      <c r="I598" s="282"/>
      <c r="J598" s="282" t="s">
        <v>4165</v>
      </c>
    </row>
    <row r="599" spans="1:10" x14ac:dyDescent="0.2">
      <c r="A599" s="93" t="str">
        <f t="shared" ca="1" si="0"/>
        <v>擦得亮晶晶的银手表</v>
      </c>
      <c r="B599" s="93" t="s">
        <v>4166</v>
      </c>
      <c r="C599" s="282"/>
      <c r="D599" s="282" t="s">
        <v>4167</v>
      </c>
      <c r="E599" s="282"/>
      <c r="F599" s="282" t="s">
        <v>4168</v>
      </c>
      <c r="G599" s="93" t="s">
        <v>4169</v>
      </c>
      <c r="H599" s="282" t="s">
        <v>4170</v>
      </c>
      <c r="I599" s="282"/>
      <c r="J599" s="282" t="s">
        <v>4171</v>
      </c>
    </row>
    <row r="600" spans="1:10" x14ac:dyDescent="0.2">
      <c r="A600" s="93" t="str">
        <f t="shared" ca="1" si="0"/>
        <v>带吻痕的肖像画</v>
      </c>
      <c r="B600" s="93" t="s">
        <v>4172</v>
      </c>
      <c r="C600" s="282" t="s">
        <v>4173</v>
      </c>
      <c r="D600" s="282" t="s">
        <v>4174</v>
      </c>
      <c r="E600" s="282"/>
      <c r="F600" s="282" t="s">
        <v>4175</v>
      </c>
      <c r="G600" s="93" t="s">
        <v>4176</v>
      </c>
      <c r="H600" s="282" t="s">
        <v>4177</v>
      </c>
      <c r="I600" s="282"/>
      <c r="J600" s="282" t="s">
        <v>4178</v>
      </c>
    </row>
    <row r="601" spans="1:10" x14ac:dyDescent="0.2">
      <c r="A601" s="93" t="str">
        <f t="shared" ca="1" si="0"/>
        <v>简单！冒险者入门</v>
      </c>
      <c r="B601" s="93" t="s">
        <v>4179</v>
      </c>
      <c r="C601" s="282"/>
      <c r="D601" s="282" t="s">
        <v>4180</v>
      </c>
      <c r="E601" s="282"/>
      <c r="F601" s="282" t="s">
        <v>4181</v>
      </c>
      <c r="G601" s="93" t="s">
        <v>4182</v>
      </c>
      <c r="H601" s="282" t="s">
        <v>4183</v>
      </c>
      <c r="I601" s="282"/>
      <c r="J601" s="282" t="s">
        <v>4184</v>
      </c>
    </row>
    <row r="602" spans="1:10" x14ac:dyDescent="0.2">
      <c r="A602" s="93" t="str">
        <f t="shared" ca="1" si="0"/>
        <v>稀奇的石头</v>
      </c>
      <c r="B602" s="93" t="s">
        <v>4185</v>
      </c>
      <c r="C602" s="282"/>
      <c r="D602" s="282" t="s">
        <v>4186</v>
      </c>
      <c r="E602" s="282"/>
      <c r="F602" s="282" t="s">
        <v>4187</v>
      </c>
      <c r="G602" s="93" t="s">
        <v>4188</v>
      </c>
      <c r="H602" s="282" t="s">
        <v>4189</v>
      </c>
      <c r="I602" s="282"/>
      <c r="J602" s="282" t="s">
        <v>4190</v>
      </c>
    </row>
    <row r="603" spans="1:10" x14ac:dyDescent="0.2">
      <c r="A603" s="93" t="str">
        <f t="shared" ca="1" si="0"/>
        <v>鼓胀的钱包</v>
      </c>
      <c r="B603" s="93" t="s">
        <v>4191</v>
      </c>
      <c r="C603" s="282" t="s">
        <v>4192</v>
      </c>
      <c r="D603" s="282" t="s">
        <v>4193</v>
      </c>
      <c r="E603" s="282"/>
      <c r="F603" s="282" t="s">
        <v>4194</v>
      </c>
      <c r="G603" s="93" t="s">
        <v>4195</v>
      </c>
      <c r="H603" s="282" t="s">
        <v>4196</v>
      </c>
      <c r="I603" s="282"/>
      <c r="J603" s="282" t="s">
        <v>4197</v>
      </c>
    </row>
    <row r="604" spans="1:10" x14ac:dyDescent="0.2">
      <c r="A604" s="93" t="str">
        <f t="shared" ca="1" si="0"/>
        <v>纪念金币</v>
      </c>
      <c r="B604" s="93" t="s">
        <v>4198</v>
      </c>
      <c r="C604" s="282"/>
      <c r="D604" s="282" t="s">
        <v>4199</v>
      </c>
      <c r="E604" s="282"/>
      <c r="F604" s="282" t="s">
        <v>4200</v>
      </c>
      <c r="G604" s="93" t="s">
        <v>4201</v>
      </c>
      <c r="H604" s="282" t="s">
        <v>4202</v>
      </c>
      <c r="I604" s="282"/>
      <c r="J604" s="282" t="s">
        <v>4203</v>
      </c>
    </row>
    <row r="605" spans="1:10" x14ac:dyDescent="0.2">
      <c r="A605" s="93" t="str">
        <f t="shared" ca="1" si="0"/>
        <v>放了银块的皮袋</v>
      </c>
      <c r="B605" s="93" t="s">
        <v>4204</v>
      </c>
      <c r="C605" s="282"/>
      <c r="D605" s="282" t="s">
        <v>4205</v>
      </c>
      <c r="E605" s="282"/>
      <c r="F605" s="282" t="s">
        <v>4206</v>
      </c>
      <c r="G605" s="93" t="s">
        <v>4207</v>
      </c>
      <c r="H605" s="282" t="s">
        <v>4208</v>
      </c>
      <c r="I605" s="282"/>
      <c r="J605" s="282" t="s">
        <v>4209</v>
      </c>
    </row>
    <row r="606" spans="1:10" x14ac:dyDescent="0.2">
      <c r="A606" s="93" t="str">
        <f t="shared" ca="1" si="0"/>
        <v>鸡毛掸子</v>
      </c>
      <c r="B606" s="93" t="s">
        <v>4210</v>
      </c>
      <c r="C606" s="282"/>
      <c r="D606" s="282" t="s">
        <v>4211</v>
      </c>
      <c r="E606" s="282"/>
      <c r="F606" s="282" t="s">
        <v>4212</v>
      </c>
      <c r="G606" s="93" t="s">
        <v>4213</v>
      </c>
      <c r="H606" s="282" t="s">
        <v>4214</v>
      </c>
      <c r="I606" s="282"/>
      <c r="J606" s="282"/>
    </row>
    <row r="607" spans="1:10" x14ac:dyDescent="0.2">
      <c r="A607" s="93" t="str">
        <f t="shared" ca="1" si="0"/>
        <v>阿里的面包</v>
      </c>
      <c r="B607" s="93" t="s">
        <v>4215</v>
      </c>
      <c r="C607" s="282" t="s">
        <v>4216</v>
      </c>
      <c r="D607" s="282" t="s">
        <v>4217</v>
      </c>
      <c r="E607" s="282"/>
      <c r="F607" s="282" t="s">
        <v>4218</v>
      </c>
      <c r="G607" s="93" t="s">
        <v>4219</v>
      </c>
      <c r="H607" s="282" t="s">
        <v>4220</v>
      </c>
      <c r="I607" s="282"/>
      <c r="J607" s="282" t="s">
        <v>4221</v>
      </c>
    </row>
    <row r="608" spans="1:10" x14ac:dyDescent="0.2">
      <c r="A608" s="93" t="str">
        <f t="shared" ca="1" si="0"/>
        <v>约书亚的诗</v>
      </c>
      <c r="B608" s="93" t="s">
        <v>4222</v>
      </c>
      <c r="C608" s="282" t="s">
        <v>4223</v>
      </c>
      <c r="D608" s="282" t="s">
        <v>4224</v>
      </c>
      <c r="E608" s="282"/>
      <c r="F608" s="282" t="s">
        <v>4225</v>
      </c>
      <c r="G608" s="93" t="s">
        <v>4226</v>
      </c>
      <c r="H608" s="282" t="s">
        <v>4227</v>
      </c>
      <c r="I608" s="282"/>
      <c r="J608" s="282" t="s">
        <v>4228</v>
      </c>
    </row>
    <row r="609" spans="1:10" x14ac:dyDescent="0.2">
      <c r="A609" s="93" t="str">
        <f t="shared" ca="1" si="0"/>
        <v>猫眼石</v>
      </c>
      <c r="B609" s="93" t="s">
        <v>4229</v>
      </c>
      <c r="C609" s="282"/>
      <c r="D609" s="282" t="s">
        <v>4230</v>
      </c>
      <c r="E609" s="282"/>
      <c r="F609" s="282" t="s">
        <v>4231</v>
      </c>
      <c r="G609" s="93" t="s">
        <v>4232</v>
      </c>
      <c r="H609" s="282" t="s">
        <v>4233</v>
      </c>
      <c r="I609" s="282"/>
      <c r="J609" s="282" t="s">
        <v>4234</v>
      </c>
    </row>
    <row r="610" spans="1:10" x14ac:dyDescent="0.2">
      <c r="A610" s="93" t="str">
        <f t="shared" ca="1" si="0"/>
        <v>带钱的项圈</v>
      </c>
      <c r="B610" s="93" t="s">
        <v>4235</v>
      </c>
      <c r="C610" s="282"/>
      <c r="D610" s="282" t="s">
        <v>4236</v>
      </c>
      <c r="E610" s="282"/>
      <c r="F610" s="282" t="s">
        <v>4237</v>
      </c>
      <c r="G610" s="93" t="s">
        <v>4238</v>
      </c>
      <c r="H610" s="282" t="s">
        <v>4239</v>
      </c>
      <c r="I610" s="282"/>
      <c r="J610" s="282" t="s">
        <v>4240</v>
      </c>
    </row>
    <row r="611" spans="1:10" x14ac:dyDescent="0.2">
      <c r="A611" s="93" t="str">
        <f t="shared" ca="1" si="0"/>
        <v>旧硬币</v>
      </c>
      <c r="B611" s="93" t="s">
        <v>4241</v>
      </c>
      <c r="C611" s="282" t="s">
        <v>4242</v>
      </c>
      <c r="D611" s="282" t="s">
        <v>4243</v>
      </c>
      <c r="E611" s="282"/>
      <c r="F611" s="282" t="s">
        <v>4244</v>
      </c>
      <c r="G611" s="93" t="s">
        <v>4245</v>
      </c>
      <c r="H611" s="282" t="s">
        <v>4246</v>
      </c>
      <c r="I611" s="282"/>
      <c r="J611" s="282" t="s">
        <v>4247</v>
      </c>
    </row>
    <row r="612" spans="1:10" x14ac:dyDescent="0.2">
      <c r="A612" s="93" t="str">
        <f t="shared" ca="1" si="0"/>
        <v>放了铜块的麻袋</v>
      </c>
      <c r="B612" s="93" t="s">
        <v>4248</v>
      </c>
      <c r="C612" s="282" t="s">
        <v>4249</v>
      </c>
      <c r="D612" s="282" t="s">
        <v>4250</v>
      </c>
      <c r="E612" s="282"/>
      <c r="F612" s="282" t="s">
        <v>4251</v>
      </c>
      <c r="G612" s="93" t="s">
        <v>4252</v>
      </c>
      <c r="H612" s="282" t="s">
        <v>4253</v>
      </c>
      <c r="I612" s="282"/>
      <c r="J612" s="282" t="s">
        <v>4254</v>
      </c>
    </row>
    <row r="613" spans="1:10" x14ac:dyDescent="0.2">
      <c r="A613" s="93" t="str">
        <f t="shared" ca="1" si="0"/>
        <v>芸香药</v>
      </c>
      <c r="B613" s="93" t="s">
        <v>4255</v>
      </c>
      <c r="C613" s="282"/>
      <c r="D613" s="282" t="s">
        <v>4256</v>
      </c>
      <c r="E613" s="282"/>
      <c r="F613" s="282" t="s">
        <v>4257</v>
      </c>
      <c r="G613" s="93" t="s">
        <v>4258</v>
      </c>
      <c r="H613" s="282" t="s">
        <v>4259</v>
      </c>
      <c r="I613" s="282"/>
      <c r="J613" s="282" t="s">
        <v>4260</v>
      </c>
    </row>
    <row r="614" spans="1:10" x14ac:dyDescent="0.2">
      <c r="A614" s="93" t="str">
        <f t="shared" ca="1" si="0"/>
        <v>奇特的古董</v>
      </c>
      <c r="B614" s="93" t="s">
        <v>4261</v>
      </c>
      <c r="C614" s="282"/>
      <c r="D614" s="282" t="s">
        <v>4262</v>
      </c>
      <c r="E614" s="282"/>
      <c r="F614" s="282" t="s">
        <v>4263</v>
      </c>
      <c r="G614" s="93" t="s">
        <v>4264</v>
      </c>
      <c r="H614" s="282" t="s">
        <v>4265</v>
      </c>
      <c r="I614" s="282"/>
      <c r="J614" s="282" t="s">
        <v>4266</v>
      </c>
    </row>
    <row r="615" spans="1:10" x14ac:dyDescent="0.2">
      <c r="A615" s="93" t="str">
        <f t="shared" ca="1" si="0"/>
        <v>目眩神迷的美术品</v>
      </c>
      <c r="B615" s="93" t="s">
        <v>4267</v>
      </c>
      <c r="C615" s="282"/>
      <c r="D615" s="282" t="s">
        <v>4268</v>
      </c>
      <c r="E615" s="282"/>
      <c r="F615" s="282" t="s">
        <v>4269</v>
      </c>
      <c r="G615" s="93" t="s">
        <v>4270</v>
      </c>
      <c r="H615" s="282" t="s">
        <v>4271</v>
      </c>
      <c r="I615" s="282"/>
      <c r="J615" s="282" t="s">
        <v>4272</v>
      </c>
    </row>
    <row r="616" spans="1:10" x14ac:dyDescent="0.2">
      <c r="A616" s="93" t="str">
        <f t="shared" ca="1" si="0"/>
        <v>锈蚀腐朽的杯子</v>
      </c>
      <c r="B616" s="93" t="s">
        <v>4273</v>
      </c>
      <c r="C616" s="282"/>
      <c r="D616" s="282" t="s">
        <v>4274</v>
      </c>
      <c r="E616" s="282"/>
      <c r="F616" s="282" t="s">
        <v>4275</v>
      </c>
      <c r="G616" s="93" t="s">
        <v>4276</v>
      </c>
      <c r="H616" s="282" t="s">
        <v>4277</v>
      </c>
      <c r="I616" s="282"/>
      <c r="J616" s="282" t="s">
        <v>4278</v>
      </c>
    </row>
    <row r="617" spans="1:10" x14ac:dyDescent="0.2">
      <c r="A617" s="93" t="str">
        <f t="shared" ca="1" si="0"/>
        <v>光泽不自然的金币</v>
      </c>
      <c r="B617" s="93" t="s">
        <v>4279</v>
      </c>
      <c r="C617" s="282"/>
      <c r="D617" s="282" t="s">
        <v>4280</v>
      </c>
      <c r="E617" s="282"/>
      <c r="F617" s="282" t="s">
        <v>4281</v>
      </c>
      <c r="G617" s="93" t="s">
        <v>4282</v>
      </c>
      <c r="H617" s="282" t="s">
        <v>4283</v>
      </c>
      <c r="I617" s="282"/>
      <c r="J617" s="282"/>
    </row>
    <row r="618" spans="1:10" x14ac:dyDescent="0.2">
      <c r="A618" s="93" t="str">
        <f t="shared" ca="1" si="0"/>
        <v>画了地图的布片</v>
      </c>
      <c r="B618" s="93" t="s">
        <v>4284</v>
      </c>
      <c r="C618" s="282"/>
      <c r="D618" s="282" t="s">
        <v>4285</v>
      </c>
      <c r="E618" s="282"/>
      <c r="F618" s="282" t="s">
        <v>4286</v>
      </c>
      <c r="G618" s="93" t="s">
        <v>4287</v>
      </c>
      <c r="H618" s="282" t="s">
        <v>4288</v>
      </c>
      <c r="I618" s="282"/>
      <c r="J618" s="282"/>
    </row>
    <row r="619" spans="1:10" x14ac:dyDescent="0.2">
      <c r="A619" s="79" t="str">
        <f t="shared" ca="1" si="0"/>
        <v>剑</v>
      </c>
      <c r="B619" s="79" t="s">
        <v>4289</v>
      </c>
      <c r="C619" s="252" t="s">
        <v>4290</v>
      </c>
      <c r="D619" s="252" t="s">
        <v>4291</v>
      </c>
      <c r="E619" s="252"/>
      <c r="F619" s="252"/>
      <c r="G619" s="79" t="s">
        <v>4292</v>
      </c>
      <c r="H619" s="252" t="s">
        <v>4293</v>
      </c>
      <c r="I619" s="252"/>
      <c r="J619" s="252" t="s">
        <v>4294</v>
      </c>
    </row>
    <row r="620" spans="1:10" x14ac:dyDescent="0.2">
      <c r="A620" s="93" t="str">
        <f t="shared" ca="1" si="0"/>
        <v>历战之剑</v>
      </c>
      <c r="B620" s="93" t="s">
        <v>4295</v>
      </c>
      <c r="C620" s="282"/>
      <c r="D620" s="282" t="s">
        <v>4296</v>
      </c>
      <c r="E620" s="282"/>
      <c r="F620" s="282" t="s">
        <v>4297</v>
      </c>
      <c r="G620" s="93" t="s">
        <v>4298</v>
      </c>
      <c r="H620" s="282" t="s">
        <v>4299</v>
      </c>
      <c r="I620" s="282"/>
      <c r="J620" s="282" t="s">
        <v>4300</v>
      </c>
    </row>
    <row r="621" spans="1:10" x14ac:dyDescent="0.2">
      <c r="A621" s="93" t="str">
        <f t="shared" ca="1" si="0"/>
        <v>哈洛德之剑</v>
      </c>
      <c r="B621" s="93" t="s">
        <v>4301</v>
      </c>
      <c r="C621" s="282" t="s">
        <v>4302</v>
      </c>
      <c r="D621" s="282" t="s">
        <v>4303</v>
      </c>
      <c r="E621" s="282"/>
      <c r="F621" s="282" t="s">
        <v>4304</v>
      </c>
      <c r="G621" s="93" t="s">
        <v>4305</v>
      </c>
      <c r="H621" s="282" t="s">
        <v>4306</v>
      </c>
      <c r="I621" s="282"/>
      <c r="J621" s="282" t="s">
        <v>4307</v>
      </c>
    </row>
    <row r="622" spans="1:10" x14ac:dyDescent="0.2">
      <c r="A622" s="93" t="str">
        <f t="shared" ca="1" si="0"/>
        <v>魔力之剑</v>
      </c>
      <c r="B622" s="93" t="s">
        <v>4308</v>
      </c>
      <c r="C622" s="282"/>
      <c r="D622" s="282" t="s">
        <v>4309</v>
      </c>
      <c r="E622" s="282"/>
      <c r="F622" s="282" t="s">
        <v>4310</v>
      </c>
      <c r="G622" s="93" t="s">
        <v>4311</v>
      </c>
      <c r="H622" s="282" t="s">
        <v>4312</v>
      </c>
      <c r="I622" s="282"/>
      <c r="J622" s="282" t="s">
        <v>4313</v>
      </c>
    </row>
    <row r="623" spans="1:10" x14ac:dyDescent="0.2">
      <c r="A623" s="93" t="str">
        <f t="shared" ca="1" si="0"/>
        <v>禁忌之剑</v>
      </c>
      <c r="B623" s="93" t="s">
        <v>4314</v>
      </c>
      <c r="C623" s="282"/>
      <c r="D623" s="282" t="s">
        <v>4315</v>
      </c>
      <c r="E623" s="282"/>
      <c r="F623" s="282" t="s">
        <v>4316</v>
      </c>
      <c r="G623" s="93" t="s">
        <v>4317</v>
      </c>
      <c r="H623" s="282" t="s">
        <v>4318</v>
      </c>
      <c r="I623" s="282"/>
      <c r="J623" s="282" t="s">
        <v>4319</v>
      </c>
    </row>
    <row r="624" spans="1:10" x14ac:dyDescent="0.2">
      <c r="A624" s="93" t="str">
        <f t="shared" ca="1" si="0"/>
        <v>维尔纳之剑</v>
      </c>
      <c r="B624" s="93" t="s">
        <v>4320</v>
      </c>
      <c r="C624" s="282" t="s">
        <v>4321</v>
      </c>
      <c r="D624" s="282" t="s">
        <v>4322</v>
      </c>
      <c r="E624" s="282"/>
      <c r="F624" s="282" t="s">
        <v>4323</v>
      </c>
      <c r="G624" s="93" t="s">
        <v>4324</v>
      </c>
      <c r="H624" s="282" t="s">
        <v>4325</v>
      </c>
      <c r="I624" s="282"/>
      <c r="J624" s="282" t="s">
        <v>4326</v>
      </c>
    </row>
    <row r="625" spans="1:10" x14ac:dyDescent="0.2">
      <c r="A625" s="93" t="str">
        <f t="shared" ca="1" si="0"/>
        <v>龙之军刀</v>
      </c>
      <c r="B625" s="93" t="s">
        <v>4327</v>
      </c>
      <c r="C625" s="282" t="s">
        <v>4328</v>
      </c>
      <c r="D625" s="282" t="s">
        <v>4329</v>
      </c>
      <c r="E625" s="282"/>
      <c r="F625" s="282" t="s">
        <v>4330</v>
      </c>
      <c r="G625" s="93" t="s">
        <v>4331</v>
      </c>
      <c r="H625" s="282" t="s">
        <v>4332</v>
      </c>
      <c r="I625" s="282"/>
      <c r="J625" s="282" t="s">
        <v>4333</v>
      </c>
    </row>
    <row r="626" spans="1:10" x14ac:dyDescent="0.2">
      <c r="A626" s="93" t="str">
        <f t="shared" ca="1" si="0"/>
        <v>皇帝之刃</v>
      </c>
      <c r="B626" s="93" t="s">
        <v>4334</v>
      </c>
      <c r="C626" s="282"/>
      <c r="D626" s="282" t="s">
        <v>4335</v>
      </c>
      <c r="E626" s="282"/>
      <c r="F626" s="282" t="s">
        <v>4336</v>
      </c>
      <c r="G626" s="93" t="s">
        <v>4337</v>
      </c>
      <c r="H626" s="282" t="s">
        <v>4337</v>
      </c>
      <c r="I626" s="282"/>
      <c r="J626" s="282" t="s">
        <v>4338</v>
      </c>
    </row>
    <row r="627" spans="1:10" x14ac:dyDescent="0.2">
      <c r="A627" s="93" t="str">
        <f t="shared" ca="1" si="0"/>
        <v>透明军刀</v>
      </c>
      <c r="B627" s="93" t="s">
        <v>4339</v>
      </c>
      <c r="C627" s="282"/>
      <c r="D627" s="282" t="s">
        <v>4340</v>
      </c>
      <c r="E627" s="282"/>
      <c r="F627" s="282" t="s">
        <v>4341</v>
      </c>
      <c r="G627" s="93" t="s">
        <v>4342</v>
      </c>
      <c r="H627" s="282" t="s">
        <v>4343</v>
      </c>
      <c r="I627" s="282"/>
      <c r="J627" s="282" t="s">
        <v>4344</v>
      </c>
    </row>
    <row r="628" spans="1:10" x14ac:dyDescent="0.2">
      <c r="A628" s="93" t="str">
        <f t="shared" ca="1" si="0"/>
        <v>召唤死亡之剑</v>
      </c>
      <c r="B628" s="93" t="s">
        <v>4345</v>
      </c>
      <c r="C628" s="282"/>
      <c r="D628" s="282" t="s">
        <v>4346</v>
      </c>
      <c r="E628" s="282"/>
      <c r="F628" s="282" t="s">
        <v>4347</v>
      </c>
      <c r="G628" s="93" t="s">
        <v>4348</v>
      </c>
      <c r="H628" s="282" t="s">
        <v>4349</v>
      </c>
      <c r="I628" s="282"/>
      <c r="J628" s="282" t="s">
        <v>4350</v>
      </c>
    </row>
    <row r="629" spans="1:10" x14ac:dyDescent="0.2">
      <c r="A629" s="93" t="str">
        <f t="shared" ca="1" si="0"/>
        <v>三位一体剑</v>
      </c>
      <c r="B629" s="93" t="s">
        <v>4351</v>
      </c>
      <c r="C629" s="282"/>
      <c r="D629" s="282" t="s">
        <v>4352</v>
      </c>
      <c r="E629" s="282"/>
      <c r="F629" s="282" t="s">
        <v>4353</v>
      </c>
      <c r="G629" s="93" t="s">
        <v>4354</v>
      </c>
      <c r="H629" s="282" t="s">
        <v>4355</v>
      </c>
      <c r="I629" s="282"/>
      <c r="J629" s="282" t="s">
        <v>4356</v>
      </c>
    </row>
    <row r="630" spans="1:10" x14ac:dyDescent="0.2">
      <c r="A630" s="93" t="str">
        <f t="shared" ca="1" si="0"/>
        <v>显赫之刃</v>
      </c>
      <c r="B630" s="93" t="s">
        <v>4357</v>
      </c>
      <c r="C630" s="282"/>
      <c r="D630" s="282" t="s">
        <v>4358</v>
      </c>
      <c r="E630" s="282"/>
      <c r="F630" s="282" t="s">
        <v>4359</v>
      </c>
      <c r="G630" s="93" t="s">
        <v>4360</v>
      </c>
      <c r="H630" s="282" t="s">
        <v>4361</v>
      </c>
      <c r="I630" s="282"/>
      <c r="J630" s="282" t="s">
        <v>4362</v>
      </c>
    </row>
    <row r="631" spans="1:10" x14ac:dyDescent="0.2">
      <c r="A631" s="93" t="str">
        <f t="shared" ca="1" si="0"/>
        <v>勇气之刃</v>
      </c>
      <c r="B631" s="93" t="s">
        <v>4363</v>
      </c>
      <c r="C631" s="282"/>
      <c r="D631" s="282" t="s">
        <v>4364</v>
      </c>
      <c r="E631" s="282"/>
      <c r="F631" s="282" t="s">
        <v>4365</v>
      </c>
      <c r="G631" s="93" t="s">
        <v>4366</v>
      </c>
      <c r="H631" s="282" t="s">
        <v>4367</v>
      </c>
      <c r="I631" s="282"/>
      <c r="J631" s="282" t="s">
        <v>4368</v>
      </c>
    </row>
    <row r="632" spans="1:10" x14ac:dyDescent="0.2">
      <c r="A632" s="93" t="str">
        <f t="shared" ca="1" si="0"/>
        <v>天使军刀</v>
      </c>
      <c r="B632" s="93" t="s">
        <v>4369</v>
      </c>
      <c r="C632" s="282"/>
      <c r="D632" s="282" t="s">
        <v>4370</v>
      </c>
      <c r="E632" s="282"/>
      <c r="F632" s="282" t="s">
        <v>4371</v>
      </c>
      <c r="G632" s="93" t="s">
        <v>4372</v>
      </c>
      <c r="H632" s="282" t="s">
        <v>4373</v>
      </c>
      <c r="I632" s="282"/>
      <c r="J632" s="282" t="s">
        <v>4374</v>
      </c>
    </row>
    <row r="633" spans="1:10" x14ac:dyDescent="0.2">
      <c r="A633" s="93" t="str">
        <f t="shared" ca="1" si="0"/>
        <v>白金剑</v>
      </c>
      <c r="B633" s="93" t="s">
        <v>4375</v>
      </c>
      <c r="C633" s="282"/>
      <c r="D633" s="282" t="s">
        <v>4376</v>
      </c>
      <c r="E633" s="282"/>
      <c r="F633" s="282" t="s">
        <v>4377</v>
      </c>
      <c r="G633" s="93" t="s">
        <v>4378</v>
      </c>
      <c r="H633" s="282" t="s">
        <v>4379</v>
      </c>
      <c r="I633" s="282"/>
      <c r="J633" s="282" t="s">
        <v>4380</v>
      </c>
    </row>
    <row r="634" spans="1:10" x14ac:dyDescent="0.2">
      <c r="A634" s="93" t="str">
        <f t="shared" ca="1" si="0"/>
        <v>神圣之刃</v>
      </c>
      <c r="B634" s="93" t="s">
        <v>4381</v>
      </c>
      <c r="C634" s="282" t="s">
        <v>4382</v>
      </c>
      <c r="D634" s="282" t="s">
        <v>4383</v>
      </c>
      <c r="E634" s="282"/>
      <c r="F634" s="282" t="s">
        <v>4384</v>
      </c>
      <c r="G634" s="93" t="s">
        <v>4385</v>
      </c>
      <c r="H634" s="282" t="s">
        <v>4386</v>
      </c>
      <c r="I634" s="282"/>
      <c r="J634" s="282" t="s">
        <v>4387</v>
      </c>
    </row>
    <row r="635" spans="1:10" x14ac:dyDescent="0.2">
      <c r="A635" s="93" t="str">
        <f t="shared" ca="1" si="0"/>
        <v>暴力之剑</v>
      </c>
      <c r="B635" s="93" t="s">
        <v>4388</v>
      </c>
      <c r="C635" s="282"/>
      <c r="D635" s="282" t="s">
        <v>4389</v>
      </c>
      <c r="E635" s="282"/>
      <c r="F635" s="282" t="s">
        <v>4390</v>
      </c>
      <c r="G635" s="93" t="s">
        <v>4391</v>
      </c>
      <c r="H635" s="282" t="s">
        <v>4392</v>
      </c>
      <c r="I635" s="282"/>
      <c r="J635" s="282" t="s">
        <v>4393</v>
      </c>
    </row>
    <row r="636" spans="1:10" x14ac:dyDescent="0.2">
      <c r="A636" s="93" t="str">
        <f t="shared" ca="1" si="0"/>
        <v>骑士剑</v>
      </c>
      <c r="B636" s="93" t="s">
        <v>4394</v>
      </c>
      <c r="C636" s="282"/>
      <c r="D636" s="282" t="s">
        <v>4395</v>
      </c>
      <c r="E636" s="282"/>
      <c r="F636" s="282" t="s">
        <v>4396</v>
      </c>
      <c r="G636" s="93" t="s">
        <v>4397</v>
      </c>
      <c r="H636" s="282" t="s">
        <v>4398</v>
      </c>
      <c r="I636" s="282"/>
      <c r="J636" s="282" t="s">
        <v>4399</v>
      </c>
    </row>
    <row r="637" spans="1:10" x14ac:dyDescent="0.2">
      <c r="A637" s="93" t="str">
        <f t="shared" ca="1" si="0"/>
        <v>强化剑</v>
      </c>
      <c r="B637" s="93" t="s">
        <v>4400</v>
      </c>
      <c r="C637" s="282" t="s">
        <v>4401</v>
      </c>
      <c r="D637" s="282" t="s">
        <v>4402</v>
      </c>
      <c r="E637" s="282"/>
      <c r="F637" s="282" t="s">
        <v>4403</v>
      </c>
      <c r="G637" s="93" t="s">
        <v>4404</v>
      </c>
      <c r="H637" s="282" t="s">
        <v>4405</v>
      </c>
      <c r="I637" s="282"/>
      <c r="J637" s="282" t="s">
        <v>4406</v>
      </c>
    </row>
    <row r="638" spans="1:10" x14ac:dyDescent="0.2">
      <c r="A638" s="93" t="str">
        <f t="shared" ca="1" si="0"/>
        <v>狙击军刀</v>
      </c>
      <c r="B638" s="93" t="s">
        <v>4407</v>
      </c>
      <c r="C638" s="282"/>
      <c r="D638" s="282" t="s">
        <v>4408</v>
      </c>
      <c r="E638" s="282"/>
      <c r="F638" s="282" t="s">
        <v>4409</v>
      </c>
      <c r="G638" s="93" t="s">
        <v>4410</v>
      </c>
      <c r="H638" s="282" t="s">
        <v>4411</v>
      </c>
      <c r="I638" s="282"/>
      <c r="J638" s="282" t="s">
        <v>4412</v>
      </c>
    </row>
    <row r="639" spans="1:10" x14ac:dyDescent="0.2">
      <c r="A639" s="93" t="str">
        <f t="shared" ca="1" si="0"/>
        <v>月之刃</v>
      </c>
      <c r="B639" s="93" t="s">
        <v>4413</v>
      </c>
      <c r="C639" s="282"/>
      <c r="D639" s="282" t="s">
        <v>4414</v>
      </c>
      <c r="E639" s="282"/>
      <c r="F639" s="282" t="s">
        <v>4415</v>
      </c>
      <c r="G639" s="93" t="s">
        <v>4416</v>
      </c>
      <c r="H639" s="282" t="s">
        <v>4416</v>
      </c>
      <c r="I639" s="282"/>
      <c r="J639" s="282" t="s">
        <v>4417</v>
      </c>
    </row>
    <row r="640" spans="1:10" x14ac:dyDescent="0.2">
      <c r="A640" s="93" t="str">
        <f t="shared" ca="1" si="0"/>
        <v>幻象之刃</v>
      </c>
      <c r="B640" s="93" t="s">
        <v>4418</v>
      </c>
      <c r="C640" s="282"/>
      <c r="D640" s="282" t="s">
        <v>4419</v>
      </c>
      <c r="E640" s="282"/>
      <c r="F640" s="282" t="s">
        <v>4420</v>
      </c>
      <c r="G640" s="93" t="s">
        <v>4421</v>
      </c>
      <c r="H640" s="282" t="s">
        <v>4421</v>
      </c>
      <c r="I640" s="282"/>
      <c r="J640" s="282" t="s">
        <v>4422</v>
      </c>
    </row>
    <row r="641" spans="1:10" x14ac:dyDescent="0.2">
      <c r="A641" s="93" t="str">
        <f t="shared" ca="1" si="0"/>
        <v>老鹰军刀</v>
      </c>
      <c r="B641" s="93" t="s">
        <v>4423</v>
      </c>
      <c r="C641" s="282" t="s">
        <v>4424</v>
      </c>
      <c r="D641" s="282" t="s">
        <v>4425</v>
      </c>
      <c r="E641" s="282"/>
      <c r="F641" s="282" t="s">
        <v>4426</v>
      </c>
      <c r="G641" s="93" t="s">
        <v>4427</v>
      </c>
      <c r="H641" s="282" t="s">
        <v>4428</v>
      </c>
      <c r="I641" s="282"/>
      <c r="J641" s="282" t="s">
        <v>4429</v>
      </c>
    </row>
    <row r="642" spans="1:10" x14ac:dyDescent="0.2">
      <c r="A642" s="93" t="str">
        <f t="shared" ca="1" si="0"/>
        <v>混用剑</v>
      </c>
      <c r="B642" s="93" t="s">
        <v>4430</v>
      </c>
      <c r="C642" s="282"/>
      <c r="D642" s="282" t="s">
        <v>4431</v>
      </c>
      <c r="E642" s="282"/>
      <c r="F642" s="282" t="s">
        <v>4432</v>
      </c>
      <c r="G642" s="93" t="s">
        <v>4433</v>
      </c>
      <c r="H642" s="282" t="s">
        <v>4434</v>
      </c>
      <c r="I642" s="282"/>
      <c r="J642" s="282" t="s">
        <v>4435</v>
      </c>
    </row>
    <row r="643" spans="1:10" x14ac:dyDescent="0.2">
      <c r="A643" s="93" t="str">
        <f t="shared" ca="1" si="0"/>
        <v>重刃</v>
      </c>
      <c r="B643" s="93" t="s">
        <v>4436</v>
      </c>
      <c r="C643" s="282"/>
      <c r="D643" s="282" t="s">
        <v>4437</v>
      </c>
      <c r="E643" s="282"/>
      <c r="F643" s="282" t="s">
        <v>4438</v>
      </c>
      <c r="G643" s="93" t="s">
        <v>4439</v>
      </c>
      <c r="H643" s="282" t="s">
        <v>4439</v>
      </c>
      <c r="I643" s="282"/>
      <c r="J643" s="282" t="s">
        <v>4440</v>
      </c>
    </row>
    <row r="644" spans="1:10" x14ac:dyDescent="0.2">
      <c r="A644" s="93" t="str">
        <f t="shared" ca="1" si="0"/>
        <v>猎鹰军刀</v>
      </c>
      <c r="B644" s="93" t="s">
        <v>4441</v>
      </c>
      <c r="C644" s="51" t="s">
        <v>4442</v>
      </c>
      <c r="D644" s="282" t="s">
        <v>4443</v>
      </c>
      <c r="E644" s="282"/>
      <c r="F644" s="282" t="s">
        <v>4444</v>
      </c>
      <c r="G644" s="93" t="s">
        <v>4445</v>
      </c>
      <c r="H644" s="282" t="s">
        <v>4446</v>
      </c>
      <c r="I644" s="282"/>
      <c r="J644" s="282" t="s">
        <v>4447</v>
      </c>
    </row>
    <row r="645" spans="1:10" x14ac:dyDescent="0.2">
      <c r="A645" s="93" t="str">
        <f t="shared" ca="1" si="0"/>
        <v>精神剑</v>
      </c>
      <c r="B645" s="93" t="s">
        <v>4448</v>
      </c>
      <c r="C645" s="282"/>
      <c r="D645" s="282" t="s">
        <v>4449</v>
      </c>
      <c r="E645" s="282"/>
      <c r="F645" s="282" t="s">
        <v>4450</v>
      </c>
      <c r="G645" s="93" t="s">
        <v>4451</v>
      </c>
      <c r="H645" s="282" t="s">
        <v>4452</v>
      </c>
      <c r="I645" s="282"/>
      <c r="J645" s="282" t="s">
        <v>4453</v>
      </c>
    </row>
    <row r="646" spans="1:10" x14ac:dyDescent="0.2">
      <c r="A646" s="93" t="str">
        <f t="shared" ca="1" si="0"/>
        <v>团长之剑</v>
      </c>
      <c r="B646" s="93" t="s">
        <v>4454</v>
      </c>
      <c r="C646" s="282"/>
      <c r="D646" s="282" t="s">
        <v>4455</v>
      </c>
      <c r="E646" s="282"/>
      <c r="F646" s="282" t="s">
        <v>4456</v>
      </c>
      <c r="G646" s="93" t="s">
        <v>4457</v>
      </c>
      <c r="H646" s="282" t="s">
        <v>4458</v>
      </c>
      <c r="I646" s="282"/>
      <c r="J646" s="282" t="s">
        <v>4459</v>
      </c>
    </row>
    <row r="647" spans="1:10" x14ac:dyDescent="0.2">
      <c r="A647" s="93" t="str">
        <f t="shared" ca="1" si="0"/>
        <v>巨剑</v>
      </c>
      <c r="B647" s="93" t="s">
        <v>4460</v>
      </c>
      <c r="C647" s="51" t="s">
        <v>4461</v>
      </c>
      <c r="D647" s="282" t="s">
        <v>4462</v>
      </c>
      <c r="E647" s="282"/>
      <c r="F647" s="282" t="s">
        <v>4463</v>
      </c>
      <c r="G647" s="93" t="s">
        <v>4464</v>
      </c>
      <c r="H647" s="282" t="s">
        <v>4465</v>
      </c>
      <c r="I647" s="282"/>
      <c r="J647" s="282" t="s">
        <v>4466</v>
      </c>
    </row>
    <row r="648" spans="1:10" x14ac:dyDescent="0.2">
      <c r="A648" s="93" t="str">
        <f t="shared" ca="1" si="0"/>
        <v>银制剑</v>
      </c>
      <c r="B648" s="93" t="s">
        <v>4467</v>
      </c>
      <c r="C648" s="282"/>
      <c r="D648" s="282" t="s">
        <v>4468</v>
      </c>
      <c r="E648" s="282"/>
      <c r="F648" s="282" t="s">
        <v>4469</v>
      </c>
      <c r="G648" s="93" t="s">
        <v>4470</v>
      </c>
      <c r="H648" s="282" t="s">
        <v>4471</v>
      </c>
      <c r="I648" s="282"/>
      <c r="J648" s="282" t="s">
        <v>4472</v>
      </c>
    </row>
    <row r="649" spans="1:10" x14ac:dyDescent="0.2">
      <c r="A649" s="93" t="str">
        <f t="shared" ca="1" si="0"/>
        <v>羽毛军刀</v>
      </c>
      <c r="B649" s="93" t="s">
        <v>4473</v>
      </c>
      <c r="C649" s="282" t="s">
        <v>4474</v>
      </c>
      <c r="D649" s="282" t="s">
        <v>4475</v>
      </c>
      <c r="E649" s="282"/>
      <c r="F649" s="282" t="s">
        <v>4476</v>
      </c>
      <c r="G649" s="93" t="s">
        <v>4477</v>
      </c>
      <c r="H649" s="282" t="s">
        <v>4478</v>
      </c>
      <c r="I649" s="282"/>
      <c r="J649" s="282" t="s">
        <v>4479</v>
      </c>
    </row>
    <row r="650" spans="1:10" x14ac:dyDescent="0.2">
      <c r="A650" s="93" t="str">
        <f t="shared" ca="1" si="0"/>
        <v>阔剑</v>
      </c>
      <c r="B650" s="93" t="s">
        <v>4480</v>
      </c>
      <c r="C650" s="282" t="s">
        <v>4481</v>
      </c>
      <c r="D650" s="282" t="s">
        <v>4482</v>
      </c>
      <c r="E650" s="282"/>
      <c r="F650" s="282" t="s">
        <v>4483</v>
      </c>
      <c r="G650" s="93" t="s">
        <v>4484</v>
      </c>
      <c r="H650" s="282" t="s">
        <v>4485</v>
      </c>
      <c r="I650" s="282"/>
      <c r="J650" s="282" t="s">
        <v>4486</v>
      </c>
    </row>
    <row r="651" spans="1:10" x14ac:dyDescent="0.2">
      <c r="A651" s="93" t="str">
        <f t="shared" ca="1" si="0"/>
        <v>铁剑</v>
      </c>
      <c r="B651" s="93" t="s">
        <v>4487</v>
      </c>
      <c r="C651" s="282" t="s">
        <v>4488</v>
      </c>
      <c r="D651" s="282" t="s">
        <v>4489</v>
      </c>
      <c r="E651" s="282"/>
      <c r="F651" s="282" t="s">
        <v>4490</v>
      </c>
      <c r="G651" s="93" t="s">
        <v>4491</v>
      </c>
      <c r="H651" s="282" t="s">
        <v>4492</v>
      </c>
      <c r="I651" s="282"/>
      <c r="J651" s="282" t="s">
        <v>4493</v>
      </c>
    </row>
    <row r="652" spans="1:10" x14ac:dyDescent="0.2">
      <c r="A652" s="93" t="str">
        <f t="shared" ca="1" si="0"/>
        <v>长剑</v>
      </c>
      <c r="B652" s="93" t="s">
        <v>4494</v>
      </c>
      <c r="C652" s="282" t="s">
        <v>4495</v>
      </c>
      <c r="D652" s="282" t="s">
        <v>4496</v>
      </c>
      <c r="E652" s="282"/>
      <c r="F652" s="282" t="s">
        <v>4497</v>
      </c>
      <c r="G652" s="93" t="s">
        <v>4498</v>
      </c>
      <c r="H652" s="282" t="s">
        <v>4499</v>
      </c>
      <c r="I652" s="282"/>
      <c r="J652" s="282" t="s">
        <v>4500</v>
      </c>
    </row>
    <row r="653" spans="1:10" x14ac:dyDescent="0.2">
      <c r="A653" s="79" t="str">
        <f t="shared" ca="1" si="0"/>
        <v>枪</v>
      </c>
      <c r="B653" s="79" t="s">
        <v>4501</v>
      </c>
      <c r="C653" s="252" t="s">
        <v>4502</v>
      </c>
      <c r="D653" s="252" t="s">
        <v>4503</v>
      </c>
      <c r="E653" s="252"/>
      <c r="F653" s="252"/>
      <c r="G653" s="79" t="s">
        <v>4504</v>
      </c>
      <c r="H653" s="252" t="s">
        <v>4505</v>
      </c>
      <c r="I653" s="252"/>
      <c r="J653" s="252" t="s">
        <v>4504</v>
      </c>
    </row>
    <row r="654" spans="1:10" x14ac:dyDescent="0.2">
      <c r="A654" s="93" t="str">
        <f t="shared" ca="1" si="0"/>
        <v>历战之枪</v>
      </c>
      <c r="B654" s="93" t="s">
        <v>4506</v>
      </c>
      <c r="C654" s="282" t="s">
        <v>4507</v>
      </c>
      <c r="D654" s="282" t="s">
        <v>4508</v>
      </c>
      <c r="E654" s="282"/>
      <c r="F654" s="282" t="s">
        <v>4509</v>
      </c>
      <c r="G654" s="93" t="s">
        <v>4510</v>
      </c>
      <c r="H654" s="282" t="s">
        <v>4511</v>
      </c>
      <c r="I654" s="282"/>
      <c r="J654" s="282" t="s">
        <v>4512</v>
      </c>
    </row>
    <row r="655" spans="1:10" x14ac:dyDescent="0.2">
      <c r="A655" s="93" t="str">
        <f t="shared" ca="1" si="0"/>
        <v>贸易风之枪</v>
      </c>
      <c r="B655" s="93" t="s">
        <v>4513</v>
      </c>
      <c r="C655" s="282"/>
      <c r="D655" s="282" t="s">
        <v>4514</v>
      </c>
      <c r="E655" s="282"/>
      <c r="F655" s="282" t="s">
        <v>4515</v>
      </c>
      <c r="G655" s="93" t="s">
        <v>4516</v>
      </c>
      <c r="H655" s="282" t="s">
        <v>4517</v>
      </c>
      <c r="I655" s="282"/>
      <c r="J655" s="282" t="s">
        <v>4518</v>
      </c>
    </row>
    <row r="656" spans="1:10" x14ac:dyDescent="0.2">
      <c r="A656" s="93" t="str">
        <f t="shared" ca="1" si="0"/>
        <v>名手之枪</v>
      </c>
      <c r="B656" s="93" t="s">
        <v>4519</v>
      </c>
      <c r="C656" s="282" t="s">
        <v>4520</v>
      </c>
      <c r="D656" s="282" t="s">
        <v>4521</v>
      </c>
      <c r="E656" s="282"/>
      <c r="F656" s="282" t="s">
        <v>4522</v>
      </c>
      <c r="G656" s="93" t="s">
        <v>4523</v>
      </c>
      <c r="H656" s="282" t="s">
        <v>4524</v>
      </c>
      <c r="I656" s="282"/>
      <c r="J656" s="282" t="s">
        <v>4525</v>
      </c>
    </row>
    <row r="657" spans="1:10" x14ac:dyDescent="0.2">
      <c r="A657" s="93" t="str">
        <f t="shared" ca="1" si="0"/>
        <v>符文长柄刀</v>
      </c>
      <c r="B657" s="93" t="s">
        <v>4526</v>
      </c>
      <c r="C657" s="282"/>
      <c r="D657" s="282" t="s">
        <v>4527</v>
      </c>
      <c r="E657" s="282"/>
      <c r="F657" s="282" t="s">
        <v>4528</v>
      </c>
      <c r="G657" s="93" t="s">
        <v>4529</v>
      </c>
      <c r="H657" s="282" t="s">
        <v>4530</v>
      </c>
      <c r="I657" s="282"/>
      <c r="J657" s="282" t="s">
        <v>4531</v>
      </c>
    </row>
    <row r="658" spans="1:10" x14ac:dyDescent="0.2">
      <c r="A658" s="93" t="str">
        <f t="shared" ca="1" si="0"/>
        <v>禁忌之枪</v>
      </c>
      <c r="B658" s="93" t="s">
        <v>4532</v>
      </c>
      <c r="C658" s="282"/>
      <c r="D658" s="282" t="s">
        <v>4533</v>
      </c>
      <c r="E658" s="282"/>
      <c r="F658" s="282" t="s">
        <v>4534</v>
      </c>
      <c r="G658" s="93" t="s">
        <v>4535</v>
      </c>
      <c r="H658" s="282" t="s">
        <v>4536</v>
      </c>
      <c r="I658" s="282"/>
      <c r="J658" s="282" t="s">
        <v>4537</v>
      </c>
    </row>
    <row r="659" spans="1:10" x14ac:dyDescent="0.2">
      <c r="A659" s="93" t="str">
        <f t="shared" ca="1" si="0"/>
        <v>炽天使长枪</v>
      </c>
      <c r="B659" s="93" t="s">
        <v>4538</v>
      </c>
      <c r="C659" s="282" t="s">
        <v>4539</v>
      </c>
      <c r="D659" s="282" t="s">
        <v>4540</v>
      </c>
      <c r="E659" s="282"/>
      <c r="F659" s="282" t="s">
        <v>4541</v>
      </c>
      <c r="G659" s="93" t="s">
        <v>4542</v>
      </c>
      <c r="H659" s="282" t="s">
        <v>4543</v>
      </c>
      <c r="I659" s="282"/>
      <c r="J659" s="282" t="s">
        <v>4544</v>
      </c>
    </row>
    <row r="660" spans="1:10" x14ac:dyDescent="0.2">
      <c r="A660" s="93" t="str">
        <f t="shared" ca="1" si="0"/>
        <v>灾厄骑枪</v>
      </c>
      <c r="B660" s="93" t="s">
        <v>4545</v>
      </c>
      <c r="C660" s="282"/>
      <c r="D660" s="282" t="s">
        <v>4546</v>
      </c>
      <c r="E660" s="282"/>
      <c r="F660" s="282" t="s">
        <v>4547</v>
      </c>
      <c r="G660" s="93" t="s">
        <v>4548</v>
      </c>
      <c r="H660" s="282" t="s">
        <v>4549</v>
      </c>
      <c r="I660" s="282"/>
      <c r="J660" s="282" t="s">
        <v>4550</v>
      </c>
    </row>
    <row r="661" spans="1:10" x14ac:dyDescent="0.2">
      <c r="A661" s="93" t="str">
        <f t="shared" ca="1" si="0"/>
        <v>灵魂长柄刀</v>
      </c>
      <c r="B661" s="93" t="s">
        <v>4551</v>
      </c>
      <c r="C661" s="282"/>
      <c r="D661" s="282" t="s">
        <v>4552</v>
      </c>
      <c r="E661" s="282"/>
      <c r="F661" s="282" t="s">
        <v>4553</v>
      </c>
      <c r="G661" s="93" t="s">
        <v>4554</v>
      </c>
      <c r="H661" s="282" t="s">
        <v>4555</v>
      </c>
      <c r="I661" s="282"/>
      <c r="J661" s="282" t="s">
        <v>4556</v>
      </c>
    </row>
    <row r="662" spans="1:10" x14ac:dyDescent="0.2">
      <c r="A662" s="93" t="str">
        <f t="shared" ca="1" si="0"/>
        <v>翡翠骑枪</v>
      </c>
      <c r="B662" s="93" t="s">
        <v>4557</v>
      </c>
      <c r="C662" s="282"/>
      <c r="D662" s="282" t="s">
        <v>4558</v>
      </c>
      <c r="E662" s="282"/>
      <c r="F662" s="282" t="s">
        <v>4559</v>
      </c>
      <c r="G662" s="93" t="s">
        <v>4560</v>
      </c>
      <c r="H662" s="282" t="s">
        <v>4561</v>
      </c>
      <c r="I662" s="282"/>
      <c r="J662" s="282" t="s">
        <v>4562</v>
      </c>
    </row>
    <row r="663" spans="1:10" x14ac:dyDescent="0.2">
      <c r="A663" s="93" t="str">
        <f t="shared" ca="1" si="0"/>
        <v>胜利长枪</v>
      </c>
      <c r="B663" s="93" t="s">
        <v>4563</v>
      </c>
      <c r="C663" s="282"/>
      <c r="D663" s="282" t="s">
        <v>4564</v>
      </c>
      <c r="E663" s="282"/>
      <c r="F663" s="282" t="s">
        <v>4565</v>
      </c>
      <c r="G663" s="93" t="s">
        <v>4566</v>
      </c>
      <c r="H663" s="282" t="s">
        <v>4567</v>
      </c>
      <c r="I663" s="282"/>
      <c r="J663" s="282" t="s">
        <v>4568</v>
      </c>
    </row>
    <row r="664" spans="1:10" x14ac:dyDescent="0.2">
      <c r="A664" s="93" t="str">
        <f t="shared" ca="1" si="0"/>
        <v>白金长枪</v>
      </c>
      <c r="B664" s="93" t="s">
        <v>4569</v>
      </c>
      <c r="C664" s="282"/>
      <c r="D664" s="282" t="s">
        <v>4570</v>
      </c>
      <c r="E664" s="282"/>
      <c r="F664" s="282" t="s">
        <v>4571</v>
      </c>
      <c r="G664" s="93" t="s">
        <v>4572</v>
      </c>
      <c r="H664" s="282" t="s">
        <v>4573</v>
      </c>
      <c r="I664" s="282"/>
      <c r="J664" s="282" t="s">
        <v>4574</v>
      </c>
    </row>
    <row r="665" spans="1:10" x14ac:dyDescent="0.2">
      <c r="A665" s="93" t="str">
        <f t="shared" ca="1" si="0"/>
        <v>米格尔之枪</v>
      </c>
      <c r="B665" s="93" t="s">
        <v>4575</v>
      </c>
      <c r="C665" s="282" t="s">
        <v>4576</v>
      </c>
      <c r="D665" s="282" t="s">
        <v>4577</v>
      </c>
      <c r="E665" s="282"/>
      <c r="F665" s="282" t="s">
        <v>4578</v>
      </c>
      <c r="G665" s="93" t="s">
        <v>4579</v>
      </c>
      <c r="H665" s="282" t="s">
        <v>4580</v>
      </c>
      <c r="I665" s="282"/>
      <c r="J665" s="282" t="s">
        <v>4581</v>
      </c>
    </row>
    <row r="666" spans="1:10" x14ac:dyDescent="0.2">
      <c r="A666" s="93" t="str">
        <f t="shared" ca="1" si="0"/>
        <v>帝国骑枪</v>
      </c>
      <c r="B666" s="93" t="s">
        <v>4582</v>
      </c>
      <c r="C666" s="282"/>
      <c r="D666" s="282" t="s">
        <v>4583</v>
      </c>
      <c r="E666" s="282"/>
      <c r="F666" s="282" t="s">
        <v>4584</v>
      </c>
      <c r="G666" s="93" t="s">
        <v>4585</v>
      </c>
      <c r="H666" s="282" t="s">
        <v>4586</v>
      </c>
      <c r="I666" s="282"/>
      <c r="J666" s="282" t="s">
        <v>4587</v>
      </c>
    </row>
    <row r="667" spans="1:10" x14ac:dyDescent="0.2">
      <c r="A667" s="93" t="str">
        <f t="shared" ca="1" si="0"/>
        <v>魔法长柄刀</v>
      </c>
      <c r="B667" s="93" t="s">
        <v>4588</v>
      </c>
      <c r="C667" s="282"/>
      <c r="D667" s="282" t="s">
        <v>4589</v>
      </c>
      <c r="E667" s="282"/>
      <c r="F667" s="282" t="s">
        <v>4590</v>
      </c>
      <c r="G667" s="93" t="s">
        <v>4591</v>
      </c>
      <c r="H667" s="282" t="s">
        <v>4592</v>
      </c>
      <c r="I667" s="282"/>
      <c r="J667" s="282" t="s">
        <v>4593</v>
      </c>
    </row>
    <row r="668" spans="1:10" x14ac:dyDescent="0.2">
      <c r="A668" s="93" t="str">
        <f t="shared" ca="1" si="0"/>
        <v>刺猬长枪</v>
      </c>
      <c r="B668" s="93" t="s">
        <v>4594</v>
      </c>
      <c r="C668" s="282"/>
      <c r="D668" s="282" t="s">
        <v>4595</v>
      </c>
      <c r="E668" s="282"/>
      <c r="F668" s="282" t="s">
        <v>4596</v>
      </c>
      <c r="G668" s="93" t="s">
        <v>4597</v>
      </c>
      <c r="H668" s="282" t="s">
        <v>4598</v>
      </c>
      <c r="I668" s="282"/>
      <c r="J668" s="282" t="s">
        <v>4599</v>
      </c>
    </row>
    <row r="669" spans="1:10" x14ac:dyDescent="0.2">
      <c r="A669" s="93" t="str">
        <f t="shared" ca="1" si="0"/>
        <v>大桥骑枪</v>
      </c>
      <c r="B669" s="93" t="s">
        <v>4600</v>
      </c>
      <c r="C669" s="282"/>
      <c r="D669" s="282" t="s">
        <v>4601</v>
      </c>
      <c r="E669" s="282"/>
      <c r="F669" s="282" t="s">
        <v>4602</v>
      </c>
      <c r="G669" s="93" t="s">
        <v>4603</v>
      </c>
      <c r="H669" s="282" t="s">
        <v>4604</v>
      </c>
      <c r="I669" s="282"/>
      <c r="J669" s="282" t="s">
        <v>4605</v>
      </c>
    </row>
    <row r="670" spans="1:10" x14ac:dyDescent="0.2">
      <c r="A670" s="93" t="str">
        <f t="shared" ca="1" si="0"/>
        <v>元素长柄刀</v>
      </c>
      <c r="B670" s="93" t="s">
        <v>4606</v>
      </c>
      <c r="C670" s="282"/>
      <c r="D670" s="282" t="s">
        <v>4607</v>
      </c>
      <c r="E670" s="282"/>
      <c r="F670" s="282" t="s">
        <v>4608</v>
      </c>
      <c r="G670" s="93" t="s">
        <v>4609</v>
      </c>
      <c r="H670" s="282" t="s">
        <v>4610</v>
      </c>
      <c r="I670" s="282"/>
      <c r="J670" s="282" t="s">
        <v>4611</v>
      </c>
    </row>
    <row r="671" spans="1:10" x14ac:dyDescent="0.2">
      <c r="A671" s="93" t="str">
        <f t="shared" ca="1" si="0"/>
        <v>豹骑枪</v>
      </c>
      <c r="B671" s="93" t="s">
        <v>4612</v>
      </c>
      <c r="C671" s="282"/>
      <c r="D671" s="282" t="s">
        <v>4613</v>
      </c>
      <c r="E671" s="282"/>
      <c r="F671" s="282" t="s">
        <v>4614</v>
      </c>
      <c r="G671" s="93" t="s">
        <v>4615</v>
      </c>
      <c r="H671" s="282" t="s">
        <v>4616</v>
      </c>
      <c r="I671" s="282"/>
      <c r="J671" s="282" t="s">
        <v>4617</v>
      </c>
    </row>
    <row r="672" spans="1:10" x14ac:dyDescent="0.2">
      <c r="A672" s="93" t="str">
        <f t="shared" ca="1" si="0"/>
        <v>重骑枪</v>
      </c>
      <c r="B672" s="93" t="s">
        <v>4618</v>
      </c>
      <c r="C672" s="51" t="s">
        <v>4619</v>
      </c>
      <c r="D672" s="282" t="s">
        <v>4620</v>
      </c>
      <c r="E672" s="282"/>
      <c r="F672" s="282" t="s">
        <v>4621</v>
      </c>
      <c r="G672" s="93" t="s">
        <v>4622</v>
      </c>
      <c r="H672" s="282" t="s">
        <v>4623</v>
      </c>
      <c r="I672" s="282"/>
      <c r="J672" s="282" t="s">
        <v>4624</v>
      </c>
    </row>
    <row r="673" spans="1:10" x14ac:dyDescent="0.2">
      <c r="A673" s="93" t="str">
        <f t="shared" ca="1" si="0"/>
        <v>灾祸之枪</v>
      </c>
      <c r="B673" s="93" t="s">
        <v>4625</v>
      </c>
      <c r="C673" s="282"/>
      <c r="D673" s="282" t="s">
        <v>4626</v>
      </c>
      <c r="E673" s="282"/>
      <c r="F673" s="282" t="s">
        <v>4627</v>
      </c>
      <c r="G673" s="93" t="s">
        <v>4628</v>
      </c>
      <c r="H673" s="282" t="s">
        <v>4629</v>
      </c>
      <c r="I673" s="282"/>
      <c r="J673" s="282" t="s">
        <v>4630</v>
      </c>
    </row>
    <row r="674" spans="1:10" x14ac:dyDescent="0.2">
      <c r="A674" s="93" t="str">
        <f t="shared" ca="1" si="0"/>
        <v>强盗长枪</v>
      </c>
      <c r="B674" s="93" t="s">
        <v>4631</v>
      </c>
      <c r="C674" s="51" t="s">
        <v>4632</v>
      </c>
      <c r="D674" s="282" t="s">
        <v>4633</v>
      </c>
      <c r="E674" s="282"/>
      <c r="F674" s="282" t="s">
        <v>4634</v>
      </c>
      <c r="G674" s="93" t="s">
        <v>4635</v>
      </c>
      <c r="H674" s="282" t="s">
        <v>4636</v>
      </c>
      <c r="I674" s="282"/>
      <c r="J674" s="282" t="s">
        <v>4637</v>
      </c>
    </row>
    <row r="675" spans="1:10" x14ac:dyDescent="0.2">
      <c r="A675" s="93" t="str">
        <f t="shared" ca="1" si="0"/>
        <v>沙漠长枪</v>
      </c>
      <c r="B675" s="93" t="s">
        <v>4638</v>
      </c>
      <c r="C675" s="282" t="s">
        <v>4639</v>
      </c>
      <c r="D675" s="282" t="s">
        <v>4640</v>
      </c>
      <c r="E675" s="282"/>
      <c r="F675" s="282" t="s">
        <v>4641</v>
      </c>
      <c r="G675" s="93" t="s">
        <v>4642</v>
      </c>
      <c r="H675" s="282" t="s">
        <v>4643</v>
      </c>
      <c r="I675" s="282"/>
      <c r="J675" s="282" t="s">
        <v>4644</v>
      </c>
    </row>
    <row r="676" spans="1:10" x14ac:dyDescent="0.2">
      <c r="A676" s="93" t="str">
        <f t="shared" ca="1" si="0"/>
        <v>战争骑枪</v>
      </c>
      <c r="B676" s="93" t="s">
        <v>4645</v>
      </c>
      <c r="C676" s="282"/>
      <c r="D676" s="282" t="s">
        <v>4646</v>
      </c>
      <c r="E676" s="282"/>
      <c r="F676" s="282" t="s">
        <v>4647</v>
      </c>
      <c r="G676" s="93" t="s">
        <v>4648</v>
      </c>
      <c r="H676" s="282" t="s">
        <v>4649</v>
      </c>
      <c r="I676" s="282"/>
      <c r="J676" s="282" t="s">
        <v>4650</v>
      </c>
    </row>
    <row r="677" spans="1:10" x14ac:dyDescent="0.2">
      <c r="A677" s="93" t="str">
        <f t="shared" ca="1" si="0"/>
        <v>银制长枪</v>
      </c>
      <c r="B677" s="93" t="s">
        <v>4651</v>
      </c>
      <c r="C677" s="282"/>
      <c r="D677" s="282" t="s">
        <v>4652</v>
      </c>
      <c r="E677" s="282"/>
      <c r="F677" s="282" t="s">
        <v>4653</v>
      </c>
      <c r="G677" s="93" t="s">
        <v>4654</v>
      </c>
      <c r="H677" s="282" t="s">
        <v>4655</v>
      </c>
      <c r="I677" s="282"/>
      <c r="J677" s="282" t="s">
        <v>4656</v>
      </c>
    </row>
    <row r="678" spans="1:10" x14ac:dyDescent="0.2">
      <c r="A678" s="93" t="str">
        <f t="shared" ca="1" si="0"/>
        <v>魔咒长柄刀</v>
      </c>
      <c r="B678" s="93" t="s">
        <v>4657</v>
      </c>
      <c r="C678" s="282"/>
      <c r="D678" s="282" t="s">
        <v>4658</v>
      </c>
      <c r="E678" s="282"/>
      <c r="F678" s="282" t="s">
        <v>4659</v>
      </c>
      <c r="G678" s="93" t="s">
        <v>4660</v>
      </c>
      <c r="H678" s="282" t="s">
        <v>4661</v>
      </c>
      <c r="I678" s="282"/>
      <c r="J678" s="282" t="s">
        <v>4662</v>
      </c>
    </row>
    <row r="679" spans="1:10" x14ac:dyDescent="0.2">
      <c r="A679" s="93" t="str">
        <f t="shared" ca="1" si="0"/>
        <v>战争长枪</v>
      </c>
      <c r="B679" s="93" t="s">
        <v>4663</v>
      </c>
      <c r="C679" s="282" t="s">
        <v>4664</v>
      </c>
      <c r="D679" s="282" t="s">
        <v>4665</v>
      </c>
      <c r="E679" s="282"/>
      <c r="F679" s="282" t="s">
        <v>4666</v>
      </c>
      <c r="G679" s="93" t="s">
        <v>4667</v>
      </c>
      <c r="H679" s="282" t="s">
        <v>4668</v>
      </c>
      <c r="I679" s="282"/>
      <c r="J679" s="282" t="s">
        <v>4669</v>
      </c>
    </row>
    <row r="680" spans="1:10" x14ac:dyDescent="0.2">
      <c r="A680" s="93" t="str">
        <f t="shared" ca="1" si="0"/>
        <v>纪念鱼叉</v>
      </c>
      <c r="B680" s="93" t="s">
        <v>4670</v>
      </c>
      <c r="C680" s="282" t="s">
        <v>4671</v>
      </c>
      <c r="D680" s="282" t="s">
        <v>4672</v>
      </c>
      <c r="E680" s="282"/>
      <c r="F680" s="282" t="s">
        <v>4673</v>
      </c>
      <c r="G680" s="93" t="s">
        <v>4674</v>
      </c>
      <c r="H680" s="282" t="s">
        <v>4675</v>
      </c>
      <c r="I680" s="282"/>
      <c r="J680" s="282" t="s">
        <v>4676</v>
      </c>
    </row>
    <row r="681" spans="1:10" x14ac:dyDescent="0.2">
      <c r="A681" s="93" t="str">
        <f t="shared" ca="1" si="0"/>
        <v>铁制长枪</v>
      </c>
      <c r="B681" s="93" t="s">
        <v>4677</v>
      </c>
      <c r="C681" s="282" t="s">
        <v>4678</v>
      </c>
      <c r="D681" s="282" t="s">
        <v>4679</v>
      </c>
      <c r="E681" s="282"/>
      <c r="F681" s="282" t="s">
        <v>4680</v>
      </c>
      <c r="G681" s="93" t="s">
        <v>4681</v>
      </c>
      <c r="H681" s="282" t="s">
        <v>4682</v>
      </c>
      <c r="I681" s="282"/>
      <c r="J681" s="282" t="s">
        <v>4683</v>
      </c>
    </row>
    <row r="682" spans="1:10" x14ac:dyDescent="0.2">
      <c r="A682" s="93" t="str">
        <f t="shared" ca="1" si="0"/>
        <v>长枪</v>
      </c>
      <c r="B682" s="93" t="s">
        <v>4684</v>
      </c>
      <c r="C682" s="282" t="s">
        <v>4685</v>
      </c>
      <c r="D682" s="282" t="s">
        <v>4502</v>
      </c>
      <c r="E682" s="282"/>
      <c r="F682" s="282" t="s">
        <v>4686</v>
      </c>
      <c r="G682" s="93" t="s">
        <v>4687</v>
      </c>
      <c r="H682" s="282" t="s">
        <v>4688</v>
      </c>
      <c r="I682" s="282"/>
      <c r="J682" s="282" t="s">
        <v>4689</v>
      </c>
    </row>
    <row r="683" spans="1:10" x14ac:dyDescent="0.2">
      <c r="A683" s="79" t="str">
        <f t="shared" ca="1" si="0"/>
        <v>短剑</v>
      </c>
      <c r="B683" s="79" t="s">
        <v>4690</v>
      </c>
      <c r="C683" s="252" t="s">
        <v>4691</v>
      </c>
      <c r="D683" s="252" t="s">
        <v>4692</v>
      </c>
      <c r="E683" s="252"/>
      <c r="F683" s="252"/>
      <c r="G683" s="79" t="s">
        <v>4693</v>
      </c>
      <c r="H683" s="252" t="s">
        <v>4694</v>
      </c>
      <c r="I683" s="252"/>
      <c r="J683" s="252" t="s">
        <v>4695</v>
      </c>
    </row>
    <row r="684" spans="1:10" x14ac:dyDescent="0.2">
      <c r="A684" s="93" t="str">
        <f t="shared" ca="1" si="0"/>
        <v>历战短剑</v>
      </c>
      <c r="B684" s="93" t="s">
        <v>4696</v>
      </c>
      <c r="C684" s="282"/>
      <c r="D684" s="282" t="s">
        <v>4697</v>
      </c>
      <c r="E684" s="282"/>
      <c r="F684" s="282" t="s">
        <v>4698</v>
      </c>
      <c r="G684" s="93" t="s">
        <v>4699</v>
      </c>
      <c r="H684" s="282" t="s">
        <v>4700</v>
      </c>
      <c r="I684" s="282"/>
      <c r="J684" s="282" t="s">
        <v>4701</v>
      </c>
    </row>
    <row r="685" spans="1:10" x14ac:dyDescent="0.2">
      <c r="A685" s="93" t="str">
        <f t="shared" ca="1" si="0"/>
        <v>希斯柯特的短剑</v>
      </c>
      <c r="B685" s="93" t="s">
        <v>4702</v>
      </c>
      <c r="C685" s="282"/>
      <c r="D685" s="282" t="s">
        <v>4703</v>
      </c>
      <c r="E685" s="282"/>
      <c r="F685" s="282" t="s">
        <v>4704</v>
      </c>
      <c r="G685" s="93" t="s">
        <v>4705</v>
      </c>
      <c r="H685" s="282" t="s">
        <v>4706</v>
      </c>
      <c r="I685" s="282"/>
      <c r="J685" s="282" t="s">
        <v>4707</v>
      </c>
    </row>
    <row r="686" spans="1:10" x14ac:dyDescent="0.2">
      <c r="A686" s="93" t="str">
        <f t="shared" ca="1" si="0"/>
        <v>大蛇短剑</v>
      </c>
      <c r="B686" s="93" t="s">
        <v>4708</v>
      </c>
      <c r="C686" s="282" t="s">
        <v>4709</v>
      </c>
      <c r="D686" s="282" t="s">
        <v>4710</v>
      </c>
      <c r="E686" s="282"/>
      <c r="F686" s="282" t="s">
        <v>4711</v>
      </c>
      <c r="G686" s="93" t="s">
        <v>4712</v>
      </c>
      <c r="H686" s="282" t="s">
        <v>4713</v>
      </c>
      <c r="I686" s="282"/>
      <c r="J686" s="282" t="s">
        <v>4714</v>
      </c>
    </row>
    <row r="687" spans="1:10" x14ac:dyDescent="0.2">
      <c r="A687" s="93" t="str">
        <f t="shared" ca="1" si="0"/>
        <v>金钢合金短刀</v>
      </c>
      <c r="B687" s="93" t="s">
        <v>4715</v>
      </c>
      <c r="C687" s="282"/>
      <c r="D687" s="282" t="s">
        <v>4716</v>
      </c>
      <c r="E687" s="282"/>
      <c r="F687" s="282" t="s">
        <v>4717</v>
      </c>
      <c r="G687" s="93" t="s">
        <v>4718</v>
      </c>
      <c r="H687" s="282" t="s">
        <v>4719</v>
      </c>
      <c r="I687" s="282"/>
      <c r="J687" s="282" t="s">
        <v>4720</v>
      </c>
    </row>
    <row r="688" spans="1:10" x14ac:dyDescent="0.2">
      <c r="A688" s="93" t="str">
        <f t="shared" ca="1" si="0"/>
        <v>禁忌短剑</v>
      </c>
      <c r="B688" s="93" t="s">
        <v>4721</v>
      </c>
      <c r="C688" s="282" t="s">
        <v>4722</v>
      </c>
      <c r="D688" s="282" t="s">
        <v>4723</v>
      </c>
      <c r="E688" s="282"/>
      <c r="F688" s="282" t="s">
        <v>4724</v>
      </c>
      <c r="G688" s="93" t="s">
        <v>4725</v>
      </c>
      <c r="H688" s="282" t="s">
        <v>4726</v>
      </c>
      <c r="I688" s="282"/>
      <c r="J688" s="282" t="s">
        <v>4727</v>
      </c>
    </row>
    <row r="689" spans="1:10" x14ac:dyDescent="0.2">
      <c r="A689" s="93" t="str">
        <f t="shared" ca="1" si="0"/>
        <v>万速匕首</v>
      </c>
      <c r="B689" s="93" t="s">
        <v>4728</v>
      </c>
      <c r="C689" s="282"/>
      <c r="D689" s="282" t="s">
        <v>4729</v>
      </c>
      <c r="E689" s="282"/>
      <c r="F689" s="282" t="s">
        <v>4730</v>
      </c>
      <c r="G689" s="93" t="s">
        <v>4731</v>
      </c>
      <c r="H689" s="282" t="s">
        <v>4732</v>
      </c>
      <c r="I689" s="282"/>
      <c r="J689" s="282" t="s">
        <v>4733</v>
      </c>
    </row>
    <row r="690" spans="1:10" x14ac:dyDescent="0.2">
      <c r="A690" s="93" t="str">
        <f t="shared" ca="1" si="0"/>
        <v>符文短刀</v>
      </c>
      <c r="B690" s="93" t="s">
        <v>4734</v>
      </c>
      <c r="C690" s="282"/>
      <c r="D690" s="282" t="s">
        <v>4735</v>
      </c>
      <c r="E690" s="282"/>
      <c r="F690" s="282" t="s">
        <v>4736</v>
      </c>
      <c r="G690" s="93" t="s">
        <v>4737</v>
      </c>
      <c r="H690" s="282" t="s">
        <v>4737</v>
      </c>
      <c r="I690" s="282"/>
      <c r="J690" s="282" t="s">
        <v>4738</v>
      </c>
    </row>
    <row r="691" spans="1:10" x14ac:dyDescent="0.2">
      <c r="A691" s="93" t="str">
        <f t="shared" ca="1" si="0"/>
        <v>终极破坏者</v>
      </c>
      <c r="B691" s="93" t="s">
        <v>4739</v>
      </c>
      <c r="C691" s="282"/>
      <c r="D691" s="282" t="s">
        <v>4740</v>
      </c>
      <c r="E691" s="282"/>
      <c r="F691" s="282" t="s">
        <v>4741</v>
      </c>
      <c r="G691" s="93" t="s">
        <v>4742</v>
      </c>
      <c r="H691" s="282" t="s">
        <v>4743</v>
      </c>
      <c r="I691" s="282"/>
      <c r="J691" s="282" t="s">
        <v>4744</v>
      </c>
    </row>
    <row r="692" spans="1:10" x14ac:dyDescent="0.2">
      <c r="A692" s="93" t="str">
        <f t="shared" ca="1" si="0"/>
        <v>毁灭破坏者</v>
      </c>
      <c r="B692" s="93" t="s">
        <v>4745</v>
      </c>
      <c r="C692" s="282"/>
      <c r="D692" s="282" t="s">
        <v>4746</v>
      </c>
      <c r="E692" s="282"/>
      <c r="F692" s="282" t="s">
        <v>4747</v>
      </c>
      <c r="G692" s="93" t="s">
        <v>4748</v>
      </c>
      <c r="H692" s="282" t="s">
        <v>4749</v>
      </c>
      <c r="I692" s="282"/>
      <c r="J692" s="282" t="s">
        <v>4750</v>
      </c>
    </row>
    <row r="693" spans="1:10" x14ac:dyDescent="0.2">
      <c r="A693" s="93" t="str">
        <f t="shared" ca="1" si="0"/>
        <v>刺客匕首</v>
      </c>
      <c r="B693" s="93" t="s">
        <v>4751</v>
      </c>
      <c r="C693" s="282"/>
      <c r="D693" s="282" t="s">
        <v>4752</v>
      </c>
      <c r="E693" s="282"/>
      <c r="F693" s="282" t="s">
        <v>4753</v>
      </c>
      <c r="G693" s="93" t="s">
        <v>4754</v>
      </c>
      <c r="H693" s="282" t="s">
        <v>4754</v>
      </c>
      <c r="I693" s="282"/>
      <c r="J693" s="282" t="s">
        <v>4755</v>
      </c>
    </row>
    <row r="694" spans="1:10" x14ac:dyDescent="0.2">
      <c r="A694" s="93" t="str">
        <f t="shared" ca="1" si="0"/>
        <v>灵魂匕首</v>
      </c>
      <c r="B694" s="93" t="s">
        <v>4756</v>
      </c>
      <c r="C694" s="282"/>
      <c r="D694" s="282" t="s">
        <v>4757</v>
      </c>
      <c r="E694" s="282"/>
      <c r="F694" s="282" t="s">
        <v>4758</v>
      </c>
      <c r="G694" s="93" t="s">
        <v>4759</v>
      </c>
      <c r="H694" s="282" t="s">
        <v>4760</v>
      </c>
      <c r="I694" s="282"/>
      <c r="J694" s="282" t="s">
        <v>4761</v>
      </c>
    </row>
    <row r="695" spans="1:10" x14ac:dyDescent="0.2">
      <c r="A695" s="93" t="str">
        <f t="shared" ca="1" si="0"/>
        <v>腥红匕首</v>
      </c>
      <c r="B695" s="93" t="s">
        <v>4762</v>
      </c>
      <c r="C695" s="282"/>
      <c r="D695" s="282" t="s">
        <v>4763</v>
      </c>
      <c r="E695" s="282"/>
      <c r="F695" s="282" t="s">
        <v>4764</v>
      </c>
      <c r="G695" s="93" t="s">
        <v>4765</v>
      </c>
      <c r="H695" s="282" t="s">
        <v>4766</v>
      </c>
      <c r="I695" s="282"/>
      <c r="J695" s="282" t="s">
        <v>4767</v>
      </c>
    </row>
    <row r="696" spans="1:10" x14ac:dyDescent="0.2">
      <c r="A696" s="93" t="str">
        <f t="shared" ca="1" si="0"/>
        <v>正义破坏者</v>
      </c>
      <c r="B696" s="93" t="s">
        <v>4768</v>
      </c>
      <c r="C696" s="282"/>
      <c r="D696" s="282" t="s">
        <v>4769</v>
      </c>
      <c r="E696" s="282"/>
      <c r="F696" s="282" t="s">
        <v>4770</v>
      </c>
      <c r="G696" s="93" t="s">
        <v>4771</v>
      </c>
      <c r="H696" s="282" t="s">
        <v>4772</v>
      </c>
      <c r="I696" s="282"/>
      <c r="J696" s="282" t="s">
        <v>4773</v>
      </c>
    </row>
    <row r="697" spans="1:10" x14ac:dyDescent="0.2">
      <c r="A697" s="93" t="str">
        <f t="shared" ca="1" si="0"/>
        <v>破天者</v>
      </c>
      <c r="B697" s="93" t="s">
        <v>4774</v>
      </c>
      <c r="C697" s="282"/>
      <c r="D697" s="282" t="s">
        <v>4775</v>
      </c>
      <c r="E697" s="282"/>
      <c r="F697" s="282" t="s">
        <v>4776</v>
      </c>
      <c r="G697" s="93" t="s">
        <v>4777</v>
      </c>
      <c r="H697" s="282" t="s">
        <v>4777</v>
      </c>
      <c r="I697" s="282"/>
      <c r="J697" s="282" t="s">
        <v>4778</v>
      </c>
    </row>
    <row r="698" spans="1:10" x14ac:dyDescent="0.2">
      <c r="A698" s="93" t="str">
        <f t="shared" ca="1" si="0"/>
        <v>魔法匕首</v>
      </c>
      <c r="B698" s="93" t="s">
        <v>4779</v>
      </c>
      <c r="C698" s="282"/>
      <c r="D698" s="282" t="s">
        <v>4780</v>
      </c>
      <c r="E698" s="282"/>
      <c r="F698" s="282" t="s">
        <v>4781</v>
      </c>
      <c r="G698" s="93" t="s">
        <v>4782</v>
      </c>
      <c r="H698" s="282" t="s">
        <v>4782</v>
      </c>
      <c r="I698" s="282"/>
      <c r="J698" s="282" t="s">
        <v>4783</v>
      </c>
    </row>
    <row r="699" spans="1:10" x14ac:dyDescent="0.2">
      <c r="A699" s="93" t="str">
        <f t="shared" ca="1" si="0"/>
        <v>越狱者</v>
      </c>
      <c r="B699" s="93" t="s">
        <v>4784</v>
      </c>
      <c r="C699" s="282"/>
      <c r="D699" s="282" t="s">
        <v>4785</v>
      </c>
      <c r="E699" s="282"/>
      <c r="F699" s="282" t="s">
        <v>4786</v>
      </c>
      <c r="G699" s="93" t="s">
        <v>4787</v>
      </c>
      <c r="H699" s="282" t="s">
        <v>4788</v>
      </c>
      <c r="I699" s="282"/>
      <c r="J699" s="282" t="s">
        <v>4789</v>
      </c>
    </row>
    <row r="700" spans="1:10" x14ac:dyDescent="0.2">
      <c r="A700" s="93" t="str">
        <f t="shared" ca="1" si="0"/>
        <v>基甸的短剑</v>
      </c>
      <c r="B700" s="93" t="s">
        <v>4790</v>
      </c>
      <c r="C700" s="282"/>
      <c r="D700" s="282" t="s">
        <v>4791</v>
      </c>
      <c r="E700" s="282"/>
      <c r="F700" s="282" t="s">
        <v>4792</v>
      </c>
      <c r="G700" s="93" t="s">
        <v>4793</v>
      </c>
      <c r="H700" s="282" t="s">
        <v>4794</v>
      </c>
      <c r="I700" s="282"/>
      <c r="J700" s="282" t="s">
        <v>4795</v>
      </c>
    </row>
    <row r="701" spans="1:10" x14ac:dyDescent="0.2">
      <c r="A701" s="93" t="str">
        <f t="shared" ca="1" si="0"/>
        <v>妖精匕首</v>
      </c>
      <c r="B701" s="93" t="s">
        <v>4796</v>
      </c>
      <c r="C701" s="282"/>
      <c r="D701" s="282" t="s">
        <v>4797</v>
      </c>
      <c r="E701" s="282"/>
      <c r="F701" s="282" t="s">
        <v>4798</v>
      </c>
      <c r="G701" s="93" t="s">
        <v>4799</v>
      </c>
      <c r="H701" s="282" t="s">
        <v>4799</v>
      </c>
      <c r="I701" s="282"/>
      <c r="J701" s="282" t="s">
        <v>4800</v>
      </c>
    </row>
    <row r="702" spans="1:10" x14ac:dyDescent="0.2">
      <c r="A702" s="93" t="str">
        <f t="shared" ca="1" si="0"/>
        <v>新月匕首</v>
      </c>
      <c r="B702" s="93" t="s">
        <v>4801</v>
      </c>
      <c r="C702" s="282"/>
      <c r="D702" s="282" t="s">
        <v>4802</v>
      </c>
      <c r="E702" s="282"/>
      <c r="F702" s="282" t="s">
        <v>4803</v>
      </c>
      <c r="G702" s="93" t="s">
        <v>4804</v>
      </c>
      <c r="H702" s="282" t="s">
        <v>4804</v>
      </c>
      <c r="I702" s="282"/>
      <c r="J702" s="282" t="s">
        <v>4805</v>
      </c>
    </row>
    <row r="703" spans="1:10" x14ac:dyDescent="0.2">
      <c r="A703" s="93" t="str">
        <f t="shared" ca="1" si="0"/>
        <v>断链者</v>
      </c>
      <c r="B703" s="93" t="s">
        <v>4806</v>
      </c>
      <c r="C703" s="282"/>
      <c r="D703" s="282" t="s">
        <v>4807</v>
      </c>
      <c r="E703" s="282"/>
      <c r="F703" s="282" t="s">
        <v>4808</v>
      </c>
      <c r="G703" s="93" t="s">
        <v>4809</v>
      </c>
      <c r="H703" s="282" t="s">
        <v>4810</v>
      </c>
      <c r="I703" s="282"/>
      <c r="J703" s="282" t="s">
        <v>4811</v>
      </c>
    </row>
    <row r="704" spans="1:10" x14ac:dyDescent="0.2">
      <c r="A704" s="93" t="str">
        <f t="shared" ca="1" si="0"/>
        <v>破剑者</v>
      </c>
      <c r="B704" s="93" t="s">
        <v>4812</v>
      </c>
      <c r="C704" s="282"/>
      <c r="D704" s="282" t="s">
        <v>4813</v>
      </c>
      <c r="E704" s="282"/>
      <c r="F704" s="282" t="s">
        <v>4814</v>
      </c>
      <c r="G704" s="93" t="s">
        <v>4815</v>
      </c>
      <c r="H704" s="282" t="s">
        <v>4816</v>
      </c>
      <c r="I704" s="282"/>
      <c r="J704" s="282" t="s">
        <v>4817</v>
      </c>
    </row>
    <row r="705" spans="1:10" x14ac:dyDescent="0.2">
      <c r="A705" s="93" t="str">
        <f t="shared" ca="1" si="0"/>
        <v>银制匕首</v>
      </c>
      <c r="B705" s="93" t="s">
        <v>4818</v>
      </c>
      <c r="C705" s="282"/>
      <c r="D705" s="282" t="s">
        <v>4819</v>
      </c>
      <c r="E705" s="282"/>
      <c r="F705" s="282" t="s">
        <v>4820</v>
      </c>
      <c r="G705" s="93" t="s">
        <v>4821</v>
      </c>
      <c r="H705" s="282" t="s">
        <v>4822</v>
      </c>
      <c r="I705" s="282"/>
      <c r="J705" s="282" t="s">
        <v>4823</v>
      </c>
    </row>
    <row r="706" spans="1:10" x14ac:dyDescent="0.2">
      <c r="A706" s="93" t="str">
        <f t="shared" ca="1" si="0"/>
        <v>穿孔匕首</v>
      </c>
      <c r="B706" s="93" t="s">
        <v>4824</v>
      </c>
      <c r="C706" s="51" t="s">
        <v>4825</v>
      </c>
      <c r="D706" s="282" t="s">
        <v>4826</v>
      </c>
      <c r="E706" s="282"/>
      <c r="F706" s="282" t="s">
        <v>4827</v>
      </c>
      <c r="G706" s="93" t="s">
        <v>4828</v>
      </c>
      <c r="H706" s="282" t="s">
        <v>4828</v>
      </c>
      <c r="I706" s="282"/>
      <c r="J706" s="282" t="s">
        <v>4829</v>
      </c>
    </row>
    <row r="707" spans="1:10" x14ac:dyDescent="0.2">
      <c r="A707" s="93" t="str">
        <f t="shared" ca="1" si="0"/>
        <v>猎鹰匕首</v>
      </c>
      <c r="B707" s="93" t="s">
        <v>4830</v>
      </c>
      <c r="C707" s="282"/>
      <c r="D707" s="282" t="s">
        <v>4831</v>
      </c>
      <c r="E707" s="282"/>
      <c r="F707" s="282" t="s">
        <v>4832</v>
      </c>
      <c r="G707" s="93" t="s">
        <v>4833</v>
      </c>
      <c r="H707" s="282" t="s">
        <v>4834</v>
      </c>
      <c r="I707" s="282"/>
      <c r="J707" s="282" t="s">
        <v>4835</v>
      </c>
    </row>
    <row r="708" spans="1:10" x14ac:dyDescent="0.2">
      <c r="A708" s="93" t="str">
        <f t="shared" ca="1" si="0"/>
        <v>迷惑短剑</v>
      </c>
      <c r="B708" s="93" t="s">
        <v>4836</v>
      </c>
      <c r="C708" s="282"/>
      <c r="D708" s="282" t="s">
        <v>4837</v>
      </c>
      <c r="E708" s="282"/>
      <c r="F708" s="282" t="s">
        <v>4838</v>
      </c>
      <c r="G708" s="93" t="s">
        <v>4839</v>
      </c>
      <c r="H708" s="282" t="s">
        <v>4840</v>
      </c>
      <c r="I708" s="282"/>
      <c r="J708" s="282" t="s">
        <v>4841</v>
      </c>
    </row>
    <row r="709" spans="1:10" x14ac:dyDescent="0.2">
      <c r="A709" s="93" t="str">
        <f t="shared" ca="1" si="0"/>
        <v>魔咒匕首</v>
      </c>
      <c r="B709" s="93" t="s">
        <v>4842</v>
      </c>
      <c r="C709" s="282" t="s">
        <v>4843</v>
      </c>
      <c r="D709" s="282" t="s">
        <v>4844</v>
      </c>
      <c r="E709" s="282"/>
      <c r="F709" s="282" t="s">
        <v>4845</v>
      </c>
      <c r="G709" s="93" t="s">
        <v>4846</v>
      </c>
      <c r="H709" s="282" t="s">
        <v>4846</v>
      </c>
      <c r="I709" s="282"/>
      <c r="J709" s="282" t="s">
        <v>4847</v>
      </c>
    </row>
    <row r="710" spans="1:10" x14ac:dyDescent="0.2">
      <c r="A710" s="93" t="str">
        <f t="shared" ca="1" si="0"/>
        <v>刺击匕首</v>
      </c>
      <c r="B710" s="93" t="s">
        <v>4848</v>
      </c>
      <c r="C710" s="282" t="s">
        <v>4849</v>
      </c>
      <c r="D710" s="282" t="s">
        <v>4850</v>
      </c>
      <c r="E710" s="282"/>
      <c r="F710" s="282" t="s">
        <v>4851</v>
      </c>
      <c r="G710" s="93" t="s">
        <v>4852</v>
      </c>
      <c r="H710" s="282" t="s">
        <v>4853</v>
      </c>
      <c r="I710" s="282"/>
      <c r="J710" s="282" t="s">
        <v>4854</v>
      </c>
    </row>
    <row r="711" spans="1:10" x14ac:dyDescent="0.2">
      <c r="A711" s="93" t="str">
        <f t="shared" ca="1" si="0"/>
        <v>铁制匕首</v>
      </c>
      <c r="B711" s="93" t="s">
        <v>4855</v>
      </c>
      <c r="C711" s="51" t="s">
        <v>4856</v>
      </c>
      <c r="D711" s="282" t="s">
        <v>4857</v>
      </c>
      <c r="E711" s="282"/>
      <c r="F711" s="282" t="s">
        <v>4858</v>
      </c>
      <c r="G711" s="93" t="s">
        <v>4859</v>
      </c>
      <c r="H711" s="282" t="s">
        <v>4860</v>
      </c>
      <c r="I711" s="282"/>
      <c r="J711" s="282" t="s">
        <v>4861</v>
      </c>
    </row>
    <row r="712" spans="1:10" x14ac:dyDescent="0.2">
      <c r="A712" s="93" t="str">
        <f t="shared" ca="1" si="0"/>
        <v>匕首</v>
      </c>
      <c r="B712" s="93" t="s">
        <v>4862</v>
      </c>
      <c r="C712" s="282" t="s">
        <v>4863</v>
      </c>
      <c r="D712" s="282" t="s">
        <v>4864</v>
      </c>
      <c r="E712" s="282"/>
      <c r="F712" s="282" t="s">
        <v>4865</v>
      </c>
      <c r="G712" s="93" t="s">
        <v>4866</v>
      </c>
      <c r="H712" s="282" t="s">
        <v>4866</v>
      </c>
      <c r="I712" s="282"/>
      <c r="J712" s="282" t="s">
        <v>4867</v>
      </c>
    </row>
    <row r="713" spans="1:10" x14ac:dyDescent="0.2">
      <c r="A713" s="79" t="str">
        <f t="shared" ca="1" si="0"/>
        <v>斧</v>
      </c>
      <c r="B713" s="79" t="s">
        <v>4868</v>
      </c>
      <c r="C713" s="252" t="s">
        <v>4869</v>
      </c>
      <c r="D713" s="252" t="s">
        <v>4870</v>
      </c>
      <c r="E713" s="252"/>
      <c r="F713" s="252"/>
      <c r="G713" s="79" t="s">
        <v>4871</v>
      </c>
      <c r="H713" s="252" t="s">
        <v>4871</v>
      </c>
      <c r="I713" s="252"/>
      <c r="J713" s="252" t="s">
        <v>4871</v>
      </c>
    </row>
    <row r="714" spans="1:10" x14ac:dyDescent="0.2">
      <c r="A714" s="93" t="str">
        <f t="shared" ca="1" si="0"/>
        <v>历战之斧</v>
      </c>
      <c r="B714" s="93" t="s">
        <v>4872</v>
      </c>
      <c r="C714" s="282" t="s">
        <v>4873</v>
      </c>
      <c r="D714" s="282" t="s">
        <v>4874</v>
      </c>
      <c r="E714" s="282"/>
      <c r="F714" s="282" t="s">
        <v>4875</v>
      </c>
      <c r="G714" s="93" t="s">
        <v>4876</v>
      </c>
      <c r="H714" s="282" t="s">
        <v>4877</v>
      </c>
      <c r="I714" s="282"/>
      <c r="J714" s="282" t="s">
        <v>4878</v>
      </c>
    </row>
    <row r="715" spans="1:10" x14ac:dyDescent="0.2">
      <c r="A715" s="93" t="str">
        <f t="shared" ca="1" si="0"/>
        <v>纪念之斧</v>
      </c>
      <c r="B715" s="93" t="s">
        <v>4879</v>
      </c>
      <c r="C715" s="282" t="s">
        <v>4880</v>
      </c>
      <c r="D715" s="282" t="s">
        <v>4881</v>
      </c>
      <c r="E715" s="282"/>
      <c r="F715" s="282" t="s">
        <v>4882</v>
      </c>
      <c r="G715" s="93" t="s">
        <v>4883</v>
      </c>
      <c r="H715" s="282" t="s">
        <v>4884</v>
      </c>
      <c r="I715" s="282"/>
      <c r="J715" s="282" t="s">
        <v>4885</v>
      </c>
    </row>
    <row r="716" spans="1:10" x14ac:dyDescent="0.2">
      <c r="A716" s="93" t="str">
        <f t="shared" ca="1" si="0"/>
        <v>死亡猛击斧</v>
      </c>
      <c r="B716" s="93" t="s">
        <v>4886</v>
      </c>
      <c r="C716" s="282" t="s">
        <v>4887</v>
      </c>
      <c r="D716" s="282" t="s">
        <v>4888</v>
      </c>
      <c r="E716" s="282"/>
      <c r="F716" s="282" t="s">
        <v>4889</v>
      </c>
      <c r="G716" s="93" t="s">
        <v>4890</v>
      </c>
      <c r="H716" s="282" t="s">
        <v>4891</v>
      </c>
      <c r="I716" s="282"/>
      <c r="J716" s="282" t="s">
        <v>4892</v>
      </c>
    </row>
    <row r="717" spans="1:10" x14ac:dyDescent="0.2">
      <c r="A717" s="93" t="str">
        <f t="shared" ca="1" si="0"/>
        <v>双刃战斧</v>
      </c>
      <c r="B717" s="93" t="s">
        <v>4893</v>
      </c>
      <c r="C717" s="282"/>
      <c r="D717" s="282" t="s">
        <v>4894</v>
      </c>
      <c r="E717" s="282"/>
      <c r="F717" s="282" t="s">
        <v>4895</v>
      </c>
      <c r="G717" s="93" t="s">
        <v>4896</v>
      </c>
      <c r="H717" s="282" t="s">
        <v>4897</v>
      </c>
      <c r="I717" s="282"/>
      <c r="J717" s="282" t="s">
        <v>4898</v>
      </c>
    </row>
    <row r="718" spans="1:10" x14ac:dyDescent="0.2">
      <c r="A718" s="93" t="str">
        <f t="shared" ca="1" si="0"/>
        <v>禁忌之斧</v>
      </c>
      <c r="B718" s="93" t="s">
        <v>4899</v>
      </c>
      <c r="C718" s="282" t="s">
        <v>4900</v>
      </c>
      <c r="D718" s="282" t="s">
        <v>4901</v>
      </c>
      <c r="E718" s="282"/>
      <c r="F718" s="282" t="s">
        <v>4902</v>
      </c>
      <c r="G718" s="93" t="s">
        <v>4903</v>
      </c>
      <c r="H718" s="282" t="s">
        <v>4903</v>
      </c>
      <c r="I718" s="282"/>
      <c r="J718" s="282" t="s">
        <v>4904</v>
      </c>
    </row>
    <row r="719" spans="1:10" x14ac:dyDescent="0.2">
      <c r="A719" s="93" t="str">
        <f t="shared" ca="1" si="0"/>
        <v>食人魔猛击斧</v>
      </c>
      <c r="B719" s="93" t="s">
        <v>4905</v>
      </c>
      <c r="C719" s="282"/>
      <c r="D719" s="282" t="s">
        <v>4906</v>
      </c>
      <c r="E719" s="282"/>
      <c r="F719" s="282" t="s">
        <v>4907</v>
      </c>
      <c r="G719" s="93" t="s">
        <v>4908</v>
      </c>
      <c r="H719" s="282" t="s">
        <v>4909</v>
      </c>
      <c r="I719" s="282"/>
      <c r="J719" s="282" t="s">
        <v>4910</v>
      </c>
    </row>
    <row r="720" spans="1:10" x14ac:dyDescent="0.2">
      <c r="A720" s="93" t="str">
        <f t="shared" ca="1" si="0"/>
        <v>符文手斧</v>
      </c>
      <c r="B720" s="93" t="s">
        <v>4911</v>
      </c>
      <c r="C720" s="282"/>
      <c r="D720" s="282" t="s">
        <v>4912</v>
      </c>
      <c r="E720" s="282"/>
      <c r="F720" s="282" t="s">
        <v>4913</v>
      </c>
      <c r="G720" s="93" t="s">
        <v>4914</v>
      </c>
      <c r="H720" s="282" t="s">
        <v>4914</v>
      </c>
      <c r="I720" s="282"/>
      <c r="J720" s="282" t="s">
        <v>4915</v>
      </c>
    </row>
    <row r="721" spans="1:10" x14ac:dyDescent="0.2">
      <c r="A721" s="93" t="str">
        <f t="shared" ca="1" si="0"/>
        <v>金斧</v>
      </c>
      <c r="B721" s="93" t="s">
        <v>4916</v>
      </c>
      <c r="C721" s="282"/>
      <c r="D721" s="282" t="s">
        <v>4917</v>
      </c>
      <c r="E721" s="282"/>
      <c r="F721" s="282" t="s">
        <v>4918</v>
      </c>
      <c r="G721" s="93" t="s">
        <v>4919</v>
      </c>
      <c r="H721" s="282" t="s">
        <v>4919</v>
      </c>
      <c r="I721" s="282"/>
      <c r="J721" s="282" t="s">
        <v>4920</v>
      </c>
    </row>
    <row r="722" spans="1:10" x14ac:dyDescent="0.2">
      <c r="A722" s="93" t="str">
        <f t="shared" ca="1" si="0"/>
        <v>巨大斧</v>
      </c>
      <c r="B722" s="93" t="s">
        <v>4921</v>
      </c>
      <c r="C722" s="282"/>
      <c r="D722" s="282" t="s">
        <v>4922</v>
      </c>
      <c r="E722" s="282"/>
      <c r="F722" s="282" t="s">
        <v>4923</v>
      </c>
      <c r="G722" s="93" t="s">
        <v>4924</v>
      </c>
      <c r="H722" s="282" t="s">
        <v>4924</v>
      </c>
      <c r="I722" s="282"/>
      <c r="J722" s="282" t="s">
        <v>4925</v>
      </c>
    </row>
    <row r="723" spans="1:10" x14ac:dyDescent="0.2">
      <c r="A723" s="93" t="str">
        <f t="shared" ca="1" si="0"/>
        <v>金钢合金手斧</v>
      </c>
      <c r="B723" s="93" t="s">
        <v>4926</v>
      </c>
      <c r="C723" s="282"/>
      <c r="D723" s="282" t="s">
        <v>4927</v>
      </c>
      <c r="E723" s="282"/>
      <c r="F723" s="282" t="s">
        <v>4928</v>
      </c>
      <c r="G723" s="93" t="s">
        <v>4929</v>
      </c>
      <c r="H723" s="282" t="s">
        <v>4930</v>
      </c>
      <c r="I723" s="282"/>
      <c r="J723" s="282" t="s">
        <v>4931</v>
      </c>
    </row>
    <row r="724" spans="1:10" x14ac:dyDescent="0.2">
      <c r="A724" s="93" t="str">
        <f t="shared" ca="1" si="0"/>
        <v>山丘猛击斧</v>
      </c>
      <c r="B724" s="93" t="s">
        <v>4932</v>
      </c>
      <c r="C724" s="282"/>
      <c r="D724" s="282" t="s">
        <v>4933</v>
      </c>
      <c r="E724" s="282"/>
      <c r="F724" s="282" t="s">
        <v>4934</v>
      </c>
      <c r="G724" s="93" t="s">
        <v>4935</v>
      </c>
      <c r="H724" s="282" t="s">
        <v>4936</v>
      </c>
      <c r="I724" s="282"/>
      <c r="J724" s="282" t="s">
        <v>4937</v>
      </c>
    </row>
    <row r="725" spans="1:10" x14ac:dyDescent="0.2">
      <c r="A725" s="93" t="str">
        <f t="shared" ca="1" si="0"/>
        <v>精神手斧</v>
      </c>
      <c r="B725" s="93" t="s">
        <v>4938</v>
      </c>
      <c r="C725" s="282"/>
      <c r="D725" s="282" t="s">
        <v>4939</v>
      </c>
      <c r="E725" s="282"/>
      <c r="F725" s="282" t="s">
        <v>4940</v>
      </c>
      <c r="G725" s="93" t="s">
        <v>4941</v>
      </c>
      <c r="H725" s="282" t="s">
        <v>4941</v>
      </c>
      <c r="I725" s="282"/>
      <c r="J725" s="282" t="s">
        <v>4942</v>
      </c>
    </row>
    <row r="726" spans="1:10" x14ac:dyDescent="0.2">
      <c r="A726" s="93" t="str">
        <f t="shared" ca="1" si="0"/>
        <v>元素手斧</v>
      </c>
      <c r="B726" s="93" t="s">
        <v>4943</v>
      </c>
      <c r="C726" s="282"/>
      <c r="D726" s="282" t="s">
        <v>4944</v>
      </c>
      <c r="E726" s="282"/>
      <c r="F726" s="282" t="s">
        <v>4945</v>
      </c>
      <c r="G726" s="93" t="s">
        <v>4946</v>
      </c>
      <c r="H726" s="282" t="s">
        <v>4946</v>
      </c>
      <c r="I726" s="282"/>
      <c r="J726" s="282" t="s">
        <v>4947</v>
      </c>
    </row>
    <row r="727" spans="1:10" x14ac:dyDescent="0.2">
      <c r="A727" s="93" t="str">
        <f t="shared" ca="1" si="0"/>
        <v>地狱斧</v>
      </c>
      <c r="B727" s="93" t="s">
        <v>4948</v>
      </c>
      <c r="C727" s="282"/>
      <c r="D727" s="282" t="s">
        <v>4949</v>
      </c>
      <c r="E727" s="282"/>
      <c r="F727" s="282" t="s">
        <v>4950</v>
      </c>
      <c r="G727" s="93" t="s">
        <v>4951</v>
      </c>
      <c r="H727" s="282" t="s">
        <v>4952</v>
      </c>
      <c r="I727" s="282"/>
      <c r="J727" s="282" t="s">
        <v>4953</v>
      </c>
    </row>
    <row r="728" spans="1:10" x14ac:dyDescent="0.2">
      <c r="A728" s="93" t="str">
        <f t="shared" ca="1" si="0"/>
        <v>蜥蜴王之斧</v>
      </c>
      <c r="B728" s="93" t="s">
        <v>4954</v>
      </c>
      <c r="C728" s="282"/>
      <c r="D728" s="282" t="s">
        <v>4955</v>
      </c>
      <c r="E728" s="282"/>
      <c r="F728" s="282" t="s">
        <v>4956</v>
      </c>
      <c r="G728" s="93" t="s">
        <v>4957</v>
      </c>
      <c r="H728" s="282" t="s">
        <v>4957</v>
      </c>
      <c r="I728" s="282"/>
      <c r="J728" s="282" t="s">
        <v>4958</v>
      </c>
    </row>
    <row r="729" spans="1:10" x14ac:dyDescent="0.2">
      <c r="A729" s="93" t="str">
        <f t="shared" ca="1" si="0"/>
        <v>重力子斧</v>
      </c>
      <c r="B729" s="93" t="s">
        <v>4959</v>
      </c>
      <c r="C729" s="282" t="s">
        <v>4960</v>
      </c>
      <c r="D729" s="282" t="s">
        <v>4961</v>
      </c>
      <c r="E729" s="282"/>
      <c r="F729" s="282" t="s">
        <v>4962</v>
      </c>
      <c r="G729" s="93" t="s">
        <v>4963</v>
      </c>
      <c r="H729" s="282" t="s">
        <v>4963</v>
      </c>
      <c r="I729" s="282"/>
      <c r="J729" s="282" t="s">
        <v>4964</v>
      </c>
    </row>
    <row r="730" spans="1:10" x14ac:dyDescent="0.2">
      <c r="A730" s="93" t="str">
        <f t="shared" ca="1" si="0"/>
        <v>灰熊猛击斧</v>
      </c>
      <c r="B730" s="93" t="s">
        <v>4965</v>
      </c>
      <c r="C730" s="282"/>
      <c r="D730" s="282" t="s">
        <v>4966</v>
      </c>
      <c r="E730" s="282"/>
      <c r="F730" s="282" t="s">
        <v>4967</v>
      </c>
      <c r="G730" s="93" t="s">
        <v>4968</v>
      </c>
      <c r="H730" s="282" t="s">
        <v>4969</v>
      </c>
      <c r="I730" s="282"/>
      <c r="J730" s="282" t="s">
        <v>4970</v>
      </c>
    </row>
    <row r="731" spans="1:10" x14ac:dyDescent="0.2">
      <c r="A731" s="93" t="str">
        <f t="shared" ca="1" si="0"/>
        <v>岩石猛击斧</v>
      </c>
      <c r="B731" s="93" t="s">
        <v>4971</v>
      </c>
      <c r="C731" s="282"/>
      <c r="D731" s="282" t="s">
        <v>4972</v>
      </c>
      <c r="E731" s="282"/>
      <c r="F731" s="282" t="s">
        <v>4973</v>
      </c>
      <c r="G731" s="93" t="s">
        <v>4974</v>
      </c>
      <c r="H731" s="282" t="s">
        <v>4975</v>
      </c>
      <c r="I731" s="282"/>
      <c r="J731" s="282" t="s">
        <v>4976</v>
      </c>
    </row>
    <row r="732" spans="1:10" x14ac:dyDescent="0.2">
      <c r="A732" s="93" t="str">
        <f t="shared" ca="1" si="0"/>
        <v>灵魂手斧</v>
      </c>
      <c r="B732" s="93" t="s">
        <v>4977</v>
      </c>
      <c r="C732" s="282"/>
      <c r="D732" s="282" t="s">
        <v>4978</v>
      </c>
      <c r="E732" s="282"/>
      <c r="F732" s="282" t="s">
        <v>4979</v>
      </c>
      <c r="G732" s="93" t="s">
        <v>4980</v>
      </c>
      <c r="H732" s="282" t="s">
        <v>4981</v>
      </c>
      <c r="I732" s="282"/>
      <c r="J732" s="282" t="s">
        <v>4982</v>
      </c>
    </row>
    <row r="733" spans="1:10" x14ac:dyDescent="0.2">
      <c r="A733" s="93" t="str">
        <f t="shared" ca="1" si="0"/>
        <v>尖角猛击斧</v>
      </c>
      <c r="B733" s="93" t="s">
        <v>4983</v>
      </c>
      <c r="C733" s="282"/>
      <c r="D733" s="282" t="s">
        <v>4984</v>
      </c>
      <c r="E733" s="282"/>
      <c r="F733" s="282" t="s">
        <v>4985</v>
      </c>
      <c r="G733" s="93" t="s">
        <v>4986</v>
      </c>
      <c r="H733" s="282" t="s">
        <v>4987</v>
      </c>
      <c r="I733" s="282"/>
      <c r="J733" s="282" t="s">
        <v>4988</v>
      </c>
    </row>
    <row r="734" spans="1:10" x14ac:dyDescent="0.2">
      <c r="A734" s="93" t="str">
        <f t="shared" ca="1" si="0"/>
        <v>银斧</v>
      </c>
      <c r="B734" s="93" t="s">
        <v>4989</v>
      </c>
      <c r="C734" s="282"/>
      <c r="D734" s="282" t="s">
        <v>4990</v>
      </c>
      <c r="E734" s="282"/>
      <c r="F734" s="282" t="s">
        <v>4991</v>
      </c>
      <c r="G734" s="93" t="s">
        <v>4992</v>
      </c>
      <c r="H734" s="282" t="s">
        <v>4993</v>
      </c>
      <c r="I734" s="282"/>
      <c r="J734" s="282" t="s">
        <v>4994</v>
      </c>
    </row>
    <row r="735" spans="1:10" x14ac:dyDescent="0.2">
      <c r="A735" s="93" t="str">
        <f t="shared" ca="1" si="0"/>
        <v>魔法手斧</v>
      </c>
      <c r="B735" s="93" t="s">
        <v>4995</v>
      </c>
      <c r="C735" s="51" t="s">
        <v>4996</v>
      </c>
      <c r="D735" s="282" t="s">
        <v>4997</v>
      </c>
      <c r="E735" s="282"/>
      <c r="F735" s="282" t="s">
        <v>4998</v>
      </c>
      <c r="G735" s="93" t="s">
        <v>4999</v>
      </c>
      <c r="H735" s="282" t="s">
        <v>4999</v>
      </c>
      <c r="I735" s="282"/>
      <c r="J735" s="282" t="s">
        <v>5000</v>
      </c>
    </row>
    <row r="736" spans="1:10" x14ac:dyDescent="0.2">
      <c r="A736" s="93" t="str">
        <f t="shared" ca="1" si="0"/>
        <v>维京斧</v>
      </c>
      <c r="B736" s="93" t="s">
        <v>5001</v>
      </c>
      <c r="C736" s="282"/>
      <c r="D736" s="282" t="s">
        <v>5002</v>
      </c>
      <c r="E736" s="282"/>
      <c r="F736" s="282" t="s">
        <v>5003</v>
      </c>
      <c r="G736" s="93" t="s">
        <v>5004</v>
      </c>
      <c r="H736" s="282" t="s">
        <v>5005</v>
      </c>
      <c r="I736" s="282"/>
      <c r="J736" s="282" t="s">
        <v>5006</v>
      </c>
    </row>
    <row r="737" spans="1:10" x14ac:dyDescent="0.2">
      <c r="A737" s="93" t="str">
        <f t="shared" ca="1" si="0"/>
        <v>奥玛尔之斧</v>
      </c>
      <c r="B737" s="93" t="s">
        <v>5007</v>
      </c>
      <c r="C737" s="282"/>
      <c r="D737" s="282" t="s">
        <v>5008</v>
      </c>
      <c r="E737" s="282"/>
      <c r="F737" s="282" t="s">
        <v>5009</v>
      </c>
      <c r="G737" s="93" t="s">
        <v>5010</v>
      </c>
      <c r="H737" s="282" t="s">
        <v>5011</v>
      </c>
      <c r="I737" s="282"/>
      <c r="J737" s="282" t="s">
        <v>5012</v>
      </c>
    </row>
    <row r="738" spans="1:10" x14ac:dyDescent="0.2">
      <c r="A738" s="93" t="str">
        <f t="shared" ca="1" si="0"/>
        <v>钢斧</v>
      </c>
      <c r="B738" s="93" t="s">
        <v>5013</v>
      </c>
      <c r="C738" s="282" t="s">
        <v>5014</v>
      </c>
      <c r="D738" s="282" t="s">
        <v>5015</v>
      </c>
      <c r="E738" s="282"/>
      <c r="F738" s="282" t="s">
        <v>5016</v>
      </c>
      <c r="G738" s="93" t="s">
        <v>5017</v>
      </c>
      <c r="H738" s="282" t="s">
        <v>5018</v>
      </c>
      <c r="I738" s="282"/>
      <c r="J738" s="282" t="s">
        <v>5019</v>
      </c>
    </row>
    <row r="739" spans="1:10" x14ac:dyDescent="0.2">
      <c r="A739" s="93" t="str">
        <f t="shared" ca="1" si="0"/>
        <v>猛击斧</v>
      </c>
      <c r="B739" s="93" t="s">
        <v>5020</v>
      </c>
      <c r="C739" s="282" t="s">
        <v>5021</v>
      </c>
      <c r="D739" s="282" t="s">
        <v>5022</v>
      </c>
      <c r="E739" s="282"/>
      <c r="F739" s="282" t="s">
        <v>5023</v>
      </c>
      <c r="G739" s="93" t="s">
        <v>5024</v>
      </c>
      <c r="H739" s="282" t="s">
        <v>5025</v>
      </c>
      <c r="I739" s="282"/>
      <c r="J739" s="282" t="s">
        <v>5026</v>
      </c>
    </row>
    <row r="740" spans="1:10" x14ac:dyDescent="0.2">
      <c r="A740" s="93" t="str">
        <f t="shared" ca="1" si="0"/>
        <v>魔力之斧</v>
      </c>
      <c r="B740" s="93" t="s">
        <v>5027</v>
      </c>
      <c r="C740" s="282"/>
      <c r="D740" s="282" t="s">
        <v>5028</v>
      </c>
      <c r="E740" s="282"/>
      <c r="F740" s="282" t="s">
        <v>5029</v>
      </c>
      <c r="G740" s="93" t="s">
        <v>5030</v>
      </c>
      <c r="H740" s="282" t="s">
        <v>5030</v>
      </c>
      <c r="I740" s="282"/>
      <c r="J740" s="282" t="s">
        <v>5031</v>
      </c>
    </row>
    <row r="741" spans="1:10" x14ac:dyDescent="0.2">
      <c r="A741" s="93" t="str">
        <f t="shared" ca="1" si="0"/>
        <v>重斧</v>
      </c>
      <c r="B741" s="93" t="s">
        <v>5032</v>
      </c>
      <c r="C741" s="282"/>
      <c r="D741" s="282" t="s">
        <v>5033</v>
      </c>
      <c r="E741" s="282"/>
      <c r="F741" s="282" t="s">
        <v>5034</v>
      </c>
      <c r="G741" s="93" t="s">
        <v>5035</v>
      </c>
      <c r="H741" s="282" t="s">
        <v>5035</v>
      </c>
      <c r="I741" s="282"/>
      <c r="J741" s="282" t="s">
        <v>5036</v>
      </c>
    </row>
    <row r="742" spans="1:10" x14ac:dyDescent="0.2">
      <c r="A742" s="93" t="str">
        <f t="shared" ca="1" si="0"/>
        <v>银制斧</v>
      </c>
      <c r="B742" s="93" t="s">
        <v>5037</v>
      </c>
      <c r="C742" s="282"/>
      <c r="D742" s="282" t="s">
        <v>5038</v>
      </c>
      <c r="E742" s="282"/>
      <c r="F742" s="282" t="s">
        <v>5039</v>
      </c>
      <c r="G742" s="93" t="s">
        <v>5040</v>
      </c>
      <c r="H742" s="282" t="s">
        <v>5041</v>
      </c>
      <c r="I742" s="282"/>
      <c r="J742" s="282" t="s">
        <v>5042</v>
      </c>
    </row>
    <row r="743" spans="1:10" x14ac:dyDescent="0.2">
      <c r="A743" s="93" t="str">
        <f t="shared" ca="1" si="0"/>
        <v>战斧</v>
      </c>
      <c r="B743" s="93" t="s">
        <v>5043</v>
      </c>
      <c r="C743" s="282" t="s">
        <v>5044</v>
      </c>
      <c r="D743" s="282" t="s">
        <v>5045</v>
      </c>
      <c r="E743" s="282"/>
      <c r="F743" s="282" t="s">
        <v>5046</v>
      </c>
      <c r="G743" s="93" t="s">
        <v>5047</v>
      </c>
      <c r="H743" s="282" t="s">
        <v>5048</v>
      </c>
      <c r="I743" s="282"/>
      <c r="J743" s="282" t="s">
        <v>5049</v>
      </c>
    </row>
    <row r="744" spans="1:10" x14ac:dyDescent="0.2">
      <c r="A744" s="93" t="str">
        <f t="shared" ca="1" si="0"/>
        <v>魔咒手斧</v>
      </c>
      <c r="B744" s="93" t="s">
        <v>5050</v>
      </c>
      <c r="C744" s="282" t="s">
        <v>5051</v>
      </c>
      <c r="D744" s="282" t="s">
        <v>5052</v>
      </c>
      <c r="E744" s="282"/>
      <c r="F744" s="282" t="s">
        <v>5053</v>
      </c>
      <c r="G744" s="93" t="s">
        <v>5054</v>
      </c>
      <c r="H744" s="282" t="s">
        <v>5054</v>
      </c>
      <c r="I744" s="282"/>
      <c r="J744" s="282" t="s">
        <v>5055</v>
      </c>
    </row>
    <row r="745" spans="1:10" x14ac:dyDescent="0.2">
      <c r="A745" s="93" t="str">
        <f t="shared" ca="1" si="0"/>
        <v>铁斧</v>
      </c>
      <c r="B745" s="93" t="s">
        <v>5056</v>
      </c>
      <c r="C745" s="282" t="s">
        <v>5057</v>
      </c>
      <c r="D745" s="282" t="s">
        <v>5058</v>
      </c>
      <c r="E745" s="282"/>
      <c r="F745" s="282" t="s">
        <v>5059</v>
      </c>
      <c r="G745" s="93" t="s">
        <v>5060</v>
      </c>
      <c r="H745" s="282" t="s">
        <v>5061</v>
      </c>
      <c r="I745" s="282"/>
      <c r="J745" s="282" t="s">
        <v>5062</v>
      </c>
    </row>
    <row r="746" spans="1:10" x14ac:dyDescent="0.2">
      <c r="A746" s="93" t="str">
        <f t="shared" ca="1" si="0"/>
        <v>手斧</v>
      </c>
      <c r="B746" s="93" t="s">
        <v>5063</v>
      </c>
      <c r="C746" s="282" t="s">
        <v>5064</v>
      </c>
      <c r="D746" s="282" t="s">
        <v>5065</v>
      </c>
      <c r="E746" s="282"/>
      <c r="F746" s="282" t="s">
        <v>5066</v>
      </c>
      <c r="G746" s="93" t="s">
        <v>5067</v>
      </c>
      <c r="H746" s="282" t="s">
        <v>5067</v>
      </c>
      <c r="I746" s="282"/>
      <c r="J746" s="282" t="s">
        <v>5068</v>
      </c>
    </row>
    <row r="747" spans="1:10" x14ac:dyDescent="0.2">
      <c r="A747" s="79" t="str">
        <f t="shared" ca="1" si="0"/>
        <v>弓</v>
      </c>
      <c r="B747" s="79" t="s">
        <v>5069</v>
      </c>
      <c r="C747" s="252" t="s">
        <v>5070</v>
      </c>
      <c r="D747" s="252" t="s">
        <v>5071</v>
      </c>
      <c r="E747" s="252"/>
      <c r="F747" s="252"/>
      <c r="G747" s="79" t="s">
        <v>5072</v>
      </c>
      <c r="H747" s="252" t="s">
        <v>5072</v>
      </c>
      <c r="I747" s="252"/>
      <c r="J747" s="252" t="s">
        <v>5072</v>
      </c>
    </row>
    <row r="748" spans="1:10" x14ac:dyDescent="0.2">
      <c r="A748" s="93" t="str">
        <f t="shared" ca="1" si="0"/>
        <v>历战之弓</v>
      </c>
      <c r="B748" s="93" t="s">
        <v>5073</v>
      </c>
      <c r="C748" s="282" t="s">
        <v>5074</v>
      </c>
      <c r="D748" s="282" t="s">
        <v>5075</v>
      </c>
      <c r="E748" s="282"/>
      <c r="F748" s="282" t="s">
        <v>5076</v>
      </c>
      <c r="G748" s="93" t="s">
        <v>5077</v>
      </c>
      <c r="H748" s="282" t="s">
        <v>5078</v>
      </c>
      <c r="I748" s="282"/>
      <c r="J748" s="282" t="s">
        <v>5079</v>
      </c>
    </row>
    <row r="749" spans="1:10" x14ac:dyDescent="0.2">
      <c r="A749" s="93" t="str">
        <f t="shared" ca="1" si="0"/>
        <v>古来弓・岚</v>
      </c>
      <c r="B749" s="93" t="s">
        <v>5080</v>
      </c>
      <c r="C749" s="282"/>
      <c r="D749" s="282" t="s">
        <v>5081</v>
      </c>
      <c r="E749" s="282"/>
      <c r="F749" s="282" t="s">
        <v>5082</v>
      </c>
      <c r="G749" s="93" t="s">
        <v>5083</v>
      </c>
      <c r="H749" s="282" t="s">
        <v>5084</v>
      </c>
      <c r="I749" s="282"/>
      <c r="J749" s="282" t="s">
        <v>5085</v>
      </c>
    </row>
    <row r="750" spans="1:10" x14ac:dyDescent="0.2">
      <c r="A750" s="93" t="str">
        <f t="shared" ca="1" si="0"/>
        <v>超越弓・幻</v>
      </c>
      <c r="B750" s="93" t="s">
        <v>5086</v>
      </c>
      <c r="C750" s="282" t="s">
        <v>5087</v>
      </c>
      <c r="D750" s="282" t="s">
        <v>5088</v>
      </c>
      <c r="E750" s="282"/>
      <c r="F750" s="282" t="s">
        <v>5089</v>
      </c>
      <c r="G750" s="93" t="s">
        <v>5090</v>
      </c>
      <c r="H750" s="282" t="s">
        <v>5091</v>
      </c>
      <c r="I750" s="282"/>
      <c r="J750" s="282" t="s">
        <v>5092</v>
      </c>
    </row>
    <row r="751" spans="1:10" x14ac:dyDescent="0.2">
      <c r="A751" s="93" t="str">
        <f t="shared" ca="1" si="0"/>
        <v>进化弓・鹰</v>
      </c>
      <c r="B751" s="93" t="s">
        <v>5093</v>
      </c>
      <c r="C751" s="282" t="s">
        <v>5094</v>
      </c>
      <c r="D751" s="282" t="s">
        <v>5095</v>
      </c>
      <c r="E751" s="282"/>
      <c r="F751" s="282" t="s">
        <v>5096</v>
      </c>
      <c r="G751" s="93" t="s">
        <v>5097</v>
      </c>
      <c r="H751" s="282" t="s">
        <v>5098</v>
      </c>
      <c r="I751" s="282"/>
      <c r="J751" s="282" t="s">
        <v>5099</v>
      </c>
    </row>
    <row r="752" spans="1:10" x14ac:dyDescent="0.2">
      <c r="A752" s="93" t="str">
        <f t="shared" ca="1" si="0"/>
        <v>禁忌之弓</v>
      </c>
      <c r="B752" s="93" t="s">
        <v>5100</v>
      </c>
      <c r="C752" s="282" t="s">
        <v>5101</v>
      </c>
      <c r="D752" s="282" t="s">
        <v>5102</v>
      </c>
      <c r="E752" s="282"/>
      <c r="F752" s="282" t="s">
        <v>5103</v>
      </c>
      <c r="G752" s="93" t="s">
        <v>5104</v>
      </c>
      <c r="H752" s="282" t="s">
        <v>5104</v>
      </c>
      <c r="I752" s="282"/>
      <c r="J752" s="282" t="s">
        <v>5105</v>
      </c>
    </row>
    <row r="753" spans="1:10" x14ac:dyDescent="0.2">
      <c r="A753" s="93" t="str">
        <f t="shared" ca="1" si="0"/>
        <v>海伯利昂弓</v>
      </c>
      <c r="B753" s="93" t="s">
        <v>5106</v>
      </c>
      <c r="C753" s="282"/>
      <c r="D753" s="282" t="s">
        <v>5107</v>
      </c>
      <c r="E753" s="282"/>
      <c r="F753" s="282" t="s">
        <v>5108</v>
      </c>
      <c r="G753" s="93" t="s">
        <v>5109</v>
      </c>
      <c r="H753" s="282" t="s">
        <v>5109</v>
      </c>
      <c r="I753" s="282"/>
      <c r="J753" s="282" t="s">
        <v>5110</v>
      </c>
    </row>
    <row r="754" spans="1:10" x14ac:dyDescent="0.2">
      <c r="A754" s="93" t="str">
        <f t="shared" ca="1" si="0"/>
        <v>弓圣的大弓</v>
      </c>
      <c r="B754" s="93" t="s">
        <v>5111</v>
      </c>
      <c r="C754" s="282"/>
      <c r="D754" s="282" t="s">
        <v>5112</v>
      </c>
      <c r="E754" s="282"/>
      <c r="F754" s="282" t="s">
        <v>5113</v>
      </c>
      <c r="G754" s="93" t="s">
        <v>5114</v>
      </c>
      <c r="H754" s="282" t="s">
        <v>5115</v>
      </c>
      <c r="I754" s="282"/>
      <c r="J754" s="282" t="s">
        <v>5116</v>
      </c>
    </row>
    <row r="755" spans="1:10" x14ac:dyDescent="0.2">
      <c r="A755" s="93" t="str">
        <f t="shared" ca="1" si="0"/>
        <v>符文弓</v>
      </c>
      <c r="B755" s="93" t="s">
        <v>5117</v>
      </c>
      <c r="C755" s="282"/>
      <c r="D755" s="282" t="s">
        <v>5118</v>
      </c>
      <c r="E755" s="282"/>
      <c r="F755" s="282" t="s">
        <v>5119</v>
      </c>
      <c r="G755" s="93" t="s">
        <v>5120</v>
      </c>
      <c r="H755" s="282" t="s">
        <v>5120</v>
      </c>
      <c r="I755" s="282"/>
      <c r="J755" s="282" t="s">
        <v>5121</v>
      </c>
    </row>
    <row r="756" spans="1:10" x14ac:dyDescent="0.2">
      <c r="A756" s="93" t="str">
        <f t="shared" ca="1" si="0"/>
        <v>雪男的大弓</v>
      </c>
      <c r="B756" s="93" t="s">
        <v>5122</v>
      </c>
      <c r="C756" s="282"/>
      <c r="D756" s="282" t="s">
        <v>5123</v>
      </c>
      <c r="E756" s="282"/>
      <c r="F756" s="282" t="s">
        <v>5124</v>
      </c>
      <c r="G756" s="93" t="s">
        <v>5125</v>
      </c>
      <c r="H756" s="282" t="s">
        <v>5125</v>
      </c>
      <c r="I756" s="282"/>
      <c r="J756" s="282" t="s">
        <v>5126</v>
      </c>
    </row>
    <row r="757" spans="1:10" x14ac:dyDescent="0.2">
      <c r="A757" s="93" t="str">
        <f t="shared" ca="1" si="0"/>
        <v>金钢合金弓</v>
      </c>
      <c r="B757" s="93" t="s">
        <v>5127</v>
      </c>
      <c r="C757" s="282"/>
      <c r="D757" s="282" t="s">
        <v>5128</v>
      </c>
      <c r="E757" s="282"/>
      <c r="F757" s="282" t="s">
        <v>5129</v>
      </c>
      <c r="G757" s="93" t="s">
        <v>5130</v>
      </c>
      <c r="H757" s="282" t="s">
        <v>5131</v>
      </c>
      <c r="I757" s="282"/>
      <c r="J757" s="282" t="s">
        <v>5132</v>
      </c>
    </row>
    <row r="758" spans="1:10" x14ac:dyDescent="0.2">
      <c r="A758" s="93" t="str">
        <f t="shared" ca="1" si="0"/>
        <v>强化弓・隼</v>
      </c>
      <c r="B758" s="93" t="s">
        <v>5133</v>
      </c>
      <c r="C758" s="282"/>
      <c r="D758" s="282" t="s">
        <v>5134</v>
      </c>
      <c r="E758" s="282"/>
      <c r="F758" s="282" t="s">
        <v>5135</v>
      </c>
      <c r="G758" s="93" t="s">
        <v>5136</v>
      </c>
      <c r="H758" s="282" t="s">
        <v>5137</v>
      </c>
      <c r="I758" s="282"/>
      <c r="J758" s="282" t="s">
        <v>5138</v>
      </c>
    </row>
    <row r="759" spans="1:10" x14ac:dyDescent="0.2">
      <c r="A759" s="93" t="str">
        <f t="shared" ca="1" si="0"/>
        <v>达人的大弓</v>
      </c>
      <c r="B759" s="93" t="s">
        <v>5139</v>
      </c>
      <c r="C759" s="282"/>
      <c r="D759" s="282" t="s">
        <v>5140</v>
      </c>
      <c r="E759" s="282"/>
      <c r="F759" s="282" t="s">
        <v>5141</v>
      </c>
      <c r="G759" s="93" t="s">
        <v>5142</v>
      </c>
      <c r="H759" s="282" t="s">
        <v>5143</v>
      </c>
      <c r="I759" s="282"/>
      <c r="J759" s="282" t="s">
        <v>5144</v>
      </c>
    </row>
    <row r="760" spans="1:10" x14ac:dyDescent="0.2">
      <c r="A760" s="93" t="str">
        <f t="shared" ca="1" si="0"/>
        <v>光辉弓</v>
      </c>
      <c r="B760" s="93" t="s">
        <v>5145</v>
      </c>
      <c r="C760" s="282"/>
      <c r="D760" s="282" t="s">
        <v>5146</v>
      </c>
      <c r="E760" s="282"/>
      <c r="F760" s="282" t="s">
        <v>5147</v>
      </c>
      <c r="G760" s="93" t="s">
        <v>5148</v>
      </c>
      <c r="H760" s="282" t="s">
        <v>5149</v>
      </c>
      <c r="I760" s="282"/>
      <c r="J760" s="282" t="s">
        <v>5150</v>
      </c>
    </row>
    <row r="761" spans="1:10" x14ac:dyDescent="0.2">
      <c r="A761" s="93" t="str">
        <f t="shared" ca="1" si="0"/>
        <v>海盗的大弓</v>
      </c>
      <c r="B761" s="93" t="s">
        <v>5151</v>
      </c>
      <c r="C761" s="282"/>
      <c r="D761" s="282" t="s">
        <v>5152</v>
      </c>
      <c r="E761" s="282"/>
      <c r="F761" s="282" t="s">
        <v>5153</v>
      </c>
      <c r="G761" s="93" t="s">
        <v>5154</v>
      </c>
      <c r="H761" s="282" t="s">
        <v>5155</v>
      </c>
      <c r="I761" s="282"/>
      <c r="J761" s="282" t="s">
        <v>5156</v>
      </c>
    </row>
    <row r="762" spans="1:10" x14ac:dyDescent="0.2">
      <c r="A762" s="93" t="str">
        <f t="shared" ca="1" si="0"/>
        <v>精神弓</v>
      </c>
      <c r="B762" s="93" t="s">
        <v>5157</v>
      </c>
      <c r="C762" s="282"/>
      <c r="D762" s="282" t="s">
        <v>5158</v>
      </c>
      <c r="E762" s="282"/>
      <c r="F762" s="282" t="s">
        <v>5159</v>
      </c>
      <c r="G762" s="93" t="s">
        <v>5160</v>
      </c>
      <c r="H762" s="282" t="s">
        <v>5160</v>
      </c>
      <c r="I762" s="282"/>
      <c r="J762" s="282" t="s">
        <v>5161</v>
      </c>
    </row>
    <row r="763" spans="1:10" x14ac:dyDescent="0.2">
      <c r="A763" s="93" t="str">
        <f t="shared" ca="1" si="0"/>
        <v>战姬的大弓</v>
      </c>
      <c r="B763" s="93" t="s">
        <v>5162</v>
      </c>
      <c r="C763" s="282" t="s">
        <v>5163</v>
      </c>
      <c r="D763" s="282" t="s">
        <v>5164</v>
      </c>
      <c r="E763" s="282"/>
      <c r="F763" s="282" t="s">
        <v>5165</v>
      </c>
      <c r="G763" s="93" t="s">
        <v>5166</v>
      </c>
      <c r="H763" s="282" t="s">
        <v>5167</v>
      </c>
      <c r="I763" s="282"/>
      <c r="J763" s="282" t="s">
        <v>5168</v>
      </c>
    </row>
    <row r="764" spans="1:10" x14ac:dyDescent="0.2">
      <c r="A764" s="93" t="str">
        <f t="shared" ca="1" si="0"/>
        <v>元素弓</v>
      </c>
      <c r="B764" s="93" t="s">
        <v>5169</v>
      </c>
      <c r="C764" s="51" t="s">
        <v>5170</v>
      </c>
      <c r="D764" s="282" t="s">
        <v>5171</v>
      </c>
      <c r="E764" s="282"/>
      <c r="F764" s="282" t="s">
        <v>5172</v>
      </c>
      <c r="G764" s="93" t="s">
        <v>5173</v>
      </c>
      <c r="H764" s="282" t="s">
        <v>5173</v>
      </c>
      <c r="I764" s="282"/>
      <c r="J764" s="282" t="s">
        <v>5174</v>
      </c>
    </row>
    <row r="765" spans="1:10" x14ac:dyDescent="0.2">
      <c r="A765" s="93" t="str">
        <f t="shared" ca="1" si="0"/>
        <v>影弓</v>
      </c>
      <c r="B765" s="93" t="s">
        <v>5175</v>
      </c>
      <c r="C765" s="282"/>
      <c r="D765" s="282" t="s">
        <v>5176</v>
      </c>
      <c r="E765" s="282"/>
      <c r="F765" s="282" t="s">
        <v>5177</v>
      </c>
      <c r="G765" s="93" t="s">
        <v>5178</v>
      </c>
      <c r="H765" s="282" t="s">
        <v>5178</v>
      </c>
      <c r="I765" s="282"/>
      <c r="J765" s="282" t="s">
        <v>5179</v>
      </c>
    </row>
    <row r="766" spans="1:10" x14ac:dyDescent="0.2">
      <c r="A766" s="93" t="str">
        <f t="shared" ca="1" si="0"/>
        <v>战斧弓</v>
      </c>
      <c r="B766" s="93" t="s">
        <v>5180</v>
      </c>
      <c r="C766" s="282"/>
      <c r="D766" s="282" t="s">
        <v>5181</v>
      </c>
      <c r="E766" s="282"/>
      <c r="F766" s="282" t="s">
        <v>5182</v>
      </c>
      <c r="G766" s="93" t="s">
        <v>5183</v>
      </c>
      <c r="H766" s="282" t="s">
        <v>5184</v>
      </c>
      <c r="I766" s="282"/>
      <c r="J766" s="282" t="s">
        <v>5185</v>
      </c>
    </row>
    <row r="767" spans="1:10" x14ac:dyDescent="0.2">
      <c r="A767" s="93" t="str">
        <f t="shared" ca="1" si="0"/>
        <v>神射手的大弓</v>
      </c>
      <c r="B767" s="93" t="s">
        <v>5186</v>
      </c>
      <c r="C767" s="282"/>
      <c r="D767" s="282" t="s">
        <v>5187</v>
      </c>
      <c r="E767" s="282"/>
      <c r="F767" s="282" t="s">
        <v>5188</v>
      </c>
      <c r="G767" s="93" t="s">
        <v>5189</v>
      </c>
      <c r="H767" s="282" t="s">
        <v>5189</v>
      </c>
      <c r="I767" s="282"/>
      <c r="J767" s="282" t="s">
        <v>5190</v>
      </c>
    </row>
    <row r="768" spans="1:10" x14ac:dyDescent="0.2">
      <c r="A768" s="93" t="str">
        <f t="shared" ca="1" si="0"/>
        <v>灵魂弓</v>
      </c>
      <c r="B768" s="93" t="s">
        <v>5191</v>
      </c>
      <c r="C768" s="282"/>
      <c r="D768" s="282" t="s">
        <v>5192</v>
      </c>
      <c r="E768" s="282"/>
      <c r="F768" s="282" t="s">
        <v>5193</v>
      </c>
      <c r="G768" s="93" t="s">
        <v>5194</v>
      </c>
      <c r="H768" s="282" t="s">
        <v>5195</v>
      </c>
      <c r="I768" s="282"/>
      <c r="J768" s="282" t="s">
        <v>5196</v>
      </c>
    </row>
    <row r="769" spans="1:10" x14ac:dyDescent="0.2">
      <c r="A769" s="93" t="str">
        <f t="shared" ca="1" si="0"/>
        <v>士兵的大弓</v>
      </c>
      <c r="B769" s="93" t="s">
        <v>5197</v>
      </c>
      <c r="C769" s="51" t="s">
        <v>5198</v>
      </c>
      <c r="D769" s="282" t="s">
        <v>5199</v>
      </c>
      <c r="E769" s="282"/>
      <c r="F769" s="282" t="s">
        <v>5200</v>
      </c>
      <c r="G769" s="93" t="s">
        <v>5201</v>
      </c>
      <c r="H769" s="282" t="s">
        <v>5201</v>
      </c>
      <c r="I769" s="282"/>
      <c r="J769" s="282" t="s">
        <v>5202</v>
      </c>
    </row>
    <row r="770" spans="1:10" x14ac:dyDescent="0.2">
      <c r="A770" s="93" t="str">
        <f t="shared" ca="1" si="0"/>
        <v>重弓</v>
      </c>
      <c r="B770" s="93" t="s">
        <v>5203</v>
      </c>
      <c r="C770" s="282"/>
      <c r="D770" s="282" t="s">
        <v>5204</v>
      </c>
      <c r="E770" s="282"/>
      <c r="F770" s="282" t="s">
        <v>5205</v>
      </c>
      <c r="G770" s="93" t="s">
        <v>5206</v>
      </c>
      <c r="H770" s="282" t="s">
        <v>5206</v>
      </c>
      <c r="I770" s="282"/>
      <c r="J770" s="282" t="s">
        <v>5207</v>
      </c>
    </row>
    <row r="771" spans="1:10" x14ac:dyDescent="0.2">
      <c r="A771" s="93" t="str">
        <f t="shared" ca="1" si="0"/>
        <v>魔法弓</v>
      </c>
      <c r="B771" s="93" t="s">
        <v>5208</v>
      </c>
      <c r="C771" s="51" t="s">
        <v>5209</v>
      </c>
      <c r="D771" s="282" t="s">
        <v>5210</v>
      </c>
      <c r="E771" s="282"/>
      <c r="F771" s="282" t="s">
        <v>5211</v>
      </c>
      <c r="G771" s="93" t="s">
        <v>5212</v>
      </c>
      <c r="H771" s="282" t="s">
        <v>5212</v>
      </c>
      <c r="I771" s="282"/>
      <c r="J771" s="282" t="s">
        <v>5213</v>
      </c>
    </row>
    <row r="772" spans="1:10" x14ac:dyDescent="0.2">
      <c r="A772" s="93" t="str">
        <f t="shared" ca="1" si="0"/>
        <v>杀手弓</v>
      </c>
      <c r="B772" s="93" t="s">
        <v>5214</v>
      </c>
      <c r="C772" s="282"/>
      <c r="D772" s="282" t="s">
        <v>5215</v>
      </c>
      <c r="E772" s="282"/>
      <c r="F772" s="282" t="s">
        <v>5216</v>
      </c>
      <c r="G772" s="93" t="s">
        <v>5217</v>
      </c>
      <c r="H772" s="282" t="s">
        <v>5218</v>
      </c>
      <c r="I772" s="282"/>
      <c r="J772" s="282" t="s">
        <v>5219</v>
      </c>
    </row>
    <row r="773" spans="1:10" x14ac:dyDescent="0.2">
      <c r="A773" s="93" t="str">
        <f t="shared" ca="1" si="0"/>
        <v>魔咒弓</v>
      </c>
      <c r="B773" s="93" t="s">
        <v>5220</v>
      </c>
      <c r="C773" s="282" t="s">
        <v>5221</v>
      </c>
      <c r="D773" s="282" t="s">
        <v>5222</v>
      </c>
      <c r="E773" s="282"/>
      <c r="F773" s="282" t="s">
        <v>5223</v>
      </c>
      <c r="G773" s="93" t="s">
        <v>5224</v>
      </c>
      <c r="H773" s="282" t="s">
        <v>5224</v>
      </c>
      <c r="I773" s="282"/>
      <c r="J773" s="282" t="s">
        <v>5225</v>
      </c>
    </row>
    <row r="774" spans="1:10" x14ac:dyDescent="0.2">
      <c r="A774" s="93" t="str">
        <f t="shared" ca="1" si="0"/>
        <v>狼弓</v>
      </c>
      <c r="B774" s="93" t="s">
        <v>5226</v>
      </c>
      <c r="C774" s="282" t="s">
        <v>5227</v>
      </c>
      <c r="D774" s="282" t="s">
        <v>5228</v>
      </c>
      <c r="E774" s="282"/>
      <c r="F774" s="282" t="s">
        <v>5229</v>
      </c>
      <c r="G774" s="93" t="s">
        <v>5230</v>
      </c>
      <c r="H774" s="282" t="s">
        <v>5230</v>
      </c>
      <c r="I774" s="282"/>
      <c r="J774" s="282" t="s">
        <v>5231</v>
      </c>
    </row>
    <row r="775" spans="1:10" x14ac:dyDescent="0.2">
      <c r="A775" s="93" t="str">
        <f t="shared" ca="1" si="0"/>
        <v>石弓</v>
      </c>
      <c r="B775" s="93" t="s">
        <v>5232</v>
      </c>
      <c r="C775" s="282" t="s">
        <v>5233</v>
      </c>
      <c r="D775" s="282" t="s">
        <v>5234</v>
      </c>
      <c r="E775" s="282"/>
      <c r="F775" s="282" t="s">
        <v>5235</v>
      </c>
      <c r="G775" s="93" t="s">
        <v>5236</v>
      </c>
      <c r="H775" s="282" t="s">
        <v>5236</v>
      </c>
      <c r="I775" s="282"/>
      <c r="J775" s="282" t="s">
        <v>5237</v>
      </c>
    </row>
    <row r="776" spans="1:10" x14ac:dyDescent="0.2">
      <c r="A776" s="93" t="str">
        <f t="shared" ca="1" si="0"/>
        <v>复合弓</v>
      </c>
      <c r="B776" s="93" t="s">
        <v>5238</v>
      </c>
      <c r="C776" s="282" t="s">
        <v>5239</v>
      </c>
      <c r="D776" s="282" t="s">
        <v>5240</v>
      </c>
      <c r="E776" s="282"/>
      <c r="F776" s="282" t="s">
        <v>5241</v>
      </c>
      <c r="G776" s="93" t="s">
        <v>5242</v>
      </c>
      <c r="H776" s="282" t="s">
        <v>5243</v>
      </c>
      <c r="I776" s="282"/>
      <c r="J776" s="282" t="s">
        <v>5244</v>
      </c>
    </row>
    <row r="777" spans="1:10" x14ac:dyDescent="0.2">
      <c r="A777" s="93" t="str">
        <f t="shared" ca="1" si="0"/>
        <v>长弓</v>
      </c>
      <c r="B777" s="93" t="s">
        <v>5245</v>
      </c>
      <c r="C777" s="282" t="s">
        <v>5246</v>
      </c>
      <c r="D777" s="282" t="s">
        <v>5247</v>
      </c>
      <c r="E777" s="282"/>
      <c r="F777" s="282" t="s">
        <v>5248</v>
      </c>
      <c r="G777" s="93" t="s">
        <v>5249</v>
      </c>
      <c r="H777" s="282" t="s">
        <v>5250</v>
      </c>
      <c r="I777" s="282"/>
      <c r="J777" s="282" t="s">
        <v>5251</v>
      </c>
    </row>
    <row r="778" spans="1:10" x14ac:dyDescent="0.2">
      <c r="A778" s="79" t="str">
        <f t="shared" ca="1" si="0"/>
        <v>杖</v>
      </c>
      <c r="B778" s="79" t="s">
        <v>5252</v>
      </c>
      <c r="C778" s="252" t="s">
        <v>5253</v>
      </c>
      <c r="D778" s="252" t="s">
        <v>5254</v>
      </c>
      <c r="E778" s="252"/>
      <c r="F778" s="252"/>
      <c r="G778" s="79" t="s">
        <v>5255</v>
      </c>
      <c r="H778" s="252" t="s">
        <v>5255</v>
      </c>
      <c r="I778" s="252"/>
      <c r="J778" s="252" t="s">
        <v>5255</v>
      </c>
    </row>
    <row r="779" spans="1:10" x14ac:dyDescent="0.2">
      <c r="A779" s="93" t="str">
        <f t="shared" ca="1" si="0"/>
        <v>历战之杖</v>
      </c>
      <c r="B779" s="93" t="s">
        <v>5256</v>
      </c>
      <c r="C779" s="282" t="s">
        <v>5257</v>
      </c>
      <c r="D779" s="282" t="s">
        <v>5258</v>
      </c>
      <c r="E779" s="282"/>
      <c r="F779" s="282" t="s">
        <v>5259</v>
      </c>
      <c r="G779" s="93" t="s">
        <v>5260</v>
      </c>
      <c r="H779" s="282" t="s">
        <v>5261</v>
      </c>
      <c r="I779" s="282"/>
      <c r="J779" s="282" t="s">
        <v>5262</v>
      </c>
    </row>
    <row r="780" spans="1:10" x14ac:dyDescent="0.2">
      <c r="A780" s="93" t="str">
        <f t="shared" ca="1" si="0"/>
        <v>大主教之杖</v>
      </c>
      <c r="B780" s="93" t="s">
        <v>5263</v>
      </c>
      <c r="C780" s="282"/>
      <c r="D780" s="282" t="s">
        <v>5264</v>
      </c>
      <c r="E780" s="282"/>
      <c r="F780" s="282" t="s">
        <v>5265</v>
      </c>
      <c r="G780" s="93" t="s">
        <v>5266</v>
      </c>
      <c r="H780" s="282" t="s">
        <v>5266</v>
      </c>
      <c r="I780" s="282"/>
      <c r="J780" s="282" t="s">
        <v>5267</v>
      </c>
    </row>
    <row r="781" spans="1:10" x14ac:dyDescent="0.2">
      <c r="A781" s="93" t="str">
        <f t="shared" ca="1" si="0"/>
        <v>斗智之杖</v>
      </c>
      <c r="B781" s="93" t="s">
        <v>5268</v>
      </c>
      <c r="C781" s="282"/>
      <c r="D781" s="282" t="s">
        <v>5269</v>
      </c>
      <c r="E781" s="282"/>
      <c r="F781" s="282" t="s">
        <v>5270</v>
      </c>
      <c r="G781" s="93" t="s">
        <v>5271</v>
      </c>
      <c r="H781" s="282" t="s">
        <v>5272</v>
      </c>
      <c r="I781" s="282"/>
      <c r="J781" s="282" t="s">
        <v>5273</v>
      </c>
    </row>
    <row r="782" spans="1:10" x14ac:dyDescent="0.2">
      <c r="A782" s="93" t="str">
        <f t="shared" ca="1" si="0"/>
        <v>术士之杖</v>
      </c>
      <c r="B782" s="93" t="s">
        <v>5274</v>
      </c>
      <c r="C782" s="282"/>
      <c r="D782" s="282" t="s">
        <v>5275</v>
      </c>
      <c r="E782" s="282"/>
      <c r="F782" s="282" t="s">
        <v>5276</v>
      </c>
      <c r="G782" s="93" t="s">
        <v>5277</v>
      </c>
      <c r="H782" s="282" t="s">
        <v>5278</v>
      </c>
      <c r="I782" s="282"/>
      <c r="J782" s="282" t="s">
        <v>5279</v>
      </c>
    </row>
    <row r="783" spans="1:10" x14ac:dyDescent="0.2">
      <c r="A783" s="93" t="str">
        <f t="shared" ca="1" si="0"/>
        <v>绝对零度之杖</v>
      </c>
      <c r="B783" s="93" t="s">
        <v>5280</v>
      </c>
      <c r="C783" s="282"/>
      <c r="D783" s="282" t="s">
        <v>5281</v>
      </c>
      <c r="E783" s="282"/>
      <c r="F783" s="282" t="s">
        <v>5282</v>
      </c>
      <c r="G783" s="93" t="s">
        <v>5283</v>
      </c>
      <c r="H783" s="282" t="s">
        <v>5284</v>
      </c>
      <c r="I783" s="282"/>
      <c r="J783" s="282" t="s">
        <v>5285</v>
      </c>
    </row>
    <row r="784" spans="1:10" x14ac:dyDescent="0.2">
      <c r="A784" s="93" t="str">
        <f t="shared" ca="1" si="0"/>
        <v>世界树手杖</v>
      </c>
      <c r="B784" s="93" t="s">
        <v>5286</v>
      </c>
      <c r="C784" s="282"/>
      <c r="D784" s="282" t="s">
        <v>5287</v>
      </c>
      <c r="E784" s="282"/>
      <c r="F784" s="282" t="s">
        <v>5288</v>
      </c>
      <c r="G784" s="93" t="s">
        <v>5289</v>
      </c>
      <c r="H784" s="282" t="s">
        <v>5290</v>
      </c>
      <c r="I784" s="282"/>
      <c r="J784" s="282" t="s">
        <v>5291</v>
      </c>
    </row>
    <row r="785" spans="1:10" x14ac:dyDescent="0.2">
      <c r="A785" s="93" t="str">
        <f t="shared" ca="1" si="0"/>
        <v>马提亚斯之杖</v>
      </c>
      <c r="B785" s="93" t="s">
        <v>5292</v>
      </c>
      <c r="C785" s="282"/>
      <c r="D785" s="282" t="s">
        <v>5293</v>
      </c>
      <c r="E785" s="282"/>
      <c r="F785" s="282" t="s">
        <v>5294</v>
      </c>
      <c r="G785" s="93" t="s">
        <v>5295</v>
      </c>
      <c r="H785" s="282" t="s">
        <v>5296</v>
      </c>
      <c r="I785" s="282"/>
      <c r="J785" s="282" t="s">
        <v>5297</v>
      </c>
    </row>
    <row r="786" spans="1:10" x14ac:dyDescent="0.2">
      <c r="A786" s="93" t="str">
        <f t="shared" ca="1" si="0"/>
        <v>禁忌之杖</v>
      </c>
      <c r="B786" s="93" t="s">
        <v>5298</v>
      </c>
      <c r="C786" s="282" t="s">
        <v>5299</v>
      </c>
      <c r="D786" s="282" t="s">
        <v>5300</v>
      </c>
      <c r="E786" s="282"/>
      <c r="F786" s="282" t="s">
        <v>5301</v>
      </c>
      <c r="G786" s="93" t="s">
        <v>5302</v>
      </c>
      <c r="H786" s="282" t="s">
        <v>5302</v>
      </c>
      <c r="I786" s="282"/>
      <c r="J786" s="282" t="s">
        <v>5303</v>
      </c>
    </row>
    <row r="787" spans="1:10" x14ac:dyDescent="0.2">
      <c r="A787" s="93" t="str">
        <f t="shared" ca="1" si="0"/>
        <v>魔法之杖</v>
      </c>
      <c r="B787" s="93" t="s">
        <v>5304</v>
      </c>
      <c r="C787" s="282"/>
      <c r="D787" s="282" t="s">
        <v>5305</v>
      </c>
      <c r="E787" s="282"/>
      <c r="F787" s="282" t="s">
        <v>5306</v>
      </c>
      <c r="G787" s="93" t="s">
        <v>5307</v>
      </c>
      <c r="H787" s="282" t="s">
        <v>5307</v>
      </c>
      <c r="I787" s="282"/>
      <c r="J787" s="282" t="s">
        <v>5308</v>
      </c>
    </row>
    <row r="788" spans="1:10" x14ac:dyDescent="0.2">
      <c r="A788" s="93" t="str">
        <f t="shared" ca="1" si="0"/>
        <v>巨人棍棒</v>
      </c>
      <c r="B788" s="93" t="s">
        <v>5309</v>
      </c>
      <c r="C788" s="282"/>
      <c r="D788" s="282" t="s">
        <v>5310</v>
      </c>
      <c r="E788" s="282"/>
      <c r="F788" s="282" t="s">
        <v>5311</v>
      </c>
      <c r="G788" s="93" t="s">
        <v>5312</v>
      </c>
      <c r="H788" s="282" t="s">
        <v>5312</v>
      </c>
      <c r="I788" s="282"/>
      <c r="J788" s="282" t="s">
        <v>5313</v>
      </c>
    </row>
    <row r="789" spans="1:10" x14ac:dyDescent="0.2">
      <c r="A789" s="93" t="str">
        <f t="shared" ca="1" si="0"/>
        <v>陨石杖</v>
      </c>
      <c r="B789" s="93" t="s">
        <v>5314</v>
      </c>
      <c r="C789" s="282"/>
      <c r="D789" s="282" t="s">
        <v>5315</v>
      </c>
      <c r="E789" s="282"/>
      <c r="F789" s="282" t="s">
        <v>5316</v>
      </c>
      <c r="G789" s="93" t="s">
        <v>5317</v>
      </c>
      <c r="H789" s="282" t="s">
        <v>5318</v>
      </c>
      <c r="I789" s="282"/>
      <c r="J789" s="282" t="s">
        <v>5319</v>
      </c>
    </row>
    <row r="790" spans="1:10" x14ac:dyDescent="0.2">
      <c r="A790" s="93" t="str">
        <f t="shared" ca="1" si="0"/>
        <v>晨星锤</v>
      </c>
      <c r="B790" s="93" t="s">
        <v>5320</v>
      </c>
      <c r="C790" s="282" t="s">
        <v>5321</v>
      </c>
      <c r="D790" s="282" t="s">
        <v>5322</v>
      </c>
      <c r="E790" s="282"/>
      <c r="F790" s="282" t="s">
        <v>5323</v>
      </c>
      <c r="G790" s="93" t="s">
        <v>5324</v>
      </c>
      <c r="H790" s="282" t="s">
        <v>5325</v>
      </c>
      <c r="I790" s="282"/>
      <c r="J790" s="282" t="s">
        <v>5326</v>
      </c>
    </row>
    <row r="791" spans="1:10" x14ac:dyDescent="0.2">
      <c r="A791" s="93" t="str">
        <f t="shared" ca="1" si="0"/>
        <v>智慧手杖</v>
      </c>
      <c r="B791" s="93" t="s">
        <v>5327</v>
      </c>
      <c r="C791" s="282"/>
      <c r="D791" s="282" t="s">
        <v>5328</v>
      </c>
      <c r="E791" s="282"/>
      <c r="F791" s="282" t="s">
        <v>5329</v>
      </c>
      <c r="G791" s="93" t="s">
        <v>5330</v>
      </c>
      <c r="H791" s="282" t="s">
        <v>5330</v>
      </c>
      <c r="I791" s="282"/>
      <c r="J791" s="282" t="s">
        <v>5331</v>
      </c>
    </row>
    <row r="792" spans="1:10" x14ac:dyDescent="0.2">
      <c r="A792" s="93" t="str">
        <f t="shared" ca="1" si="0"/>
        <v>大蓝宝石杖</v>
      </c>
      <c r="B792" s="93" t="s">
        <v>5332</v>
      </c>
      <c r="C792" s="282"/>
      <c r="D792" s="282" t="s">
        <v>5333</v>
      </c>
      <c r="E792" s="282"/>
      <c r="F792" s="282" t="s">
        <v>5334</v>
      </c>
      <c r="G792" s="93" t="s">
        <v>5335</v>
      </c>
      <c r="H792" s="282" t="s">
        <v>5336</v>
      </c>
      <c r="I792" s="282"/>
      <c r="J792" s="282" t="s">
        <v>5337</v>
      </c>
    </row>
    <row r="793" spans="1:10" x14ac:dyDescent="0.2">
      <c r="A793" s="93" t="str">
        <f t="shared" ca="1" si="0"/>
        <v>巨锤</v>
      </c>
      <c r="B793" s="93" t="s">
        <v>5338</v>
      </c>
      <c r="C793" s="282"/>
      <c r="D793" s="282" t="s">
        <v>5339</v>
      </c>
      <c r="E793" s="282"/>
      <c r="F793" s="282" t="s">
        <v>5340</v>
      </c>
      <c r="G793" s="93" t="s">
        <v>5341</v>
      </c>
      <c r="H793" s="282" t="s">
        <v>5342</v>
      </c>
      <c r="I793" s="282"/>
      <c r="J793" s="282" t="s">
        <v>5343</v>
      </c>
    </row>
    <row r="794" spans="1:10" x14ac:dyDescent="0.2">
      <c r="A794" s="93" t="str">
        <f t="shared" ca="1" si="0"/>
        <v>蓝宝石杖</v>
      </c>
      <c r="B794" s="93" t="s">
        <v>5344</v>
      </c>
      <c r="C794" s="282"/>
      <c r="D794" s="282" t="s">
        <v>5345</v>
      </c>
      <c r="E794" s="282"/>
      <c r="F794" s="282" t="s">
        <v>5346</v>
      </c>
      <c r="G794" s="93" t="s">
        <v>5347</v>
      </c>
      <c r="H794" s="282" t="s">
        <v>5348</v>
      </c>
      <c r="I794" s="282"/>
      <c r="J794" s="282" t="s">
        <v>5349</v>
      </c>
    </row>
    <row r="795" spans="1:10" x14ac:dyDescent="0.2">
      <c r="A795" s="93" t="str">
        <f t="shared" ca="1" si="0"/>
        <v>战锤</v>
      </c>
      <c r="B795" s="93" t="s">
        <v>5350</v>
      </c>
      <c r="C795" s="282" t="s">
        <v>5351</v>
      </c>
      <c r="D795" s="282" t="s">
        <v>5352</v>
      </c>
      <c r="E795" s="282"/>
      <c r="F795" s="282" t="s">
        <v>5353</v>
      </c>
      <c r="G795" s="93" t="s">
        <v>5354</v>
      </c>
      <c r="H795" s="282" t="s">
        <v>5355</v>
      </c>
      <c r="I795" s="282"/>
      <c r="J795" s="282" t="s">
        <v>5356</v>
      </c>
    </row>
    <row r="796" spans="1:10" x14ac:dyDescent="0.2">
      <c r="A796" s="93" t="str">
        <f t="shared" ca="1" si="0"/>
        <v>黑手杖</v>
      </c>
      <c r="B796" s="93" t="s">
        <v>5357</v>
      </c>
      <c r="C796" s="282"/>
      <c r="D796" s="282" t="s">
        <v>5358</v>
      </c>
      <c r="E796" s="282"/>
      <c r="F796" s="282" t="s">
        <v>5359</v>
      </c>
      <c r="G796" s="93" t="s">
        <v>5360</v>
      </c>
      <c r="H796" s="282" t="s">
        <v>5360</v>
      </c>
      <c r="I796" s="282"/>
      <c r="J796" s="282" t="s">
        <v>5361</v>
      </c>
    </row>
    <row r="797" spans="1:10" x14ac:dyDescent="0.2">
      <c r="A797" s="93" t="str">
        <f t="shared" ca="1" si="0"/>
        <v>法师手杖</v>
      </c>
      <c r="B797" s="93" t="s">
        <v>5362</v>
      </c>
      <c r="C797" s="282"/>
      <c r="D797" s="282" t="s">
        <v>5363</v>
      </c>
      <c r="E797" s="282"/>
      <c r="F797" s="282" t="s">
        <v>5364</v>
      </c>
      <c r="G797" s="93" t="s">
        <v>5365</v>
      </c>
      <c r="H797" s="282" t="s">
        <v>5366</v>
      </c>
      <c r="I797" s="282"/>
      <c r="J797" s="282" t="s">
        <v>5367</v>
      </c>
    </row>
    <row r="798" spans="1:10" x14ac:dyDescent="0.2">
      <c r="A798" s="93" t="str">
        <f t="shared" ca="1" si="0"/>
        <v>大石英杖</v>
      </c>
      <c r="B798" s="93" t="s">
        <v>5368</v>
      </c>
      <c r="C798" s="282"/>
      <c r="D798" s="282" t="s">
        <v>5369</v>
      </c>
      <c r="E798" s="282"/>
      <c r="F798" s="282" t="s">
        <v>5370</v>
      </c>
      <c r="G798" s="93" t="s">
        <v>5371</v>
      </c>
      <c r="H798" s="282" t="s">
        <v>5371</v>
      </c>
      <c r="I798" s="282"/>
      <c r="J798" s="282" t="s">
        <v>5372</v>
      </c>
    </row>
    <row r="799" spans="1:10" x14ac:dyDescent="0.2">
      <c r="A799" s="93" t="str">
        <f t="shared" ca="1" si="0"/>
        <v>奇迹手杖</v>
      </c>
      <c r="B799" s="93" t="s">
        <v>5373</v>
      </c>
      <c r="C799" s="51" t="s">
        <v>5374</v>
      </c>
      <c r="D799" s="282" t="s">
        <v>5375</v>
      </c>
      <c r="E799" s="282"/>
      <c r="F799" s="282" t="s">
        <v>5376</v>
      </c>
      <c r="G799" s="93" t="s">
        <v>5377</v>
      </c>
      <c r="H799" s="282" t="s">
        <v>5378</v>
      </c>
      <c r="I799" s="282"/>
      <c r="J799" s="282" t="s">
        <v>5379</v>
      </c>
    </row>
    <row r="800" spans="1:10" x14ac:dyDescent="0.2">
      <c r="A800" s="93" t="str">
        <f t="shared" ca="1" si="0"/>
        <v>长柄权杖</v>
      </c>
      <c r="B800" s="93" t="s">
        <v>5380</v>
      </c>
      <c r="C800" s="282"/>
      <c r="D800" s="282" t="s">
        <v>5381</v>
      </c>
      <c r="E800" s="282"/>
      <c r="F800" s="282" t="s">
        <v>5382</v>
      </c>
      <c r="G800" s="93" t="s">
        <v>5383</v>
      </c>
      <c r="H800" s="282" t="s">
        <v>5384</v>
      </c>
      <c r="I800" s="282"/>
      <c r="J800" s="282" t="s">
        <v>5385</v>
      </c>
    </row>
    <row r="801" spans="1:10" x14ac:dyDescent="0.2">
      <c r="A801" s="93" t="str">
        <f t="shared" ca="1" si="0"/>
        <v>橡木手杖</v>
      </c>
      <c r="B801" s="93" t="s">
        <v>5386</v>
      </c>
      <c r="C801" s="282"/>
      <c r="D801" s="282" t="s">
        <v>5387</v>
      </c>
      <c r="E801" s="282"/>
      <c r="F801" s="282" t="s">
        <v>5388</v>
      </c>
      <c r="G801" s="93" t="s">
        <v>5389</v>
      </c>
      <c r="H801" s="282" t="s">
        <v>5389</v>
      </c>
      <c r="I801" s="282"/>
      <c r="J801" s="282" t="s">
        <v>5390</v>
      </c>
    </row>
    <row r="802" spans="1:10" x14ac:dyDescent="0.2">
      <c r="A802" s="93" t="str">
        <f t="shared" ca="1" si="0"/>
        <v>连伽</v>
      </c>
      <c r="B802" s="93" t="s">
        <v>5391</v>
      </c>
      <c r="C802" s="282"/>
      <c r="D802" s="282" t="s">
        <v>5392</v>
      </c>
      <c r="E802" s="282"/>
      <c r="F802" s="282" t="s">
        <v>5393</v>
      </c>
      <c r="G802" s="93" t="s">
        <v>5394</v>
      </c>
      <c r="H802" s="282" t="s">
        <v>5395</v>
      </c>
      <c r="I802" s="282"/>
      <c r="J802" s="282" t="s">
        <v>5396</v>
      </c>
    </row>
    <row r="803" spans="1:10" x14ac:dyDescent="0.2">
      <c r="A803" s="93" t="str">
        <f t="shared" ca="1" si="0"/>
        <v>理力之杖</v>
      </c>
      <c r="B803" s="93" t="s">
        <v>5397</v>
      </c>
      <c r="C803" s="282"/>
      <c r="D803" s="282" t="s">
        <v>5398</v>
      </c>
      <c r="E803" s="282"/>
      <c r="F803" s="282" t="s">
        <v>5399</v>
      </c>
      <c r="G803" s="93" t="s">
        <v>5400</v>
      </c>
      <c r="H803" s="282" t="s">
        <v>5400</v>
      </c>
      <c r="I803" s="282"/>
      <c r="J803" s="282" t="s">
        <v>5401</v>
      </c>
    </row>
    <row r="804" spans="1:10" x14ac:dyDescent="0.2">
      <c r="A804" s="93" t="str">
        <f t="shared" ca="1" si="0"/>
        <v>权杖</v>
      </c>
      <c r="B804" s="93" t="s">
        <v>5402</v>
      </c>
      <c r="C804" s="282" t="s">
        <v>5403</v>
      </c>
      <c r="D804" s="282" t="s">
        <v>5404</v>
      </c>
      <c r="E804" s="282"/>
      <c r="F804" s="282" t="s">
        <v>5405</v>
      </c>
      <c r="G804" s="93" t="s">
        <v>5406</v>
      </c>
      <c r="H804" s="282" t="s">
        <v>5407</v>
      </c>
      <c r="I804" s="282"/>
      <c r="J804" s="282"/>
    </row>
    <row r="805" spans="1:10" x14ac:dyDescent="0.2">
      <c r="A805" s="93" t="str">
        <f t="shared" ca="1" si="0"/>
        <v>月桂手杖</v>
      </c>
      <c r="B805" s="93" t="s">
        <v>5408</v>
      </c>
      <c r="C805" s="282"/>
      <c r="D805" s="282" t="s">
        <v>5409</v>
      </c>
      <c r="E805" s="282"/>
      <c r="F805" s="282" t="s">
        <v>5410</v>
      </c>
      <c r="G805" s="93" t="s">
        <v>5411</v>
      </c>
      <c r="H805" s="282" t="s">
        <v>5411</v>
      </c>
      <c r="I805" s="282"/>
      <c r="J805" s="282" t="s">
        <v>5412</v>
      </c>
    </row>
    <row r="806" spans="1:10" x14ac:dyDescent="0.2">
      <c r="A806" s="93" t="str">
        <f t="shared" ca="1" si="0"/>
        <v>复合杖</v>
      </c>
      <c r="B806" s="93" t="s">
        <v>5413</v>
      </c>
      <c r="C806" s="282"/>
      <c r="D806" s="282" t="s">
        <v>5414</v>
      </c>
      <c r="E806" s="282"/>
      <c r="F806" s="282" t="s">
        <v>5415</v>
      </c>
      <c r="G806" s="93" t="s">
        <v>5416</v>
      </c>
      <c r="H806" s="282" t="s">
        <v>5417</v>
      </c>
      <c r="I806" s="282"/>
      <c r="J806" s="282" t="s">
        <v>5418</v>
      </c>
    </row>
    <row r="807" spans="1:10" x14ac:dyDescent="0.2">
      <c r="A807" s="93" t="str">
        <f t="shared" ca="1" si="0"/>
        <v>石英杖</v>
      </c>
      <c r="B807" s="93" t="s">
        <v>5419</v>
      </c>
      <c r="C807" s="282" t="s">
        <v>5420</v>
      </c>
      <c r="D807" s="282" t="s">
        <v>5421</v>
      </c>
      <c r="E807" s="282"/>
      <c r="F807" s="282" t="s">
        <v>5422</v>
      </c>
      <c r="G807" s="93" t="s">
        <v>5423</v>
      </c>
      <c r="H807" s="282" t="s">
        <v>5423</v>
      </c>
      <c r="I807" s="282"/>
      <c r="J807" s="282" t="s">
        <v>5424</v>
      </c>
    </row>
    <row r="808" spans="1:10" x14ac:dyDescent="0.2">
      <c r="A808" s="93" t="str">
        <f t="shared" ca="1" si="0"/>
        <v>光之手杖</v>
      </c>
      <c r="B808" s="93" t="s">
        <v>5425</v>
      </c>
      <c r="C808" s="51" t="s">
        <v>5426</v>
      </c>
      <c r="D808" s="282" t="s">
        <v>5427</v>
      </c>
      <c r="E808" s="282"/>
      <c r="F808" s="282" t="s">
        <v>5428</v>
      </c>
      <c r="G808" s="93" t="s">
        <v>5429</v>
      </c>
      <c r="H808" s="282" t="s">
        <v>5429</v>
      </c>
      <c r="I808" s="282"/>
      <c r="J808" s="282" t="s">
        <v>5430</v>
      </c>
    </row>
    <row r="809" spans="1:10" x14ac:dyDescent="0.2">
      <c r="A809" s="93" t="str">
        <f t="shared" ca="1" si="0"/>
        <v>石杖</v>
      </c>
      <c r="B809" s="93" t="s">
        <v>5431</v>
      </c>
      <c r="C809" s="282" t="s">
        <v>5432</v>
      </c>
      <c r="D809" s="282" t="s">
        <v>5433</v>
      </c>
      <c r="E809" s="282"/>
      <c r="F809" s="282" t="s">
        <v>5434</v>
      </c>
      <c r="G809" s="93" t="s">
        <v>5435</v>
      </c>
      <c r="H809" s="282" t="s">
        <v>5435</v>
      </c>
      <c r="I809" s="282"/>
      <c r="J809" s="282" t="s">
        <v>5436</v>
      </c>
    </row>
    <row r="810" spans="1:10" x14ac:dyDescent="0.2">
      <c r="A810" s="93" t="str">
        <f t="shared" ca="1" si="0"/>
        <v>手杖</v>
      </c>
      <c r="B810" s="93" t="s">
        <v>5437</v>
      </c>
      <c r="C810" s="282" t="s">
        <v>5438</v>
      </c>
      <c r="D810" s="282" t="s">
        <v>5439</v>
      </c>
      <c r="E810" s="282"/>
      <c r="F810" s="282" t="s">
        <v>5440</v>
      </c>
      <c r="G810" s="93" t="s">
        <v>5441</v>
      </c>
      <c r="H810" s="282" t="s">
        <v>5441</v>
      </c>
      <c r="I810" s="282"/>
      <c r="J810" s="282"/>
    </row>
    <row r="811" spans="1:10" x14ac:dyDescent="0.2">
      <c r="A811" s="79" t="str">
        <f t="shared" ca="1" si="0"/>
        <v>盾</v>
      </c>
      <c r="B811" s="79" t="s">
        <v>5442</v>
      </c>
      <c r="C811" s="252" t="s">
        <v>5443</v>
      </c>
      <c r="D811" s="252" t="s">
        <v>5444</v>
      </c>
      <c r="E811" s="252"/>
      <c r="F811" s="252"/>
      <c r="G811" s="79" t="s">
        <v>5445</v>
      </c>
      <c r="H811" s="252" t="s">
        <v>5445</v>
      </c>
      <c r="I811" s="252"/>
      <c r="J811" s="252" t="s">
        <v>5445</v>
      </c>
    </row>
    <row r="812" spans="1:10" x14ac:dyDescent="0.2">
      <c r="A812" s="93" t="str">
        <f t="shared" ca="1" si="0"/>
        <v>历战之盾</v>
      </c>
      <c r="B812" s="93" t="s">
        <v>5446</v>
      </c>
      <c r="C812" s="282" t="s">
        <v>5447</v>
      </c>
      <c r="D812" s="282" t="s">
        <v>5448</v>
      </c>
      <c r="E812" s="282"/>
      <c r="F812" s="282" t="s">
        <v>5449</v>
      </c>
      <c r="G812" s="93" t="s">
        <v>5450</v>
      </c>
      <c r="H812" s="282" t="s">
        <v>5451</v>
      </c>
      <c r="I812" s="282"/>
      <c r="J812" s="282" t="s">
        <v>5452</v>
      </c>
    </row>
    <row r="813" spans="1:10" x14ac:dyDescent="0.2">
      <c r="A813" s="93" t="str">
        <f t="shared" ca="1" si="0"/>
        <v>米克马克之盾</v>
      </c>
      <c r="B813" s="93" t="s">
        <v>5453</v>
      </c>
      <c r="C813" s="282"/>
      <c r="D813" s="282" t="s">
        <v>5454</v>
      </c>
      <c r="E813" s="282"/>
      <c r="F813" s="282" t="s">
        <v>5455</v>
      </c>
      <c r="G813" s="93" t="s">
        <v>5456</v>
      </c>
      <c r="H813" s="282" t="s">
        <v>5457</v>
      </c>
      <c r="I813" s="282"/>
      <c r="J813" s="282" t="s">
        <v>5458</v>
      </c>
    </row>
    <row r="814" spans="1:10" x14ac:dyDescent="0.2">
      <c r="A814" s="93" t="str">
        <f t="shared" ca="1" si="0"/>
        <v>禁忌之盾</v>
      </c>
      <c r="B814" s="93" t="s">
        <v>5459</v>
      </c>
      <c r="C814" s="282" t="s">
        <v>5460</v>
      </c>
      <c r="D814" s="282" t="s">
        <v>5461</v>
      </c>
      <c r="E814" s="282"/>
      <c r="F814" s="282" t="s">
        <v>5462</v>
      </c>
      <c r="G814" s="93" t="s">
        <v>5463</v>
      </c>
      <c r="H814" s="282" t="s">
        <v>5463</v>
      </c>
      <c r="I814" s="282"/>
      <c r="J814" s="282" t="s">
        <v>5464</v>
      </c>
    </row>
    <row r="815" spans="1:10" x14ac:dyDescent="0.2">
      <c r="A815" s="93" t="str">
        <f t="shared" ca="1" si="0"/>
        <v>力之盾</v>
      </c>
      <c r="B815" s="93" t="s">
        <v>5465</v>
      </c>
      <c r="C815" s="282"/>
      <c r="D815" s="282" t="s">
        <v>5466</v>
      </c>
      <c r="E815" s="282"/>
      <c r="F815" s="282" t="s">
        <v>5467</v>
      </c>
      <c r="G815" s="93" t="s">
        <v>5468</v>
      </c>
      <c r="H815" s="282" t="s">
        <v>5468</v>
      </c>
      <c r="I815" s="282"/>
      <c r="J815" s="282" t="s">
        <v>5469</v>
      </c>
    </row>
    <row r="816" spans="1:10" x14ac:dyDescent="0.2">
      <c r="A816" s="93" t="str">
        <f t="shared" ca="1" si="0"/>
        <v>巨盾</v>
      </c>
      <c r="B816" s="93" t="s">
        <v>5470</v>
      </c>
      <c r="C816" s="282"/>
      <c r="D816" s="282" t="s">
        <v>5471</v>
      </c>
      <c r="E816" s="282"/>
      <c r="F816" s="282" t="s">
        <v>5472</v>
      </c>
      <c r="G816" s="93" t="s">
        <v>5473</v>
      </c>
      <c r="H816" s="282" t="s">
        <v>5473</v>
      </c>
      <c r="I816" s="282"/>
      <c r="J816" s="282" t="s">
        <v>5474</v>
      </c>
    </row>
    <row r="817" spans="1:10" x14ac:dyDescent="0.2">
      <c r="A817" s="93" t="str">
        <f t="shared" ca="1" si="0"/>
        <v>海兽之盾</v>
      </c>
      <c r="B817" s="93" t="s">
        <v>5475</v>
      </c>
      <c r="C817" s="282"/>
      <c r="D817" s="282" t="s">
        <v>5476</v>
      </c>
      <c r="E817" s="282"/>
      <c r="F817" s="282" t="s">
        <v>5477</v>
      </c>
      <c r="G817" s="93" t="s">
        <v>5478</v>
      </c>
      <c r="H817" s="282" t="s">
        <v>5479</v>
      </c>
      <c r="I817" s="282"/>
      <c r="J817" s="282" t="s">
        <v>5480</v>
      </c>
    </row>
    <row r="818" spans="1:10" x14ac:dyDescent="0.2">
      <c r="A818" s="93" t="str">
        <f t="shared" ca="1" si="0"/>
        <v>骑士盾</v>
      </c>
      <c r="B818" s="93" t="s">
        <v>5481</v>
      </c>
      <c r="C818" s="282"/>
      <c r="D818" s="282" t="s">
        <v>5482</v>
      </c>
      <c r="E818" s="282"/>
      <c r="F818" s="282" t="s">
        <v>5483</v>
      </c>
      <c r="G818" s="93" t="s">
        <v>5484</v>
      </c>
      <c r="H818" s="282" t="s">
        <v>5485</v>
      </c>
      <c r="I818" s="282"/>
      <c r="J818" s="282" t="s">
        <v>5486</v>
      </c>
    </row>
    <row r="819" spans="1:10" x14ac:dyDescent="0.2">
      <c r="A819" s="93" t="str">
        <f t="shared" ca="1" si="0"/>
        <v>古斯塔夫之盾</v>
      </c>
      <c r="B819" s="93" t="s">
        <v>5487</v>
      </c>
      <c r="C819" s="282"/>
      <c r="D819" s="282" t="s">
        <v>5488</v>
      </c>
      <c r="E819" s="282"/>
      <c r="F819" s="282" t="s">
        <v>5489</v>
      </c>
      <c r="G819" s="93" t="s">
        <v>5490</v>
      </c>
      <c r="H819" s="282" t="s">
        <v>5490</v>
      </c>
      <c r="I819" s="282"/>
      <c r="J819" s="282" t="s">
        <v>5491</v>
      </c>
    </row>
    <row r="820" spans="1:10" x14ac:dyDescent="0.2">
      <c r="A820" s="93" t="str">
        <f t="shared" ca="1" si="0"/>
        <v>金钢合金盾</v>
      </c>
      <c r="B820" s="93" t="s">
        <v>5492</v>
      </c>
      <c r="C820" s="282"/>
      <c r="D820" s="282" t="s">
        <v>5493</v>
      </c>
      <c r="E820" s="282"/>
      <c r="F820" s="282" t="s">
        <v>5494</v>
      </c>
      <c r="G820" s="93" t="s">
        <v>5495</v>
      </c>
      <c r="H820" s="282" t="s">
        <v>5496</v>
      </c>
      <c r="I820" s="282"/>
      <c r="J820" s="282" t="s">
        <v>5497</v>
      </c>
    </row>
    <row r="821" spans="1:10" x14ac:dyDescent="0.2">
      <c r="A821" s="93" t="str">
        <f t="shared" ca="1" si="0"/>
        <v>塔盾</v>
      </c>
      <c r="B821" s="93" t="s">
        <v>5498</v>
      </c>
      <c r="C821" s="282"/>
      <c r="D821" s="282" t="s">
        <v>5499</v>
      </c>
      <c r="E821" s="282"/>
      <c r="F821" s="282" t="s">
        <v>5500</v>
      </c>
      <c r="G821" s="93" t="s">
        <v>5501</v>
      </c>
      <c r="H821" s="282" t="s">
        <v>5501</v>
      </c>
      <c r="I821" s="282"/>
      <c r="J821" s="282" t="s">
        <v>5502</v>
      </c>
    </row>
    <row r="822" spans="1:10" x14ac:dyDescent="0.2">
      <c r="A822" s="93" t="str">
        <f t="shared" ca="1" si="0"/>
        <v>尖刺盾</v>
      </c>
      <c r="B822" s="93" t="s">
        <v>5503</v>
      </c>
      <c r="C822" s="282"/>
      <c r="D822" s="282" t="s">
        <v>5504</v>
      </c>
      <c r="E822" s="282"/>
      <c r="F822" s="282" t="s">
        <v>5505</v>
      </c>
      <c r="G822" s="93" t="s">
        <v>5506</v>
      </c>
      <c r="H822" s="282" t="s">
        <v>5506</v>
      </c>
      <c r="I822" s="282"/>
      <c r="J822" s="282" t="s">
        <v>5507</v>
      </c>
    </row>
    <row r="823" spans="1:10" x14ac:dyDescent="0.2">
      <c r="A823" s="93" t="str">
        <f t="shared" ca="1" si="0"/>
        <v>元素盾</v>
      </c>
      <c r="B823" s="93" t="s">
        <v>5508</v>
      </c>
      <c r="C823" s="282" t="s">
        <v>5509</v>
      </c>
      <c r="D823" s="282" t="s">
        <v>5510</v>
      </c>
      <c r="E823" s="282"/>
      <c r="F823" s="282" t="s">
        <v>5511</v>
      </c>
      <c r="G823" s="93" t="s">
        <v>5512</v>
      </c>
      <c r="H823" s="282" t="s">
        <v>5512</v>
      </c>
      <c r="I823" s="282"/>
      <c r="J823" s="282" t="s">
        <v>5513</v>
      </c>
    </row>
    <row r="824" spans="1:10" x14ac:dyDescent="0.2">
      <c r="A824" s="93" t="str">
        <f t="shared" ca="1" si="0"/>
        <v>闪避之盾</v>
      </c>
      <c r="B824" s="93" t="s">
        <v>5514</v>
      </c>
      <c r="C824" s="282"/>
      <c r="D824" s="282" t="s">
        <v>5515</v>
      </c>
      <c r="E824" s="282"/>
      <c r="F824" s="282" t="s">
        <v>5516</v>
      </c>
      <c r="G824" s="93" t="s">
        <v>5517</v>
      </c>
      <c r="H824" s="282" t="s">
        <v>5518</v>
      </c>
      <c r="I824" s="282"/>
      <c r="J824" s="282" t="s">
        <v>5519</v>
      </c>
    </row>
    <row r="825" spans="1:10" x14ac:dyDescent="0.2">
      <c r="A825" s="93" t="str">
        <f t="shared" ca="1" si="0"/>
        <v>板盾</v>
      </c>
      <c r="B825" s="93" t="s">
        <v>5520</v>
      </c>
      <c r="C825" s="282"/>
      <c r="D825" s="282" t="s">
        <v>5521</v>
      </c>
      <c r="E825" s="282"/>
      <c r="F825" s="282" t="s">
        <v>5522</v>
      </c>
      <c r="G825" s="93" t="s">
        <v>5523</v>
      </c>
      <c r="H825" s="282" t="s">
        <v>5523</v>
      </c>
      <c r="I825" s="282"/>
      <c r="J825" s="282" t="s">
        <v>5524</v>
      </c>
    </row>
    <row r="826" spans="1:10" x14ac:dyDescent="0.2">
      <c r="A826" s="93" t="str">
        <f t="shared" ca="1" si="0"/>
        <v>鸢形盾</v>
      </c>
      <c r="B826" s="93" t="s">
        <v>5525</v>
      </c>
      <c r="C826" s="282"/>
      <c r="D826" s="282" t="s">
        <v>5526</v>
      </c>
      <c r="E826" s="282"/>
      <c r="F826" s="282" t="s">
        <v>5527</v>
      </c>
      <c r="G826" s="93" t="s">
        <v>5528</v>
      </c>
      <c r="H826" s="282" t="s">
        <v>5529</v>
      </c>
      <c r="I826" s="282"/>
      <c r="J826" s="282" t="s">
        <v>5530</v>
      </c>
    </row>
    <row r="827" spans="1:10" x14ac:dyDescent="0.2">
      <c r="A827" s="93" t="str">
        <f t="shared" ca="1" si="0"/>
        <v>大盾</v>
      </c>
      <c r="B827" s="93" t="s">
        <v>5531</v>
      </c>
      <c r="C827" s="282" t="s">
        <v>5532</v>
      </c>
      <c r="D827" s="282" t="s">
        <v>5533</v>
      </c>
      <c r="E827" s="282"/>
      <c r="F827" s="282" t="s">
        <v>5534</v>
      </c>
      <c r="G827" s="93" t="s">
        <v>5535</v>
      </c>
      <c r="H827" s="282" t="s">
        <v>5535</v>
      </c>
      <c r="I827" s="282"/>
      <c r="J827" s="282" t="s">
        <v>5536</v>
      </c>
    </row>
    <row r="828" spans="1:10" x14ac:dyDescent="0.2">
      <c r="A828" s="93" t="str">
        <f t="shared" ca="1" si="0"/>
        <v>圆盾</v>
      </c>
      <c r="B828" s="93" t="s">
        <v>5537</v>
      </c>
      <c r="C828" s="282" t="s">
        <v>5538</v>
      </c>
      <c r="D828" s="282" t="s">
        <v>5539</v>
      </c>
      <c r="E828" s="282"/>
      <c r="F828" s="282" t="s">
        <v>5540</v>
      </c>
      <c r="G828" s="93" t="s">
        <v>5541</v>
      </c>
      <c r="H828" s="282" t="s">
        <v>5542</v>
      </c>
      <c r="I828" s="282"/>
      <c r="J828" s="282" t="s">
        <v>5543</v>
      </c>
    </row>
    <row r="829" spans="1:10" x14ac:dyDescent="0.2">
      <c r="A829" s="93" t="str">
        <f t="shared" ca="1" si="0"/>
        <v>小圆盾</v>
      </c>
      <c r="B829" s="93" t="s">
        <v>5544</v>
      </c>
      <c r="C829" s="282" t="s">
        <v>5545</v>
      </c>
      <c r="D829" s="282" t="s">
        <v>5546</v>
      </c>
      <c r="E829" s="282"/>
      <c r="F829" s="282" t="s">
        <v>5547</v>
      </c>
      <c r="G829" s="93" t="s">
        <v>5548</v>
      </c>
      <c r="H829" s="282" t="s">
        <v>5549</v>
      </c>
      <c r="I829" s="282"/>
      <c r="J829" s="282" t="s">
        <v>5550</v>
      </c>
    </row>
    <row r="830" spans="1:10" x14ac:dyDescent="0.2">
      <c r="A830" s="79" t="str">
        <f t="shared" ca="1" si="0"/>
        <v>防具 头</v>
      </c>
      <c r="B830" s="79" t="s">
        <v>5551</v>
      </c>
      <c r="C830" s="252" t="s">
        <v>5552</v>
      </c>
      <c r="D830" s="252" t="s">
        <v>5553</v>
      </c>
      <c r="E830" s="252"/>
      <c r="F830" s="252"/>
      <c r="G830" s="79" t="s">
        <v>5554</v>
      </c>
      <c r="H830" s="252" t="s">
        <v>5555</v>
      </c>
      <c r="I830" s="252"/>
      <c r="J830" s="252" t="s">
        <v>5556</v>
      </c>
    </row>
    <row r="831" spans="1:10" x14ac:dyDescent="0.2">
      <c r="A831" s="93" t="str">
        <f t="shared" ca="1" si="0"/>
        <v>水晶头盔</v>
      </c>
      <c r="B831" s="93" t="s">
        <v>5557</v>
      </c>
      <c r="C831" s="282"/>
      <c r="D831" s="282" t="s">
        <v>5558</v>
      </c>
      <c r="E831" s="282"/>
      <c r="F831" s="282" t="s">
        <v>5559</v>
      </c>
      <c r="G831" s="93" t="s">
        <v>5560</v>
      </c>
      <c r="H831" s="282" t="s">
        <v>5561</v>
      </c>
      <c r="I831" s="282"/>
      <c r="J831" s="282" t="s">
        <v>5562</v>
      </c>
    </row>
    <row r="832" spans="1:10" x14ac:dyDescent="0.2">
      <c r="A832" s="93" t="str">
        <f t="shared" ca="1" si="0"/>
        <v>睡神宝冠</v>
      </c>
      <c r="B832" s="93" t="s">
        <v>5563</v>
      </c>
      <c r="C832" s="282"/>
      <c r="D832" s="282" t="s">
        <v>5564</v>
      </c>
      <c r="E832" s="282"/>
      <c r="F832" s="282" t="s">
        <v>5565</v>
      </c>
      <c r="G832" s="93" t="s">
        <v>5566</v>
      </c>
      <c r="H832" s="282" t="s">
        <v>5567</v>
      </c>
      <c r="I832" s="282"/>
      <c r="J832" s="282" t="s">
        <v>5568</v>
      </c>
    </row>
    <row r="833" spans="1:10" x14ac:dyDescent="0.2">
      <c r="A833" s="93" t="str">
        <f t="shared" ca="1" si="0"/>
        <v>金钢合金帽</v>
      </c>
      <c r="B833" s="93" t="s">
        <v>5569</v>
      </c>
      <c r="C833" s="282"/>
      <c r="D833" s="282" t="s">
        <v>5570</v>
      </c>
      <c r="E833" s="282"/>
      <c r="F833" s="282" t="s">
        <v>5571</v>
      </c>
      <c r="G833" s="93" t="s">
        <v>5572</v>
      </c>
      <c r="H833" s="282" t="s">
        <v>5573</v>
      </c>
      <c r="I833" s="282"/>
      <c r="J833" s="282" t="s">
        <v>5574</v>
      </c>
    </row>
    <row r="834" spans="1:10" x14ac:dyDescent="0.2">
      <c r="A834" s="93" t="str">
        <f t="shared" ca="1" si="0"/>
        <v>龙之头盔</v>
      </c>
      <c r="B834" s="93" t="s">
        <v>5575</v>
      </c>
      <c r="C834" s="282"/>
      <c r="D834" s="282" t="s">
        <v>5576</v>
      </c>
      <c r="E834" s="282"/>
      <c r="F834" s="282" t="s">
        <v>5577</v>
      </c>
      <c r="G834" s="93" t="s">
        <v>5578</v>
      </c>
      <c r="H834" s="282" t="s">
        <v>5579</v>
      </c>
      <c r="I834" s="282"/>
      <c r="J834" s="282" t="s">
        <v>5580</v>
      </c>
    </row>
    <row r="835" spans="1:10" x14ac:dyDescent="0.2">
      <c r="A835" s="93" t="str">
        <f t="shared" ca="1" si="0"/>
        <v>魔物操控人的帽子</v>
      </c>
      <c r="B835" s="93" t="s">
        <v>5581</v>
      </c>
      <c r="C835" s="282"/>
      <c r="D835" s="282" t="s">
        <v>5582</v>
      </c>
      <c r="E835" s="282"/>
      <c r="F835" s="282" t="s">
        <v>5583</v>
      </c>
      <c r="G835" s="93" t="s">
        <v>5584</v>
      </c>
      <c r="H835" s="282" t="s">
        <v>5584</v>
      </c>
      <c r="I835" s="282"/>
      <c r="J835" s="282" t="s">
        <v>5585</v>
      </c>
    </row>
    <row r="836" spans="1:10" x14ac:dyDescent="0.2">
      <c r="A836" s="93" t="str">
        <f t="shared" ca="1" si="0"/>
        <v>教师的帽子</v>
      </c>
      <c r="B836" s="93" t="s">
        <v>5586</v>
      </c>
      <c r="C836" s="282"/>
      <c r="D836" s="282" t="s">
        <v>5587</v>
      </c>
      <c r="E836" s="282"/>
      <c r="F836" s="282" t="s">
        <v>5588</v>
      </c>
      <c r="G836" s="93" t="s">
        <v>5589</v>
      </c>
      <c r="H836" s="282" t="s">
        <v>5590</v>
      </c>
      <c r="I836" s="282"/>
      <c r="J836" s="282" t="s">
        <v>5591</v>
      </c>
    </row>
    <row r="837" spans="1:10" x14ac:dyDescent="0.2">
      <c r="A837" s="93" t="str">
        <f t="shared" ca="1" si="0"/>
        <v>冒险家的帽子</v>
      </c>
      <c r="B837" s="93" t="s">
        <v>5592</v>
      </c>
      <c r="C837" s="282"/>
      <c r="D837" s="282" t="s">
        <v>5593</v>
      </c>
      <c r="E837" s="282"/>
      <c r="F837" s="282" t="s">
        <v>5594</v>
      </c>
      <c r="G837" s="93" t="s">
        <v>5595</v>
      </c>
      <c r="H837" s="282" t="s">
        <v>5596</v>
      </c>
      <c r="I837" s="282"/>
      <c r="J837" s="282" t="s">
        <v>5597</v>
      </c>
    </row>
    <row r="838" spans="1:10" x14ac:dyDescent="0.2">
      <c r="A838" s="93" t="str">
        <f t="shared" ca="1" si="0"/>
        <v>白金头盔</v>
      </c>
      <c r="B838" s="93" t="s">
        <v>5598</v>
      </c>
      <c r="C838" s="282"/>
      <c r="D838" s="282" t="s">
        <v>5599</v>
      </c>
      <c r="E838" s="282"/>
      <c r="F838" s="282" t="s">
        <v>5600</v>
      </c>
      <c r="G838" s="93" t="s">
        <v>5601</v>
      </c>
      <c r="H838" s="282" t="s">
        <v>5602</v>
      </c>
      <c r="I838" s="282"/>
      <c r="J838" s="282" t="s">
        <v>5603</v>
      </c>
    </row>
    <row r="839" spans="1:10" x14ac:dyDescent="0.2">
      <c r="A839" s="93" t="str">
        <f t="shared" ca="1" si="0"/>
        <v>历史研究家的帽子</v>
      </c>
      <c r="B839" s="93" t="s">
        <v>5604</v>
      </c>
      <c r="C839" s="282"/>
      <c r="D839" s="282" t="s">
        <v>5605</v>
      </c>
      <c r="E839" s="282"/>
      <c r="F839" s="282" t="s">
        <v>5606</v>
      </c>
      <c r="G839" s="93" t="s">
        <v>5607</v>
      </c>
      <c r="H839" s="282" t="s">
        <v>5608</v>
      </c>
      <c r="I839" s="282"/>
      <c r="J839" s="282" t="s">
        <v>5609</v>
      </c>
    </row>
    <row r="840" spans="1:10" x14ac:dyDescent="0.2">
      <c r="A840" s="93" t="str">
        <f t="shared" ca="1" si="0"/>
        <v>海市蜃楼帽子</v>
      </c>
      <c r="B840" s="93" t="s">
        <v>5610</v>
      </c>
      <c r="C840" s="282" t="s">
        <v>5611</v>
      </c>
      <c r="D840" s="282" t="s">
        <v>5612</v>
      </c>
      <c r="E840" s="282"/>
      <c r="F840" s="282" t="s">
        <v>5613</v>
      </c>
      <c r="G840" s="93" t="s">
        <v>5614</v>
      </c>
      <c r="H840" s="282" t="s">
        <v>5615</v>
      </c>
      <c r="I840" s="282"/>
      <c r="J840" s="282" t="s">
        <v>5616</v>
      </c>
    </row>
    <row r="841" spans="1:10" x14ac:dyDescent="0.2">
      <c r="A841" s="93" t="str">
        <f t="shared" ca="1" si="0"/>
        <v>雷布洛的头盔</v>
      </c>
      <c r="B841" s="93" t="s">
        <v>5617</v>
      </c>
      <c r="C841" s="51" t="s">
        <v>5618</v>
      </c>
      <c r="D841" s="282" t="s">
        <v>5619</v>
      </c>
      <c r="E841" s="282"/>
      <c r="F841" s="282" t="s">
        <v>5620</v>
      </c>
      <c r="G841" s="93" t="s">
        <v>5621</v>
      </c>
      <c r="H841" s="282" t="s">
        <v>5622</v>
      </c>
      <c r="I841" s="282"/>
      <c r="J841" s="282" t="s">
        <v>5623</v>
      </c>
    </row>
    <row r="842" spans="1:10" x14ac:dyDescent="0.2">
      <c r="A842" s="93" t="str">
        <f t="shared" ca="1" si="0"/>
        <v>帝国头盔</v>
      </c>
      <c r="B842" s="93" t="s">
        <v>5624</v>
      </c>
      <c r="C842" s="282"/>
      <c r="D842" s="282" t="s">
        <v>5625</v>
      </c>
      <c r="E842" s="282"/>
      <c r="F842" s="282" t="s">
        <v>5626</v>
      </c>
      <c r="G842" s="93" t="s">
        <v>5627</v>
      </c>
      <c r="H842" s="282" t="s">
        <v>5628</v>
      </c>
      <c r="I842" s="282"/>
      <c r="J842" s="282" t="s">
        <v>5629</v>
      </c>
    </row>
    <row r="843" spans="1:10" x14ac:dyDescent="0.2">
      <c r="A843" s="93" t="str">
        <f t="shared" ca="1" si="0"/>
        <v>静寂头巾</v>
      </c>
      <c r="B843" s="93" t="s">
        <v>5630</v>
      </c>
      <c r="C843" s="282"/>
      <c r="D843" s="282" t="s">
        <v>5631</v>
      </c>
      <c r="E843" s="282"/>
      <c r="F843" s="282" t="s">
        <v>5632</v>
      </c>
      <c r="G843" s="93" t="s">
        <v>5633</v>
      </c>
      <c r="H843" s="282" t="s">
        <v>5634</v>
      </c>
      <c r="I843" s="282"/>
      <c r="J843" s="282" t="s">
        <v>5635</v>
      </c>
    </row>
    <row r="844" spans="1:10" x14ac:dyDescent="0.2">
      <c r="A844" s="93" t="str">
        <f t="shared" ca="1" si="0"/>
        <v>毛皮帽子</v>
      </c>
      <c r="B844" s="93" t="s">
        <v>5636</v>
      </c>
      <c r="C844" s="282"/>
      <c r="D844" s="282" t="s">
        <v>5637</v>
      </c>
      <c r="E844" s="282"/>
      <c r="F844" s="282" t="s">
        <v>5638</v>
      </c>
      <c r="G844" s="93" t="s">
        <v>5639</v>
      </c>
      <c r="H844" s="282" t="s">
        <v>5639</v>
      </c>
      <c r="I844" s="282"/>
      <c r="J844" s="282" t="s">
        <v>5640</v>
      </c>
    </row>
    <row r="845" spans="1:10" x14ac:dyDescent="0.2">
      <c r="A845" s="93" t="str">
        <f t="shared" ca="1" si="0"/>
        <v>魔法饰环</v>
      </c>
      <c r="B845" s="93" t="s">
        <v>5641</v>
      </c>
      <c r="C845" s="282"/>
      <c r="D845" s="282" t="s">
        <v>5642</v>
      </c>
      <c r="E845" s="282"/>
      <c r="F845" s="282" t="s">
        <v>5643</v>
      </c>
      <c r="G845" s="93" t="s">
        <v>5644</v>
      </c>
      <c r="H845" s="282" t="s">
        <v>5645</v>
      </c>
      <c r="I845" s="282"/>
      <c r="J845" s="282" t="s">
        <v>5646</v>
      </c>
    </row>
    <row r="846" spans="1:10" x14ac:dyDescent="0.2">
      <c r="A846" s="93" t="str">
        <f t="shared" ca="1" si="0"/>
        <v>元素帽</v>
      </c>
      <c r="B846" s="93" t="s">
        <v>5647</v>
      </c>
      <c r="C846" s="282" t="s">
        <v>5648</v>
      </c>
      <c r="D846" s="282" t="s">
        <v>5649</v>
      </c>
      <c r="E846" s="282"/>
      <c r="F846" s="282" t="s">
        <v>5650</v>
      </c>
      <c r="G846" s="93" t="s">
        <v>5651</v>
      </c>
      <c r="H846" s="282" t="s">
        <v>5651</v>
      </c>
      <c r="I846" s="282"/>
      <c r="J846" s="282" t="s">
        <v>5652</v>
      </c>
    </row>
    <row r="847" spans="1:10" x14ac:dyDescent="0.2">
      <c r="A847" s="93" t="str">
        <f t="shared" ca="1" si="0"/>
        <v>老兵的头盔</v>
      </c>
      <c r="B847" s="93" t="s">
        <v>5653</v>
      </c>
      <c r="C847" s="282"/>
      <c r="D847" s="282" t="s">
        <v>5654</v>
      </c>
      <c r="E847" s="282"/>
      <c r="F847" s="282" t="s">
        <v>5655</v>
      </c>
      <c r="G847" s="93" t="s">
        <v>5656</v>
      </c>
      <c r="H847" s="282" t="s">
        <v>5657</v>
      </c>
      <c r="I847" s="282"/>
      <c r="J847" s="282" t="s">
        <v>5658</v>
      </c>
    </row>
    <row r="848" spans="1:10" x14ac:dyDescent="0.2">
      <c r="A848" s="93" t="str">
        <f t="shared" ca="1" si="0"/>
        <v>盖雷斯的头盔</v>
      </c>
      <c r="B848" s="93" t="s">
        <v>5659</v>
      </c>
      <c r="C848" s="51" t="s">
        <v>5660</v>
      </c>
      <c r="D848" s="282" t="s">
        <v>5661</v>
      </c>
      <c r="E848" s="282"/>
      <c r="F848" s="282" t="s">
        <v>5662</v>
      </c>
      <c r="G848" s="93" t="s">
        <v>5663</v>
      </c>
      <c r="H848" s="282" t="s">
        <v>5664</v>
      </c>
      <c r="I848" s="282"/>
      <c r="J848" s="282" t="s">
        <v>5665</v>
      </c>
    </row>
    <row r="849" spans="1:10" x14ac:dyDescent="0.2">
      <c r="A849" s="93" t="str">
        <f t="shared" ca="1" si="0"/>
        <v>显赫头盔</v>
      </c>
      <c r="B849" s="93" t="s">
        <v>5666</v>
      </c>
      <c r="C849" s="282"/>
      <c r="D849" s="282" t="s">
        <v>5667</v>
      </c>
      <c r="E849" s="282"/>
      <c r="F849" s="282" t="s">
        <v>5668</v>
      </c>
      <c r="G849" s="93" t="s">
        <v>5669</v>
      </c>
      <c r="H849" s="282" t="s">
        <v>5670</v>
      </c>
      <c r="I849" s="282"/>
      <c r="J849" s="282" t="s">
        <v>5671</v>
      </c>
    </row>
    <row r="850" spans="1:10" x14ac:dyDescent="0.2">
      <c r="A850" s="93" t="str">
        <f t="shared" ca="1" si="0"/>
        <v>犄角头盔</v>
      </c>
      <c r="B850" s="93" t="s">
        <v>5672</v>
      </c>
      <c r="C850" s="282"/>
      <c r="D850" s="282" t="s">
        <v>5673</v>
      </c>
      <c r="E850" s="282"/>
      <c r="F850" s="282" t="s">
        <v>5674</v>
      </c>
      <c r="G850" s="93" t="s">
        <v>5675</v>
      </c>
      <c r="H850" s="282" t="s">
        <v>5676</v>
      </c>
      <c r="I850" s="282"/>
      <c r="J850" s="282" t="s">
        <v>5677</v>
      </c>
    </row>
    <row r="851" spans="1:10" x14ac:dyDescent="0.2">
      <c r="A851" s="93" t="str">
        <f t="shared" ca="1" si="0"/>
        <v>星屑帽子</v>
      </c>
      <c r="B851" s="93" t="s">
        <v>5678</v>
      </c>
      <c r="C851" s="282"/>
      <c r="D851" s="282" t="s">
        <v>5679</v>
      </c>
      <c r="E851" s="282"/>
      <c r="F851" s="282" t="s">
        <v>5680</v>
      </c>
      <c r="G851" s="93" t="s">
        <v>5681</v>
      </c>
      <c r="H851" s="282" t="s">
        <v>5681</v>
      </c>
      <c r="I851" s="282"/>
      <c r="J851" s="282" t="s">
        <v>5682</v>
      </c>
    </row>
    <row r="852" spans="1:10" x14ac:dyDescent="0.2">
      <c r="A852" s="93" t="str">
        <f t="shared" ca="1" si="0"/>
        <v>高速头盔</v>
      </c>
      <c r="B852" s="93" t="s">
        <v>5683</v>
      </c>
      <c r="C852" s="282"/>
      <c r="D852" s="282" t="s">
        <v>5684</v>
      </c>
      <c r="E852" s="282"/>
      <c r="F852" s="282" t="s">
        <v>5685</v>
      </c>
      <c r="G852" s="93" t="s">
        <v>5686</v>
      </c>
      <c r="H852" s="282" t="s">
        <v>5687</v>
      </c>
      <c r="I852" s="282"/>
      <c r="J852" s="282" t="s">
        <v>5688</v>
      </c>
    </row>
    <row r="853" spans="1:10" x14ac:dyDescent="0.2">
      <c r="A853" s="93" t="str">
        <f t="shared" ca="1" si="0"/>
        <v>猎鹰的帽子</v>
      </c>
      <c r="B853" s="93" t="s">
        <v>5689</v>
      </c>
      <c r="C853" s="282" t="s">
        <v>5690</v>
      </c>
      <c r="D853" s="282" t="s">
        <v>5691</v>
      </c>
      <c r="E853" s="282"/>
      <c r="F853" s="282" t="s">
        <v>5692</v>
      </c>
      <c r="G853" s="93" t="s">
        <v>5693</v>
      </c>
      <c r="H853" s="282" t="s">
        <v>5694</v>
      </c>
      <c r="I853" s="282"/>
      <c r="J853" s="282" t="s">
        <v>5695</v>
      </c>
    </row>
    <row r="854" spans="1:10" x14ac:dyDescent="0.2">
      <c r="A854" s="93" t="str">
        <f t="shared" ca="1" si="0"/>
        <v>祭司之帽</v>
      </c>
      <c r="B854" s="93" t="s">
        <v>5696</v>
      </c>
      <c r="C854" s="282"/>
      <c r="D854" s="282" t="s">
        <v>5697</v>
      </c>
      <c r="E854" s="282"/>
      <c r="F854" s="282" t="s">
        <v>5698</v>
      </c>
      <c r="G854" s="93" t="s">
        <v>5699</v>
      </c>
      <c r="H854" s="282" t="s">
        <v>5699</v>
      </c>
      <c r="I854" s="282"/>
      <c r="J854" s="282" t="s">
        <v>5700</v>
      </c>
    </row>
    <row r="855" spans="1:10" x14ac:dyDescent="0.2">
      <c r="A855" s="93" t="str">
        <f t="shared" ca="1" si="0"/>
        <v>黄金发饰</v>
      </c>
      <c r="B855" s="93" t="s">
        <v>5701</v>
      </c>
      <c r="C855" s="282"/>
      <c r="D855" s="282" t="s">
        <v>5702</v>
      </c>
      <c r="E855" s="282"/>
      <c r="F855" s="282" t="s">
        <v>5703</v>
      </c>
      <c r="G855" s="93" t="s">
        <v>5704</v>
      </c>
      <c r="H855" s="282" t="s">
        <v>5705</v>
      </c>
      <c r="I855" s="282"/>
      <c r="J855" s="282" t="s">
        <v>5706</v>
      </c>
    </row>
    <row r="856" spans="1:10" x14ac:dyDescent="0.2">
      <c r="A856" s="93" t="str">
        <f t="shared" ca="1" si="0"/>
        <v>银制头盔</v>
      </c>
      <c r="B856" s="93" t="s">
        <v>5707</v>
      </c>
      <c r="C856" s="282" t="s">
        <v>5708</v>
      </c>
      <c r="D856" s="282" t="s">
        <v>5709</v>
      </c>
      <c r="E856" s="282"/>
      <c r="F856" s="282" t="s">
        <v>5710</v>
      </c>
      <c r="G856" s="93" t="s">
        <v>5711</v>
      </c>
      <c r="H856" s="282" t="s">
        <v>5712</v>
      </c>
      <c r="I856" s="282"/>
      <c r="J856" s="282" t="s">
        <v>5713</v>
      </c>
    </row>
    <row r="857" spans="1:10" x14ac:dyDescent="0.2">
      <c r="A857" s="93" t="str">
        <f t="shared" ca="1" si="0"/>
        <v>雪隐兜帽</v>
      </c>
      <c r="B857" s="93" t="s">
        <v>5714</v>
      </c>
      <c r="C857" s="282" t="s">
        <v>5715</v>
      </c>
      <c r="D857" s="282" t="s">
        <v>5716</v>
      </c>
      <c r="E857" s="282"/>
      <c r="F857" s="282" t="s">
        <v>5717</v>
      </c>
      <c r="G857" s="93" t="s">
        <v>5718</v>
      </c>
      <c r="H857" s="282" t="s">
        <v>5719</v>
      </c>
      <c r="I857" s="282"/>
      <c r="J857" s="282" t="s">
        <v>5720</v>
      </c>
    </row>
    <row r="858" spans="1:10" x14ac:dyDescent="0.2">
      <c r="A858" s="93" t="str">
        <f t="shared" ca="1" si="0"/>
        <v>神圣头盔</v>
      </c>
      <c r="B858" s="93" t="s">
        <v>5721</v>
      </c>
      <c r="C858" s="51" t="s">
        <v>5722</v>
      </c>
      <c r="D858" s="282" t="s">
        <v>5723</v>
      </c>
      <c r="E858" s="282"/>
      <c r="F858" s="282" t="s">
        <v>5724</v>
      </c>
      <c r="G858" s="93" t="s">
        <v>5725</v>
      </c>
      <c r="H858" s="282" t="s">
        <v>5726</v>
      </c>
      <c r="I858" s="282"/>
      <c r="J858" s="282" t="s">
        <v>5727</v>
      </c>
    </row>
    <row r="859" spans="1:10" x14ac:dyDescent="0.2">
      <c r="A859" s="93" t="str">
        <f t="shared" ca="1" si="0"/>
        <v>脉轮头带</v>
      </c>
      <c r="B859" s="93" t="s">
        <v>5728</v>
      </c>
      <c r="C859" s="282"/>
      <c r="D859" s="282" t="s">
        <v>5729</v>
      </c>
      <c r="E859" s="282"/>
      <c r="F859" s="282" t="s">
        <v>5730</v>
      </c>
      <c r="G859" s="93" t="s">
        <v>5731</v>
      </c>
      <c r="H859" s="282" t="s">
        <v>5732</v>
      </c>
      <c r="I859" s="282"/>
      <c r="J859" s="282" t="s">
        <v>5733</v>
      </c>
    </row>
    <row r="860" spans="1:10" x14ac:dyDescent="0.2">
      <c r="A860" s="93" t="str">
        <f t="shared" ca="1" si="0"/>
        <v>大头盔</v>
      </c>
      <c r="B860" s="93" t="s">
        <v>5734</v>
      </c>
      <c r="C860" s="282"/>
      <c r="D860" s="282" t="s">
        <v>5735</v>
      </c>
      <c r="E860" s="282"/>
      <c r="F860" s="282" t="s">
        <v>5736</v>
      </c>
      <c r="G860" s="93" t="s">
        <v>5737</v>
      </c>
      <c r="H860" s="282" t="s">
        <v>5738</v>
      </c>
      <c r="I860" s="282"/>
      <c r="J860" s="282" t="s">
        <v>5739</v>
      </c>
    </row>
    <row r="861" spans="1:10" x14ac:dyDescent="0.2">
      <c r="A861" s="93" t="str">
        <f t="shared" ca="1" si="0"/>
        <v>飞行头盔</v>
      </c>
      <c r="B861" s="93" t="s">
        <v>5740</v>
      </c>
      <c r="C861" s="282"/>
      <c r="D861" s="282" t="s">
        <v>5741</v>
      </c>
      <c r="E861" s="282"/>
      <c r="F861" s="282" t="s">
        <v>5742</v>
      </c>
      <c r="G861" s="93" t="s">
        <v>5743</v>
      </c>
      <c r="H861" s="282" t="s">
        <v>5744</v>
      </c>
      <c r="I861" s="282"/>
      <c r="J861" s="282" t="s">
        <v>5745</v>
      </c>
    </row>
    <row r="862" spans="1:10" x14ac:dyDescent="0.2">
      <c r="A862" s="93" t="str">
        <f t="shared" ca="1" si="0"/>
        <v>黑帽</v>
      </c>
      <c r="B862" s="93" t="s">
        <v>5746</v>
      </c>
      <c r="C862" s="51" t="s">
        <v>5747</v>
      </c>
      <c r="D862" s="282" t="s">
        <v>5748</v>
      </c>
      <c r="E862" s="282"/>
      <c r="F862" s="282" t="s">
        <v>5749</v>
      </c>
      <c r="G862" s="93" t="s">
        <v>5750</v>
      </c>
      <c r="H862" s="282" t="s">
        <v>5750</v>
      </c>
      <c r="I862" s="282"/>
      <c r="J862" s="282" t="s">
        <v>5751</v>
      </c>
    </row>
    <row r="863" spans="1:10" x14ac:dyDescent="0.2">
      <c r="A863" s="93" t="str">
        <f t="shared" ca="1" si="0"/>
        <v>帽盔</v>
      </c>
      <c r="B863" s="93" t="s">
        <v>5752</v>
      </c>
      <c r="C863" s="282"/>
      <c r="D863" s="282" t="s">
        <v>5753</v>
      </c>
      <c r="E863" s="282"/>
      <c r="F863" s="282" t="s">
        <v>5754</v>
      </c>
      <c r="G863" s="93" t="s">
        <v>5755</v>
      </c>
      <c r="H863" s="282" t="s">
        <v>5755</v>
      </c>
      <c r="I863" s="282"/>
      <c r="J863" s="282" t="s">
        <v>5756</v>
      </c>
    </row>
    <row r="864" spans="1:10" x14ac:dyDescent="0.2">
      <c r="A864" s="93" t="str">
        <f t="shared" ca="1" si="0"/>
        <v>饰环</v>
      </c>
      <c r="B864" s="93" t="s">
        <v>5757</v>
      </c>
      <c r="C864" s="282" t="s">
        <v>5758</v>
      </c>
      <c r="D864" s="282" t="s">
        <v>5759</v>
      </c>
      <c r="E864" s="282"/>
      <c r="F864" s="282" t="s">
        <v>5760</v>
      </c>
      <c r="G864" s="93" t="s">
        <v>5761</v>
      </c>
      <c r="H864" s="282" t="s">
        <v>5762</v>
      </c>
      <c r="I864" s="282"/>
      <c r="J864" s="282" t="s">
        <v>5763</v>
      </c>
    </row>
    <row r="865" spans="1:10" x14ac:dyDescent="0.2">
      <c r="A865" s="93" t="str">
        <f t="shared" ca="1" si="0"/>
        <v>铁制头盔</v>
      </c>
      <c r="B865" s="93" t="s">
        <v>5764</v>
      </c>
      <c r="C865" s="282" t="s">
        <v>5765</v>
      </c>
      <c r="D865" s="282" t="s">
        <v>5766</v>
      </c>
      <c r="E865" s="282"/>
      <c r="F865" s="282" t="s">
        <v>5767</v>
      </c>
      <c r="G865" s="93" t="s">
        <v>5768</v>
      </c>
      <c r="H865" s="282" t="s">
        <v>5769</v>
      </c>
      <c r="I865" s="282"/>
      <c r="J865" s="282" t="s">
        <v>5770</v>
      </c>
    </row>
    <row r="866" spans="1:10" x14ac:dyDescent="0.2">
      <c r="A866" s="93" t="str">
        <f t="shared" ca="1" si="0"/>
        <v>银发饰</v>
      </c>
      <c r="B866" s="93" t="s">
        <v>5771</v>
      </c>
      <c r="C866" s="51" t="s">
        <v>5772</v>
      </c>
      <c r="D866" s="282" t="s">
        <v>5773</v>
      </c>
      <c r="E866" s="282"/>
      <c r="F866" s="282" t="s">
        <v>5774</v>
      </c>
      <c r="G866" s="93" t="s">
        <v>5775</v>
      </c>
      <c r="H866" s="282" t="s">
        <v>5776</v>
      </c>
      <c r="I866" s="282"/>
      <c r="J866" s="282" t="s">
        <v>5777</v>
      </c>
    </row>
    <row r="867" spans="1:10" x14ac:dyDescent="0.2">
      <c r="A867" s="93" t="str">
        <f t="shared" ca="1" si="0"/>
        <v>青铜头盔</v>
      </c>
      <c r="B867" s="93" t="s">
        <v>5778</v>
      </c>
      <c r="C867" s="282" t="s">
        <v>5779</v>
      </c>
      <c r="D867" s="282" t="s">
        <v>5780</v>
      </c>
      <c r="E867" s="282"/>
      <c r="F867" s="282" t="s">
        <v>5781</v>
      </c>
      <c r="G867" s="93" t="s">
        <v>5782</v>
      </c>
      <c r="H867" s="282" t="s">
        <v>5783</v>
      </c>
      <c r="I867" s="282"/>
      <c r="J867" s="282" t="s">
        <v>5784</v>
      </c>
    </row>
    <row r="868" spans="1:10" x14ac:dyDescent="0.2">
      <c r="A868" s="93" t="str">
        <f t="shared" ca="1" si="0"/>
        <v>羽毛帽</v>
      </c>
      <c r="B868" s="93" t="s">
        <v>5785</v>
      </c>
      <c r="C868" s="282" t="s">
        <v>5786</v>
      </c>
      <c r="D868" s="282" t="s">
        <v>5787</v>
      </c>
      <c r="E868" s="282"/>
      <c r="F868" s="282" t="s">
        <v>5788</v>
      </c>
      <c r="G868" s="93" t="s">
        <v>5789</v>
      </c>
      <c r="H868" s="282" t="s">
        <v>5789</v>
      </c>
      <c r="I868" s="282"/>
      <c r="J868" s="282" t="s">
        <v>5790</v>
      </c>
    </row>
    <row r="869" spans="1:10" x14ac:dyDescent="0.2">
      <c r="A869" s="93" t="str">
        <f t="shared" ca="1" si="0"/>
        <v>尖帽子</v>
      </c>
      <c r="B869" s="93" t="s">
        <v>5791</v>
      </c>
      <c r="C869" s="282" t="s">
        <v>5792</v>
      </c>
      <c r="D869" s="282" t="s">
        <v>5793</v>
      </c>
      <c r="E869" s="282"/>
      <c r="F869" s="282" t="s">
        <v>5794</v>
      </c>
      <c r="G869" s="93" t="s">
        <v>5795</v>
      </c>
      <c r="H869" s="282" t="s">
        <v>5795</v>
      </c>
      <c r="I869" s="282"/>
      <c r="J869" s="282" t="s">
        <v>5796</v>
      </c>
    </row>
    <row r="870" spans="1:10" x14ac:dyDescent="0.2">
      <c r="A870" s="93" t="str">
        <f t="shared" ca="1" si="0"/>
        <v>橡胶头盔</v>
      </c>
      <c r="B870" s="93" t="s">
        <v>5797</v>
      </c>
      <c r="C870" s="282" t="s">
        <v>5798</v>
      </c>
      <c r="D870" s="282" t="s">
        <v>5799</v>
      </c>
      <c r="E870" s="282"/>
      <c r="F870" s="282" t="s">
        <v>5800</v>
      </c>
      <c r="G870" s="93" t="s">
        <v>5801</v>
      </c>
      <c r="H870" s="282" t="s">
        <v>5802</v>
      </c>
      <c r="I870" s="282"/>
      <c r="J870" s="282" t="s">
        <v>5803</v>
      </c>
    </row>
    <row r="871" spans="1:10" x14ac:dyDescent="0.2">
      <c r="A871" s="93" t="str">
        <f t="shared" ca="1" si="0"/>
        <v>皮帽子</v>
      </c>
      <c r="B871" s="93" t="s">
        <v>5804</v>
      </c>
      <c r="C871" s="282" t="s">
        <v>5805</v>
      </c>
      <c r="D871" s="282" t="s">
        <v>5806</v>
      </c>
      <c r="E871" s="282"/>
      <c r="F871" s="282" t="s">
        <v>5807</v>
      </c>
      <c r="G871" s="93" t="s">
        <v>5808</v>
      </c>
      <c r="H871" s="282" t="s">
        <v>5808</v>
      </c>
      <c r="I871" s="282"/>
      <c r="J871" s="282" t="s">
        <v>5809</v>
      </c>
    </row>
    <row r="872" spans="1:10" x14ac:dyDescent="0.2">
      <c r="A872" s="93" t="str">
        <f t="shared" ca="1" si="0"/>
        <v>帽子</v>
      </c>
      <c r="B872" s="93" t="s">
        <v>5810</v>
      </c>
      <c r="C872" s="282" t="s">
        <v>5811</v>
      </c>
      <c r="D872" s="282" t="s">
        <v>5812</v>
      </c>
      <c r="E872" s="282"/>
      <c r="F872" s="282" t="s">
        <v>5813</v>
      </c>
      <c r="G872" s="93" t="s">
        <v>5814</v>
      </c>
      <c r="H872" s="282" t="s">
        <v>5814</v>
      </c>
      <c r="I872" s="282"/>
      <c r="J872" s="282" t="s">
        <v>5815</v>
      </c>
    </row>
    <row r="873" spans="1:10" x14ac:dyDescent="0.2">
      <c r="A873" s="79" t="str">
        <f t="shared" ca="1" si="0"/>
        <v>防具 身体</v>
      </c>
      <c r="B873" s="79" t="s">
        <v>5816</v>
      </c>
      <c r="C873" s="252" t="s">
        <v>5817</v>
      </c>
      <c r="D873" s="252" t="s">
        <v>5818</v>
      </c>
      <c r="E873" s="252"/>
      <c r="F873" s="252"/>
      <c r="G873" s="79" t="s">
        <v>5819</v>
      </c>
      <c r="H873" s="252" t="s">
        <v>5820</v>
      </c>
      <c r="I873" s="252"/>
      <c r="J873" s="252" t="s">
        <v>5821</v>
      </c>
    </row>
    <row r="874" spans="1:10" x14ac:dyDescent="0.2">
      <c r="A874" s="93" t="str">
        <f t="shared" ca="1" si="0"/>
        <v>水晶盔甲</v>
      </c>
      <c r="B874" s="93" t="s">
        <v>5822</v>
      </c>
      <c r="C874" s="282" t="s">
        <v>5823</v>
      </c>
      <c r="D874" s="282" t="s">
        <v>5824</v>
      </c>
      <c r="E874" s="282"/>
      <c r="F874" s="282" t="s">
        <v>5825</v>
      </c>
      <c r="G874" s="93" t="s">
        <v>5826</v>
      </c>
      <c r="H874" s="282" t="s">
        <v>5826</v>
      </c>
      <c r="I874" s="282"/>
      <c r="J874" s="282"/>
    </row>
    <row r="875" spans="1:10" x14ac:dyDescent="0.2">
      <c r="A875" s="93" t="str">
        <f t="shared" ca="1" si="0"/>
        <v>水晶背心</v>
      </c>
      <c r="B875" s="93" t="s">
        <v>5827</v>
      </c>
      <c r="C875" s="282" t="s">
        <v>5828</v>
      </c>
      <c r="D875" s="282" t="s">
        <v>5829</v>
      </c>
      <c r="E875" s="282"/>
      <c r="F875" s="282" t="s">
        <v>5830</v>
      </c>
      <c r="G875" s="93" t="s">
        <v>5831</v>
      </c>
      <c r="H875" s="282" t="s">
        <v>5831</v>
      </c>
      <c r="I875" s="282"/>
      <c r="J875" s="282" t="s">
        <v>5832</v>
      </c>
    </row>
    <row r="876" spans="1:10" x14ac:dyDescent="0.2">
      <c r="A876" s="93" t="str">
        <f t="shared" ca="1" si="0"/>
        <v>大圣火长袍</v>
      </c>
      <c r="B876" s="93" t="s">
        <v>5833</v>
      </c>
      <c r="C876" s="282"/>
      <c r="D876" s="282" t="s">
        <v>5834</v>
      </c>
      <c r="E876" s="282"/>
      <c r="F876" s="282" t="s">
        <v>5835</v>
      </c>
      <c r="G876" s="93" t="s">
        <v>5836</v>
      </c>
      <c r="H876" s="282" t="s">
        <v>5837</v>
      </c>
      <c r="I876" s="282"/>
      <c r="J876" s="282" t="s">
        <v>5838</v>
      </c>
    </row>
    <row r="877" spans="1:10" x14ac:dyDescent="0.2">
      <c r="A877" s="93" t="str">
        <f t="shared" ca="1" si="0"/>
        <v>龙之盔甲</v>
      </c>
      <c r="B877" s="93" t="s">
        <v>5839</v>
      </c>
      <c r="C877" s="282"/>
      <c r="D877" s="282" t="s">
        <v>5840</v>
      </c>
      <c r="E877" s="282"/>
      <c r="F877" s="282" t="s">
        <v>5841</v>
      </c>
      <c r="G877" s="93" t="s">
        <v>5842</v>
      </c>
      <c r="H877" s="282" t="s">
        <v>5843</v>
      </c>
      <c r="I877" s="282"/>
      <c r="J877" s="282" t="s">
        <v>5844</v>
      </c>
    </row>
    <row r="878" spans="1:10" x14ac:dyDescent="0.2">
      <c r="A878" s="93" t="str">
        <f t="shared" ca="1" si="0"/>
        <v>龙之背心</v>
      </c>
      <c r="B878" s="93" t="s">
        <v>5845</v>
      </c>
      <c r="C878" s="282"/>
      <c r="D878" s="282" t="s">
        <v>5846</v>
      </c>
      <c r="E878" s="282"/>
      <c r="F878" s="282" t="s">
        <v>5847</v>
      </c>
      <c r="G878" s="93" t="s">
        <v>5848</v>
      </c>
      <c r="H878" s="282" t="s">
        <v>5849</v>
      </c>
      <c r="I878" s="282"/>
      <c r="J878" s="282" t="s">
        <v>5850</v>
      </c>
    </row>
    <row r="879" spans="1:10" x14ac:dyDescent="0.2">
      <c r="A879" s="93" t="str">
        <f t="shared" ca="1" si="0"/>
        <v>精致舞娘衣服</v>
      </c>
      <c r="B879" s="93" t="s">
        <v>5851</v>
      </c>
      <c r="C879" s="282"/>
      <c r="D879" s="282" t="s">
        <v>5852</v>
      </c>
      <c r="E879" s="282"/>
      <c r="F879" s="282" t="s">
        <v>5853</v>
      </c>
      <c r="G879" s="93" t="s">
        <v>5854</v>
      </c>
      <c r="H879" s="282" t="s">
        <v>5855</v>
      </c>
      <c r="I879" s="282"/>
      <c r="J879" s="282" t="s">
        <v>5856</v>
      </c>
    </row>
    <row r="880" spans="1:10" x14ac:dyDescent="0.2">
      <c r="A880" s="93" t="str">
        <f t="shared" ca="1" si="0"/>
        <v>魔术师长袍</v>
      </c>
      <c r="B880" s="93" t="s">
        <v>5857</v>
      </c>
      <c r="C880" s="282"/>
      <c r="D880" s="282" t="s">
        <v>5858</v>
      </c>
      <c r="E880" s="282"/>
      <c r="F880" s="282" t="s">
        <v>5859</v>
      </c>
      <c r="G880" s="93" t="s">
        <v>5860</v>
      </c>
      <c r="H880" s="282" t="s">
        <v>5861</v>
      </c>
      <c r="I880" s="282"/>
      <c r="J880" s="282" t="s">
        <v>5862</v>
      </c>
    </row>
    <row r="881" spans="1:10" x14ac:dyDescent="0.2">
      <c r="A881" s="93" t="str">
        <f t="shared" ca="1" si="0"/>
        <v>告解盔甲</v>
      </c>
      <c r="B881" s="93" t="s">
        <v>5863</v>
      </c>
      <c r="C881" s="282"/>
      <c r="D881" s="282" t="s">
        <v>5864</v>
      </c>
      <c r="E881" s="282"/>
      <c r="F881" s="282" t="s">
        <v>5865</v>
      </c>
      <c r="G881" s="93" t="s">
        <v>5866</v>
      </c>
      <c r="H881" s="282" t="s">
        <v>5866</v>
      </c>
      <c r="I881" s="282"/>
      <c r="J881" s="282" t="s">
        <v>5867</v>
      </c>
    </row>
    <row r="882" spans="1:10" x14ac:dyDescent="0.2">
      <c r="A882" s="93" t="str">
        <f t="shared" ca="1" si="0"/>
        <v>名家铠甲</v>
      </c>
      <c r="B882" s="93" t="s">
        <v>5868</v>
      </c>
      <c r="C882" s="282"/>
      <c r="D882" s="282" t="s">
        <v>5869</v>
      </c>
      <c r="E882" s="282"/>
      <c r="F882" s="282" t="s">
        <v>5870</v>
      </c>
      <c r="G882" s="93" t="s">
        <v>5871</v>
      </c>
      <c r="H882" s="282" t="s">
        <v>5872</v>
      </c>
      <c r="I882" s="282"/>
      <c r="J882" s="282" t="s">
        <v>5873</v>
      </c>
    </row>
    <row r="883" spans="1:10" x14ac:dyDescent="0.2">
      <c r="A883" s="93" t="str">
        <f t="shared" ca="1" si="0"/>
        <v>公主大衣</v>
      </c>
      <c r="B883" s="93" t="s">
        <v>5874</v>
      </c>
      <c r="C883" s="282"/>
      <c r="D883" s="282" t="s">
        <v>5875</v>
      </c>
      <c r="E883" s="282"/>
      <c r="F883" s="282" t="s">
        <v>5876</v>
      </c>
      <c r="G883" s="93" t="s">
        <v>5877</v>
      </c>
      <c r="H883" s="282" t="s">
        <v>5877</v>
      </c>
      <c r="I883" s="282"/>
      <c r="J883" s="282" t="s">
        <v>5878</v>
      </c>
    </row>
    <row r="884" spans="1:10" x14ac:dyDescent="0.2">
      <c r="A884" s="93" t="str">
        <f t="shared" ca="1" si="0"/>
        <v>圣火骑士的礼服</v>
      </c>
      <c r="B884" s="93" t="s">
        <v>5879</v>
      </c>
      <c r="C884" s="282"/>
      <c r="D884" s="282" t="s">
        <v>5880</v>
      </c>
      <c r="E884" s="282"/>
      <c r="F884" s="282" t="s">
        <v>5881</v>
      </c>
      <c r="G884" s="93" t="s">
        <v>5882</v>
      </c>
      <c r="H884" s="282" t="s">
        <v>5883</v>
      </c>
      <c r="I884" s="282"/>
      <c r="J884" s="282" t="s">
        <v>5884</v>
      </c>
    </row>
    <row r="885" spans="1:10" x14ac:dyDescent="0.2">
      <c r="A885" s="93" t="str">
        <f t="shared" ca="1" si="0"/>
        <v>龙姬之衣</v>
      </c>
      <c r="B885" s="93" t="s">
        <v>5885</v>
      </c>
      <c r="C885" s="282"/>
      <c r="D885" s="282" t="s">
        <v>5886</v>
      </c>
      <c r="E885" s="282"/>
      <c r="F885" s="282" t="s">
        <v>5887</v>
      </c>
      <c r="G885" s="93" t="s">
        <v>5888</v>
      </c>
      <c r="H885" s="282" t="s">
        <v>5889</v>
      </c>
      <c r="I885" s="282"/>
      <c r="J885" s="282" t="s">
        <v>5890</v>
      </c>
    </row>
    <row r="886" spans="1:10" x14ac:dyDescent="0.2">
      <c r="A886" s="93" t="str">
        <f t="shared" ca="1" si="0"/>
        <v>白金盔甲</v>
      </c>
      <c r="B886" s="93" t="s">
        <v>5891</v>
      </c>
      <c r="C886" s="282"/>
      <c r="D886" s="282" t="s">
        <v>5892</v>
      </c>
      <c r="E886" s="282"/>
      <c r="F886" s="282" t="s">
        <v>5893</v>
      </c>
      <c r="G886" s="93" t="s">
        <v>5894</v>
      </c>
      <c r="H886" s="282" t="s">
        <v>5894</v>
      </c>
      <c r="I886" s="282"/>
      <c r="J886" s="282" t="s">
        <v>5895</v>
      </c>
    </row>
    <row r="887" spans="1:10" x14ac:dyDescent="0.2">
      <c r="A887" s="93" t="str">
        <f t="shared" ca="1" si="0"/>
        <v>执念大衣</v>
      </c>
      <c r="B887" s="93" t="s">
        <v>5896</v>
      </c>
      <c r="C887" s="282"/>
      <c r="D887" s="282" t="s">
        <v>5897</v>
      </c>
      <c r="E887" s="282"/>
      <c r="F887" s="282" t="s">
        <v>5898</v>
      </c>
      <c r="G887" s="93" t="s">
        <v>5899</v>
      </c>
      <c r="H887" s="282" t="s">
        <v>5900</v>
      </c>
      <c r="I887" s="282"/>
      <c r="J887" s="282" t="s">
        <v>5901</v>
      </c>
    </row>
    <row r="888" spans="1:10" x14ac:dyDescent="0.2">
      <c r="A888" s="93" t="str">
        <f t="shared" ca="1" si="0"/>
        <v>帝国盔甲</v>
      </c>
      <c r="B888" s="93" t="s">
        <v>5902</v>
      </c>
      <c r="C888" s="282"/>
      <c r="D888" s="282" t="s">
        <v>5903</v>
      </c>
      <c r="E888" s="282"/>
      <c r="F888" s="282" t="s">
        <v>5904</v>
      </c>
      <c r="G888" s="93" t="s">
        <v>5905</v>
      </c>
      <c r="H888" s="282" t="s">
        <v>5906</v>
      </c>
      <c r="I888" s="282"/>
      <c r="J888" s="282" t="s">
        <v>5907</v>
      </c>
    </row>
    <row r="889" spans="1:10" x14ac:dyDescent="0.2">
      <c r="A889" s="93" t="str">
        <f t="shared" ca="1" si="0"/>
        <v>白金背心</v>
      </c>
      <c r="B889" s="93" t="s">
        <v>5908</v>
      </c>
      <c r="C889" s="282"/>
      <c r="D889" s="282" t="s">
        <v>5909</v>
      </c>
      <c r="E889" s="282"/>
      <c r="F889" s="282" t="s">
        <v>5910</v>
      </c>
      <c r="G889" s="93" t="s">
        <v>5911</v>
      </c>
      <c r="H889" s="282" t="s">
        <v>5911</v>
      </c>
      <c r="I889" s="282"/>
      <c r="J889" s="282" t="s">
        <v>5912</v>
      </c>
    </row>
    <row r="890" spans="1:10" x14ac:dyDescent="0.2">
      <c r="A890" s="93" t="str">
        <f t="shared" ca="1" si="0"/>
        <v>帝国背心</v>
      </c>
      <c r="B890" s="93" t="s">
        <v>5913</v>
      </c>
      <c r="C890" s="282"/>
      <c r="D890" s="282" t="s">
        <v>5914</v>
      </c>
      <c r="E890" s="282"/>
      <c r="F890" s="282" t="s">
        <v>5915</v>
      </c>
      <c r="G890" s="93" t="s">
        <v>5916</v>
      </c>
      <c r="H890" s="282" t="s">
        <v>5917</v>
      </c>
      <c r="I890" s="282"/>
      <c r="J890" s="282" t="s">
        <v>5918</v>
      </c>
    </row>
    <row r="891" spans="1:10" x14ac:dyDescent="0.2">
      <c r="A891" s="93" t="str">
        <f t="shared" ca="1" si="0"/>
        <v>元素重甲</v>
      </c>
      <c r="B891" s="93" t="s">
        <v>5919</v>
      </c>
      <c r="C891" s="282"/>
      <c r="D891" s="282" t="s">
        <v>5920</v>
      </c>
      <c r="E891" s="282"/>
      <c r="F891" s="282" t="s">
        <v>5921</v>
      </c>
      <c r="G891" s="93" t="s">
        <v>5922</v>
      </c>
      <c r="H891" s="282" t="s">
        <v>5922</v>
      </c>
      <c r="I891" s="282"/>
      <c r="J891" s="282" t="s">
        <v>5923</v>
      </c>
    </row>
    <row r="892" spans="1:10" x14ac:dyDescent="0.2">
      <c r="A892" s="93" t="str">
        <f t="shared" ca="1" si="0"/>
        <v>寂静斗篷</v>
      </c>
      <c r="B892" s="93" t="s">
        <v>5924</v>
      </c>
      <c r="C892" s="282"/>
      <c r="D892" s="282" t="s">
        <v>5925</v>
      </c>
      <c r="E892" s="282"/>
      <c r="F892" s="282" t="s">
        <v>5926</v>
      </c>
      <c r="G892" s="93" t="s">
        <v>5927</v>
      </c>
      <c r="H892" s="282" t="s">
        <v>5928</v>
      </c>
      <c r="I892" s="282"/>
      <c r="J892" s="282" t="s">
        <v>5929</v>
      </c>
    </row>
    <row r="893" spans="1:10" x14ac:dyDescent="0.2">
      <c r="A893" s="93" t="str">
        <f t="shared" ca="1" si="0"/>
        <v>古老长袍</v>
      </c>
      <c r="B893" s="93" t="s">
        <v>5930</v>
      </c>
      <c r="C893" s="282"/>
      <c r="D893" s="282" t="s">
        <v>5931</v>
      </c>
      <c r="E893" s="282"/>
      <c r="F893" s="282" t="s">
        <v>5932</v>
      </c>
      <c r="G893" s="93" t="s">
        <v>5933</v>
      </c>
      <c r="H893" s="282" t="s">
        <v>5934</v>
      </c>
      <c r="I893" s="282"/>
      <c r="J893" s="282" t="s">
        <v>5935</v>
      </c>
    </row>
    <row r="894" spans="1:10" x14ac:dyDescent="0.2">
      <c r="A894" s="93" t="str">
        <f t="shared" ca="1" si="0"/>
        <v>彩虹长袍</v>
      </c>
      <c r="B894" s="93" t="s">
        <v>5936</v>
      </c>
      <c r="C894" s="282"/>
      <c r="D894" s="282" t="s">
        <v>5937</v>
      </c>
      <c r="E894" s="282"/>
      <c r="F894" s="282" t="s">
        <v>5938</v>
      </c>
      <c r="G894" s="93" t="s">
        <v>5939</v>
      </c>
      <c r="H894" s="282" t="s">
        <v>5940</v>
      </c>
      <c r="I894" s="282"/>
      <c r="J894" s="282" t="s">
        <v>5941</v>
      </c>
    </row>
    <row r="895" spans="1:10" x14ac:dyDescent="0.2">
      <c r="A895" s="93" t="str">
        <f t="shared" ca="1" si="0"/>
        <v>元素轻甲</v>
      </c>
      <c r="B895" s="93" t="s">
        <v>5942</v>
      </c>
      <c r="C895" s="282"/>
      <c r="D895" s="282" t="s">
        <v>5943</v>
      </c>
      <c r="E895" s="282"/>
      <c r="F895" s="282" t="s">
        <v>5944</v>
      </c>
      <c r="G895" s="93" t="s">
        <v>5945</v>
      </c>
      <c r="H895" s="282" t="s">
        <v>5946</v>
      </c>
      <c r="I895" s="282"/>
      <c r="J895" s="282" t="s">
        <v>5947</v>
      </c>
    </row>
    <row r="896" spans="1:10" x14ac:dyDescent="0.2">
      <c r="A896" s="93" t="str">
        <f t="shared" ca="1" si="0"/>
        <v>毛皮大衣</v>
      </c>
      <c r="B896" s="93" t="s">
        <v>5948</v>
      </c>
      <c r="C896" s="282"/>
      <c r="D896" s="282" t="s">
        <v>5949</v>
      </c>
      <c r="E896" s="282"/>
      <c r="F896" s="282" t="s">
        <v>5950</v>
      </c>
      <c r="G896" s="93" t="s">
        <v>5951</v>
      </c>
      <c r="H896" s="282" t="s">
        <v>5951</v>
      </c>
      <c r="I896" s="282"/>
      <c r="J896" s="282" t="s">
        <v>5952</v>
      </c>
    </row>
    <row r="897" spans="1:10" x14ac:dyDescent="0.2">
      <c r="A897" s="93" t="str">
        <f t="shared" ca="1" si="0"/>
        <v>异国之服</v>
      </c>
      <c r="B897" s="93" t="s">
        <v>5953</v>
      </c>
      <c r="C897" s="282"/>
      <c r="D897" s="282" t="s">
        <v>5954</v>
      </c>
      <c r="E897" s="282"/>
      <c r="F897" s="282" t="s">
        <v>5955</v>
      </c>
      <c r="G897" s="93" t="s">
        <v>5956</v>
      </c>
      <c r="H897" s="282" t="s">
        <v>5957</v>
      </c>
      <c r="I897" s="282"/>
      <c r="J897" s="282" t="s">
        <v>5958</v>
      </c>
    </row>
    <row r="898" spans="1:10" x14ac:dyDescent="0.2">
      <c r="A898" s="93" t="str">
        <f t="shared" ca="1" si="0"/>
        <v>显赫盔甲</v>
      </c>
      <c r="B898" s="93" t="s">
        <v>5959</v>
      </c>
      <c r="C898" s="282"/>
      <c r="D898" s="282" t="s">
        <v>5960</v>
      </c>
      <c r="E898" s="282"/>
      <c r="F898" s="282" t="s">
        <v>5961</v>
      </c>
      <c r="G898" s="93" t="s">
        <v>5962</v>
      </c>
      <c r="H898" s="282" t="s">
        <v>5963</v>
      </c>
      <c r="I898" s="282"/>
      <c r="J898" s="282" t="s">
        <v>5964</v>
      </c>
    </row>
    <row r="899" spans="1:10" x14ac:dyDescent="0.2">
      <c r="A899" s="93" t="str">
        <f t="shared" ca="1" si="0"/>
        <v>黑曜会之服</v>
      </c>
      <c r="B899" s="93" t="s">
        <v>5965</v>
      </c>
      <c r="C899" s="282"/>
      <c r="D899" s="282" t="s">
        <v>5966</v>
      </c>
      <c r="E899" s="282"/>
      <c r="F899" s="282" t="s">
        <v>5967</v>
      </c>
      <c r="G899" s="93" t="s">
        <v>5968</v>
      </c>
      <c r="H899" s="282" t="s">
        <v>5969</v>
      </c>
      <c r="I899" s="282"/>
      <c r="J899" s="282" t="s">
        <v>5970</v>
      </c>
    </row>
    <row r="900" spans="1:10" x14ac:dyDescent="0.2">
      <c r="A900" s="93" t="str">
        <f t="shared" ca="1" si="0"/>
        <v>显赫背心</v>
      </c>
      <c r="B900" s="93" t="s">
        <v>5971</v>
      </c>
      <c r="C900" s="282"/>
      <c r="D900" s="282" t="s">
        <v>5972</v>
      </c>
      <c r="E900" s="282"/>
      <c r="F900" s="282" t="s">
        <v>5973</v>
      </c>
      <c r="G900" s="93" t="s">
        <v>5974</v>
      </c>
      <c r="H900" s="282" t="s">
        <v>5975</v>
      </c>
      <c r="I900" s="282"/>
      <c r="J900" s="282" t="s">
        <v>5976</v>
      </c>
    </row>
    <row r="901" spans="1:10" x14ac:dyDescent="0.2">
      <c r="A901" s="93" t="str">
        <f t="shared" ca="1" si="0"/>
        <v>猎鹰之服</v>
      </c>
      <c r="B901" s="93" t="s">
        <v>5977</v>
      </c>
      <c r="C901" s="51" t="s">
        <v>5978</v>
      </c>
      <c r="D901" s="282" t="s">
        <v>5979</v>
      </c>
      <c r="E901" s="282"/>
      <c r="F901" s="282" t="s">
        <v>5980</v>
      </c>
      <c r="G901" s="93" t="s">
        <v>5981</v>
      </c>
      <c r="H901" s="282" t="s">
        <v>5982</v>
      </c>
      <c r="I901" s="282"/>
      <c r="J901" s="282" t="s">
        <v>5983</v>
      </c>
    </row>
    <row r="902" spans="1:10" x14ac:dyDescent="0.2">
      <c r="A902" s="93" t="str">
        <f t="shared" ca="1" si="0"/>
        <v>元素长袍</v>
      </c>
      <c r="B902" s="93" t="s">
        <v>5984</v>
      </c>
      <c r="C902" s="282"/>
      <c r="D902" s="282" t="s">
        <v>5985</v>
      </c>
      <c r="E902" s="282"/>
      <c r="F902" s="282" t="s">
        <v>5986</v>
      </c>
      <c r="G902" s="93" t="s">
        <v>5987</v>
      </c>
      <c r="H902" s="282" t="s">
        <v>5988</v>
      </c>
      <c r="I902" s="282"/>
      <c r="J902" s="282" t="s">
        <v>5989</v>
      </c>
    </row>
    <row r="903" spans="1:10" x14ac:dyDescent="0.2">
      <c r="A903" s="93" t="str">
        <f t="shared" ca="1" si="0"/>
        <v>犄角盔甲</v>
      </c>
      <c r="B903" s="93" t="s">
        <v>5990</v>
      </c>
      <c r="C903" s="282"/>
      <c r="D903" s="282" t="s">
        <v>5991</v>
      </c>
      <c r="E903" s="282"/>
      <c r="F903" s="282" t="s">
        <v>5992</v>
      </c>
      <c r="G903" s="93" t="s">
        <v>5993</v>
      </c>
      <c r="H903" s="282" t="s">
        <v>5993</v>
      </c>
      <c r="I903" s="282"/>
      <c r="J903" s="282" t="s">
        <v>5994</v>
      </c>
    </row>
    <row r="904" spans="1:10" x14ac:dyDescent="0.2">
      <c r="A904" s="93" t="str">
        <f t="shared" ca="1" si="0"/>
        <v>银制盔甲</v>
      </c>
      <c r="B904" s="93" t="s">
        <v>5995</v>
      </c>
      <c r="C904" s="51" t="s">
        <v>5996</v>
      </c>
      <c r="D904" s="282" t="s">
        <v>5997</v>
      </c>
      <c r="E904" s="282"/>
      <c r="F904" s="282" t="s">
        <v>5998</v>
      </c>
      <c r="G904" s="93" t="s">
        <v>5999</v>
      </c>
      <c r="H904" s="282" t="s">
        <v>6000</v>
      </c>
      <c r="I904" s="282"/>
      <c r="J904" s="282" t="s">
        <v>6001</v>
      </c>
    </row>
    <row r="905" spans="1:10" x14ac:dyDescent="0.2">
      <c r="A905" s="93" t="str">
        <f t="shared" ca="1" si="0"/>
        <v>犄角背心</v>
      </c>
      <c r="B905" s="93" t="s">
        <v>6002</v>
      </c>
      <c r="C905" s="282"/>
      <c r="D905" s="282" t="s">
        <v>6003</v>
      </c>
      <c r="E905" s="282"/>
      <c r="F905" s="282" t="s">
        <v>6004</v>
      </c>
      <c r="G905" s="93" t="s">
        <v>6005</v>
      </c>
      <c r="H905" s="282" t="s">
        <v>6005</v>
      </c>
      <c r="I905" s="282"/>
      <c r="J905" s="282" t="s">
        <v>6006</v>
      </c>
    </row>
    <row r="906" spans="1:10" x14ac:dyDescent="0.2">
      <c r="A906" s="93" t="str">
        <f t="shared" ca="1" si="0"/>
        <v>银制背心</v>
      </c>
      <c r="B906" s="93" t="s">
        <v>6007</v>
      </c>
      <c r="C906" s="51" t="s">
        <v>6008</v>
      </c>
      <c r="D906" s="282" t="s">
        <v>6009</v>
      </c>
      <c r="E906" s="282"/>
      <c r="F906" s="282" t="s">
        <v>6010</v>
      </c>
      <c r="G906" s="93" t="s">
        <v>6011</v>
      </c>
      <c r="H906" s="282" t="s">
        <v>6012</v>
      </c>
      <c r="I906" s="282"/>
      <c r="J906" s="282" t="s">
        <v>6013</v>
      </c>
    </row>
    <row r="907" spans="1:10" x14ac:dyDescent="0.2">
      <c r="A907" s="93" t="str">
        <f t="shared" ca="1" si="0"/>
        <v>魔咒长袍</v>
      </c>
      <c r="B907" s="93" t="s">
        <v>6014</v>
      </c>
      <c r="C907" s="282"/>
      <c r="D907" s="282" t="s">
        <v>6015</v>
      </c>
      <c r="E907" s="282"/>
      <c r="F907" s="282" t="s">
        <v>6016</v>
      </c>
      <c r="G907" s="93" t="s">
        <v>6017</v>
      </c>
      <c r="H907" s="282" t="s">
        <v>6018</v>
      </c>
      <c r="I907" s="282"/>
      <c r="J907" s="282" t="s">
        <v>6019</v>
      </c>
    </row>
    <row r="908" spans="1:10" x14ac:dyDescent="0.2">
      <c r="A908" s="93" t="str">
        <f t="shared" ca="1" si="0"/>
        <v>雪隐斗篷</v>
      </c>
      <c r="B908" s="93" t="s">
        <v>6020</v>
      </c>
      <c r="C908" s="282" t="s">
        <v>6021</v>
      </c>
      <c r="D908" s="282" t="s">
        <v>6022</v>
      </c>
      <c r="E908" s="282"/>
      <c r="F908" s="282" t="s">
        <v>6023</v>
      </c>
      <c r="G908" s="93" t="s">
        <v>6024</v>
      </c>
      <c r="H908" s="282" t="s">
        <v>6025</v>
      </c>
      <c r="I908" s="282"/>
      <c r="J908" s="282" t="s">
        <v>6026</v>
      </c>
    </row>
    <row r="909" spans="1:10" x14ac:dyDescent="0.2">
      <c r="A909" s="93" t="str">
        <f t="shared" ca="1" si="0"/>
        <v>铁制盔甲</v>
      </c>
      <c r="B909" s="93" t="s">
        <v>6027</v>
      </c>
      <c r="C909" s="282" t="s">
        <v>6028</v>
      </c>
      <c r="D909" s="282" t="s">
        <v>6029</v>
      </c>
      <c r="E909" s="282"/>
      <c r="F909" s="282" t="s">
        <v>6030</v>
      </c>
      <c r="G909" s="93" t="s">
        <v>6031</v>
      </c>
      <c r="H909" s="282" t="s">
        <v>6032</v>
      </c>
      <c r="I909" s="282"/>
      <c r="J909" s="282" t="s">
        <v>6033</v>
      </c>
    </row>
    <row r="910" spans="1:10" x14ac:dyDescent="0.2">
      <c r="A910" s="93" t="str">
        <f t="shared" ca="1" si="0"/>
        <v>大盔甲</v>
      </c>
      <c r="B910" s="93" t="s">
        <v>6034</v>
      </c>
      <c r="C910" s="282"/>
      <c r="D910" s="282" t="s">
        <v>6035</v>
      </c>
      <c r="E910" s="282"/>
      <c r="F910" s="282" t="s">
        <v>6036</v>
      </c>
      <c r="G910" s="93" t="s">
        <v>6037</v>
      </c>
      <c r="H910" s="282" t="s">
        <v>6037</v>
      </c>
      <c r="I910" s="282"/>
      <c r="J910" s="282" t="s">
        <v>6038</v>
      </c>
    </row>
    <row r="911" spans="1:10" x14ac:dyDescent="0.2">
      <c r="A911" s="93" t="str">
        <f t="shared" ca="1" si="0"/>
        <v>铁制背心</v>
      </c>
      <c r="B911" s="93" t="s">
        <v>6039</v>
      </c>
      <c r="C911" s="282" t="s">
        <v>6028</v>
      </c>
      <c r="D911" s="282" t="s">
        <v>6040</v>
      </c>
      <c r="E911" s="282"/>
      <c r="F911" s="282" t="s">
        <v>6041</v>
      </c>
      <c r="G911" s="93" t="s">
        <v>6042</v>
      </c>
      <c r="H911" s="282" t="s">
        <v>6043</v>
      </c>
      <c r="I911" s="282"/>
      <c r="J911" s="282" t="s">
        <v>6044</v>
      </c>
    </row>
    <row r="912" spans="1:10" x14ac:dyDescent="0.2">
      <c r="A912" s="93" t="str">
        <f t="shared" ca="1" si="0"/>
        <v>安宁之服</v>
      </c>
      <c r="B912" s="93" t="s">
        <v>6045</v>
      </c>
      <c r="C912" s="282"/>
      <c r="D912" s="282" t="s">
        <v>6046</v>
      </c>
      <c r="E912" s="282"/>
      <c r="F912" s="282" t="s">
        <v>6047</v>
      </c>
      <c r="G912" s="93" t="s">
        <v>6048</v>
      </c>
      <c r="H912" s="282" t="s">
        <v>6049</v>
      </c>
      <c r="I912" s="282"/>
      <c r="J912" s="282" t="s">
        <v>6050</v>
      </c>
    </row>
    <row r="913" spans="1:10" x14ac:dyDescent="0.2">
      <c r="A913" s="93" t="str">
        <f t="shared" ca="1" si="0"/>
        <v>大背心</v>
      </c>
      <c r="B913" s="93" t="s">
        <v>6051</v>
      </c>
      <c r="C913" s="282"/>
      <c r="D913" s="282" t="s">
        <v>6052</v>
      </c>
      <c r="E913" s="282"/>
      <c r="F913" s="282" t="s">
        <v>6053</v>
      </c>
      <c r="G913" s="93" t="s">
        <v>6054</v>
      </c>
      <c r="H913" s="282" t="s">
        <v>6054</v>
      </c>
      <c r="I913" s="282"/>
      <c r="J913" s="282" t="s">
        <v>6055</v>
      </c>
    </row>
    <row r="914" spans="1:10" x14ac:dyDescent="0.2">
      <c r="A914" s="93" t="str">
        <f t="shared" ca="1" si="0"/>
        <v>毛皮长袍</v>
      </c>
      <c r="B914" s="93" t="s">
        <v>6056</v>
      </c>
      <c r="C914" s="282" t="s">
        <v>6057</v>
      </c>
      <c r="D914" s="282" t="s">
        <v>6058</v>
      </c>
      <c r="E914" s="282"/>
      <c r="F914" s="282" t="s">
        <v>6059</v>
      </c>
      <c r="G914" s="93" t="s">
        <v>6060</v>
      </c>
      <c r="H914" s="282" t="s">
        <v>6061</v>
      </c>
      <c r="I914" s="282"/>
      <c r="J914" s="282" t="s">
        <v>6062</v>
      </c>
    </row>
    <row r="915" spans="1:10" x14ac:dyDescent="0.2">
      <c r="A915" s="93" t="str">
        <f t="shared" ca="1" si="0"/>
        <v>黑装束</v>
      </c>
      <c r="B915" s="93" t="s">
        <v>6063</v>
      </c>
      <c r="C915" s="282" t="s">
        <v>6064</v>
      </c>
      <c r="D915" s="282" t="s">
        <v>6065</v>
      </c>
      <c r="E915" s="282"/>
      <c r="F915" s="282" t="s">
        <v>6066</v>
      </c>
      <c r="G915" s="93" t="s">
        <v>6067</v>
      </c>
      <c r="H915" s="282" t="s">
        <v>6068</v>
      </c>
      <c r="I915" s="282"/>
      <c r="J915" s="282" t="s">
        <v>6069</v>
      </c>
    </row>
    <row r="916" spans="1:10" x14ac:dyDescent="0.2">
      <c r="A916" s="93" t="str">
        <f t="shared" ca="1" si="0"/>
        <v>疾风之服</v>
      </c>
      <c r="B916" s="93" t="s">
        <v>6070</v>
      </c>
      <c r="C916" s="282" t="s">
        <v>6071</v>
      </c>
      <c r="D916" s="282" t="s">
        <v>6072</v>
      </c>
      <c r="E916" s="282"/>
      <c r="F916" s="282" t="s">
        <v>6073</v>
      </c>
      <c r="G916" s="93" t="s">
        <v>6074</v>
      </c>
      <c r="H916" s="282" t="s">
        <v>6075</v>
      </c>
      <c r="I916" s="282"/>
      <c r="J916" s="282" t="s">
        <v>6076</v>
      </c>
    </row>
    <row r="917" spans="1:10" x14ac:dyDescent="0.2">
      <c r="A917" s="93" t="str">
        <f t="shared" ca="1" si="0"/>
        <v>传统舞娘衣服</v>
      </c>
      <c r="B917" s="93" t="s">
        <v>6077</v>
      </c>
      <c r="C917" s="282" t="s">
        <v>6078</v>
      </c>
      <c r="D917" s="282" t="s">
        <v>6079</v>
      </c>
      <c r="E917" s="282"/>
      <c r="F917" s="282" t="s">
        <v>6080</v>
      </c>
      <c r="G917" s="93" t="s">
        <v>6081</v>
      </c>
      <c r="H917" s="282" t="s">
        <v>6082</v>
      </c>
      <c r="I917" s="282"/>
      <c r="J917" s="282" t="s">
        <v>6083</v>
      </c>
    </row>
    <row r="918" spans="1:10" x14ac:dyDescent="0.2">
      <c r="A918" s="93" t="str">
        <f t="shared" ca="1" si="0"/>
        <v>青铜盔甲</v>
      </c>
      <c r="B918" s="93" t="s">
        <v>6084</v>
      </c>
      <c r="C918" s="282" t="s">
        <v>6085</v>
      </c>
      <c r="D918" s="282" t="s">
        <v>6086</v>
      </c>
      <c r="E918" s="282"/>
      <c r="F918" s="282" t="s">
        <v>6087</v>
      </c>
      <c r="G918" s="93" t="s">
        <v>6088</v>
      </c>
      <c r="H918" s="282" t="s">
        <v>6089</v>
      </c>
      <c r="I918" s="282"/>
      <c r="J918" s="282" t="s">
        <v>6090</v>
      </c>
    </row>
    <row r="919" spans="1:10" x14ac:dyDescent="0.2">
      <c r="A919" s="93" t="str">
        <f t="shared" ca="1" si="0"/>
        <v>青铜背心</v>
      </c>
      <c r="B919" s="93" t="s">
        <v>6091</v>
      </c>
      <c r="C919" s="282" t="s">
        <v>6092</v>
      </c>
      <c r="D919" s="282" t="s">
        <v>6093</v>
      </c>
      <c r="E919" s="282"/>
      <c r="F919" s="282" t="s">
        <v>6094</v>
      </c>
      <c r="G919" s="93" t="s">
        <v>6095</v>
      </c>
      <c r="H919" s="282" t="s">
        <v>6096</v>
      </c>
      <c r="I919" s="282"/>
      <c r="J919" s="282" t="s">
        <v>6097</v>
      </c>
    </row>
    <row r="920" spans="1:10" x14ac:dyDescent="0.2">
      <c r="A920" s="93" t="str">
        <f t="shared" ca="1" si="0"/>
        <v>亚麻长袍</v>
      </c>
      <c r="B920" s="93" t="s">
        <v>6098</v>
      </c>
      <c r="C920" s="282" t="s">
        <v>6099</v>
      </c>
      <c r="D920" s="282" t="s">
        <v>6100</v>
      </c>
      <c r="E920" s="282"/>
      <c r="F920" s="282" t="s">
        <v>6101</v>
      </c>
      <c r="G920" s="93" t="s">
        <v>6102</v>
      </c>
      <c r="H920" s="282" t="s">
        <v>6103</v>
      </c>
      <c r="I920" s="282"/>
      <c r="J920" s="282" t="s">
        <v>6104</v>
      </c>
    </row>
    <row r="921" spans="1:10" x14ac:dyDescent="0.2">
      <c r="A921" s="93" t="str">
        <f t="shared" ca="1" si="0"/>
        <v>橡胶盔甲</v>
      </c>
      <c r="B921" s="93" t="s">
        <v>6105</v>
      </c>
      <c r="C921" s="282" t="s">
        <v>6106</v>
      </c>
      <c r="D921" s="282" t="s">
        <v>6107</v>
      </c>
      <c r="E921" s="282"/>
      <c r="F921" s="282" t="s">
        <v>6108</v>
      </c>
      <c r="G921" s="93" t="s">
        <v>6109</v>
      </c>
      <c r="H921" s="282" t="s">
        <v>6110</v>
      </c>
      <c r="I921" s="282"/>
      <c r="J921" s="282" t="s">
        <v>6111</v>
      </c>
    </row>
    <row r="922" spans="1:10" x14ac:dyDescent="0.2">
      <c r="A922" s="93" t="str">
        <f t="shared" ca="1" si="0"/>
        <v>橡胶背心</v>
      </c>
      <c r="B922" s="93" t="s">
        <v>6112</v>
      </c>
      <c r="C922" s="282" t="s">
        <v>6113</v>
      </c>
      <c r="D922" s="282" t="s">
        <v>6114</v>
      </c>
      <c r="E922" s="282"/>
      <c r="F922" s="282" t="s">
        <v>6115</v>
      </c>
      <c r="G922" s="93" t="s">
        <v>6116</v>
      </c>
      <c r="H922" s="282" t="s">
        <v>6117</v>
      </c>
      <c r="I922" s="282"/>
      <c r="J922" s="282" t="s">
        <v>6118</v>
      </c>
    </row>
    <row r="923" spans="1:10" x14ac:dyDescent="0.2">
      <c r="A923" s="93" t="str">
        <f t="shared" ca="1" si="0"/>
        <v>长袍</v>
      </c>
      <c r="B923" s="93" t="s">
        <v>6119</v>
      </c>
      <c r="C923" s="282" t="s">
        <v>6120</v>
      </c>
      <c r="D923" s="282" t="s">
        <v>6119</v>
      </c>
      <c r="E923" s="282"/>
      <c r="F923" s="282" t="s">
        <v>6121</v>
      </c>
      <c r="G923" s="93" t="s">
        <v>6122</v>
      </c>
      <c r="H923" s="282" t="s">
        <v>6123</v>
      </c>
      <c r="I923" s="282"/>
      <c r="J923" s="282" t="s">
        <v>6124</v>
      </c>
    </row>
    <row r="924" spans="1:10" x14ac:dyDescent="0.2">
      <c r="A924" s="79" t="str">
        <f t="shared" ca="1" si="0"/>
        <v>饰品</v>
      </c>
      <c r="B924" s="79" t="s">
        <v>6125</v>
      </c>
      <c r="C924" s="252" t="s">
        <v>6126</v>
      </c>
      <c r="D924" s="252" t="s">
        <v>6127</v>
      </c>
      <c r="E924" s="252"/>
      <c r="F924" s="252"/>
      <c r="G924" s="79" t="s">
        <v>6128</v>
      </c>
      <c r="H924" s="252" t="s">
        <v>6129</v>
      </c>
      <c r="I924" s="252"/>
      <c r="J924" s="252" t="s">
        <v>6130</v>
      </c>
    </row>
    <row r="925" spans="1:10" x14ac:dyDescent="0.2">
      <c r="A925" s="93" t="str">
        <f t="shared" ca="1" si="0"/>
        <v>隔离缎带</v>
      </c>
      <c r="B925" s="93" t="s">
        <v>6131</v>
      </c>
      <c r="C925" s="282"/>
      <c r="D925" s="282"/>
      <c r="E925" s="282"/>
      <c r="F925" s="282" t="s">
        <v>6132</v>
      </c>
      <c r="G925" s="93" t="s">
        <v>6133</v>
      </c>
      <c r="H925" s="282" t="s">
        <v>6134</v>
      </c>
      <c r="I925" s="282"/>
      <c r="J925" s="282"/>
    </row>
    <row r="926" spans="1:10" x14ac:dyDescent="0.2">
      <c r="A926" s="93" t="str">
        <f t="shared" ca="1" si="0"/>
        <v>引诱缎带</v>
      </c>
      <c r="B926" s="93" t="s">
        <v>6135</v>
      </c>
      <c r="C926" s="282"/>
      <c r="D926" s="282" t="s">
        <v>6136</v>
      </c>
      <c r="E926" s="282"/>
      <c r="F926" s="282" t="s">
        <v>6137</v>
      </c>
      <c r="G926" s="93" t="s">
        <v>6138</v>
      </c>
      <c r="H926" s="282" t="s">
        <v>6139</v>
      </c>
      <c r="I926" s="282"/>
      <c r="J926" s="282" t="s">
        <v>6140</v>
      </c>
    </row>
    <row r="927" spans="1:10" x14ac:dyDescent="0.2">
      <c r="A927" s="93" t="str">
        <f t="shared" ca="1" si="0"/>
        <v>队长的徽章</v>
      </c>
      <c r="B927" s="93" t="s">
        <v>6141</v>
      </c>
      <c r="C927" s="282"/>
      <c r="D927" s="282" t="s">
        <v>6142</v>
      </c>
      <c r="E927" s="282"/>
      <c r="F927" s="282" t="s">
        <v>6143</v>
      </c>
      <c r="G927" s="93" t="s">
        <v>6144</v>
      </c>
      <c r="H927" s="282" t="s">
        <v>6145</v>
      </c>
      <c r="I927" s="282"/>
      <c r="J927" s="282" t="s">
        <v>6146</v>
      </c>
    </row>
    <row r="928" spans="1:10" x14ac:dyDescent="0.2">
      <c r="A928" s="93" t="str">
        <f t="shared" ca="1" si="0"/>
        <v>友情的徽章</v>
      </c>
      <c r="B928" s="93" t="s">
        <v>6147</v>
      </c>
      <c r="C928" s="282"/>
      <c r="D928" s="282" t="s">
        <v>6148</v>
      </c>
      <c r="E928" s="282"/>
      <c r="F928" s="282" t="s">
        <v>6149</v>
      </c>
      <c r="G928" s="93" t="s">
        <v>6150</v>
      </c>
      <c r="H928" s="282" t="s">
        <v>6150</v>
      </c>
      <c r="I928" s="282"/>
      <c r="J928" s="282" t="s">
        <v>6151</v>
      </c>
    </row>
    <row r="929" spans="1:10" x14ac:dyDescent="0.2">
      <c r="A929" s="93" t="str">
        <f t="shared" ca="1" si="0"/>
        <v>龙之领巾</v>
      </c>
      <c r="B929" s="93" t="s">
        <v>6152</v>
      </c>
      <c r="C929" s="282"/>
      <c r="D929" s="282" t="s">
        <v>6153</v>
      </c>
      <c r="E929" s="282"/>
      <c r="F929" s="282" t="s">
        <v>6154</v>
      </c>
      <c r="G929" s="93" t="s">
        <v>6155</v>
      </c>
      <c r="H929" s="282" t="s">
        <v>6156</v>
      </c>
      <c r="I929" s="282"/>
      <c r="J929" s="282" t="s">
        <v>6157</v>
      </c>
    </row>
    <row r="930" spans="1:10" x14ac:dyDescent="0.2">
      <c r="A930" s="93" t="str">
        <f t="shared" ca="1" si="0"/>
        <v>兽之领巾</v>
      </c>
      <c r="B930" s="93" t="s">
        <v>6158</v>
      </c>
      <c r="C930" s="282"/>
      <c r="D930" s="282" t="s">
        <v>6159</v>
      </c>
      <c r="E930" s="282"/>
      <c r="F930" s="282" t="s">
        <v>6160</v>
      </c>
      <c r="G930" s="93" t="s">
        <v>6161</v>
      </c>
      <c r="H930" s="282" t="s">
        <v>6162</v>
      </c>
      <c r="I930" s="282"/>
      <c r="J930" s="282" t="s">
        <v>6163</v>
      </c>
    </row>
    <row r="931" spans="1:10" x14ac:dyDescent="0.2">
      <c r="A931" s="93" t="str">
        <f t="shared" ca="1" si="0"/>
        <v>王家之证</v>
      </c>
      <c r="B931" s="93" t="s">
        <v>6164</v>
      </c>
      <c r="C931" s="282"/>
      <c r="D931" s="282" t="s">
        <v>6165</v>
      </c>
      <c r="E931" s="282"/>
      <c r="F931" s="282" t="s">
        <v>6166</v>
      </c>
      <c r="G931" s="93" t="s">
        <v>6167</v>
      </c>
      <c r="H931" s="282" t="s">
        <v>6168</v>
      </c>
      <c r="I931" s="282"/>
      <c r="J931" s="282"/>
    </row>
    <row r="932" spans="1:10" x14ac:dyDescent="0.2">
      <c r="A932" s="93" t="str">
        <f t="shared" ca="1" si="0"/>
        <v>守墓人之证</v>
      </c>
      <c r="B932" s="93" t="s">
        <v>6169</v>
      </c>
      <c r="C932" s="282"/>
      <c r="D932" s="282" t="s">
        <v>6170</v>
      </c>
      <c r="E932" s="282"/>
      <c r="F932" s="282" t="s">
        <v>6171</v>
      </c>
      <c r="G932" s="93" t="s">
        <v>6172</v>
      </c>
      <c r="H932" s="282" t="s">
        <v>6173</v>
      </c>
      <c r="I932" s="282"/>
      <c r="J932" s="282" t="s">
        <v>6174</v>
      </c>
    </row>
    <row r="933" spans="1:10" x14ac:dyDescent="0.2">
      <c r="A933" s="93" t="str">
        <f t="shared" ca="1" si="0"/>
        <v>物理腰带</v>
      </c>
      <c r="B933" s="93" t="s">
        <v>6175</v>
      </c>
      <c r="C933" s="282"/>
      <c r="D933" s="282" t="s">
        <v>6176</v>
      </c>
      <c r="E933" s="282"/>
      <c r="F933" s="282" t="s">
        <v>6177</v>
      </c>
      <c r="G933" s="93" t="s">
        <v>6178</v>
      </c>
      <c r="H933" s="282" t="s">
        <v>6179</v>
      </c>
      <c r="I933" s="282"/>
      <c r="J933" s="282" t="s">
        <v>6180</v>
      </c>
    </row>
    <row r="934" spans="1:10" x14ac:dyDescent="0.2">
      <c r="A934" s="93" t="str">
        <f t="shared" ca="1" si="0"/>
        <v>精神腰带</v>
      </c>
      <c r="B934" s="93" t="s">
        <v>6181</v>
      </c>
      <c r="C934" s="282"/>
      <c r="D934" s="282" t="s">
        <v>6182</v>
      </c>
      <c r="E934" s="282"/>
      <c r="F934" s="282" t="s">
        <v>6183</v>
      </c>
      <c r="G934" s="93" t="s">
        <v>6184</v>
      </c>
      <c r="H934" s="282" t="s">
        <v>6185</v>
      </c>
      <c r="I934" s="282"/>
      <c r="J934" s="282" t="s">
        <v>6186</v>
      </c>
    </row>
    <row r="935" spans="1:10" x14ac:dyDescent="0.2">
      <c r="A935" s="93" t="str">
        <f t="shared" ca="1" si="0"/>
        <v>加护的饰章</v>
      </c>
      <c r="B935" s="93" t="s">
        <v>6187</v>
      </c>
      <c r="C935" s="282"/>
      <c r="D935" s="282" t="s">
        <v>6188</v>
      </c>
      <c r="E935" s="282"/>
      <c r="F935" s="282" t="s">
        <v>6189</v>
      </c>
      <c r="G935" s="93" t="s">
        <v>6190</v>
      </c>
      <c r="H935" s="282" t="s">
        <v>6191</v>
      </c>
      <c r="I935" s="282"/>
      <c r="J935" s="282" t="s">
        <v>6192</v>
      </c>
    </row>
    <row r="936" spans="1:10" x14ac:dyDescent="0.2">
      <c r="A936" s="93" t="str">
        <f t="shared" ca="1" si="0"/>
        <v>守备的饰章</v>
      </c>
      <c r="B936" s="93" t="s">
        <v>6193</v>
      </c>
      <c r="C936" s="282"/>
      <c r="D936" s="282" t="s">
        <v>6194</v>
      </c>
      <c r="E936" s="282"/>
      <c r="F936" s="282" t="s">
        <v>6195</v>
      </c>
      <c r="G936" s="93" t="s">
        <v>6196</v>
      </c>
      <c r="H936" s="282" t="s">
        <v>6197</v>
      </c>
      <c r="I936" s="282"/>
      <c r="J936" s="282" t="s">
        <v>6198</v>
      </c>
    </row>
    <row r="937" spans="1:10" x14ac:dyDescent="0.2">
      <c r="A937" s="93" t="str">
        <f t="shared" ca="1" si="0"/>
        <v>力量腰带</v>
      </c>
      <c r="B937" s="93" t="s">
        <v>6199</v>
      </c>
      <c r="C937" s="51" t="s">
        <v>6200</v>
      </c>
      <c r="D937" s="282" t="s">
        <v>6201</v>
      </c>
      <c r="E937" s="282"/>
      <c r="F937" s="282" t="s">
        <v>6202</v>
      </c>
      <c r="G937" s="93" t="s">
        <v>6203</v>
      </c>
      <c r="H937" s="282" t="s">
        <v>6204</v>
      </c>
      <c r="I937" s="282"/>
      <c r="J937" s="282" t="s">
        <v>6205</v>
      </c>
    </row>
    <row r="938" spans="1:10" x14ac:dyDescent="0.2">
      <c r="A938" s="93" t="str">
        <f t="shared" ca="1" si="0"/>
        <v>元素增幅器</v>
      </c>
      <c r="B938" s="93" t="s">
        <v>6206</v>
      </c>
      <c r="C938" s="282"/>
      <c r="D938" s="282" t="s">
        <v>6207</v>
      </c>
      <c r="E938" s="282"/>
      <c r="F938" s="282" t="s">
        <v>6208</v>
      </c>
      <c r="G938" s="93" t="s">
        <v>6209</v>
      </c>
      <c r="H938" s="282" t="s">
        <v>6209</v>
      </c>
      <c r="I938" s="282"/>
      <c r="J938" s="282" t="s">
        <v>6210</v>
      </c>
    </row>
    <row r="939" spans="1:10" x14ac:dyDescent="0.2">
      <c r="A939" s="93" t="str">
        <f t="shared" ca="1" si="0"/>
        <v>守护者腰带</v>
      </c>
      <c r="B939" s="93" t="s">
        <v>6211</v>
      </c>
      <c r="C939" s="282"/>
      <c r="D939" s="282" t="s">
        <v>6212</v>
      </c>
      <c r="E939" s="282"/>
      <c r="F939" s="282" t="s">
        <v>6213</v>
      </c>
      <c r="G939" s="93" t="s">
        <v>6214</v>
      </c>
      <c r="H939" s="282" t="s">
        <v>6215</v>
      </c>
      <c r="I939" s="282"/>
      <c r="J939" s="282" t="s">
        <v>6216</v>
      </c>
    </row>
    <row r="940" spans="1:10" x14ac:dyDescent="0.2">
      <c r="A940" s="93" t="str">
        <f t="shared" ca="1" si="0"/>
        <v>元素守护者</v>
      </c>
      <c r="B940" s="93" t="s">
        <v>6217</v>
      </c>
      <c r="C940" s="282"/>
      <c r="D940" s="282" t="s">
        <v>6218</v>
      </c>
      <c r="E940" s="282"/>
      <c r="F940" s="282" t="s">
        <v>6219</v>
      </c>
      <c r="G940" s="93" t="s">
        <v>6220</v>
      </c>
      <c r="H940" s="282" t="s">
        <v>6221</v>
      </c>
      <c r="I940" s="282"/>
      <c r="J940" s="282" t="s">
        <v>6222</v>
      </c>
    </row>
    <row r="941" spans="1:10" x14ac:dyDescent="0.2">
      <c r="A941" s="93" t="str">
        <f t="shared" ca="1" si="0"/>
        <v>体力项链</v>
      </c>
      <c r="B941" s="93" t="s">
        <v>6223</v>
      </c>
      <c r="C941" s="282"/>
      <c r="D941" s="282" t="s">
        <v>6224</v>
      </c>
      <c r="E941" s="282"/>
      <c r="F941" s="282" t="s">
        <v>6225</v>
      </c>
      <c r="G941" s="93" t="s">
        <v>6226</v>
      </c>
      <c r="H941" s="282" t="s">
        <v>6227</v>
      </c>
      <c r="I941" s="282"/>
      <c r="J941" s="282" t="s">
        <v>6228</v>
      </c>
    </row>
    <row r="942" spans="1:10" x14ac:dyDescent="0.2">
      <c r="A942" s="93" t="str">
        <f t="shared" ca="1" si="0"/>
        <v>精神项链</v>
      </c>
      <c r="B942" s="93" t="s">
        <v>6229</v>
      </c>
      <c r="C942" s="282"/>
      <c r="D942" s="282" t="s">
        <v>6230</v>
      </c>
      <c r="E942" s="282"/>
      <c r="F942" s="282" t="s">
        <v>6231</v>
      </c>
      <c r="G942" s="93" t="s">
        <v>6232</v>
      </c>
      <c r="H942" s="282" t="s">
        <v>6233</v>
      </c>
      <c r="I942" s="282"/>
      <c r="J942" s="282" t="s">
        <v>6234</v>
      </c>
    </row>
    <row r="943" spans="1:10" x14ac:dyDescent="0.2">
      <c r="A943" s="93" t="str">
        <f t="shared" ca="1" si="0"/>
        <v>守护项链</v>
      </c>
      <c r="B943" s="93" t="s">
        <v>6235</v>
      </c>
      <c r="C943" s="282"/>
      <c r="D943" s="282" t="s">
        <v>6236</v>
      </c>
      <c r="E943" s="282"/>
      <c r="F943" s="282" t="s">
        <v>6237</v>
      </c>
      <c r="G943" s="93" t="s">
        <v>6238</v>
      </c>
      <c r="H943" s="282" t="s">
        <v>6239</v>
      </c>
      <c r="I943" s="282"/>
      <c r="J943" s="282" t="s">
        <v>6240</v>
      </c>
    </row>
    <row r="944" spans="1:10" x14ac:dyDescent="0.2">
      <c r="A944" s="93" t="str">
        <f t="shared" ca="1" si="0"/>
        <v>狙击项链</v>
      </c>
      <c r="B944" s="93" t="s">
        <v>6241</v>
      </c>
      <c r="C944" s="282"/>
      <c r="D944" s="282" t="s">
        <v>6242</v>
      </c>
      <c r="E944" s="282"/>
      <c r="F944" s="282" t="s">
        <v>6243</v>
      </c>
      <c r="G944" s="93" t="s">
        <v>6244</v>
      </c>
      <c r="H944" s="282" t="s">
        <v>6245</v>
      </c>
      <c r="I944" s="282"/>
      <c r="J944" s="282" t="s">
        <v>6246</v>
      </c>
    </row>
    <row r="945" spans="1:10" x14ac:dyDescent="0.2">
      <c r="A945" s="93" t="str">
        <f t="shared" ca="1" si="0"/>
        <v>察知项链</v>
      </c>
      <c r="B945" s="93" t="s">
        <v>6247</v>
      </c>
      <c r="C945" s="282"/>
      <c r="D945" s="282" t="s">
        <v>6248</v>
      </c>
      <c r="E945" s="282"/>
      <c r="F945" s="282" t="s">
        <v>6249</v>
      </c>
      <c r="G945" s="93" t="s">
        <v>6250</v>
      </c>
      <c r="H945" s="282" t="s">
        <v>6251</v>
      </c>
      <c r="I945" s="282"/>
      <c r="J945" s="282" t="s">
        <v>6252</v>
      </c>
    </row>
    <row r="946" spans="1:10" x14ac:dyDescent="0.2">
      <c r="A946" s="93" t="str">
        <f t="shared" ca="1" si="0"/>
        <v>灵敏项链</v>
      </c>
      <c r="B946" s="93" t="s">
        <v>6253</v>
      </c>
      <c r="C946" s="282"/>
      <c r="D946" s="282" t="s">
        <v>6254</v>
      </c>
      <c r="E946" s="282"/>
      <c r="F946" s="282" t="s">
        <v>6255</v>
      </c>
      <c r="G946" s="93" t="s">
        <v>6256</v>
      </c>
      <c r="H946" s="282" t="s">
        <v>6257</v>
      </c>
      <c r="I946" s="282"/>
      <c r="J946" s="282" t="s">
        <v>6258</v>
      </c>
    </row>
    <row r="947" spans="1:10" x14ac:dyDescent="0.2">
      <c r="A947" s="93" t="str">
        <f t="shared" ca="1" si="0"/>
        <v>会心项链</v>
      </c>
      <c r="B947" s="93" t="s">
        <v>6259</v>
      </c>
      <c r="C947" s="282"/>
      <c r="D947" s="282" t="s">
        <v>6260</v>
      </c>
      <c r="E947" s="282"/>
      <c r="F947" s="282" t="s">
        <v>6261</v>
      </c>
      <c r="G947" s="93" t="s">
        <v>6262</v>
      </c>
      <c r="H947" s="282" t="s">
        <v>6263</v>
      </c>
      <c r="I947" s="282"/>
      <c r="J947" s="282" t="s">
        <v>6264</v>
      </c>
    </row>
    <row r="948" spans="1:10" x14ac:dyDescent="0.2">
      <c r="A948" s="93" t="str">
        <f t="shared" ca="1" si="0"/>
        <v>体力手环</v>
      </c>
      <c r="B948" s="93" t="s">
        <v>6265</v>
      </c>
      <c r="C948" s="282"/>
      <c r="D948" s="282" t="s">
        <v>6266</v>
      </c>
      <c r="E948" s="282"/>
      <c r="F948" s="282" t="s">
        <v>6267</v>
      </c>
      <c r="G948" s="93" t="s">
        <v>6268</v>
      </c>
      <c r="H948" s="282" t="s">
        <v>6269</v>
      </c>
      <c r="I948" s="282"/>
      <c r="J948" s="282" t="s">
        <v>6270</v>
      </c>
    </row>
    <row r="949" spans="1:10" x14ac:dyDescent="0.2">
      <c r="A949" s="93" t="str">
        <f t="shared" ca="1" si="0"/>
        <v>精神手环</v>
      </c>
      <c r="B949" s="93" t="s">
        <v>6271</v>
      </c>
      <c r="C949" s="282"/>
      <c r="D949" s="282" t="s">
        <v>6272</v>
      </c>
      <c r="E949" s="282"/>
      <c r="F949" s="282" t="s">
        <v>6273</v>
      </c>
      <c r="G949" s="93" t="s">
        <v>6274</v>
      </c>
      <c r="H949" s="282" t="s">
        <v>6275</v>
      </c>
      <c r="I949" s="282"/>
      <c r="J949" s="282" t="s">
        <v>6276</v>
      </c>
    </row>
    <row r="950" spans="1:10" x14ac:dyDescent="0.2">
      <c r="A950" s="93" t="str">
        <f t="shared" ca="1" si="0"/>
        <v>守护手环</v>
      </c>
      <c r="B950" s="93" t="s">
        <v>6277</v>
      </c>
      <c r="C950" s="282"/>
      <c r="D950" s="282" t="s">
        <v>6278</v>
      </c>
      <c r="E950" s="282"/>
      <c r="F950" s="282" t="s">
        <v>6279</v>
      </c>
      <c r="G950" s="93" t="s">
        <v>6280</v>
      </c>
      <c r="H950" s="282" t="s">
        <v>6281</v>
      </c>
      <c r="I950" s="282"/>
      <c r="J950" s="282" t="s">
        <v>6282</v>
      </c>
    </row>
    <row r="951" spans="1:10" x14ac:dyDescent="0.2">
      <c r="A951" s="93" t="str">
        <f t="shared" ca="1" si="0"/>
        <v>狙击手环</v>
      </c>
      <c r="B951" s="93" t="s">
        <v>6283</v>
      </c>
      <c r="C951" s="282"/>
      <c r="D951" s="282" t="s">
        <v>6284</v>
      </c>
      <c r="E951" s="282"/>
      <c r="F951" s="282" t="s">
        <v>6285</v>
      </c>
      <c r="G951" s="93" t="s">
        <v>6286</v>
      </c>
      <c r="H951" s="282" t="s">
        <v>6287</v>
      </c>
      <c r="I951" s="282"/>
      <c r="J951" s="282" t="s">
        <v>6288</v>
      </c>
    </row>
    <row r="952" spans="1:10" x14ac:dyDescent="0.2">
      <c r="A952" s="93" t="str">
        <f t="shared" ca="1" si="0"/>
        <v>察知手环</v>
      </c>
      <c r="B952" s="93" t="s">
        <v>6289</v>
      </c>
      <c r="C952" s="282"/>
      <c r="D952" s="282" t="s">
        <v>6290</v>
      </c>
      <c r="E952" s="282"/>
      <c r="F952" s="282" t="s">
        <v>6291</v>
      </c>
      <c r="G952" s="93" t="s">
        <v>6292</v>
      </c>
      <c r="H952" s="282" t="s">
        <v>6293</v>
      </c>
      <c r="I952" s="282"/>
      <c r="J952" s="282" t="s">
        <v>6294</v>
      </c>
    </row>
    <row r="953" spans="1:10" x14ac:dyDescent="0.2">
      <c r="A953" s="93" t="str">
        <f t="shared" ca="1" si="0"/>
        <v>灵敏手环</v>
      </c>
      <c r="B953" s="93" t="s">
        <v>6295</v>
      </c>
      <c r="C953" s="282"/>
      <c r="D953" s="282" t="s">
        <v>6296</v>
      </c>
      <c r="E953" s="282"/>
      <c r="F953" s="282" t="s">
        <v>6297</v>
      </c>
      <c r="G953" s="93" t="s">
        <v>6298</v>
      </c>
      <c r="H953" s="282" t="s">
        <v>6299</v>
      </c>
      <c r="I953" s="282"/>
      <c r="J953" s="282" t="s">
        <v>6300</v>
      </c>
    </row>
    <row r="954" spans="1:10" x14ac:dyDescent="0.2">
      <c r="A954" s="93" t="str">
        <f t="shared" ca="1" si="0"/>
        <v>会心手环</v>
      </c>
      <c r="B954" s="93" t="s">
        <v>6301</v>
      </c>
      <c r="C954" s="282"/>
      <c r="D954" s="282" t="s">
        <v>6302</v>
      </c>
      <c r="E954" s="282"/>
      <c r="F954" s="282" t="s">
        <v>6303</v>
      </c>
      <c r="G954" s="93" t="s">
        <v>6304</v>
      </c>
      <c r="H954" s="282" t="s">
        <v>6305</v>
      </c>
      <c r="I954" s="282"/>
      <c r="J954" s="282" t="s">
        <v>6306</v>
      </c>
    </row>
    <row r="955" spans="1:10" x14ac:dyDescent="0.2">
      <c r="A955" s="93" t="str">
        <f t="shared" ca="1" si="0"/>
        <v>体力戒指</v>
      </c>
      <c r="B955" s="93" t="s">
        <v>6307</v>
      </c>
      <c r="C955" s="282" t="s">
        <v>6308</v>
      </c>
      <c r="D955" s="282" t="s">
        <v>6309</v>
      </c>
      <c r="E955" s="282"/>
      <c r="F955" s="282" t="s">
        <v>6310</v>
      </c>
      <c r="G955" s="93" t="s">
        <v>6311</v>
      </c>
      <c r="H955" s="282" t="s">
        <v>6312</v>
      </c>
      <c r="I955" s="282"/>
      <c r="J955" s="282" t="s">
        <v>6313</v>
      </c>
    </row>
    <row r="956" spans="1:10" x14ac:dyDescent="0.2">
      <c r="A956" s="93" t="str">
        <f t="shared" ca="1" si="0"/>
        <v>精神戒指</v>
      </c>
      <c r="B956" s="93" t="s">
        <v>6314</v>
      </c>
      <c r="C956" s="282" t="s">
        <v>6315</v>
      </c>
      <c r="D956" s="282" t="s">
        <v>6316</v>
      </c>
      <c r="E956" s="282"/>
      <c r="F956" s="282" t="s">
        <v>6317</v>
      </c>
      <c r="G956" s="93" t="s">
        <v>6318</v>
      </c>
      <c r="H956" s="282" t="s">
        <v>6318</v>
      </c>
      <c r="I956" s="282"/>
      <c r="J956" s="282" t="s">
        <v>6319</v>
      </c>
    </row>
    <row r="957" spans="1:10" x14ac:dyDescent="0.2">
      <c r="A957" s="93" t="str">
        <f t="shared" ca="1" si="0"/>
        <v>守护戒指</v>
      </c>
      <c r="B957" s="93" t="s">
        <v>6320</v>
      </c>
      <c r="C957" s="282" t="s">
        <v>6321</v>
      </c>
      <c r="D957" s="282" t="s">
        <v>6322</v>
      </c>
      <c r="E957" s="282"/>
      <c r="F957" s="282" t="s">
        <v>6323</v>
      </c>
      <c r="G957" s="93" t="s">
        <v>6324</v>
      </c>
      <c r="H957" s="282" t="s">
        <v>6325</v>
      </c>
      <c r="I957" s="282"/>
      <c r="J957" s="282" t="s">
        <v>6326</v>
      </c>
    </row>
    <row r="958" spans="1:10" x14ac:dyDescent="0.2">
      <c r="A958" s="93" t="str">
        <f t="shared" ca="1" si="0"/>
        <v>狙击戒指</v>
      </c>
      <c r="B958" s="93" t="s">
        <v>6327</v>
      </c>
      <c r="C958" s="282" t="s">
        <v>6328</v>
      </c>
      <c r="D958" s="282" t="s">
        <v>6329</v>
      </c>
      <c r="E958" s="282"/>
      <c r="F958" s="282" t="s">
        <v>6330</v>
      </c>
      <c r="G958" s="93" t="s">
        <v>6331</v>
      </c>
      <c r="H958" s="282" t="s">
        <v>6332</v>
      </c>
      <c r="I958" s="282"/>
      <c r="J958" s="282" t="s">
        <v>6333</v>
      </c>
    </row>
    <row r="959" spans="1:10" x14ac:dyDescent="0.2">
      <c r="A959" s="93" t="str">
        <f t="shared" ca="1" si="0"/>
        <v>察知戒指</v>
      </c>
      <c r="B959" s="93" t="s">
        <v>6334</v>
      </c>
      <c r="C959" s="282" t="s">
        <v>6335</v>
      </c>
      <c r="D959" s="282" t="s">
        <v>6336</v>
      </c>
      <c r="E959" s="282"/>
      <c r="F959" s="282" t="s">
        <v>6337</v>
      </c>
      <c r="G959" s="93" t="s">
        <v>6338</v>
      </c>
      <c r="H959" s="282" t="s">
        <v>6338</v>
      </c>
      <c r="I959" s="282"/>
      <c r="J959" s="282" t="s">
        <v>6339</v>
      </c>
    </row>
    <row r="960" spans="1:10" x14ac:dyDescent="0.2">
      <c r="A960" s="93" t="str">
        <f t="shared" ca="1" si="0"/>
        <v>灵敏戒指</v>
      </c>
      <c r="B960" s="93" t="s">
        <v>6340</v>
      </c>
      <c r="C960" s="282" t="s">
        <v>6341</v>
      </c>
      <c r="D960" s="282" t="s">
        <v>6342</v>
      </c>
      <c r="E960" s="282"/>
      <c r="F960" s="282" t="s">
        <v>6343</v>
      </c>
      <c r="G960" s="93" t="s">
        <v>6344</v>
      </c>
      <c r="H960" s="282" t="s">
        <v>6345</v>
      </c>
      <c r="I960" s="282"/>
      <c r="J960" s="282" t="s">
        <v>6346</v>
      </c>
    </row>
    <row r="961" spans="1:10" x14ac:dyDescent="0.2">
      <c r="A961" s="93" t="str">
        <f t="shared" ca="1" si="0"/>
        <v>会心戒指</v>
      </c>
      <c r="B961" s="93" t="s">
        <v>6347</v>
      </c>
      <c r="C961" s="282" t="s">
        <v>6348</v>
      </c>
      <c r="D961" s="282" t="s">
        <v>6349</v>
      </c>
      <c r="E961" s="282"/>
      <c r="F961" s="282" t="s">
        <v>6350</v>
      </c>
      <c r="G961" s="93" t="s">
        <v>6351</v>
      </c>
      <c r="H961" s="282" t="s">
        <v>6352</v>
      </c>
      <c r="I961" s="282"/>
      <c r="J961" s="282" t="s">
        <v>6353</v>
      </c>
    </row>
    <row r="962" spans="1:10" x14ac:dyDescent="0.2">
      <c r="A962" s="93" t="str">
        <f t="shared" ca="1" si="0"/>
        <v>体力耳环</v>
      </c>
      <c r="B962" s="93" t="s">
        <v>6354</v>
      </c>
      <c r="C962" s="282" t="s">
        <v>6355</v>
      </c>
      <c r="D962" s="282" t="s">
        <v>6356</v>
      </c>
      <c r="E962" s="282"/>
      <c r="F962" s="282" t="s">
        <v>6357</v>
      </c>
      <c r="G962" s="93" t="s">
        <v>6358</v>
      </c>
      <c r="H962" s="282" t="s">
        <v>6359</v>
      </c>
      <c r="I962" s="282"/>
      <c r="J962" s="282" t="s">
        <v>6360</v>
      </c>
    </row>
    <row r="963" spans="1:10" x14ac:dyDescent="0.2">
      <c r="A963" s="93" t="str">
        <f t="shared" ca="1" si="0"/>
        <v>精神耳环</v>
      </c>
      <c r="B963" s="93" t="s">
        <v>6361</v>
      </c>
      <c r="C963" s="282" t="s">
        <v>6362</v>
      </c>
      <c r="D963" s="282" t="s">
        <v>6363</v>
      </c>
      <c r="E963" s="282"/>
      <c r="F963" s="282" t="s">
        <v>6364</v>
      </c>
      <c r="G963" s="93" t="s">
        <v>6365</v>
      </c>
      <c r="H963" s="282" t="s">
        <v>6366</v>
      </c>
      <c r="I963" s="282"/>
      <c r="J963" s="282" t="s">
        <v>6367</v>
      </c>
    </row>
    <row r="964" spans="1:10" x14ac:dyDescent="0.2">
      <c r="A964" s="93" t="str">
        <f t="shared" ca="1" si="0"/>
        <v>守护耳环</v>
      </c>
      <c r="B964" s="93" t="s">
        <v>6368</v>
      </c>
      <c r="C964" s="282" t="s">
        <v>6369</v>
      </c>
      <c r="D964" s="282" t="s">
        <v>6370</v>
      </c>
      <c r="E964" s="282"/>
      <c r="F964" s="348" t="s">
        <v>6371</v>
      </c>
      <c r="G964" s="93" t="s">
        <v>6372</v>
      </c>
      <c r="H964" s="282" t="s">
        <v>6373</v>
      </c>
      <c r="I964" s="282"/>
      <c r="J964" s="282" t="s">
        <v>6374</v>
      </c>
    </row>
    <row r="965" spans="1:10" x14ac:dyDescent="0.2">
      <c r="A965" s="93" t="str">
        <f t="shared" ca="1" si="0"/>
        <v>狙击耳环</v>
      </c>
      <c r="B965" s="93" t="s">
        <v>6375</v>
      </c>
      <c r="C965" s="282" t="s">
        <v>6376</v>
      </c>
      <c r="D965" s="282" t="s">
        <v>6377</v>
      </c>
      <c r="E965" s="282"/>
      <c r="F965" s="348" t="s">
        <v>6378</v>
      </c>
      <c r="G965" s="93" t="s">
        <v>6379</v>
      </c>
      <c r="H965" s="282" t="s">
        <v>6380</v>
      </c>
      <c r="I965" s="282"/>
      <c r="J965" s="282" t="s">
        <v>6381</v>
      </c>
    </row>
    <row r="966" spans="1:10" x14ac:dyDescent="0.2">
      <c r="A966" s="93" t="str">
        <f t="shared" ca="1" si="0"/>
        <v>察知耳环</v>
      </c>
      <c r="B966" s="93" t="s">
        <v>6382</v>
      </c>
      <c r="C966" s="282" t="s">
        <v>6383</v>
      </c>
      <c r="D966" s="282" t="s">
        <v>6384</v>
      </c>
      <c r="E966" s="282"/>
      <c r="F966" s="348" t="s">
        <v>6385</v>
      </c>
      <c r="G966" s="93" t="s">
        <v>6386</v>
      </c>
      <c r="H966" s="282" t="s">
        <v>6387</v>
      </c>
      <c r="I966" s="282"/>
      <c r="J966" s="282" t="s">
        <v>6388</v>
      </c>
    </row>
    <row r="967" spans="1:10" x14ac:dyDescent="0.2">
      <c r="A967" s="93" t="str">
        <f t="shared" ca="1" si="0"/>
        <v>灵敏耳环</v>
      </c>
      <c r="B967" s="93" t="s">
        <v>6389</v>
      </c>
      <c r="C967" s="282" t="s">
        <v>6390</v>
      </c>
      <c r="D967" s="282" t="s">
        <v>6391</v>
      </c>
      <c r="E967" s="282"/>
      <c r="F967" s="348" t="s">
        <v>6392</v>
      </c>
      <c r="G967" s="93" t="s">
        <v>6393</v>
      </c>
      <c r="H967" s="282" t="s">
        <v>6394</v>
      </c>
      <c r="I967" s="282"/>
      <c r="J967" s="282" t="s">
        <v>6395</v>
      </c>
    </row>
    <row r="968" spans="1:10" x14ac:dyDescent="0.2">
      <c r="A968" s="93" t="str">
        <f t="shared" ca="1" si="0"/>
        <v>会心耳环</v>
      </c>
      <c r="B968" s="93" t="s">
        <v>6396</v>
      </c>
      <c r="C968" s="282" t="s">
        <v>6397</v>
      </c>
      <c r="D968" s="282" t="s">
        <v>6398</v>
      </c>
      <c r="E968" s="282"/>
      <c r="F968" s="348" t="s">
        <v>6399</v>
      </c>
      <c r="G968" s="93" t="s">
        <v>6400</v>
      </c>
      <c r="H968" s="282" t="s">
        <v>6401</v>
      </c>
      <c r="I968" s="282"/>
      <c r="J968" s="282" t="s">
        <v>6402</v>
      </c>
    </row>
    <row r="969" spans="1:10" x14ac:dyDescent="0.2">
      <c r="A969" s="93" t="str">
        <f t="shared" ca="1" si="0"/>
        <v>纺织者的护身符</v>
      </c>
      <c r="B969" s="93" t="s">
        <v>6403</v>
      </c>
      <c r="C969" s="282"/>
      <c r="D969" s="282" t="s">
        <v>6404</v>
      </c>
      <c r="E969" s="282"/>
      <c r="F969" s="282" t="s">
        <v>6405</v>
      </c>
      <c r="G969" s="93" t="s">
        <v>6406</v>
      </c>
      <c r="H969" s="282" t="s">
        <v>6407</v>
      </c>
      <c r="I969" s="282"/>
      <c r="J969" s="282" t="s">
        <v>6408</v>
      </c>
    </row>
    <row r="970" spans="1:10" x14ac:dyDescent="0.2">
      <c r="A970" s="93" t="str">
        <f t="shared" ca="1" si="0"/>
        <v>爱妻家的护身符</v>
      </c>
      <c r="B970" s="93" t="s">
        <v>6409</v>
      </c>
      <c r="C970" s="282"/>
      <c r="D970" s="282" t="s">
        <v>6410</v>
      </c>
      <c r="E970" s="282"/>
      <c r="F970" s="282" t="s">
        <v>6411</v>
      </c>
      <c r="G970" s="93" t="s">
        <v>6412</v>
      </c>
      <c r="H970" s="282" t="s">
        <v>6413</v>
      </c>
      <c r="I970" s="282"/>
      <c r="J970" s="282" t="s">
        <v>6414</v>
      </c>
    </row>
    <row r="971" spans="1:10" x14ac:dyDescent="0.2">
      <c r="A971" s="93" t="str">
        <f t="shared" ca="1" si="0"/>
        <v>美食家的护身符</v>
      </c>
      <c r="B971" s="93" t="s">
        <v>6415</v>
      </c>
      <c r="C971" s="282"/>
      <c r="D971" s="282" t="s">
        <v>6416</v>
      </c>
      <c r="E971" s="282"/>
      <c r="F971" s="282" t="s">
        <v>6417</v>
      </c>
      <c r="G971" s="93" t="s">
        <v>6418</v>
      </c>
      <c r="H971" s="282" t="s">
        <v>6419</v>
      </c>
      <c r="I971" s="282"/>
      <c r="J971" s="282" t="s">
        <v>6420</v>
      </c>
    </row>
    <row r="972" spans="1:10" x14ac:dyDescent="0.2">
      <c r="A972" s="93" t="str">
        <f t="shared" ca="1" si="0"/>
        <v>火焰避邪符</v>
      </c>
      <c r="B972" s="93" t="s">
        <v>6421</v>
      </c>
      <c r="C972" s="282"/>
      <c r="D972" s="282" t="s">
        <v>6422</v>
      </c>
      <c r="E972" s="282"/>
      <c r="F972" s="282" t="s">
        <v>6423</v>
      </c>
      <c r="G972" s="93" t="s">
        <v>6424</v>
      </c>
      <c r="H972" s="282" t="s">
        <v>6424</v>
      </c>
      <c r="I972" s="282"/>
      <c r="J972" s="282" t="s">
        <v>6425</v>
      </c>
    </row>
    <row r="973" spans="1:10" x14ac:dyDescent="0.2">
      <c r="A973" s="93" t="str">
        <f t="shared" ca="1" si="0"/>
        <v>冰冻避邪符</v>
      </c>
      <c r="B973" s="93" t="s">
        <v>6426</v>
      </c>
      <c r="C973" s="282"/>
      <c r="D973" s="282" t="s">
        <v>6427</v>
      </c>
      <c r="E973" s="282"/>
      <c r="F973" s="282" t="s">
        <v>6428</v>
      </c>
      <c r="G973" s="93" t="s">
        <v>6429</v>
      </c>
      <c r="H973" s="282" t="s">
        <v>6430</v>
      </c>
      <c r="I973" s="282"/>
      <c r="J973" s="282" t="s">
        <v>6431</v>
      </c>
    </row>
    <row r="974" spans="1:10" x14ac:dyDescent="0.2">
      <c r="A974" s="93" t="str">
        <f t="shared" ca="1" si="0"/>
        <v>龙卷风避邪符</v>
      </c>
      <c r="B974" s="93" t="s">
        <v>6432</v>
      </c>
      <c r="C974" s="282"/>
      <c r="D974" s="282" t="s">
        <v>6433</v>
      </c>
      <c r="E974" s="282"/>
      <c r="F974" s="282" t="s">
        <v>6434</v>
      </c>
      <c r="G974" s="93" t="s">
        <v>6435</v>
      </c>
      <c r="H974" s="282" t="s">
        <v>6436</v>
      </c>
      <c r="I974" s="282"/>
      <c r="J974" s="282" t="s">
        <v>6437</v>
      </c>
    </row>
    <row r="975" spans="1:10" x14ac:dyDescent="0.2">
      <c r="A975" s="93" t="str">
        <f t="shared" ca="1" si="0"/>
        <v>雷电避邪符</v>
      </c>
      <c r="B975" s="93" t="s">
        <v>6438</v>
      </c>
      <c r="C975" s="282"/>
      <c r="D975" s="282" t="s">
        <v>6439</v>
      </c>
      <c r="E975" s="282"/>
      <c r="F975" s="282" t="s">
        <v>6440</v>
      </c>
      <c r="G975" s="93" t="s">
        <v>6441</v>
      </c>
      <c r="H975" s="282" t="s">
        <v>6442</v>
      </c>
      <c r="I975" s="282"/>
      <c r="J975" s="282" t="s">
        <v>6443</v>
      </c>
    </row>
    <row r="976" spans="1:10" x14ac:dyDescent="0.2">
      <c r="A976" s="93" t="str">
        <f t="shared" ca="1" si="0"/>
        <v>霄暗避邪符</v>
      </c>
      <c r="B976" s="93" t="s">
        <v>6444</v>
      </c>
      <c r="C976" s="282"/>
      <c r="D976" s="282" t="s">
        <v>6445</v>
      </c>
      <c r="E976" s="282"/>
      <c r="F976" s="282" t="s">
        <v>6446</v>
      </c>
      <c r="G976" s="93" t="s">
        <v>6447</v>
      </c>
      <c r="H976" s="282" t="s">
        <v>6448</v>
      </c>
      <c r="I976" s="282"/>
      <c r="J976" s="282" t="s">
        <v>6449</v>
      </c>
    </row>
    <row r="977" spans="1:10" x14ac:dyDescent="0.2">
      <c r="A977" s="93" t="str">
        <f t="shared" ca="1" si="0"/>
        <v>闪光避邪符</v>
      </c>
      <c r="B977" s="93" t="s">
        <v>6450</v>
      </c>
      <c r="C977" s="282"/>
      <c r="D977" s="282" t="s">
        <v>6451</v>
      </c>
      <c r="E977" s="282"/>
      <c r="F977" s="282" t="s">
        <v>6452</v>
      </c>
      <c r="G977" s="93" t="s">
        <v>6453</v>
      </c>
      <c r="H977" s="282" t="s">
        <v>6454</v>
      </c>
      <c r="I977" s="282"/>
      <c r="J977" s="282" t="s">
        <v>6455</v>
      </c>
    </row>
    <row r="978" spans="1:10" x14ac:dyDescent="0.2">
      <c r="A978" s="93" t="str">
        <f t="shared" ca="1" si="0"/>
        <v>火之避邪符</v>
      </c>
      <c r="B978" s="93" t="s">
        <v>6456</v>
      </c>
      <c r="C978" s="282" t="s">
        <v>6457</v>
      </c>
      <c r="D978" s="282" t="s">
        <v>6458</v>
      </c>
      <c r="E978" s="282"/>
      <c r="F978" s="282" t="s">
        <v>6459</v>
      </c>
      <c r="G978" s="93" t="s">
        <v>6460</v>
      </c>
      <c r="H978" s="282" t="s">
        <v>6460</v>
      </c>
      <c r="I978" s="282"/>
      <c r="J978" s="282" t="s">
        <v>6461</v>
      </c>
    </row>
    <row r="979" spans="1:10" x14ac:dyDescent="0.2">
      <c r="A979" s="93" t="str">
        <f t="shared" ca="1" si="0"/>
        <v>冰之避邪符</v>
      </c>
      <c r="B979" s="93" t="s">
        <v>6462</v>
      </c>
      <c r="C979" s="282" t="s">
        <v>6463</v>
      </c>
      <c r="D979" s="282" t="s">
        <v>6464</v>
      </c>
      <c r="E979" s="282"/>
      <c r="F979" s="282" t="s">
        <v>6465</v>
      </c>
      <c r="G979" s="93" t="s">
        <v>6466</v>
      </c>
      <c r="H979" s="282" t="s">
        <v>6466</v>
      </c>
      <c r="I979" s="282"/>
      <c r="J979" s="282" t="s">
        <v>6467</v>
      </c>
    </row>
    <row r="980" spans="1:10" x14ac:dyDescent="0.2">
      <c r="A980" s="93" t="str">
        <f t="shared" ca="1" si="0"/>
        <v>风之避邪符</v>
      </c>
      <c r="B980" s="93" t="s">
        <v>6468</v>
      </c>
      <c r="C980" s="282" t="s">
        <v>6469</v>
      </c>
      <c r="D980" s="282" t="s">
        <v>6470</v>
      </c>
      <c r="E980" s="282"/>
      <c r="F980" s="282" t="s">
        <v>6471</v>
      </c>
      <c r="G980" s="93" t="s">
        <v>6472</v>
      </c>
      <c r="H980" s="282" t="s">
        <v>6473</v>
      </c>
      <c r="I980" s="282"/>
      <c r="J980" s="282" t="s">
        <v>6474</v>
      </c>
    </row>
    <row r="981" spans="1:10" x14ac:dyDescent="0.2">
      <c r="A981" s="93" t="str">
        <f t="shared" ca="1" si="0"/>
        <v>雷之避邪符</v>
      </c>
      <c r="B981" s="93" t="s">
        <v>6475</v>
      </c>
      <c r="C981" s="282" t="s">
        <v>6476</v>
      </c>
      <c r="D981" s="282" t="s">
        <v>6477</v>
      </c>
      <c r="E981" s="282"/>
      <c r="F981" s="282" t="s">
        <v>6478</v>
      </c>
      <c r="G981" s="93" t="s">
        <v>6479</v>
      </c>
      <c r="H981" s="282" t="s">
        <v>6479</v>
      </c>
      <c r="I981" s="282"/>
      <c r="J981" s="282" t="s">
        <v>6480</v>
      </c>
    </row>
    <row r="982" spans="1:10" x14ac:dyDescent="0.2">
      <c r="A982" s="93" t="str">
        <f t="shared" ca="1" si="0"/>
        <v>暗之避邪符</v>
      </c>
      <c r="B982" s="93" t="s">
        <v>6481</v>
      </c>
      <c r="C982" s="282" t="s">
        <v>6482</v>
      </c>
      <c r="D982" s="282" t="s">
        <v>6483</v>
      </c>
      <c r="E982" s="282"/>
      <c r="F982" s="282" t="s">
        <v>6484</v>
      </c>
      <c r="G982" s="93" t="s">
        <v>6485</v>
      </c>
      <c r="H982" s="282" t="s">
        <v>6486</v>
      </c>
      <c r="I982" s="282"/>
      <c r="J982" s="282" t="s">
        <v>6487</v>
      </c>
    </row>
    <row r="983" spans="1:10" x14ac:dyDescent="0.2">
      <c r="A983" s="93" t="str">
        <f t="shared" ca="1" si="0"/>
        <v>光之避邪符</v>
      </c>
      <c r="B983" s="93" t="s">
        <v>6488</v>
      </c>
      <c r="C983" s="282" t="s">
        <v>6489</v>
      </c>
      <c r="D983" s="282" t="s">
        <v>6490</v>
      </c>
      <c r="E983" s="282"/>
      <c r="F983" s="282" t="s">
        <v>6491</v>
      </c>
      <c r="G983" s="93" t="s">
        <v>6492</v>
      </c>
      <c r="H983" s="282" t="s">
        <v>6492</v>
      </c>
      <c r="I983" s="282"/>
      <c r="J983" s="282" t="s">
        <v>6493</v>
      </c>
    </row>
    <row r="984" spans="1:10" x14ac:dyDescent="0.2">
      <c r="A984" s="93" t="str">
        <f t="shared" ca="1" si="0"/>
        <v>猛毒耐性石</v>
      </c>
      <c r="B984" s="93" t="s">
        <v>6494</v>
      </c>
      <c r="C984" s="282"/>
      <c r="D984" s="282" t="s">
        <v>6495</v>
      </c>
      <c r="E984" s="282"/>
      <c r="F984" s="282" t="s">
        <v>6496</v>
      </c>
      <c r="G984" s="93" t="s">
        <v>6497</v>
      </c>
      <c r="H984" s="282" t="s">
        <v>6497</v>
      </c>
      <c r="I984" s="282"/>
      <c r="J984" s="282" t="s">
        <v>6498</v>
      </c>
    </row>
    <row r="985" spans="1:10" x14ac:dyDescent="0.2">
      <c r="A985" s="93" t="str">
        <f t="shared" ca="1" si="0"/>
        <v>睡眠耐性石</v>
      </c>
      <c r="B985" s="93" t="s">
        <v>6499</v>
      </c>
      <c r="C985" s="282" t="s">
        <v>6500</v>
      </c>
      <c r="D985" s="282" t="s">
        <v>6501</v>
      </c>
      <c r="E985" s="282"/>
      <c r="F985" s="348" t="s">
        <v>6502</v>
      </c>
      <c r="G985" s="93" t="s">
        <v>6503</v>
      </c>
      <c r="H985" s="282" t="s">
        <v>6503</v>
      </c>
      <c r="I985" s="282"/>
      <c r="J985" s="282" t="s">
        <v>6504</v>
      </c>
    </row>
    <row r="986" spans="1:10" x14ac:dyDescent="0.2">
      <c r="A986" s="93" t="str">
        <f t="shared" ca="1" si="0"/>
        <v>沉默耐性石</v>
      </c>
      <c r="B986" s="93" t="s">
        <v>6505</v>
      </c>
      <c r="C986" s="282" t="s">
        <v>6506</v>
      </c>
      <c r="D986" s="282" t="s">
        <v>6507</v>
      </c>
      <c r="E986" s="282"/>
      <c r="F986" s="348" t="s">
        <v>6508</v>
      </c>
      <c r="G986" s="93" t="s">
        <v>6509</v>
      </c>
      <c r="H986" s="282" t="s">
        <v>6509</v>
      </c>
      <c r="I986" s="282"/>
      <c r="J986" s="282" t="s">
        <v>6510</v>
      </c>
    </row>
    <row r="987" spans="1:10" x14ac:dyDescent="0.2">
      <c r="A987" s="93" t="str">
        <f t="shared" ca="1" si="0"/>
        <v>暗暗耐性石</v>
      </c>
      <c r="B987" s="93" t="s">
        <v>6511</v>
      </c>
      <c r="C987" s="282"/>
      <c r="D987" s="282" t="s">
        <v>6512</v>
      </c>
      <c r="E987" s="282"/>
      <c r="F987" s="348" t="s">
        <v>6513</v>
      </c>
      <c r="G987" s="93" t="s">
        <v>6514</v>
      </c>
      <c r="H987" s="282" t="s">
        <v>6515</v>
      </c>
      <c r="I987" s="282"/>
      <c r="J987" s="282" t="s">
        <v>6516</v>
      </c>
    </row>
    <row r="988" spans="1:10" x14ac:dyDescent="0.2">
      <c r="A988" s="93" t="str">
        <f t="shared" ca="1" si="0"/>
        <v>恐怖耐性石</v>
      </c>
      <c r="B988" s="93" t="s">
        <v>6517</v>
      </c>
      <c r="C988" s="282"/>
      <c r="D988" s="282" t="s">
        <v>6518</v>
      </c>
      <c r="E988" s="282"/>
      <c r="F988" s="348" t="s">
        <v>6519</v>
      </c>
      <c r="G988" s="93" t="s">
        <v>6520</v>
      </c>
      <c r="H988" s="282" t="s">
        <v>6520</v>
      </c>
      <c r="I988" s="282"/>
      <c r="J988" s="282" t="s">
        <v>6521</v>
      </c>
    </row>
    <row r="989" spans="1:10" x14ac:dyDescent="0.2">
      <c r="A989" s="93" t="str">
        <f t="shared" ca="1" si="0"/>
        <v>混乱耐性石</v>
      </c>
      <c r="B989" s="93" t="s">
        <v>6522</v>
      </c>
      <c r="C989" s="282"/>
      <c r="D989" s="282" t="s">
        <v>6523</v>
      </c>
      <c r="E989" s="282"/>
      <c r="F989" s="348" t="s">
        <v>6524</v>
      </c>
      <c r="G989" s="93" t="s">
        <v>6525</v>
      </c>
      <c r="H989" s="282" t="s">
        <v>6526</v>
      </c>
      <c r="I989" s="282"/>
      <c r="J989" s="282" t="s">
        <v>6527</v>
      </c>
    </row>
    <row r="990" spans="1:10" x14ac:dyDescent="0.2">
      <c r="A990" s="93" t="str">
        <f t="shared" ca="1" si="0"/>
        <v>昏迷耐性石</v>
      </c>
      <c r="B990" s="93" t="s">
        <v>6528</v>
      </c>
      <c r="C990" s="282"/>
      <c r="D990" s="282" t="s">
        <v>6529</v>
      </c>
      <c r="E990" s="282"/>
      <c r="F990" s="348" t="s">
        <v>6530</v>
      </c>
      <c r="G990" s="93" t="s">
        <v>6531</v>
      </c>
      <c r="H990" s="282" t="s">
        <v>6531</v>
      </c>
      <c r="I990" s="282"/>
      <c r="J990" s="282" t="s">
        <v>6532</v>
      </c>
    </row>
    <row r="991" spans="1:10" x14ac:dyDescent="0.2">
      <c r="A991" s="93" t="str">
        <f t="shared" ca="1" si="0"/>
        <v>即死耐性石</v>
      </c>
      <c r="B991" s="93" t="s">
        <v>6533</v>
      </c>
      <c r="C991" s="282"/>
      <c r="D991" s="282" t="s">
        <v>6534</v>
      </c>
      <c r="E991" s="282"/>
      <c r="F991" s="348" t="s">
        <v>6535</v>
      </c>
      <c r="G991" s="93" t="s">
        <v>6536</v>
      </c>
      <c r="H991" s="282" t="s">
        <v>6536</v>
      </c>
      <c r="I991" s="282"/>
      <c r="J991" s="282" t="s">
        <v>6537</v>
      </c>
    </row>
    <row r="992" spans="1:10" x14ac:dyDescent="0.2">
      <c r="A992" s="93" t="str">
        <f t="shared" ca="1" si="0"/>
        <v>药的素材</v>
      </c>
      <c r="B992" s="93" t="s">
        <v>6538</v>
      </c>
      <c r="C992" s="282" t="s">
        <v>6539</v>
      </c>
      <c r="D992" s="282" t="s">
        <v>6540</v>
      </c>
      <c r="E992" s="282"/>
      <c r="F992" s="282" t="s">
        <v>6541</v>
      </c>
      <c r="G992" s="93" t="s">
        <v>6542</v>
      </c>
      <c r="H992" s="282" t="s">
        <v>6543</v>
      </c>
      <c r="I992" s="282"/>
      <c r="J992" s="282" t="s">
        <v>6544</v>
      </c>
    </row>
    <row r="993" spans="1:10" x14ac:dyDescent="0.2">
      <c r="A993" s="93" t="str">
        <f t="shared" ca="1" si="0"/>
        <v>药的素材（扩散）</v>
      </c>
      <c r="B993" s="93" t="s">
        <v>6545</v>
      </c>
      <c r="C993" s="282" t="s">
        <v>6546</v>
      </c>
      <c r="D993" s="282" t="s">
        <v>6547</v>
      </c>
      <c r="E993" s="282"/>
      <c r="F993" s="282" t="s">
        <v>6548</v>
      </c>
      <c r="G993" s="93" t="s">
        <v>6549</v>
      </c>
      <c r="H993" s="282" t="s">
        <v>6550</v>
      </c>
      <c r="I993" s="282"/>
      <c r="J993" s="282" t="s">
        <v>6551</v>
      </c>
    </row>
    <row r="994" spans="1:10" x14ac:dyDescent="0.2">
      <c r="A994" s="93" t="str">
        <f t="shared" ca="1" si="0"/>
        <v>秘药的素材</v>
      </c>
      <c r="B994" s="93" t="s">
        <v>6552</v>
      </c>
      <c r="C994" s="282" t="s">
        <v>6553</v>
      </c>
      <c r="D994" s="282" t="s">
        <v>6554</v>
      </c>
      <c r="E994" s="282"/>
      <c r="F994" s="348" t="s">
        <v>6555</v>
      </c>
      <c r="G994" s="93" t="s">
        <v>6556</v>
      </c>
      <c r="H994" s="282" t="s">
        <v>6557</v>
      </c>
      <c r="I994" s="282"/>
      <c r="J994" s="282" t="s">
        <v>6558</v>
      </c>
    </row>
    <row r="995" spans="1:10" x14ac:dyDescent="0.2">
      <c r="A995" s="93" t="str">
        <f t="shared" ca="1" si="0"/>
        <v>秘药的素材（扩散）</v>
      </c>
      <c r="B995" s="93" t="s">
        <v>6559</v>
      </c>
      <c r="C995" s="282" t="s">
        <v>6560</v>
      </c>
      <c r="D995" s="282" t="s">
        <v>6561</v>
      </c>
      <c r="E995" s="282"/>
      <c r="F995" s="348" t="s">
        <v>6562</v>
      </c>
      <c r="G995" s="93" t="s">
        <v>6563</v>
      </c>
      <c r="H995" s="282" t="s">
        <v>6564</v>
      </c>
      <c r="I995" s="282"/>
      <c r="J995" s="282" t="s">
        <v>6565</v>
      </c>
    </row>
    <row r="996" spans="1:10" x14ac:dyDescent="0.2">
      <c r="A996" s="93" t="str">
        <f t="shared" ca="1" si="0"/>
        <v>含毒的素材</v>
      </c>
      <c r="B996" s="93" t="s">
        <v>6566</v>
      </c>
      <c r="C996" s="282" t="s">
        <v>6567</v>
      </c>
      <c r="D996" s="282" t="s">
        <v>6568</v>
      </c>
      <c r="E996" s="282"/>
      <c r="F996" s="348" t="s">
        <v>6569</v>
      </c>
      <c r="G996" s="93" t="s">
        <v>6570</v>
      </c>
      <c r="H996" s="282" t="s">
        <v>6570</v>
      </c>
      <c r="I996" s="282"/>
      <c r="J996" s="282" t="s">
        <v>6571</v>
      </c>
    </row>
    <row r="997" spans="1:10" x14ac:dyDescent="0.2">
      <c r="A997" s="93" t="str">
        <f t="shared" ca="1" si="0"/>
        <v>含毒的素材（扩散）</v>
      </c>
      <c r="B997" s="93" t="s">
        <v>6572</v>
      </c>
      <c r="C997" s="282" t="s">
        <v>6573</v>
      </c>
      <c r="D997" s="282" t="s">
        <v>6574</v>
      </c>
      <c r="E997" s="282"/>
      <c r="F997" s="348" t="s">
        <v>6575</v>
      </c>
      <c r="G997" s="93" t="s">
        <v>6576</v>
      </c>
      <c r="H997" s="282" t="s">
        <v>6577</v>
      </c>
      <c r="I997" s="282"/>
      <c r="J997" s="282" t="s">
        <v>6578</v>
      </c>
    </row>
    <row r="998" spans="1:10" x14ac:dyDescent="0.2">
      <c r="A998" s="93" t="str">
        <f t="shared" ca="1" si="0"/>
        <v>超含毒的素材</v>
      </c>
      <c r="B998" s="93" t="s">
        <v>6579</v>
      </c>
      <c r="C998" s="282" t="s">
        <v>6580</v>
      </c>
      <c r="D998" s="282" t="s">
        <v>6581</v>
      </c>
      <c r="E998" s="282"/>
      <c r="F998" s="348" t="s">
        <v>6582</v>
      </c>
      <c r="G998" s="93" t="s">
        <v>6583</v>
      </c>
      <c r="H998" s="282" t="s">
        <v>6583</v>
      </c>
      <c r="I998" s="282"/>
      <c r="J998" s="282" t="s">
        <v>6584</v>
      </c>
    </row>
    <row r="999" spans="1:10" x14ac:dyDescent="0.2">
      <c r="A999" s="93" t="str">
        <f t="shared" ca="1" si="0"/>
        <v>超含毒的素材（扩散）</v>
      </c>
      <c r="B999" s="93" t="s">
        <v>6585</v>
      </c>
      <c r="C999" s="282" t="s">
        <v>6586</v>
      </c>
      <c r="D999" s="282" t="s">
        <v>6587</v>
      </c>
      <c r="E999" s="282"/>
      <c r="F999" s="348" t="s">
        <v>6588</v>
      </c>
      <c r="G999" s="93" t="s">
        <v>6589</v>
      </c>
      <c r="H999" s="282" t="s">
        <v>6590</v>
      </c>
      <c r="I999" s="282"/>
      <c r="J999" s="282" t="s">
        <v>6591</v>
      </c>
    </row>
    <row r="1000" spans="1:10" x14ac:dyDescent="0.2">
      <c r="A1000" s="93" t="str">
        <f t="shared" ca="1" si="0"/>
        <v>毒利米树之叶</v>
      </c>
      <c r="B1000" s="93" t="s">
        <v>6592</v>
      </c>
      <c r="C1000" s="282" t="s">
        <v>6593</v>
      </c>
      <c r="D1000" s="282" t="s">
        <v>6594</v>
      </c>
      <c r="E1000" s="282"/>
      <c r="F1000" s="282" t="s">
        <v>6595</v>
      </c>
      <c r="G1000" s="93" t="s">
        <v>6596</v>
      </c>
      <c r="H1000" s="282" t="s">
        <v>6597</v>
      </c>
      <c r="I1000" s="282"/>
      <c r="J1000" s="282" t="s">
        <v>6598</v>
      </c>
    </row>
    <row r="1001" spans="1:10" x14ac:dyDescent="0.2">
      <c r="A1001" s="93" t="str">
        <f t="shared" ca="1" si="0"/>
        <v>睡眠花之叶</v>
      </c>
      <c r="B1001" s="93" t="s">
        <v>6599</v>
      </c>
      <c r="C1001" s="282" t="s">
        <v>6600</v>
      </c>
      <c r="D1001" s="282" t="s">
        <v>6601</v>
      </c>
      <c r="E1001" s="282"/>
      <c r="F1001" s="282" t="s">
        <v>6602</v>
      </c>
      <c r="G1001" s="93" t="s">
        <v>6603</v>
      </c>
      <c r="H1001" s="282" t="s">
        <v>6604</v>
      </c>
      <c r="I1001" s="282"/>
      <c r="J1001" s="282" t="s">
        <v>6605</v>
      </c>
    </row>
    <row r="1002" spans="1:10" x14ac:dyDescent="0.2">
      <c r="A1002" s="93" t="str">
        <f t="shared" ca="1" si="0"/>
        <v>混乱多之叶</v>
      </c>
      <c r="B1002" s="93" t="s">
        <v>6606</v>
      </c>
      <c r="C1002" s="282" t="s">
        <v>6607</v>
      </c>
      <c r="D1002" s="282" t="s">
        <v>6608</v>
      </c>
      <c r="E1002" s="282"/>
      <c r="F1002" s="282" t="s">
        <v>6609</v>
      </c>
      <c r="G1002" s="93" t="s">
        <v>6610</v>
      </c>
      <c r="H1002" s="282" t="s">
        <v>6611</v>
      </c>
      <c r="I1002" s="282"/>
      <c r="J1002" s="282" t="s">
        <v>6612</v>
      </c>
    </row>
    <row r="1003" spans="1:10" x14ac:dyDescent="0.2">
      <c r="A1003" s="93" t="str">
        <f t="shared" ca="1" si="0"/>
        <v>葡萄树液</v>
      </c>
      <c r="B1003" s="93" t="s">
        <v>6613</v>
      </c>
      <c r="C1003" s="282" t="s">
        <v>6614</v>
      </c>
      <c r="D1003" s="282" t="s">
        <v>6615</v>
      </c>
      <c r="E1003" s="282"/>
      <c r="F1003" s="282" t="s">
        <v>6616</v>
      </c>
      <c r="G1003" s="93" t="s">
        <v>6617</v>
      </c>
      <c r="H1003" s="282" t="s">
        <v>6618</v>
      </c>
      <c r="I1003" s="282"/>
      <c r="J1003" s="282" t="s">
        <v>6619</v>
      </c>
    </row>
    <row r="1004" spans="1:10" x14ac:dyDescent="0.2">
      <c r="A1004" s="93" t="str">
        <f t="shared" ca="1" si="0"/>
        <v>李子树液</v>
      </c>
      <c r="B1004" s="93" t="s">
        <v>6620</v>
      </c>
      <c r="C1004" s="282" t="s">
        <v>6621</v>
      </c>
      <c r="D1004" s="282" t="s">
        <v>6622</v>
      </c>
      <c r="E1004" s="282"/>
      <c r="F1004" s="282" t="s">
        <v>6623</v>
      </c>
      <c r="G1004" s="93" t="s">
        <v>6624</v>
      </c>
      <c r="H1004" s="282" t="s">
        <v>6625</v>
      </c>
      <c r="I1004" s="282"/>
      <c r="J1004" s="282" t="s">
        <v>6626</v>
      </c>
    </row>
    <row r="1005" spans="1:10" x14ac:dyDescent="0.2">
      <c r="A1005" s="93" t="str">
        <f t="shared" ca="1" si="0"/>
        <v>石榴树液</v>
      </c>
      <c r="B1005" s="93" t="s">
        <v>6627</v>
      </c>
      <c r="C1005" s="282" t="s">
        <v>6628</v>
      </c>
      <c r="D1005" s="282" t="s">
        <v>6629</v>
      </c>
      <c r="E1005" s="282"/>
      <c r="F1005" s="282" t="s">
        <v>6630</v>
      </c>
      <c r="G1005" s="93" t="s">
        <v>6631</v>
      </c>
      <c r="H1005" s="282" t="s">
        <v>6632</v>
      </c>
      <c r="I1005" s="282"/>
      <c r="J1005" s="282" t="s">
        <v>6633</v>
      </c>
    </row>
    <row r="1006" spans="1:10" x14ac:dyDescent="0.2">
      <c r="A1006" s="93" t="str">
        <f t="shared" ca="1" si="0"/>
        <v>橄榄花</v>
      </c>
      <c r="B1006" s="93" t="s">
        <v>6634</v>
      </c>
      <c r="C1006" s="282" t="s">
        <v>6635</v>
      </c>
      <c r="D1006" s="282" t="s">
        <v>6636</v>
      </c>
      <c r="E1006" s="282"/>
      <c r="F1006" s="282" t="s">
        <v>6637</v>
      </c>
      <c r="G1006" s="93" t="s">
        <v>6638</v>
      </c>
      <c r="H1006" s="282" t="s">
        <v>6639</v>
      </c>
      <c r="I1006" s="282"/>
      <c r="J1006" s="282" t="s">
        <v>6640</v>
      </c>
    </row>
    <row r="1007" spans="1:10" x14ac:dyDescent="0.2">
      <c r="A1007" s="93" t="str">
        <f t="shared" ca="1" si="0"/>
        <v>神秘之花</v>
      </c>
      <c r="B1007" s="93" t="s">
        <v>6641</v>
      </c>
      <c r="C1007" s="282"/>
      <c r="D1007" s="282" t="s">
        <v>6642</v>
      </c>
      <c r="E1007" s="282"/>
      <c r="F1007" s="282" t="s">
        <v>6643</v>
      </c>
      <c r="G1007" s="93" t="s">
        <v>6644</v>
      </c>
      <c r="H1007" s="282" t="s">
        <v>6644</v>
      </c>
      <c r="I1007" s="282"/>
      <c r="J1007" s="282" t="s">
        <v>6645</v>
      </c>
    </row>
    <row r="1008" spans="1:10" x14ac:dyDescent="0.2">
      <c r="A1008" s="344" t="str">
        <f t="shared" ca="1" si="0"/>
        <v>贵重物品</v>
      </c>
      <c r="B1008" s="344" t="s">
        <v>6646</v>
      </c>
      <c r="C1008" s="280" t="s">
        <v>6647</v>
      </c>
      <c r="D1008" s="280" t="s">
        <v>6648</v>
      </c>
      <c r="E1008" s="280"/>
      <c r="F1008" s="280"/>
      <c r="G1008" s="344" t="s">
        <v>6649</v>
      </c>
      <c r="H1008" s="280" t="s">
        <v>6650</v>
      </c>
      <c r="I1008" s="280"/>
      <c r="J1008" s="280" t="s">
        <v>6651</v>
      </c>
    </row>
    <row r="1009" spans="1:10" x14ac:dyDescent="0.2">
      <c r="A1009" s="346" t="str">
        <f t="shared" ca="1" si="0"/>
        <v>《边狱之书》的抄本</v>
      </c>
      <c r="B1009" s="346" t="s">
        <v>6652</v>
      </c>
      <c r="C1009" s="243"/>
      <c r="D1009" s="243" t="s">
        <v>6653</v>
      </c>
      <c r="E1009" s="243"/>
      <c r="F1009" s="243" t="s">
        <v>6654</v>
      </c>
      <c r="G1009" s="53" t="s">
        <v>6655</v>
      </c>
      <c r="H1009" s="243" t="s">
        <v>6656</v>
      </c>
      <c r="I1009" s="243"/>
      <c r="J1009" s="243" t="s">
        <v>6657</v>
      </c>
    </row>
    <row r="1010" spans="1:10" x14ac:dyDescent="0.2">
      <c r="A1010" s="346" t="str">
        <f t="shared" ca="1" si="0"/>
        <v>边狱之书</v>
      </c>
      <c r="B1010" s="346" t="s">
        <v>6658</v>
      </c>
      <c r="C1010" s="243"/>
      <c r="D1010" s="243" t="s">
        <v>6659</v>
      </c>
      <c r="E1010" s="243"/>
      <c r="F1010" s="243" t="s">
        <v>6660</v>
      </c>
      <c r="G1010" s="53" t="s">
        <v>6661</v>
      </c>
      <c r="H1010" s="243" t="s">
        <v>6662</v>
      </c>
      <c r="I1010" s="243"/>
      <c r="J1010" s="243" t="s">
        <v>6663</v>
      </c>
    </row>
    <row r="1011" spans="1:10" x14ac:dyDescent="0.2">
      <c r="A1011" s="346" t="str">
        <f t="shared" ca="1" si="0"/>
        <v>师父的飞箭传书</v>
      </c>
      <c r="B1011" s="346" t="s">
        <v>6664</v>
      </c>
      <c r="C1011" s="243"/>
      <c r="D1011" s="243" t="s">
        <v>6665</v>
      </c>
      <c r="E1011" s="243"/>
      <c r="F1011" s="243" t="s">
        <v>6666</v>
      </c>
      <c r="G1011" s="53" t="s">
        <v>6667</v>
      </c>
      <c r="H1011" s="243" t="s">
        <v>6668</v>
      </c>
      <c r="I1011" s="243"/>
      <c r="J1011" s="243" t="s">
        <v>6669</v>
      </c>
    </row>
    <row r="1012" spans="1:10" x14ac:dyDescent="0.2">
      <c r="A1012" s="346" t="str">
        <f t="shared" ca="1" si="0"/>
        <v>芸香</v>
      </c>
      <c r="B1012" s="346" t="s">
        <v>6670</v>
      </c>
      <c r="C1012" s="243"/>
      <c r="D1012" s="243" t="s">
        <v>4256</v>
      </c>
      <c r="E1012" s="243"/>
      <c r="F1012" s="243" t="s">
        <v>4257</v>
      </c>
      <c r="G1012" s="93" t="s">
        <v>6671</v>
      </c>
      <c r="H1012" s="243" t="s">
        <v>6671</v>
      </c>
      <c r="I1012" s="243"/>
      <c r="J1012" s="243"/>
    </row>
    <row r="1013" spans="1:10" x14ac:dyDescent="0.2">
      <c r="A1013" s="346" t="str">
        <f t="shared" ca="1" si="0"/>
        <v>蓝旗鱼</v>
      </c>
      <c r="B1013" s="346" t="s">
        <v>6672</v>
      </c>
      <c r="C1013" s="243" t="s">
        <v>6673</v>
      </c>
      <c r="D1013" s="243" t="s">
        <v>6674</v>
      </c>
      <c r="E1013" s="243"/>
      <c r="F1013" s="243" t="s">
        <v>6675</v>
      </c>
      <c r="G1013" s="53" t="s">
        <v>6676</v>
      </c>
      <c r="H1013" s="243" t="s">
        <v>6677</v>
      </c>
      <c r="I1013" s="243"/>
      <c r="J1013" s="243" t="s">
        <v>6678</v>
      </c>
    </row>
    <row r="1014" spans="1:10" x14ac:dyDescent="0.2">
      <c r="A1014" s="346" t="str">
        <f t="shared" ca="1" si="0"/>
        <v>葡萄酒</v>
      </c>
      <c r="B1014" s="346" t="s">
        <v>6679</v>
      </c>
      <c r="C1014" s="243" t="s">
        <v>6680</v>
      </c>
      <c r="D1014" s="243" t="s">
        <v>6681</v>
      </c>
      <c r="E1014" s="243"/>
      <c r="F1014" s="243" t="s">
        <v>6682</v>
      </c>
      <c r="G1014" s="53" t="s">
        <v>6683</v>
      </c>
      <c r="H1014" s="243" t="s">
        <v>6683</v>
      </c>
      <c r="I1014" s="243"/>
      <c r="J1014" s="243"/>
    </row>
    <row r="1015" spans="1:10" x14ac:dyDescent="0.2">
      <c r="A1015" s="346" t="str">
        <f t="shared" ca="1" si="0"/>
        <v>葡萄酒</v>
      </c>
      <c r="B1015" s="346" t="s">
        <v>6679</v>
      </c>
      <c r="C1015" s="243" t="s">
        <v>6680</v>
      </c>
      <c r="D1015" s="243" t="s">
        <v>6681</v>
      </c>
      <c r="E1015" s="243"/>
      <c r="F1015" s="243" t="s">
        <v>6682</v>
      </c>
      <c r="G1015" s="53" t="s">
        <v>6683</v>
      </c>
      <c r="H1015" s="243" t="s">
        <v>6683</v>
      </c>
      <c r="I1015" s="243"/>
      <c r="J1015" s="243" t="s">
        <v>6684</v>
      </c>
    </row>
    <row r="1016" spans="1:10" x14ac:dyDescent="0.2">
      <c r="A1016" s="346" t="str">
        <f t="shared" ca="1" si="0"/>
        <v>睡眠草</v>
      </c>
      <c r="B1016" s="346" t="s">
        <v>6599</v>
      </c>
      <c r="C1016" s="243" t="s">
        <v>6600</v>
      </c>
      <c r="D1016" s="243" t="s">
        <v>6601</v>
      </c>
      <c r="E1016" s="243"/>
      <c r="F1016" s="243" t="s">
        <v>6602</v>
      </c>
      <c r="G1016" s="93" t="s">
        <v>6685</v>
      </c>
      <c r="H1016" s="243" t="s">
        <v>6685</v>
      </c>
      <c r="I1016" s="243"/>
      <c r="J1016" s="243"/>
    </row>
    <row r="1017" spans="1:10" x14ac:dyDescent="0.2">
      <c r="A1017" s="346" t="str">
        <f t="shared" ca="1" si="0"/>
        <v>无名手记</v>
      </c>
      <c r="B1017" s="346" t="s">
        <v>6686</v>
      </c>
      <c r="C1017" s="243" t="s">
        <v>6687</v>
      </c>
      <c r="D1017" s="243" t="s">
        <v>6688</v>
      </c>
      <c r="E1017" s="243"/>
      <c r="F1017" s="243" t="s">
        <v>6689</v>
      </c>
      <c r="G1017" s="53" t="s">
        <v>6690</v>
      </c>
      <c r="H1017" s="243" t="s">
        <v>6691</v>
      </c>
      <c r="I1017" s="243"/>
      <c r="J1017" s="243"/>
    </row>
    <row r="1018" spans="1:10" x14ac:dyDescent="0.2">
      <c r="A1018" s="346" t="str">
        <f t="shared" ca="1" si="0"/>
        <v>垃圾石 / 碧闪石</v>
      </c>
      <c r="B1018" s="346" t="s">
        <v>6692</v>
      </c>
      <c r="C1018" s="243" t="s">
        <v>6693</v>
      </c>
      <c r="D1018" s="243" t="s">
        <v>6694</v>
      </c>
      <c r="E1018" s="243"/>
      <c r="F1018" s="243" t="s">
        <v>6695</v>
      </c>
      <c r="G1018" s="93" t="s">
        <v>6696</v>
      </c>
      <c r="H1018" s="243" t="s">
        <v>6697</v>
      </c>
      <c r="I1018" s="243"/>
      <c r="J1018" s="243"/>
    </row>
    <row r="1019" spans="1:10" x14ac:dyDescent="0.2">
      <c r="A1019" s="346" t="str">
        <f t="shared" ca="1" si="0"/>
        <v>艾德哈尔特之盾</v>
      </c>
      <c r="B1019" s="346" t="s">
        <v>6698</v>
      </c>
      <c r="C1019" s="243" t="s">
        <v>6699</v>
      </c>
      <c r="D1019" s="243" t="s">
        <v>6700</v>
      </c>
      <c r="E1019" s="243"/>
      <c r="F1019" s="243" t="s">
        <v>6701</v>
      </c>
      <c r="G1019" s="93" t="s">
        <v>6702</v>
      </c>
      <c r="H1019" s="243" t="s">
        <v>6703</v>
      </c>
      <c r="I1019" s="243"/>
      <c r="J1019" s="243"/>
    </row>
    <row r="1020" spans="1:10" x14ac:dyDescent="0.2">
      <c r="A1020" s="346" t="str">
        <f t="shared" ca="1" si="0"/>
        <v>旧地图</v>
      </c>
      <c r="B1020" s="346" t="s">
        <v>6704</v>
      </c>
      <c r="C1020" s="243"/>
      <c r="D1020" s="243" t="s">
        <v>6705</v>
      </c>
      <c r="E1020" s="243"/>
      <c r="F1020" s="243" t="s">
        <v>6706</v>
      </c>
      <c r="G1020" s="53" t="s">
        <v>6707</v>
      </c>
      <c r="H1020" s="243" t="s">
        <v>6708</v>
      </c>
      <c r="I1020" s="243"/>
      <c r="J1020" s="243" t="s">
        <v>6709</v>
      </c>
    </row>
    <row r="1021" spans="1:10" x14ac:dyDescent="0.2">
      <c r="A1021" s="346" t="str">
        <f t="shared" ca="1" si="0"/>
        <v>巴尔塔扎尔的信</v>
      </c>
      <c r="B1021" s="346" t="s">
        <v>6710</v>
      </c>
      <c r="C1021" s="243"/>
      <c r="D1021" s="243" t="s">
        <v>6711</v>
      </c>
      <c r="E1021" s="243"/>
      <c r="F1021" s="243" t="s">
        <v>6712</v>
      </c>
      <c r="G1021" s="93" t="s">
        <v>6713</v>
      </c>
      <c r="H1021" s="243" t="s">
        <v>6714</v>
      </c>
      <c r="I1021" s="243"/>
      <c r="J1021" s="243"/>
    </row>
    <row r="1022" spans="1:10" x14ac:dyDescent="0.2">
      <c r="A1022" s="346" t="str">
        <f t="shared" ca="1" si="0"/>
        <v>艾尔多莱特</v>
      </c>
      <c r="B1022" s="346" t="s">
        <v>6715</v>
      </c>
      <c r="C1022" s="243" t="s">
        <v>6715</v>
      </c>
      <c r="D1022" s="243" t="s">
        <v>6715</v>
      </c>
      <c r="E1022" s="243"/>
      <c r="F1022" s="243" t="s">
        <v>6716</v>
      </c>
      <c r="G1022" s="53" t="s">
        <v>6717</v>
      </c>
      <c r="H1022" s="243" t="s">
        <v>6718</v>
      </c>
      <c r="I1022" s="243"/>
      <c r="J1022" s="243" t="s">
        <v>6719</v>
      </c>
    </row>
    <row r="1023" spans="1:10" x14ac:dyDescent="0.2">
      <c r="A1023" s="346" t="str">
        <f t="shared" ca="1" si="0"/>
        <v>采火灯</v>
      </c>
      <c r="B1023" s="346" t="s">
        <v>6720</v>
      </c>
      <c r="C1023" s="243"/>
      <c r="D1023" s="243" t="s">
        <v>6721</v>
      </c>
      <c r="E1023" s="243"/>
      <c r="F1023" s="243" t="s">
        <v>6722</v>
      </c>
      <c r="G1023" s="53" t="s">
        <v>6723</v>
      </c>
      <c r="H1023" s="243" t="s">
        <v>6724</v>
      </c>
      <c r="I1023" s="243"/>
      <c r="J1023" s="243"/>
    </row>
    <row r="1024" spans="1:10" x14ac:dyDescent="0.2">
      <c r="A1024" s="346" t="str">
        <f t="shared" ca="1" si="0"/>
        <v>信用证明书</v>
      </c>
      <c r="B1024" s="346" t="s">
        <v>6725</v>
      </c>
      <c r="C1024" s="243" t="s">
        <v>6726</v>
      </c>
      <c r="D1024" s="243" t="s">
        <v>6727</v>
      </c>
      <c r="E1024" s="243"/>
      <c r="F1024" s="243" t="s">
        <v>6728</v>
      </c>
      <c r="G1024" s="53" t="s">
        <v>6729</v>
      </c>
      <c r="H1024" s="243" t="s">
        <v>6730</v>
      </c>
      <c r="I1024" s="243"/>
      <c r="J1024" s="243" t="s">
        <v>6731</v>
      </c>
    </row>
    <row r="1025" spans="1:10" x14ac:dyDescent="0.2">
      <c r="A1025" s="346" t="str">
        <f t="shared" ca="1" si="0"/>
        <v>绿洲的水</v>
      </c>
      <c r="B1025" s="346" t="s">
        <v>6732</v>
      </c>
      <c r="C1025" s="243" t="s">
        <v>6733</v>
      </c>
      <c r="D1025" s="243" t="s">
        <v>6734</v>
      </c>
      <c r="E1025" s="243"/>
      <c r="F1025" s="243" t="s">
        <v>6735</v>
      </c>
      <c r="G1025" s="93" t="s">
        <v>6736</v>
      </c>
      <c r="H1025" s="243" t="s">
        <v>6737</v>
      </c>
      <c r="I1025" s="243"/>
      <c r="J1025" s="243"/>
    </row>
    <row r="1026" spans="1:10" x14ac:dyDescent="0.2">
      <c r="A1026" s="346" t="str">
        <f t="shared" ca="1" si="0"/>
        <v>飞龙的皮膜</v>
      </c>
      <c r="B1026" s="346" t="s">
        <v>6738</v>
      </c>
      <c r="C1026" s="243"/>
      <c r="D1026" s="243" t="s">
        <v>6739</v>
      </c>
      <c r="E1026" s="243"/>
      <c r="F1026" s="243" t="s">
        <v>6740</v>
      </c>
      <c r="G1026" s="93" t="s">
        <v>6741</v>
      </c>
      <c r="H1026" s="243" t="s">
        <v>6742</v>
      </c>
      <c r="I1026" s="243"/>
      <c r="J1026" s="243"/>
    </row>
    <row r="1027" spans="1:10" x14ac:dyDescent="0.2">
      <c r="A1027" s="346" t="str">
        <f t="shared" ca="1" si="0"/>
        <v>水晶矿石</v>
      </c>
      <c r="B1027" s="346" t="s">
        <v>6743</v>
      </c>
      <c r="C1027" s="243"/>
      <c r="D1027" s="243" t="s">
        <v>6744</v>
      </c>
      <c r="E1027" s="243"/>
      <c r="F1027" s="243" t="s">
        <v>6745</v>
      </c>
      <c r="G1027" s="93" t="s">
        <v>6746</v>
      </c>
      <c r="H1027" s="243" t="s">
        <v>6747</v>
      </c>
      <c r="I1027" s="243"/>
      <c r="J1027" s="243"/>
    </row>
    <row r="1028" spans="1:10" x14ac:dyDescent="0.2">
      <c r="A1028" s="346" t="str">
        <f t="shared" ca="1" si="0"/>
        <v>水晶钥匙</v>
      </c>
      <c r="B1028" s="346" t="s">
        <v>6748</v>
      </c>
      <c r="C1028" s="243"/>
      <c r="D1028" s="243" t="s">
        <v>6749</v>
      </c>
      <c r="E1028" s="243"/>
      <c r="F1028" s="243" t="s">
        <v>6750</v>
      </c>
      <c r="G1028" s="93" t="s">
        <v>6751</v>
      </c>
      <c r="H1028" s="243" t="s">
        <v>6752</v>
      </c>
      <c r="I1028" s="243"/>
      <c r="J1028" s="243"/>
    </row>
    <row r="1029" spans="1:10" x14ac:dyDescent="0.2">
      <c r="A1029" s="346" t="str">
        <f t="shared" ca="1" si="0"/>
        <v>工作人员面具</v>
      </c>
      <c r="B1029" s="346" t="s">
        <v>6753</v>
      </c>
      <c r="C1029" s="243"/>
      <c r="D1029" s="243" t="s">
        <v>6754</v>
      </c>
      <c r="E1029" s="243"/>
      <c r="F1029" s="243" t="s">
        <v>6755</v>
      </c>
      <c r="G1029" s="53" t="s">
        <v>6756</v>
      </c>
      <c r="H1029" s="243" t="s">
        <v>6757</v>
      </c>
      <c r="I1029" s="243"/>
      <c r="J1029" s="243" t="s">
        <v>6758</v>
      </c>
    </row>
    <row r="1030" spans="1:10" x14ac:dyDescent="0.2">
      <c r="A1030" s="346" t="str">
        <f t="shared" ca="1" si="0"/>
        <v>贵族面具</v>
      </c>
      <c r="B1030" s="346" t="s">
        <v>6759</v>
      </c>
      <c r="C1030" s="243"/>
      <c r="D1030" s="243" t="s">
        <v>6760</v>
      </c>
      <c r="E1030" s="243"/>
      <c r="F1030" s="243" t="s">
        <v>6761</v>
      </c>
      <c r="G1030" s="93" t="s">
        <v>6762</v>
      </c>
      <c r="H1030" s="243" t="s">
        <v>6763</v>
      </c>
      <c r="I1030" s="243"/>
      <c r="J1030" s="243"/>
    </row>
    <row r="1031" spans="1:10" x14ac:dyDescent="0.2">
      <c r="A1031" s="346" t="str">
        <f t="shared" ca="1" si="0"/>
        <v>黑市商品清单</v>
      </c>
      <c r="B1031" s="346" t="s">
        <v>6764</v>
      </c>
      <c r="C1031" s="243"/>
      <c r="D1031" s="243" t="s">
        <v>6765</v>
      </c>
      <c r="E1031" s="243"/>
      <c r="F1031" s="243" t="s">
        <v>6766</v>
      </c>
      <c r="G1031" s="93" t="s">
        <v>6767</v>
      </c>
      <c r="H1031" s="243" t="s">
        <v>6768</v>
      </c>
      <c r="I1031" s="243"/>
      <c r="J1031" s="243"/>
    </row>
    <row r="1032" spans="1:10" x14ac:dyDescent="0.2">
      <c r="A1032" s="346" t="str">
        <f t="shared" ca="1" si="0"/>
        <v>盗贼服</v>
      </c>
      <c r="B1032" s="346" t="s">
        <v>6769</v>
      </c>
      <c r="C1032" s="243"/>
      <c r="D1032" s="243" t="s">
        <v>6770</v>
      </c>
      <c r="E1032" s="243"/>
      <c r="F1032" s="243" t="s">
        <v>6771</v>
      </c>
      <c r="G1032" s="93" t="s">
        <v>6772</v>
      </c>
      <c r="H1032" s="243" t="s">
        <v>6773</v>
      </c>
      <c r="I1032" s="243"/>
      <c r="J1032" s="243"/>
    </row>
    <row r="1033" spans="1:10" x14ac:dyDescent="0.2">
      <c r="A1033" s="346" t="str">
        <f t="shared" ca="1" si="0"/>
        <v>盗贼干部服</v>
      </c>
      <c r="B1033" s="346" t="s">
        <v>6774</v>
      </c>
      <c r="C1033" s="243"/>
      <c r="D1033" s="243" t="s">
        <v>6775</v>
      </c>
      <c r="E1033" s="243"/>
      <c r="F1033" s="243" t="s">
        <v>6776</v>
      </c>
      <c r="G1033" s="93" t="s">
        <v>6777</v>
      </c>
      <c r="H1033" s="243" t="s">
        <v>6778</v>
      </c>
      <c r="I1033" s="243"/>
      <c r="J1033" s="243"/>
    </row>
    <row r="1034" spans="1:10" x14ac:dyDescent="0.2">
      <c r="A1034" s="346" t="str">
        <f t="shared" ca="1" si="0"/>
        <v>亚芬的背包</v>
      </c>
      <c r="B1034" s="346" t="s">
        <v>6779</v>
      </c>
      <c r="C1034" s="243" t="s">
        <v>6780</v>
      </c>
      <c r="D1034" s="243" t="s">
        <v>6781</v>
      </c>
      <c r="E1034" s="243"/>
      <c r="F1034" s="243" t="s">
        <v>6782</v>
      </c>
      <c r="G1034" s="93" t="s">
        <v>6783</v>
      </c>
      <c r="H1034" s="243" t="s">
        <v>6784</v>
      </c>
      <c r="I1034" s="243"/>
      <c r="J1034" s="243"/>
    </row>
    <row r="1035" spans="1:10" x14ac:dyDescent="0.2">
      <c r="A1035" s="346" t="str">
        <f t="shared" ca="1" si="0"/>
        <v>杰夫的背包</v>
      </c>
      <c r="B1035" s="346" t="s">
        <v>6785</v>
      </c>
      <c r="C1035" s="243" t="s">
        <v>6786</v>
      </c>
      <c r="D1035" s="243" t="s">
        <v>6787</v>
      </c>
      <c r="E1035" s="243"/>
      <c r="F1035" s="243" t="s">
        <v>6788</v>
      </c>
      <c r="G1035" s="53" t="s">
        <v>6789</v>
      </c>
      <c r="H1035" s="243" t="s">
        <v>6790</v>
      </c>
      <c r="I1035" s="243"/>
      <c r="J1035" s="243" t="s">
        <v>6791</v>
      </c>
    </row>
    <row r="1036" spans="1:10" x14ac:dyDescent="0.2">
      <c r="A1036" s="346" t="str">
        <f t="shared" ca="1" si="0"/>
        <v>耶捷尔亚特的短剑</v>
      </c>
      <c r="B1036" s="346" t="s">
        <v>6792</v>
      </c>
      <c r="C1036" s="243" t="s">
        <v>6793</v>
      </c>
      <c r="D1036" s="243" t="s">
        <v>6794</v>
      </c>
      <c r="E1036" s="243"/>
      <c r="F1036" s="243" t="s">
        <v>6795</v>
      </c>
      <c r="G1036" s="53" t="s">
        <v>6796</v>
      </c>
      <c r="H1036" s="243" t="s">
        <v>6797</v>
      </c>
      <c r="I1036" s="243"/>
      <c r="J1036" s="243" t="s">
        <v>6798</v>
      </c>
    </row>
    <row r="1037" spans="1:10" x14ac:dyDescent="0.2">
      <c r="A1037" s="346" t="str">
        <f t="shared" ca="1" si="0"/>
        <v>优丝法的手帕</v>
      </c>
      <c r="B1037" s="346" t="s">
        <v>6799</v>
      </c>
      <c r="C1037" s="243" t="s">
        <v>6800</v>
      </c>
      <c r="D1037" s="243" t="s">
        <v>6801</v>
      </c>
      <c r="E1037" s="243"/>
      <c r="F1037" s="243" t="s">
        <v>6802</v>
      </c>
      <c r="G1037" s="53" t="s">
        <v>6803</v>
      </c>
      <c r="H1037" s="243" t="s">
        <v>6804</v>
      </c>
      <c r="I1037" s="243"/>
      <c r="J1037" s="243" t="s">
        <v>6805</v>
      </c>
    </row>
    <row r="1038" spans="1:10" x14ac:dyDescent="0.2">
      <c r="A1038" s="346" t="str">
        <f t="shared" ca="1" si="0"/>
        <v>左腕之男的地图</v>
      </c>
      <c r="B1038" s="346" t="s">
        <v>6806</v>
      </c>
      <c r="C1038" s="243" t="s">
        <v>6807</v>
      </c>
      <c r="D1038" s="243" t="s">
        <v>6808</v>
      </c>
      <c r="E1038" s="243"/>
      <c r="F1038" s="243" t="s">
        <v>6809</v>
      </c>
      <c r="G1038" s="53" t="s">
        <v>6810</v>
      </c>
      <c r="H1038" s="243" t="s">
        <v>6811</v>
      </c>
      <c r="I1038" s="243"/>
      <c r="J1038" s="243" t="s">
        <v>6812</v>
      </c>
    </row>
    <row r="1039" spans="1:10" x14ac:dyDescent="0.2">
      <c r="A1039" s="346" t="str">
        <f t="shared" ca="1" si="0"/>
        <v>河边的花</v>
      </c>
      <c r="B1039" s="346" t="s">
        <v>6813</v>
      </c>
      <c r="C1039" s="243"/>
      <c r="D1039" s="243" t="s">
        <v>6814</v>
      </c>
      <c r="E1039" s="243"/>
      <c r="F1039" s="243" t="s">
        <v>6815</v>
      </c>
      <c r="G1039" s="93" t="s">
        <v>6816</v>
      </c>
      <c r="H1039" s="243" t="s">
        <v>6817</v>
      </c>
      <c r="I1039" s="243"/>
      <c r="J1039" s="243" t="s">
        <v>6818</v>
      </c>
    </row>
    <row r="1040" spans="1:10" x14ac:dyDescent="0.2">
      <c r="A1040" s="346" t="str">
        <f t="shared" ca="1" si="0"/>
        <v>监狱的钥匙</v>
      </c>
      <c r="B1040" s="346" t="s">
        <v>6819</v>
      </c>
      <c r="C1040" s="243"/>
      <c r="D1040" s="243" t="s">
        <v>6820</v>
      </c>
      <c r="E1040" s="243"/>
      <c r="F1040" s="243" t="s">
        <v>6821</v>
      </c>
      <c r="G1040" s="53" t="s">
        <v>6822</v>
      </c>
      <c r="H1040" s="243" t="s">
        <v>6823</v>
      </c>
      <c r="I1040" s="243"/>
      <c r="J1040" s="243" t="s">
        <v>6824</v>
      </c>
    </row>
    <row r="1041" spans="1:10" x14ac:dyDescent="0.2">
      <c r="A1041" s="346" t="str">
        <f t="shared" ca="1" si="0"/>
        <v>顶级牛奶</v>
      </c>
      <c r="B1041" s="346" t="s">
        <v>6825</v>
      </c>
      <c r="C1041" s="243" t="s">
        <v>6826</v>
      </c>
      <c r="D1041" s="243" t="s">
        <v>6827</v>
      </c>
      <c r="E1041" s="243"/>
      <c r="F1041" s="243" t="s">
        <v>6828</v>
      </c>
      <c r="G1041" s="243" t="s">
        <v>6829</v>
      </c>
      <c r="H1041" s="243" t="s">
        <v>6830</v>
      </c>
      <c r="I1041" s="243"/>
      <c r="J1041" s="243" t="s">
        <v>6831</v>
      </c>
    </row>
    <row r="1042" spans="1:10" x14ac:dyDescent="0.2">
      <c r="A1042" s="346" t="str">
        <f t="shared" ca="1" si="0"/>
        <v>帝王蟹</v>
      </c>
      <c r="B1042" s="346" t="s">
        <v>6832</v>
      </c>
      <c r="C1042" s="243" t="s">
        <v>6833</v>
      </c>
      <c r="D1042" s="243" t="s">
        <v>6834</v>
      </c>
      <c r="E1042" s="243"/>
      <c r="F1042" s="243" t="s">
        <v>6835</v>
      </c>
      <c r="G1042" s="93" t="s">
        <v>6836</v>
      </c>
      <c r="H1042" s="243" t="s">
        <v>6836</v>
      </c>
      <c r="I1042" s="243"/>
      <c r="J1042" s="243" t="s">
        <v>6837</v>
      </c>
    </row>
    <row r="1043" spans="1:10" x14ac:dyDescent="0.2">
      <c r="A1043" s="346" t="str">
        <f t="shared" ca="1" si="0"/>
        <v>大鸡的蛋</v>
      </c>
      <c r="B1043" s="346" t="s">
        <v>6838</v>
      </c>
      <c r="C1043" s="243" t="s">
        <v>6839</v>
      </c>
      <c r="D1043" s="243" t="s">
        <v>6840</v>
      </c>
      <c r="E1043" s="243"/>
      <c r="F1043" s="243" t="s">
        <v>6841</v>
      </c>
      <c r="G1043" s="93" t="s">
        <v>6842</v>
      </c>
      <c r="H1043" s="243" t="s">
        <v>6843</v>
      </c>
      <c r="I1043" s="243"/>
      <c r="J1043" s="243" t="s">
        <v>6844</v>
      </c>
    </row>
    <row r="1044" spans="1:10" x14ac:dyDescent="0.2">
      <c r="A1044" s="346" t="str">
        <f t="shared" ca="1" si="0"/>
        <v>最后的作品</v>
      </c>
      <c r="B1044" s="346" t="s">
        <v>6845</v>
      </c>
      <c r="C1044" s="243"/>
      <c r="D1044" s="243" t="s">
        <v>6846</v>
      </c>
      <c r="E1044" s="243"/>
      <c r="F1044" s="243" t="s">
        <v>6847</v>
      </c>
      <c r="G1044" s="53" t="s">
        <v>6848</v>
      </c>
      <c r="H1044" s="243" t="s">
        <v>6849</v>
      </c>
      <c r="I1044" s="243"/>
      <c r="J1044" s="243" t="s">
        <v>6850</v>
      </c>
    </row>
    <row r="1045" spans="1:10" x14ac:dyDescent="0.2">
      <c r="A1045" s="346" t="str">
        <f t="shared" ca="1" si="0"/>
        <v>牛粪</v>
      </c>
      <c r="B1045" s="346" t="s">
        <v>6851</v>
      </c>
      <c r="C1045" s="243"/>
      <c r="D1045" s="243" t="s">
        <v>6852</v>
      </c>
      <c r="E1045" s="243"/>
      <c r="F1045" s="243" t="s">
        <v>6853</v>
      </c>
      <c r="G1045" s="243" t="s">
        <v>6854</v>
      </c>
      <c r="H1045" s="243" t="s">
        <v>6855</v>
      </c>
      <c r="I1045" s="243"/>
      <c r="J1045" s="243" t="s">
        <v>6856</v>
      </c>
    </row>
    <row r="1046" spans="1:10" x14ac:dyDescent="0.2">
      <c r="A1046" s="346" t="str">
        <f t="shared" ca="1" si="0"/>
        <v>萝拉的记事本</v>
      </c>
      <c r="B1046" s="346" t="s">
        <v>6857</v>
      </c>
      <c r="C1046" s="243" t="s">
        <v>6858</v>
      </c>
      <c r="D1046" s="243" t="s">
        <v>6859</v>
      </c>
      <c r="E1046" s="243"/>
      <c r="F1046" s="243" t="s">
        <v>6860</v>
      </c>
      <c r="G1046" s="93" t="s">
        <v>6861</v>
      </c>
      <c r="H1046" s="243" t="s">
        <v>6862</v>
      </c>
      <c r="I1046" s="243"/>
      <c r="J1046" s="243" t="s">
        <v>6863</v>
      </c>
    </row>
    <row r="1047" spans="1:10" x14ac:dyDescent="0.2">
      <c r="A1047" s="346" t="str">
        <f t="shared" ca="1" si="0"/>
        <v>明星的礼服</v>
      </c>
      <c r="B1047" s="346" t="s">
        <v>6864</v>
      </c>
      <c r="C1047" s="243" t="s">
        <v>6865</v>
      </c>
      <c r="D1047" s="243" t="s">
        <v>6866</v>
      </c>
      <c r="E1047" s="243"/>
      <c r="F1047" s="243" t="s">
        <v>6867</v>
      </c>
      <c r="G1047" s="93" t="s">
        <v>6868</v>
      </c>
      <c r="H1047" s="243" t="s">
        <v>6869</v>
      </c>
      <c r="I1047" s="243"/>
      <c r="J1047" s="243" t="s">
        <v>6870</v>
      </c>
    </row>
    <row r="1048" spans="1:10" x14ac:dyDescent="0.2">
      <c r="A1048" s="346" t="str">
        <f t="shared" ca="1" si="0"/>
        <v>小虾酱</v>
      </c>
      <c r="B1048" s="346" t="s">
        <v>6871</v>
      </c>
      <c r="C1048" s="243" t="s">
        <v>6872</v>
      </c>
      <c r="D1048" s="243" t="s">
        <v>6873</v>
      </c>
      <c r="E1048" s="243"/>
      <c r="F1048" s="243" t="s">
        <v>6874</v>
      </c>
      <c r="G1048" s="93" t="s">
        <v>6875</v>
      </c>
      <c r="H1048" s="243" t="s">
        <v>6876</v>
      </c>
      <c r="I1048" s="243"/>
      <c r="J1048" s="243" t="s">
        <v>6877</v>
      </c>
    </row>
    <row r="1049" spans="1:10" x14ac:dyDescent="0.2">
      <c r="A1049" s="346" t="str">
        <f t="shared" ca="1" si="0"/>
        <v>反乱之斧</v>
      </c>
      <c r="B1049" s="346" t="s">
        <v>6878</v>
      </c>
      <c r="C1049" s="243" t="s">
        <v>6879</v>
      </c>
      <c r="D1049" s="243" t="s">
        <v>6880</v>
      </c>
      <c r="E1049" s="243"/>
      <c r="F1049" s="243" t="s">
        <v>6881</v>
      </c>
      <c r="G1049" s="53" t="s">
        <v>6882</v>
      </c>
      <c r="H1049" s="243" t="s">
        <v>6883</v>
      </c>
      <c r="I1049" s="243"/>
      <c r="J1049" s="243" t="s">
        <v>6884</v>
      </c>
    </row>
    <row r="1050" spans="1:10" x14ac:dyDescent="0.2">
      <c r="A1050" s="346" t="str">
        <f t="shared" ca="1" si="0"/>
        <v>革命之剑</v>
      </c>
      <c r="B1050" s="346" t="s">
        <v>6885</v>
      </c>
      <c r="C1050" s="243"/>
      <c r="D1050" s="243" t="s">
        <v>6886</v>
      </c>
      <c r="E1050" s="243"/>
      <c r="F1050" s="243" t="s">
        <v>6887</v>
      </c>
      <c r="G1050" s="53" t="s">
        <v>6888</v>
      </c>
      <c r="H1050" s="243" t="s">
        <v>6889</v>
      </c>
      <c r="I1050" s="243"/>
      <c r="J1050" s="243" t="s">
        <v>6890</v>
      </c>
    </row>
    <row r="1051" spans="1:10" x14ac:dyDescent="0.2">
      <c r="A1051" s="346" t="str">
        <f t="shared" ca="1" si="0"/>
        <v>反逆之枪</v>
      </c>
      <c r="B1051" s="346" t="s">
        <v>6891</v>
      </c>
      <c r="C1051" s="243" t="s">
        <v>6892</v>
      </c>
      <c r="D1051" s="243" t="s">
        <v>6893</v>
      </c>
      <c r="E1051" s="243"/>
      <c r="F1051" s="243" t="s">
        <v>6894</v>
      </c>
      <c r="G1051" s="53" t="s">
        <v>6895</v>
      </c>
      <c r="H1051" s="243" t="s">
        <v>6896</v>
      </c>
      <c r="I1051" s="243"/>
      <c r="J1051" s="243" t="s">
        <v>6897</v>
      </c>
    </row>
    <row r="1052" spans="1:10" x14ac:dyDescent="0.2">
      <c r="A1052" s="346" t="str">
        <f t="shared" ca="1" si="0"/>
        <v>大牙野猪的獠牙</v>
      </c>
      <c r="B1052" s="346" t="s">
        <v>6898</v>
      </c>
      <c r="C1052" s="243"/>
      <c r="D1052" s="243" t="s">
        <v>6899</v>
      </c>
      <c r="E1052" s="243"/>
      <c r="F1052" s="243" t="s">
        <v>6900</v>
      </c>
      <c r="G1052" s="243" t="s">
        <v>6901</v>
      </c>
      <c r="H1052" s="243" t="s">
        <v>6902</v>
      </c>
      <c r="I1052" s="243"/>
      <c r="J1052" s="243" t="s">
        <v>6903</v>
      </c>
    </row>
    <row r="1053" spans="1:10" x14ac:dyDescent="0.2">
      <c r="A1053" s="346" t="str">
        <f t="shared" ca="1" si="0"/>
        <v>合适的木炭</v>
      </c>
      <c r="B1053" s="346" t="s">
        <v>6904</v>
      </c>
      <c r="C1053" s="243"/>
      <c r="D1053" s="243" t="s">
        <v>6905</v>
      </c>
      <c r="E1053" s="243"/>
      <c r="F1053" s="243" t="s">
        <v>6906</v>
      </c>
      <c r="G1053" s="93" t="s">
        <v>6907</v>
      </c>
      <c r="H1053" s="243" t="s">
        <v>6908</v>
      </c>
      <c r="I1053" s="243"/>
      <c r="J1053" s="243" t="s">
        <v>6909</v>
      </c>
    </row>
    <row r="1054" spans="1:10" x14ac:dyDescent="0.2">
      <c r="A1054" s="346" t="str">
        <f t="shared" ca="1" si="0"/>
        <v>合适的麻秆</v>
      </c>
      <c r="B1054" s="346" t="s">
        <v>6910</v>
      </c>
      <c r="C1054" s="243"/>
      <c r="D1054" s="243" t="s">
        <v>6911</v>
      </c>
      <c r="E1054" s="243"/>
      <c r="F1054" s="243" t="s">
        <v>6912</v>
      </c>
      <c r="G1054" s="93" t="s">
        <v>6913</v>
      </c>
      <c r="H1054" s="243" t="s">
        <v>6914</v>
      </c>
      <c r="I1054" s="243"/>
      <c r="J1054" s="243" t="s">
        <v>6915</v>
      </c>
    </row>
    <row r="1055" spans="1:10" x14ac:dyDescent="0.2">
      <c r="A1055" s="346" t="str">
        <f t="shared" ca="1" si="0"/>
        <v>合适的金属制容器</v>
      </c>
      <c r="B1055" s="346" t="s">
        <v>6916</v>
      </c>
      <c r="C1055" s="243"/>
      <c r="D1055" s="243" t="s">
        <v>6917</v>
      </c>
      <c r="E1055" s="243"/>
      <c r="F1055" s="243" t="s">
        <v>6918</v>
      </c>
      <c r="G1055" s="93" t="s">
        <v>6919</v>
      </c>
      <c r="H1055" s="243" t="s">
        <v>6920</v>
      </c>
      <c r="I1055" s="243"/>
      <c r="J1055" s="243" t="s">
        <v>6921</v>
      </c>
    </row>
    <row r="1056" spans="1:10" x14ac:dyDescent="0.2">
      <c r="A1056" s="346" t="str">
        <f t="shared" ca="1" si="0"/>
        <v>老人也能用的短弓</v>
      </c>
      <c r="B1056" s="346" t="s">
        <v>6922</v>
      </c>
      <c r="C1056" s="243"/>
      <c r="D1056" s="243" t="s">
        <v>6923</v>
      </c>
      <c r="E1056" s="243"/>
      <c r="F1056" s="243" t="s">
        <v>6924</v>
      </c>
      <c r="G1056" s="93" t="s">
        <v>6925</v>
      </c>
      <c r="H1056" s="243" t="s">
        <v>6925</v>
      </c>
      <c r="I1056" s="243"/>
      <c r="J1056" s="243" t="s">
        <v>6926</v>
      </c>
    </row>
    <row r="1057" spans="1:10" x14ac:dyDescent="0.2">
      <c r="A1057" s="346" t="str">
        <f t="shared" ca="1" si="0"/>
        <v>海兽之蛋</v>
      </c>
      <c r="B1057" s="346" t="s">
        <v>6927</v>
      </c>
      <c r="C1057" s="243"/>
      <c r="D1057" s="243" t="s">
        <v>6928</v>
      </c>
      <c r="E1057" s="243"/>
      <c r="F1057" s="243" t="s">
        <v>6929</v>
      </c>
      <c r="G1057" s="53" t="s">
        <v>6930</v>
      </c>
      <c r="H1057" s="243" t="s">
        <v>6931</v>
      </c>
      <c r="I1057" s="243"/>
      <c r="J1057" s="243" t="s">
        <v>6932</v>
      </c>
    </row>
    <row r="1058" spans="1:10" x14ac:dyDescent="0.2">
      <c r="A1058" s="346" t="str">
        <f t="shared" ca="1" si="0"/>
        <v>甜菜根</v>
      </c>
      <c r="B1058" s="346" t="s">
        <v>6933</v>
      </c>
      <c r="C1058" s="243"/>
      <c r="D1058" s="243" t="s">
        <v>6934</v>
      </c>
      <c r="E1058" s="243"/>
      <c r="F1058" s="243" t="s">
        <v>6935</v>
      </c>
      <c r="G1058" s="93" t="s">
        <v>6936</v>
      </c>
      <c r="H1058" s="243" t="s">
        <v>6936</v>
      </c>
      <c r="I1058" s="243"/>
      <c r="J1058" s="243" t="s">
        <v>6937</v>
      </c>
    </row>
    <row r="1059" spans="1:10" x14ac:dyDescent="0.2">
      <c r="A1059" s="346" t="str">
        <f t="shared" ca="1" si="0"/>
        <v>欧亚威尔产磨刀石</v>
      </c>
      <c r="B1059" s="346" t="s">
        <v>6938</v>
      </c>
      <c r="C1059" s="243"/>
      <c r="D1059" s="243" t="s">
        <v>6939</v>
      </c>
      <c r="E1059" s="243"/>
      <c r="F1059" s="243" t="s">
        <v>6940</v>
      </c>
      <c r="G1059" s="53" t="s">
        <v>6941</v>
      </c>
      <c r="H1059" s="243" t="s">
        <v>6942</v>
      </c>
      <c r="I1059" s="243"/>
      <c r="J1059" s="243" t="s">
        <v>6943</v>
      </c>
    </row>
    <row r="1060" spans="1:10" x14ac:dyDescent="0.2">
      <c r="A1060" s="346" t="str">
        <f t="shared" ca="1" si="0"/>
        <v>善治的地毯</v>
      </c>
      <c r="B1060" s="346" t="s">
        <v>6944</v>
      </c>
      <c r="C1060" s="51" t="s">
        <v>6945</v>
      </c>
      <c r="D1060" s="243" t="s">
        <v>6946</v>
      </c>
      <c r="E1060" s="243"/>
      <c r="F1060" s="243" t="s">
        <v>6947</v>
      </c>
      <c r="G1060" s="53" t="s">
        <v>6948</v>
      </c>
      <c r="H1060" s="243" t="s">
        <v>6948</v>
      </c>
      <c r="I1060" s="243"/>
      <c r="J1060" s="243" t="s">
        <v>6949</v>
      </c>
    </row>
    <row r="1061" spans="1:10" x14ac:dyDescent="0.2">
      <c r="A1061" s="346" t="str">
        <f t="shared" ca="1" si="0"/>
        <v>拜伦的戒指</v>
      </c>
      <c r="B1061" s="346" t="s">
        <v>6950</v>
      </c>
      <c r="C1061" s="243"/>
      <c r="D1061" s="243" t="s">
        <v>6951</v>
      </c>
      <c r="E1061" s="243"/>
      <c r="F1061" s="243" t="s">
        <v>6952</v>
      </c>
      <c r="G1061" s="53" t="s">
        <v>6953</v>
      </c>
      <c r="H1061" s="243" t="s">
        <v>6954</v>
      </c>
      <c r="I1061" s="243"/>
      <c r="J1061" s="243" t="s">
        <v>6955</v>
      </c>
    </row>
    <row r="1062" spans="1:10" x14ac:dyDescent="0.2">
      <c r="A1062" s="346" t="str">
        <f t="shared" ca="1" si="0"/>
        <v>索克拉斯之剑</v>
      </c>
      <c r="B1062" s="346" t="s">
        <v>6956</v>
      </c>
      <c r="C1062" s="243"/>
      <c r="D1062" s="243" t="s">
        <v>6957</v>
      </c>
      <c r="E1062" s="243"/>
      <c r="F1062" s="243" t="s">
        <v>6958</v>
      </c>
      <c r="G1062" s="53" t="s">
        <v>6959</v>
      </c>
      <c r="H1062" s="243" t="s">
        <v>6960</v>
      </c>
      <c r="I1062" s="243"/>
      <c r="J1062" s="243" t="s">
        <v>6961</v>
      </c>
    </row>
    <row r="1063" spans="1:10" x14ac:dyDescent="0.2">
      <c r="A1063" s="346" t="str">
        <f t="shared" ca="1" si="0"/>
        <v>异国的冒险物语</v>
      </c>
      <c r="B1063" s="346" t="s">
        <v>6962</v>
      </c>
      <c r="C1063" s="243"/>
      <c r="D1063" s="243" t="s">
        <v>6963</v>
      </c>
      <c r="E1063" s="243"/>
      <c r="F1063" s="243" t="s">
        <v>6964</v>
      </c>
      <c r="G1063" s="93" t="s">
        <v>6965</v>
      </c>
      <c r="H1063" s="243" t="s">
        <v>6966</v>
      </c>
      <c r="I1063" s="243"/>
      <c r="J1063" s="243" t="s">
        <v>6967</v>
      </c>
    </row>
    <row r="1064" spans="1:10" x14ac:dyDescent="0.2">
      <c r="A1064" s="346" t="str">
        <f t="shared" ca="1" si="0"/>
        <v>蓝道尔家管家的记事本</v>
      </c>
      <c r="B1064" s="346" t="s">
        <v>6968</v>
      </c>
      <c r="C1064" s="243"/>
      <c r="D1064" s="243" t="s">
        <v>6969</v>
      </c>
      <c r="E1064" s="243"/>
      <c r="F1064" s="243" t="s">
        <v>6970</v>
      </c>
      <c r="G1064" s="53" t="s">
        <v>6971</v>
      </c>
      <c r="H1064" s="243" t="s">
        <v>6972</v>
      </c>
      <c r="I1064" s="243"/>
      <c r="J1064" s="243" t="s">
        <v>6973</v>
      </c>
    </row>
    <row r="1065" spans="1:10" x14ac:dyDescent="0.2">
      <c r="A1065" s="346" t="str">
        <f t="shared" ca="1" si="0"/>
        <v>纪念之剑</v>
      </c>
      <c r="B1065" s="346" t="s">
        <v>6974</v>
      </c>
      <c r="C1065" s="243"/>
      <c r="D1065" s="243" t="s">
        <v>6975</v>
      </c>
      <c r="E1065" s="243"/>
      <c r="F1065" s="243" t="s">
        <v>6976</v>
      </c>
      <c r="G1065" s="93" t="s">
        <v>6977</v>
      </c>
      <c r="H1065" s="243" t="s">
        <v>6978</v>
      </c>
      <c r="I1065" s="243"/>
      <c r="J1065" s="243" t="s">
        <v>6979</v>
      </c>
    </row>
    <row r="1066" spans="1:10" x14ac:dyDescent="0.2">
      <c r="A1066" s="346" t="str">
        <f t="shared" ca="1" si="0"/>
        <v>学习用具</v>
      </c>
      <c r="B1066" s="346" t="s">
        <v>6980</v>
      </c>
      <c r="C1066" s="243"/>
      <c r="D1066" s="243" t="s">
        <v>6981</v>
      </c>
      <c r="E1066" s="243"/>
      <c r="F1066" s="243" t="s">
        <v>6982</v>
      </c>
      <c r="G1066" s="93" t="s">
        <v>6983</v>
      </c>
      <c r="H1066" s="243" t="s">
        <v>6984</v>
      </c>
      <c r="I1066" s="243"/>
      <c r="J1066" s="243" t="s">
        <v>6985</v>
      </c>
    </row>
    <row r="1067" spans="1:10" x14ac:dyDescent="0.2">
      <c r="A1067" s="346" t="str">
        <f t="shared" ca="1" si="0"/>
        <v>冒险家的装备</v>
      </c>
      <c r="B1067" s="346" t="s">
        <v>6986</v>
      </c>
      <c r="C1067" s="243"/>
      <c r="D1067" s="243" t="s">
        <v>6987</v>
      </c>
      <c r="E1067" s="243"/>
      <c r="F1067" s="243" t="s">
        <v>6988</v>
      </c>
      <c r="G1067" s="93" t="s">
        <v>6989</v>
      </c>
      <c r="H1067" s="243" t="s">
        <v>6990</v>
      </c>
      <c r="I1067" s="243"/>
      <c r="J1067" s="243" t="s">
        <v>6991</v>
      </c>
    </row>
    <row r="1068" spans="1:10" x14ac:dyDescent="0.2">
      <c r="A1068" s="346" t="str">
        <f t="shared" ca="1" si="0"/>
        <v>老旧的挂毯</v>
      </c>
      <c r="B1068" s="346" t="s">
        <v>6992</v>
      </c>
      <c r="C1068" s="243"/>
      <c r="D1068" s="243" t="s">
        <v>6993</v>
      </c>
      <c r="E1068" s="243"/>
      <c r="F1068" s="243" t="s">
        <v>6994</v>
      </c>
      <c r="G1068" s="93" t="s">
        <v>6995</v>
      </c>
      <c r="H1068" s="243" t="s">
        <v>6996</v>
      </c>
      <c r="I1068" s="243"/>
      <c r="J1068" s="243" t="s">
        <v>6997</v>
      </c>
    </row>
    <row r="1069" spans="1:10" x14ac:dyDescent="0.2">
      <c r="A1069" s="346" t="str">
        <f t="shared" ca="1" si="0"/>
        <v>密封的信件</v>
      </c>
      <c r="B1069" s="346" t="s">
        <v>6998</v>
      </c>
      <c r="C1069" s="243"/>
      <c r="D1069" s="243" t="s">
        <v>6999</v>
      </c>
      <c r="E1069" s="243"/>
      <c r="F1069" s="243" t="s">
        <v>7000</v>
      </c>
      <c r="G1069" s="93" t="s">
        <v>7001</v>
      </c>
      <c r="H1069" s="243" t="s">
        <v>7001</v>
      </c>
      <c r="I1069" s="243"/>
      <c r="J1069" s="243" t="s">
        <v>7002</v>
      </c>
    </row>
    <row r="1070" spans="1:10" x14ac:dyDescent="0.2">
      <c r="A1070" s="346" t="str">
        <f t="shared" ca="1" si="0"/>
        <v>魔剑「大蛇杀手」</v>
      </c>
      <c r="B1070" s="346" t="s">
        <v>7003</v>
      </c>
      <c r="C1070" s="243"/>
      <c r="D1070" s="243" t="s">
        <v>7004</v>
      </c>
      <c r="E1070" s="243"/>
      <c r="F1070" s="243" t="s">
        <v>7005</v>
      </c>
      <c r="G1070" s="93" t="s">
        <v>7006</v>
      </c>
      <c r="H1070" s="243" t="s">
        <v>7007</v>
      </c>
      <c r="I1070" s="243"/>
      <c r="J1070" s="243" t="s">
        <v>7008</v>
      </c>
    </row>
    <row r="1071" spans="1:10" x14ac:dyDescent="0.2">
      <c r="A1071" s="346" t="str">
        <f t="shared" ca="1" si="0"/>
        <v>杰夫的信</v>
      </c>
      <c r="B1071" s="346" t="s">
        <v>7009</v>
      </c>
      <c r="C1071" s="243" t="s">
        <v>7010</v>
      </c>
      <c r="D1071" s="243" t="s">
        <v>7011</v>
      </c>
      <c r="E1071" s="243"/>
      <c r="F1071" s="243" t="s">
        <v>7012</v>
      </c>
      <c r="G1071" s="93" t="s">
        <v>7013</v>
      </c>
      <c r="H1071" s="243" t="s">
        <v>7014</v>
      </c>
      <c r="I1071" s="243"/>
      <c r="J1071" s="243"/>
    </row>
    <row r="1072" spans="1:10" x14ac:dyDescent="0.2">
      <c r="A1072" s="346" t="str">
        <f t="shared" ca="1" si="0"/>
        <v>图书馆员的信</v>
      </c>
      <c r="B1072" s="346" t="s">
        <v>7015</v>
      </c>
      <c r="C1072" s="243" t="s">
        <v>7016</v>
      </c>
      <c r="D1072" s="243" t="s">
        <v>7017</v>
      </c>
      <c r="E1072" s="243"/>
      <c r="F1072" s="243" t="s">
        <v>7018</v>
      </c>
      <c r="G1072" s="93" t="s">
        <v>7019</v>
      </c>
      <c r="H1072" s="243" t="s">
        <v>7020</v>
      </c>
      <c r="I1072" s="243"/>
      <c r="J1072" s="243"/>
    </row>
    <row r="1073" spans="1:10" x14ac:dyDescent="0.2">
      <c r="A1073" s="346" t="str">
        <f t="shared" ca="1" si="0"/>
        <v>传家之宝的项链</v>
      </c>
      <c r="B1073" s="346" t="s">
        <v>7021</v>
      </c>
      <c r="C1073" s="243"/>
      <c r="D1073" s="243" t="s">
        <v>7022</v>
      </c>
      <c r="E1073" s="243"/>
      <c r="F1073" s="243" t="s">
        <v>7023</v>
      </c>
      <c r="G1073" s="93" t="s">
        <v>7024</v>
      </c>
      <c r="H1073" s="243" t="s">
        <v>7025</v>
      </c>
      <c r="I1073" s="243"/>
      <c r="J1073" s="243" t="s">
        <v>7026</v>
      </c>
    </row>
    <row r="1074" spans="1:10" x14ac:dyDescent="0.2">
      <c r="A1074" s="346" t="str">
        <f t="shared" ca="1" si="0"/>
        <v>约顿之角</v>
      </c>
      <c r="B1074" s="364" t="s">
        <v>7027</v>
      </c>
      <c r="C1074" s="243"/>
      <c r="D1074" s="243" t="s">
        <v>7028</v>
      </c>
      <c r="E1074" s="243"/>
      <c r="F1074" s="243" t="s">
        <v>7029</v>
      </c>
      <c r="G1074" s="243" t="s">
        <v>7030</v>
      </c>
      <c r="H1074" s="243" t="s">
        <v>7031</v>
      </c>
      <c r="I1074" s="243"/>
      <c r="J1074" s="243"/>
    </row>
    <row r="1075" spans="1:10" x14ac:dyDescent="0.2">
      <c r="A1075" s="346" t="str">
        <f t="shared" ca="1" si="0"/>
        <v>巨大的蛋</v>
      </c>
      <c r="B1075" s="346" t="s">
        <v>7032</v>
      </c>
      <c r="C1075" s="243" t="s">
        <v>7033</v>
      </c>
      <c r="D1075" s="243" t="s">
        <v>7034</v>
      </c>
      <c r="E1075" s="243"/>
      <c r="F1075" s="243" t="s">
        <v>7035</v>
      </c>
      <c r="G1075" s="93" t="s">
        <v>7036</v>
      </c>
      <c r="H1075" s="243" t="s">
        <v>7036</v>
      </c>
      <c r="I1075" s="243"/>
      <c r="J1075" s="243"/>
    </row>
    <row r="1076" spans="1:10" x14ac:dyDescent="0.2">
      <c r="A1076" s="346" t="str">
        <f t="shared" ca="1" si="0"/>
        <v>誓约的勋章</v>
      </c>
      <c r="B1076" s="346" t="s">
        <v>7037</v>
      </c>
      <c r="C1076" s="243"/>
      <c r="D1076" s="243" t="s">
        <v>7038</v>
      </c>
      <c r="E1076" s="243"/>
      <c r="F1076" s="243" t="s">
        <v>7039</v>
      </c>
      <c r="G1076" s="93" t="s">
        <v>7040</v>
      </c>
      <c r="H1076" s="243" t="s">
        <v>7041</v>
      </c>
      <c r="I1076" s="243"/>
      <c r="J1076" s="243" t="s">
        <v>7042</v>
      </c>
    </row>
    <row r="1077" spans="1:10" x14ac:dyDescent="0.2">
      <c r="A1077" s="346" t="str">
        <f t="shared" ca="1" si="0"/>
        <v>雨果的记事本</v>
      </c>
      <c r="B1077" s="346" t="s">
        <v>7043</v>
      </c>
      <c r="C1077" s="243"/>
      <c r="D1077" s="243" t="s">
        <v>7044</v>
      </c>
      <c r="E1077" s="243"/>
      <c r="F1077" s="243" t="s">
        <v>7045</v>
      </c>
      <c r="G1077" s="93" t="s">
        <v>7046</v>
      </c>
      <c r="H1077" s="243" t="s">
        <v>7047</v>
      </c>
      <c r="I1077" s="243"/>
      <c r="J1077" s="243" t="s">
        <v>7048</v>
      </c>
    </row>
    <row r="1078" spans="1:10" x14ac:dyDescent="0.2">
      <c r="A1078" s="346" t="str">
        <f t="shared" ca="1" si="0"/>
        <v>回忆草</v>
      </c>
      <c r="B1078" s="346" t="s">
        <v>7049</v>
      </c>
      <c r="C1078" s="243"/>
      <c r="D1078" s="243" t="s">
        <v>7050</v>
      </c>
      <c r="E1078" s="243"/>
      <c r="F1078" s="243" t="s">
        <v>7051</v>
      </c>
      <c r="G1078" s="93" t="s">
        <v>7052</v>
      </c>
      <c r="H1078" s="243" t="s">
        <v>7053</v>
      </c>
      <c r="I1078" s="243"/>
      <c r="J1078" s="243" t="s">
        <v>7054</v>
      </c>
    </row>
    <row r="1079" spans="1:10" x14ac:dyDescent="0.2">
      <c r="A1079" s="346" t="str">
        <f t="shared" ca="1" si="0"/>
        <v>想写在日记上的逸品</v>
      </c>
      <c r="B1079" s="346" t="s">
        <v>7055</v>
      </c>
      <c r="C1079" s="243"/>
      <c r="D1079" s="243" t="s">
        <v>7056</v>
      </c>
      <c r="E1079" s="243"/>
      <c r="F1079" s="243" t="s">
        <v>7057</v>
      </c>
      <c r="G1079" s="93" t="s">
        <v>7058</v>
      </c>
      <c r="H1079" s="243" t="s">
        <v>7059</v>
      </c>
      <c r="I1079" s="243"/>
      <c r="J1079" s="243" t="s">
        <v>7060</v>
      </c>
    </row>
    <row r="1080" spans="1:10" x14ac:dyDescent="0.2">
      <c r="A1080" s="346" t="str">
        <f t="shared" ca="1" si="0"/>
        <v>想写在日记上的绝品</v>
      </c>
      <c r="B1080" s="346" t="s">
        <v>7061</v>
      </c>
      <c r="C1080" s="243"/>
      <c r="D1080" s="243" t="s">
        <v>7062</v>
      </c>
      <c r="E1080" s="243"/>
      <c r="F1080" s="243" t="s">
        <v>7063</v>
      </c>
      <c r="G1080" s="93" t="s">
        <v>7064</v>
      </c>
      <c r="H1080" s="243" t="s">
        <v>7065</v>
      </c>
      <c r="I1080" s="243"/>
      <c r="J1080" s="243" t="s">
        <v>7066</v>
      </c>
    </row>
    <row r="1081" spans="1:10" x14ac:dyDescent="0.2">
      <c r="A1081" s="346" t="str">
        <f t="shared" ca="1" si="0"/>
        <v>想写在日记上的名品</v>
      </c>
      <c r="B1081" s="346" t="s">
        <v>7067</v>
      </c>
      <c r="C1081" s="243"/>
      <c r="D1081" s="243" t="s">
        <v>7068</v>
      </c>
      <c r="E1081" s="243"/>
      <c r="F1081" s="243" t="s">
        <v>7069</v>
      </c>
      <c r="G1081" s="93" t="s">
        <v>7070</v>
      </c>
      <c r="H1081" s="243" t="s">
        <v>7071</v>
      </c>
      <c r="I1081" s="243"/>
      <c r="J1081" s="243" t="s">
        <v>7072</v>
      </c>
    </row>
    <row r="1082" spans="1:10" x14ac:dyDescent="0.2">
      <c r="A1082" s="346" t="str">
        <f t="shared" ca="1" si="0"/>
        <v>四轴花</v>
      </c>
      <c r="B1082" s="346" t="s">
        <v>7073</v>
      </c>
      <c r="C1082" s="243"/>
      <c r="D1082" s="243" t="s">
        <v>7074</v>
      </c>
      <c r="E1082" s="243"/>
      <c r="F1082" s="243" t="s">
        <v>7075</v>
      </c>
      <c r="G1082" s="243" t="s">
        <v>7076</v>
      </c>
      <c r="H1082" s="243" t="s">
        <v>7077</v>
      </c>
      <c r="I1082" s="243"/>
      <c r="J1082" s="243" t="s">
        <v>7054</v>
      </c>
    </row>
    <row r="1083" spans="1:10" x14ac:dyDescent="0.2">
      <c r="A1083" s="346" t="str">
        <f t="shared" ca="1" si="0"/>
        <v>龙蛋</v>
      </c>
      <c r="B1083" s="346" t="s">
        <v>7078</v>
      </c>
      <c r="C1083" s="243"/>
      <c r="D1083" s="243" t="s">
        <v>7079</v>
      </c>
      <c r="E1083" s="243"/>
      <c r="F1083" s="243" t="s">
        <v>7080</v>
      </c>
      <c r="G1083" s="93" t="s">
        <v>7081</v>
      </c>
      <c r="H1083" s="243" t="s">
        <v>7082</v>
      </c>
      <c r="I1083" s="243"/>
      <c r="J1083" s="243"/>
    </row>
    <row r="1084" spans="1:10" x14ac:dyDescent="0.2">
      <c r="A1084" s="346" t="str">
        <f t="shared" ca="1" si="0"/>
        <v>来自诺雅的信</v>
      </c>
      <c r="B1084" s="346" t="s">
        <v>7083</v>
      </c>
      <c r="C1084" s="243"/>
      <c r="D1084" s="243" t="s">
        <v>7084</v>
      </c>
      <c r="E1084" s="243"/>
      <c r="F1084" s="243" t="s">
        <v>7085</v>
      </c>
      <c r="G1084" s="93" t="s">
        <v>7086</v>
      </c>
      <c r="H1084" s="243" t="s">
        <v>7087</v>
      </c>
      <c r="I1084" s="243"/>
      <c r="J1084" s="243"/>
    </row>
    <row r="1085" spans="1:10" x14ac:dyDescent="0.2">
      <c r="A1085" s="346" t="str">
        <f t="shared" ca="1" si="0"/>
        <v>青金石</v>
      </c>
      <c r="B1085" s="346" t="s">
        <v>7088</v>
      </c>
      <c r="C1085" s="243"/>
      <c r="D1085" s="243" t="s">
        <v>7089</v>
      </c>
      <c r="E1085" s="243"/>
      <c r="F1085" s="243" t="s">
        <v>7090</v>
      </c>
      <c r="G1085" s="93" t="s">
        <v>7091</v>
      </c>
      <c r="H1085" s="243" t="s">
        <v>7091</v>
      </c>
      <c r="I1085" s="243"/>
      <c r="J1085" s="243" t="s">
        <v>7092</v>
      </c>
    </row>
    <row r="1086" spans="1:10" x14ac:dyDescent="0.2">
      <c r="A1086" s="346" t="str">
        <f t="shared" ca="1" si="0"/>
        <v>大狼的獠牙</v>
      </c>
      <c r="B1086" s="346" t="s">
        <v>7093</v>
      </c>
      <c r="C1086" s="243"/>
      <c r="D1086" s="243" t="s">
        <v>7094</v>
      </c>
      <c r="E1086" s="243"/>
      <c r="F1086" s="243" t="s">
        <v>7095</v>
      </c>
      <c r="G1086" s="93" t="s">
        <v>7096</v>
      </c>
      <c r="H1086" s="243" t="s">
        <v>7096</v>
      </c>
      <c r="I1086" s="243"/>
      <c r="J1086" s="243"/>
    </row>
    <row r="1087" spans="1:10" x14ac:dyDescent="0.2">
      <c r="A1087" s="346" t="str">
        <f t="shared" ca="1" si="0"/>
        <v>古代荷鲁布尔古语辞典</v>
      </c>
      <c r="B1087" s="346" t="s">
        <v>7097</v>
      </c>
      <c r="C1087" s="243"/>
      <c r="D1087" s="243" t="s">
        <v>7098</v>
      </c>
      <c r="E1087" s="243"/>
      <c r="F1087" s="243" t="s">
        <v>7099</v>
      </c>
      <c r="G1087" s="53" t="s">
        <v>7100</v>
      </c>
      <c r="H1087" s="243" t="s">
        <v>7101</v>
      </c>
      <c r="I1087" s="243"/>
      <c r="J1087" s="243" t="s">
        <v>7102</v>
      </c>
    </row>
    <row r="1088" spans="1:10" x14ac:dyDescent="0.2">
      <c r="A1088" s="280" t="str">
        <f t="shared" ca="1" si="0"/>
        <v>资讯</v>
      </c>
      <c r="B1088" s="280" t="s">
        <v>7103</v>
      </c>
      <c r="C1088" s="280" t="s">
        <v>7104</v>
      </c>
      <c r="D1088" s="280" t="s">
        <v>7105</v>
      </c>
      <c r="E1088" s="280"/>
      <c r="F1088" s="280"/>
      <c r="G1088" s="344" t="s">
        <v>7106</v>
      </c>
      <c r="H1088" s="280" t="s">
        <v>7107</v>
      </c>
      <c r="I1088" s="280"/>
      <c r="J1088" s="280" t="s">
        <v>7108</v>
      </c>
    </row>
    <row r="1089" spans="1:10" x14ac:dyDescent="0.2">
      <c r="A1089" s="346" t="str">
        <f t="shared" ca="1" si="0"/>
        <v>安全的路线</v>
      </c>
      <c r="B1089" s="346" t="s">
        <v>7109</v>
      </c>
      <c r="C1089" s="51" t="s">
        <v>7110</v>
      </c>
      <c r="D1089" s="243" t="s">
        <v>7111</v>
      </c>
      <c r="E1089" s="243"/>
      <c r="F1089" s="243" t="s">
        <v>7112</v>
      </c>
      <c r="G1089" s="53" t="s">
        <v>7113</v>
      </c>
      <c r="H1089" s="243" t="s">
        <v>7114</v>
      </c>
      <c r="I1089" s="243"/>
      <c r="J1089" s="243" t="s">
        <v>7115</v>
      </c>
    </row>
    <row r="1090" spans="1:10" x14ac:dyDescent="0.2">
      <c r="A1090" s="346" t="str">
        <f t="shared" ca="1" si="0"/>
        <v>纺织品的活用法</v>
      </c>
      <c r="B1090" s="346" t="s">
        <v>7116</v>
      </c>
      <c r="C1090" s="243"/>
      <c r="D1090" s="243" t="s">
        <v>7117</v>
      </c>
      <c r="E1090" s="243"/>
      <c r="F1090" s="243" t="s">
        <v>7118</v>
      </c>
      <c r="G1090" s="53" t="s">
        <v>7119</v>
      </c>
      <c r="H1090" s="243" t="s">
        <v>7120</v>
      </c>
      <c r="I1090" s="243"/>
      <c r="J1090" s="243" t="s">
        <v>7121</v>
      </c>
    </row>
    <row r="1091" spans="1:10" x14ac:dyDescent="0.2">
      <c r="A1091" s="346" t="str">
        <f t="shared" ca="1" si="0"/>
        <v>阿尔法丝之诗</v>
      </c>
      <c r="B1091" s="346" t="s">
        <v>7122</v>
      </c>
      <c r="C1091" s="243"/>
      <c r="D1091" s="243" t="s">
        <v>7123</v>
      </c>
      <c r="E1091" s="243"/>
      <c r="F1091" s="243" t="s">
        <v>7124</v>
      </c>
      <c r="G1091" s="53" t="s">
        <v>7125</v>
      </c>
      <c r="H1091" s="243" t="s">
        <v>7126</v>
      </c>
      <c r="I1091" s="243"/>
      <c r="J1091" s="243" t="s">
        <v>7127</v>
      </c>
    </row>
    <row r="1092" spans="1:10" x14ac:dyDescent="0.2">
      <c r="A1092" s="346" t="str">
        <f t="shared" ca="1" si="0"/>
        <v>杀人事件的真相</v>
      </c>
      <c r="B1092" s="346" t="s">
        <v>7128</v>
      </c>
      <c r="C1092" s="243"/>
      <c r="D1092" s="243" t="s">
        <v>7129</v>
      </c>
      <c r="E1092" s="243"/>
      <c r="F1092" s="243" t="s">
        <v>7130</v>
      </c>
      <c r="G1092" s="53" t="s">
        <v>7131</v>
      </c>
      <c r="H1092" s="243" t="s">
        <v>7132</v>
      </c>
      <c r="I1092" s="243"/>
      <c r="J1092" s="243" t="s">
        <v>7133</v>
      </c>
    </row>
    <row r="1093" spans="1:10" x14ac:dyDescent="0.2">
      <c r="A1093" s="346" t="str">
        <f t="shared" ca="1" si="0"/>
        <v>阿奇博德的弱点</v>
      </c>
      <c r="B1093" s="346" t="s">
        <v>7134</v>
      </c>
      <c r="C1093" s="243"/>
      <c r="D1093" s="243" t="s">
        <v>7135</v>
      </c>
      <c r="E1093" s="243"/>
      <c r="F1093" s="243" t="s">
        <v>7136</v>
      </c>
      <c r="G1093" s="53" t="s">
        <v>7137</v>
      </c>
      <c r="H1093" s="243" t="s">
        <v>7138</v>
      </c>
      <c r="I1093" s="243"/>
      <c r="J1093" s="243" t="s">
        <v>7139</v>
      </c>
    </row>
    <row r="1094" spans="1:10" x14ac:dyDescent="0.2">
      <c r="A1094" s="346" t="str">
        <f t="shared" ca="1" si="0"/>
        <v>拜伦家的祖谱</v>
      </c>
      <c r="B1094" s="346" t="s">
        <v>7140</v>
      </c>
      <c r="C1094" s="243"/>
      <c r="D1094" s="243" t="s">
        <v>7141</v>
      </c>
      <c r="E1094" s="243"/>
      <c r="F1094" s="243" t="s">
        <v>7142</v>
      </c>
      <c r="G1094" s="53" t="s">
        <v>7143</v>
      </c>
      <c r="H1094" s="243" t="s">
        <v>7144</v>
      </c>
      <c r="I1094" s="243"/>
      <c r="J1094" s="243" t="s">
        <v>7145</v>
      </c>
    </row>
    <row r="1095" spans="1:10" x14ac:dyDescent="0.2">
      <c r="A1095" s="346" t="str">
        <f t="shared" ca="1" si="0"/>
        <v>部族长的行程</v>
      </c>
      <c r="B1095" s="346" t="s">
        <v>7146</v>
      </c>
      <c r="C1095" s="243"/>
      <c r="D1095" s="243" t="s">
        <v>7147</v>
      </c>
      <c r="E1095" s="243"/>
      <c r="F1095" s="243" t="s">
        <v>7148</v>
      </c>
      <c r="G1095" s="53" t="s">
        <v>7149</v>
      </c>
      <c r="H1095" s="243" t="s">
        <v>7150</v>
      </c>
      <c r="I1095" s="243"/>
      <c r="J1095" s="243" t="s">
        <v>7151</v>
      </c>
    </row>
    <row r="1096" spans="1:10" x14ac:dyDescent="0.2">
      <c r="A1096" s="346" t="str">
        <f t="shared" ca="1" si="0"/>
        <v>黄金都市的传说</v>
      </c>
      <c r="B1096" s="346" t="s">
        <v>1895</v>
      </c>
      <c r="C1096" s="243"/>
      <c r="D1096" s="243" t="s">
        <v>1897</v>
      </c>
      <c r="E1096" s="243"/>
      <c r="F1096" s="243" t="s">
        <v>7152</v>
      </c>
      <c r="G1096" s="53" t="s">
        <v>7153</v>
      </c>
      <c r="H1096" s="243" t="s">
        <v>7154</v>
      </c>
      <c r="I1096" s="243"/>
      <c r="J1096" s="243" t="s">
        <v>7155</v>
      </c>
    </row>
    <row r="1097" spans="1:10" x14ac:dyDescent="0.2">
      <c r="A1097" s="346" t="str">
        <f t="shared" ca="1" si="0"/>
        <v>多明尼克的悔恨</v>
      </c>
      <c r="B1097" s="346" t="s">
        <v>7156</v>
      </c>
      <c r="C1097" s="243"/>
      <c r="D1097" s="243" t="s">
        <v>7157</v>
      </c>
      <c r="E1097" s="243"/>
      <c r="F1097" s="243" t="s">
        <v>7158</v>
      </c>
      <c r="G1097" s="53" t="s">
        <v>7159</v>
      </c>
      <c r="H1097" s="243" t="s">
        <v>7159</v>
      </c>
      <c r="I1097" s="243"/>
      <c r="J1097" s="243" t="s">
        <v>7160</v>
      </c>
    </row>
    <row r="1098" spans="1:10" x14ac:dyDescent="0.2">
      <c r="A1098" s="346" t="str">
        <f t="shared" ca="1" si="0"/>
        <v>讨厌人类的多明尼克</v>
      </c>
      <c r="B1098" s="346" t="s">
        <v>7161</v>
      </c>
      <c r="C1098" s="243"/>
      <c r="D1098" s="243" t="s">
        <v>7162</v>
      </c>
      <c r="E1098" s="243"/>
      <c r="F1098" s="243" t="s">
        <v>7163</v>
      </c>
      <c r="G1098" s="53" t="s">
        <v>7164</v>
      </c>
      <c r="H1098" s="243" t="s">
        <v>7165</v>
      </c>
      <c r="I1098" s="243"/>
      <c r="J1098" s="243" t="s">
        <v>7166</v>
      </c>
    </row>
    <row r="1099" spans="1:10" x14ac:dyDescent="0.2">
      <c r="A1099" s="346" t="str">
        <f t="shared" ca="1" si="0"/>
        <v>多明尼克的烦恼</v>
      </c>
      <c r="B1099" s="346" t="s">
        <v>7167</v>
      </c>
      <c r="C1099" s="243"/>
      <c r="D1099" s="243" t="s">
        <v>7168</v>
      </c>
      <c r="E1099" s="243"/>
      <c r="F1099" s="243" t="s">
        <v>7169</v>
      </c>
      <c r="G1099" s="53" t="s">
        <v>7170</v>
      </c>
      <c r="H1099" s="243" t="s">
        <v>7171</v>
      </c>
      <c r="I1099" s="243"/>
      <c r="J1099" s="243" t="s">
        <v>7172</v>
      </c>
    </row>
    <row r="1100" spans="1:10" x14ac:dyDescent="0.2">
      <c r="A1100" s="346" t="str">
        <f t="shared" ca="1" si="0"/>
        <v>唐纳文的情况</v>
      </c>
      <c r="B1100" s="346" t="s">
        <v>7173</v>
      </c>
      <c r="C1100" s="243"/>
      <c r="D1100" s="243" t="s">
        <v>7174</v>
      </c>
      <c r="E1100" s="243"/>
      <c r="F1100" s="243" t="s">
        <v>7175</v>
      </c>
      <c r="G1100" s="53" t="s">
        <v>7176</v>
      </c>
      <c r="H1100" s="243" t="s">
        <v>7177</v>
      </c>
      <c r="I1100" s="243"/>
      <c r="J1100" s="243" t="s">
        <v>7178</v>
      </c>
    </row>
    <row r="1101" spans="1:10" x14ac:dyDescent="0.2">
      <c r="A1101" s="346" t="str">
        <f t="shared" ca="1" si="0"/>
        <v>克里夫兰多的龙</v>
      </c>
      <c r="B1101" s="346" t="s">
        <v>7179</v>
      </c>
      <c r="C1101" s="243"/>
      <c r="D1101" s="243" t="s">
        <v>7180</v>
      </c>
      <c r="E1101" s="243"/>
      <c r="F1101" s="243" t="s">
        <v>7181</v>
      </c>
      <c r="G1101" s="53" t="s">
        <v>7182</v>
      </c>
      <c r="H1101" s="243" t="s">
        <v>7183</v>
      </c>
      <c r="I1101" s="243"/>
      <c r="J1101" s="243" t="s">
        <v>7184</v>
      </c>
    </row>
    <row r="1102" spans="1:10" x14ac:dyDescent="0.2">
      <c r="A1102" s="346" t="str">
        <f t="shared" ca="1" si="0"/>
        <v>佛洛斯特兰多的龙</v>
      </c>
      <c r="B1102" s="346" t="s">
        <v>7185</v>
      </c>
      <c r="C1102" s="243"/>
      <c r="D1102" s="243" t="s">
        <v>7186</v>
      </c>
      <c r="E1102" s="243"/>
      <c r="F1102" s="243" t="s">
        <v>7187</v>
      </c>
      <c r="G1102" s="53" t="s">
        <v>7188</v>
      </c>
      <c r="H1102" s="243" t="s">
        <v>7189</v>
      </c>
      <c r="I1102" s="243"/>
      <c r="J1102" s="243" t="s">
        <v>7190</v>
      </c>
    </row>
    <row r="1103" spans="1:10" x14ac:dyDescent="0.2">
      <c r="A1103" s="346" t="str">
        <f t="shared" ca="1" si="0"/>
        <v>哈伊兰多的龙</v>
      </c>
      <c r="B1103" s="346" t="s">
        <v>7191</v>
      </c>
      <c r="C1103" s="243"/>
      <c r="D1103" s="243" t="s">
        <v>7192</v>
      </c>
      <c r="E1103" s="243"/>
      <c r="F1103" s="243" t="s">
        <v>7193</v>
      </c>
      <c r="G1103" s="53" t="s">
        <v>7194</v>
      </c>
      <c r="H1103" s="243" t="s">
        <v>7195</v>
      </c>
      <c r="I1103" s="243"/>
      <c r="J1103" s="243" t="s">
        <v>7196</v>
      </c>
    </row>
    <row r="1104" spans="1:10" x14ac:dyDescent="0.2">
      <c r="A1104" s="346" t="str">
        <f t="shared" ca="1" si="0"/>
        <v>提早融雪</v>
      </c>
      <c r="B1104" s="346" t="s">
        <v>7197</v>
      </c>
      <c r="C1104" s="243"/>
      <c r="D1104" s="243" t="s">
        <v>7198</v>
      </c>
      <c r="E1104" s="243"/>
      <c r="F1104" s="243" t="s">
        <v>7199</v>
      </c>
      <c r="G1104" s="53" t="s">
        <v>7200</v>
      </c>
      <c r="H1104" s="243" t="s">
        <v>7200</v>
      </c>
      <c r="I1104" s="243"/>
      <c r="J1104" s="243" t="s">
        <v>7201</v>
      </c>
    </row>
    <row r="1105" spans="1:10" x14ac:dyDescent="0.2">
      <c r="A1105" s="346" t="str">
        <f t="shared" ca="1" si="0"/>
        <v>药的制作法</v>
      </c>
      <c r="B1105" s="346" t="s">
        <v>7202</v>
      </c>
      <c r="C1105" s="243"/>
      <c r="D1105" s="243" t="s">
        <v>7203</v>
      </c>
      <c r="E1105" s="243"/>
      <c r="F1105" s="243" t="s">
        <v>7204</v>
      </c>
      <c r="G1105" s="53" t="s">
        <v>7205</v>
      </c>
      <c r="H1105" s="243" t="s">
        <v>7206</v>
      </c>
      <c r="I1105" s="243"/>
      <c r="J1105" s="243" t="s">
        <v>7207</v>
      </c>
    </row>
    <row r="1106" spans="1:10" x14ac:dyDescent="0.2">
      <c r="A1106" s="346" t="str">
        <f t="shared" ca="1" si="0"/>
        <v>艾斯塔达斯的况状</v>
      </c>
      <c r="B1106" s="346" t="s">
        <v>7208</v>
      </c>
      <c r="C1106" s="243"/>
      <c r="D1106" s="243" t="s">
        <v>7209</v>
      </c>
      <c r="E1106" s="243"/>
      <c r="F1106" s="243" t="s">
        <v>7210</v>
      </c>
      <c r="G1106" s="53" t="s">
        <v>7211</v>
      </c>
      <c r="H1106" s="243" t="s">
        <v>7212</v>
      </c>
      <c r="I1106" s="243"/>
      <c r="J1106" s="243" t="s">
        <v>7213</v>
      </c>
    </row>
    <row r="1107" spans="1:10" x14ac:dyDescent="0.2">
      <c r="A1107" s="346" t="str">
        <f t="shared" ca="1" si="0"/>
        <v>斗剑士的父亲</v>
      </c>
      <c r="B1107" s="346" t="s">
        <v>7214</v>
      </c>
      <c r="C1107" s="243"/>
      <c r="D1107" s="243" t="s">
        <v>7215</v>
      </c>
      <c r="E1107" s="243"/>
      <c r="F1107" s="243" t="s">
        <v>7216</v>
      </c>
      <c r="G1107" s="53" t="s">
        <v>7217</v>
      </c>
      <c r="H1107" s="53" t="s">
        <v>7218</v>
      </c>
      <c r="I1107" s="243"/>
      <c r="J1107" s="243" t="s">
        <v>7219</v>
      </c>
    </row>
    <row r="1108" spans="1:10" x14ac:dyDescent="0.2">
      <c r="A1108" s="346" t="str">
        <f t="shared" ca="1" si="0"/>
        <v>《禁忌的黄金》</v>
      </c>
      <c r="B1108" s="346" t="s">
        <v>7220</v>
      </c>
      <c r="C1108" s="243"/>
      <c r="D1108" s="243" t="s">
        <v>7221</v>
      </c>
      <c r="E1108" s="243"/>
      <c r="F1108" s="243" t="s">
        <v>7222</v>
      </c>
      <c r="G1108" s="53" t="s">
        <v>7223</v>
      </c>
      <c r="H1108" s="243" t="s">
        <v>7224</v>
      </c>
      <c r="I1108" s="243"/>
      <c r="J1108" s="243" t="s">
        <v>7225</v>
      </c>
    </row>
    <row r="1109" spans="1:10" x14ac:dyDescent="0.2">
      <c r="A1109" s="346" t="str">
        <f t="shared" ca="1" si="0"/>
        <v>《边狱之书》</v>
      </c>
      <c r="B1109" s="346" t="s">
        <v>7226</v>
      </c>
      <c r="C1109" s="243"/>
      <c r="D1109" s="243" t="s">
        <v>7227</v>
      </c>
      <c r="E1109" s="243"/>
      <c r="F1109" s="243" t="s">
        <v>7228</v>
      </c>
      <c r="G1109" s="53" t="s">
        <v>7229</v>
      </c>
      <c r="H1109" s="243" t="s">
        <v>7230</v>
      </c>
      <c r="I1109" s="243"/>
      <c r="J1109" s="243" t="s">
        <v>7231</v>
      </c>
    </row>
    <row r="1110" spans="1:10" x14ac:dyDescent="0.2">
      <c r="A1110" s="346" t="str">
        <f t="shared" ca="1" si="0"/>
        <v>蓝萤苔的事</v>
      </c>
      <c r="B1110" s="346" t="s">
        <v>7232</v>
      </c>
      <c r="C1110" s="243"/>
      <c r="D1110" s="243" t="s">
        <v>7233</v>
      </c>
      <c r="E1110" s="243"/>
      <c r="F1110" s="243" t="s">
        <v>7234</v>
      </c>
      <c r="G1110" s="53" t="s">
        <v>7235</v>
      </c>
      <c r="H1110" s="243" t="s">
        <v>7236</v>
      </c>
      <c r="I1110" s="243"/>
      <c r="J1110" s="243" t="s">
        <v>7237</v>
      </c>
    </row>
    <row r="1111" spans="1:10" x14ac:dyDescent="0.2">
      <c r="A1111" s="346" t="str">
        <f t="shared" ca="1" si="0"/>
        <v>守墓人的情报</v>
      </c>
      <c r="B1111" s="346" t="s">
        <v>7238</v>
      </c>
      <c r="C1111" s="243"/>
      <c r="D1111" s="243" t="s">
        <v>7239</v>
      </c>
      <c r="E1111" s="243"/>
      <c r="F1111" s="243" t="s">
        <v>7240</v>
      </c>
      <c r="G1111" s="93" t="s">
        <v>7241</v>
      </c>
      <c r="H1111" s="243" t="s">
        <v>7242</v>
      </c>
      <c r="I1111" s="243"/>
      <c r="J1111" s="243" t="s">
        <v>7243</v>
      </c>
    </row>
    <row r="1112" spans="1:10" x14ac:dyDescent="0.2">
      <c r="A1112" s="346" t="str">
        <f t="shared" ca="1" si="0"/>
        <v>古斯塔夫的弱点</v>
      </c>
      <c r="B1112" s="346" t="s">
        <v>7244</v>
      </c>
      <c r="C1112" s="243"/>
      <c r="D1112" s="243" t="s">
        <v>7245</v>
      </c>
      <c r="E1112" s="243"/>
      <c r="F1112" s="243" t="s">
        <v>7246</v>
      </c>
      <c r="G1112" s="53" t="s">
        <v>7247</v>
      </c>
      <c r="H1112" s="243" t="s">
        <v>7248</v>
      </c>
      <c r="I1112" s="243"/>
      <c r="J1112" s="243" t="s">
        <v>7249</v>
      </c>
    </row>
    <row r="1113" spans="1:10" x14ac:dyDescent="0.2">
      <c r="A1113" s="346" t="str">
        <f t="shared" ca="1" si="0"/>
        <v>克里夫兰多的历史</v>
      </c>
      <c r="B1113" s="346" t="s">
        <v>7250</v>
      </c>
      <c r="C1113" s="243"/>
      <c r="D1113" s="243" t="s">
        <v>7251</v>
      </c>
      <c r="E1113" s="243"/>
      <c r="F1113" s="243" t="s">
        <v>7252</v>
      </c>
      <c r="G1113" s="53" t="s">
        <v>7253</v>
      </c>
      <c r="H1113" s="243" t="s">
        <v>7254</v>
      </c>
      <c r="I1113" s="243"/>
      <c r="J1113" s="243" t="s">
        <v>7255</v>
      </c>
    </row>
    <row r="1114" spans="1:10" x14ac:dyDescent="0.2">
      <c r="A1114" s="346" t="str">
        <f t="shared" ca="1" si="0"/>
        <v>弗罗斯特兰多的历史</v>
      </c>
      <c r="B1114" s="346" t="s">
        <v>7256</v>
      </c>
      <c r="C1114" s="243"/>
      <c r="D1114" s="243" t="s">
        <v>7257</v>
      </c>
      <c r="E1114" s="243"/>
      <c r="F1114" s="243" t="s">
        <v>7258</v>
      </c>
      <c r="G1114" s="53" t="s">
        <v>7259</v>
      </c>
      <c r="H1114" s="243" t="s">
        <v>7260</v>
      </c>
      <c r="I1114" s="243"/>
      <c r="J1114" s="243" t="s">
        <v>7261</v>
      </c>
    </row>
    <row r="1115" spans="1:10" x14ac:dyDescent="0.2">
      <c r="A1115" s="346" t="str">
        <f t="shared" ca="1" si="0"/>
        <v>伍多兰多的历史</v>
      </c>
      <c r="B1115" s="346" t="s">
        <v>7262</v>
      </c>
      <c r="C1115" s="243"/>
      <c r="D1115" s="243" t="s">
        <v>7263</v>
      </c>
      <c r="E1115" s="243"/>
      <c r="F1115" s="243" t="s">
        <v>7264</v>
      </c>
      <c r="G1115" s="53" t="s">
        <v>7265</v>
      </c>
      <c r="H1115" s="243" t="s">
        <v>7266</v>
      </c>
      <c r="I1115" s="243"/>
      <c r="J1115" s="243" t="s">
        <v>7267</v>
      </c>
    </row>
    <row r="1116" spans="1:10" x14ac:dyDescent="0.2">
      <c r="A1116" s="346" t="str">
        <f t="shared" ca="1" si="0"/>
        <v>养虎的方法</v>
      </c>
      <c r="B1116" s="346" t="s">
        <v>7268</v>
      </c>
      <c r="C1116" s="243"/>
      <c r="D1116" s="243" t="s">
        <v>7269</v>
      </c>
      <c r="E1116" s="243"/>
      <c r="F1116" s="243" t="s">
        <v>7270</v>
      </c>
      <c r="G1116" s="53" t="s">
        <v>7271</v>
      </c>
      <c r="H1116" s="243" t="s">
        <v>7272</v>
      </c>
      <c r="I1116" s="243"/>
      <c r="J1116" s="243" t="s">
        <v>7273</v>
      </c>
    </row>
    <row r="1117" spans="1:10" x14ac:dyDescent="0.2">
      <c r="A1117" s="346" t="str">
        <f t="shared" ca="1" si="0"/>
        <v>约书亚的弱点</v>
      </c>
      <c r="B1117" s="346" t="s">
        <v>7274</v>
      </c>
      <c r="C1117" s="243"/>
      <c r="D1117" s="243" t="s">
        <v>7275</v>
      </c>
      <c r="E1117" s="243"/>
      <c r="F1117" s="243" t="s">
        <v>7276</v>
      </c>
      <c r="G1117" s="53" t="s">
        <v>7277</v>
      </c>
      <c r="H1117" s="243" t="s">
        <v>7278</v>
      </c>
      <c r="I1117" s="243"/>
      <c r="J1117" s="243" t="s">
        <v>7279</v>
      </c>
    </row>
    <row r="1118" spans="1:10" x14ac:dyDescent="0.2">
      <c r="A1118" s="346" t="str">
        <f t="shared" ca="1" si="0"/>
        <v>新生活</v>
      </c>
      <c r="B1118" s="346" t="s">
        <v>7280</v>
      </c>
      <c r="C1118" s="243"/>
      <c r="D1118" s="243" t="s">
        <v>7281</v>
      </c>
      <c r="E1118" s="243"/>
      <c r="F1118" s="243" t="s">
        <v>7282</v>
      </c>
      <c r="G1118" s="53" t="s">
        <v>7283</v>
      </c>
      <c r="H1118" s="243" t="s">
        <v>7283</v>
      </c>
      <c r="I1118" s="243"/>
      <c r="J1118" s="243" t="s">
        <v>7284</v>
      </c>
    </row>
    <row r="1119" spans="1:10" x14ac:dyDescent="0.2">
      <c r="A1119" s="346" t="str">
        <f t="shared" ca="1" si="0"/>
        <v>图书馆员的证词</v>
      </c>
      <c r="B1119" s="346" t="s">
        <v>7285</v>
      </c>
      <c r="C1119" s="243" t="s">
        <v>7286</v>
      </c>
      <c r="D1119" s="243" t="s">
        <v>7287</v>
      </c>
      <c r="E1119" s="243"/>
      <c r="F1119" s="243" t="s">
        <v>7288</v>
      </c>
      <c r="G1119" s="53" t="s">
        <v>7289</v>
      </c>
      <c r="H1119" s="243" t="s">
        <v>7290</v>
      </c>
      <c r="I1119" s="243"/>
      <c r="J1119" s="243" t="s">
        <v>7291</v>
      </c>
    </row>
    <row r="1120" spans="1:10" x14ac:dyDescent="0.2">
      <c r="A1120" s="346" t="str">
        <f t="shared" ca="1" si="0"/>
        <v>义贼　玛尔达盗贼团</v>
      </c>
      <c r="B1120" s="346" t="s">
        <v>7292</v>
      </c>
      <c r="C1120" s="243"/>
      <c r="D1120" s="243" t="s">
        <v>7293</v>
      </c>
      <c r="E1120" s="243"/>
      <c r="F1120" s="243" t="s">
        <v>7294</v>
      </c>
      <c r="G1120" s="53" t="s">
        <v>7295</v>
      </c>
      <c r="H1120" s="243" t="s">
        <v>7296</v>
      </c>
      <c r="I1120" s="243"/>
      <c r="J1120" s="243" t="s">
        <v>7297</v>
      </c>
    </row>
    <row r="1121" spans="1:10" x14ac:dyDescent="0.2">
      <c r="A1121" s="346" t="str">
        <f t="shared" ca="1" si="0"/>
        <v>梅莉儿的过去</v>
      </c>
      <c r="B1121" s="346" t="s">
        <v>7298</v>
      </c>
      <c r="C1121" s="243" t="s">
        <v>7299</v>
      </c>
      <c r="D1121" s="243" t="s">
        <v>7300</v>
      </c>
      <c r="E1121" s="243"/>
      <c r="F1121" s="243" t="s">
        <v>7301</v>
      </c>
      <c r="G1121" s="53" t="s">
        <v>7302</v>
      </c>
      <c r="H1121" s="243" t="s">
        <v>7303</v>
      </c>
      <c r="I1121" s="243"/>
      <c r="J1121" s="243" t="s">
        <v>7304</v>
      </c>
    </row>
    <row r="1122" spans="1:10" x14ac:dyDescent="0.2">
      <c r="A1122" s="346" t="str">
        <f t="shared" ca="1" si="0"/>
        <v>蒙德尔的况状</v>
      </c>
      <c r="B1122" s="346" t="s">
        <v>7305</v>
      </c>
      <c r="C1122" s="243"/>
      <c r="D1122" s="243" t="s">
        <v>7306</v>
      </c>
      <c r="E1122" s="243"/>
      <c r="F1122" s="243" t="s">
        <v>7307</v>
      </c>
      <c r="G1122" s="53" t="s">
        <v>7308</v>
      </c>
      <c r="H1122" s="243" t="s">
        <v>7309</v>
      </c>
      <c r="I1122" s="243"/>
      <c r="J1122" s="243" t="s">
        <v>7310</v>
      </c>
    </row>
    <row r="1123" spans="1:10" x14ac:dyDescent="0.2">
      <c r="A1123" s="346" t="str">
        <f t="shared" ca="1" si="0"/>
        <v>咬了妮娜的魔物</v>
      </c>
      <c r="B1123" s="346" t="s">
        <v>7311</v>
      </c>
      <c r="C1123" s="243" t="s">
        <v>7312</v>
      </c>
      <c r="D1123" s="243" t="s">
        <v>7313</v>
      </c>
      <c r="E1123" s="243"/>
      <c r="F1123" s="243" t="s">
        <v>7314</v>
      </c>
      <c r="G1123" s="53" t="s">
        <v>7315</v>
      </c>
      <c r="H1123" s="243" t="s">
        <v>7315</v>
      </c>
      <c r="I1123" s="243"/>
      <c r="J1123" s="243" t="s">
        <v>7316</v>
      </c>
    </row>
    <row r="1124" spans="1:10" x14ac:dyDescent="0.2">
      <c r="A1124" s="346" t="str">
        <f t="shared" ca="1" si="0"/>
        <v>欧根的胡言乱语</v>
      </c>
      <c r="B1124" s="346" t="s">
        <v>7317</v>
      </c>
      <c r="C1124" s="243"/>
      <c r="D1124" s="243" t="s">
        <v>7318</v>
      </c>
      <c r="E1124" s="243"/>
      <c r="F1124" s="243" t="s">
        <v>7319</v>
      </c>
      <c r="G1124" s="53" t="s">
        <v>7320</v>
      </c>
      <c r="H1124" s="243" t="s">
        <v>7321</v>
      </c>
      <c r="I1124" s="243"/>
      <c r="J1124" s="243" t="s">
        <v>7322</v>
      </c>
    </row>
    <row r="1125" spans="1:10" x14ac:dyDescent="0.2">
      <c r="A1125" s="346" t="str">
        <f t="shared" ca="1" si="0"/>
        <v>西北方老婆婆的病情</v>
      </c>
      <c r="B1125" s="346" t="s">
        <v>7323</v>
      </c>
      <c r="C1125" s="243"/>
      <c r="D1125" s="243" t="s">
        <v>7324</v>
      </c>
      <c r="E1125" s="243"/>
      <c r="F1125" s="243" t="s">
        <v>7325</v>
      </c>
      <c r="G1125" s="53" t="s">
        <v>7326</v>
      </c>
      <c r="H1125" s="243" t="s">
        <v>7326</v>
      </c>
      <c r="I1125" s="243"/>
      <c r="J1125" s="243" t="s">
        <v>7327</v>
      </c>
    </row>
    <row r="1126" spans="1:10" x14ac:dyDescent="0.2">
      <c r="A1126" s="346" t="str">
        <f t="shared" ca="1" si="0"/>
        <v>东南方老婆婆的病情</v>
      </c>
      <c r="B1126" s="346" t="s">
        <v>7328</v>
      </c>
      <c r="C1126" s="243"/>
      <c r="D1126" s="243" t="s">
        <v>7329</v>
      </c>
      <c r="E1126" s="243"/>
      <c r="F1126" s="243" t="s">
        <v>7330</v>
      </c>
      <c r="G1126" s="53" t="s">
        <v>7331</v>
      </c>
      <c r="H1126" s="243" t="s">
        <v>7332</v>
      </c>
      <c r="I1126" s="243"/>
      <c r="J1126" s="243" t="s">
        <v>7333</v>
      </c>
    </row>
    <row r="1127" spans="1:10" x14ac:dyDescent="0.2">
      <c r="A1127" s="346" t="str">
        <f t="shared" ca="1" si="0"/>
        <v>改善贫民生活计画</v>
      </c>
      <c r="B1127" s="346" t="s">
        <v>7334</v>
      </c>
      <c r="C1127" s="243"/>
      <c r="D1127" s="243" t="s">
        <v>7335</v>
      </c>
      <c r="E1127" s="243"/>
      <c r="F1127" s="243" t="s">
        <v>7336</v>
      </c>
      <c r="G1127" s="53" t="s">
        <v>7337</v>
      </c>
      <c r="H1127" s="243" t="s">
        <v>7338</v>
      </c>
      <c r="I1127" s="243"/>
      <c r="J1127" s="243" t="s">
        <v>7339</v>
      </c>
    </row>
    <row r="1128" spans="1:10" x14ac:dyDescent="0.2">
      <c r="A1128" s="346" t="str">
        <f t="shared" ca="1" si="0"/>
        <v>某圣火骑士的传闻</v>
      </c>
      <c r="B1128" s="346" t="s">
        <v>7340</v>
      </c>
      <c r="C1128" s="243"/>
      <c r="D1128" s="243" t="s">
        <v>7341</v>
      </c>
      <c r="E1128" s="243"/>
      <c r="F1128" s="243" t="s">
        <v>7342</v>
      </c>
      <c r="G1128" s="53" t="s">
        <v>7343</v>
      </c>
      <c r="H1128" s="243" t="s">
        <v>7344</v>
      </c>
      <c r="I1128" s="243"/>
      <c r="J1128" s="243" t="s">
        <v>7345</v>
      </c>
    </row>
    <row r="1129" spans="1:10" x14ac:dyDescent="0.2">
      <c r="A1129" s="346" t="str">
        <f t="shared" ca="1" si="0"/>
        <v>拉塞尔的近况</v>
      </c>
      <c r="B1129" s="346" t="s">
        <v>7346</v>
      </c>
      <c r="C1129" s="243" t="s">
        <v>7347</v>
      </c>
      <c r="D1129" s="243" t="s">
        <v>7348</v>
      </c>
      <c r="E1129" s="243"/>
      <c r="F1129" s="243" t="s">
        <v>7349</v>
      </c>
      <c r="G1129" s="53" t="s">
        <v>7350</v>
      </c>
      <c r="H1129" s="243" t="s">
        <v>7351</v>
      </c>
      <c r="I1129" s="243"/>
      <c r="J1129" s="243" t="s">
        <v>7352</v>
      </c>
    </row>
    <row r="1130" spans="1:10" x14ac:dyDescent="0.2">
      <c r="A1130" s="346" t="str">
        <f t="shared" ca="1" si="0"/>
        <v>魔物操控人的传说</v>
      </c>
      <c r="B1130" s="346" t="s">
        <v>7353</v>
      </c>
      <c r="C1130" s="243"/>
      <c r="D1130" s="243" t="s">
        <v>7354</v>
      </c>
      <c r="E1130" s="243"/>
      <c r="F1130" s="243" t="s">
        <v>7355</v>
      </c>
      <c r="G1130" s="53" t="s">
        <v>7356</v>
      </c>
      <c r="H1130" s="243" t="s">
        <v>7357</v>
      </c>
      <c r="I1130" s="243"/>
      <c r="J1130" s="243" t="s">
        <v>7358</v>
      </c>
    </row>
    <row r="1131" spans="1:10" x14ac:dyDescent="0.2">
      <c r="A1131" s="346" t="str">
        <f t="shared" ca="1" si="0"/>
        <v>书被卖去哪里</v>
      </c>
      <c r="B1131" s="346" t="s">
        <v>7359</v>
      </c>
      <c r="C1131" s="243"/>
      <c r="D1131" s="243" t="s">
        <v>7360</v>
      </c>
      <c r="E1131" s="243"/>
      <c r="F1131" s="243" t="s">
        <v>7361</v>
      </c>
      <c r="G1131" s="53" t="s">
        <v>7362</v>
      </c>
      <c r="H1131" s="243" t="s">
        <v>7363</v>
      </c>
      <c r="I1131" s="243"/>
      <c r="J1131" s="243" t="s">
        <v>7364</v>
      </c>
    </row>
    <row r="1132" spans="1:10" x14ac:dyDescent="0.2">
      <c r="A1132" s="346" t="str">
        <f t="shared" ca="1" si="0"/>
        <v>贵族兰道尔最后的下场</v>
      </c>
      <c r="B1132" s="346" t="s">
        <v>7365</v>
      </c>
      <c r="C1132" s="243"/>
      <c r="D1132" s="243" t="s">
        <v>7366</v>
      </c>
      <c r="E1132" s="243"/>
      <c r="F1132" s="243" t="s">
        <v>7367</v>
      </c>
      <c r="G1132" s="53" t="s">
        <v>7368</v>
      </c>
      <c r="H1132" s="243" t="s">
        <v>7369</v>
      </c>
      <c r="I1132" s="243"/>
      <c r="J1132" s="243" t="s">
        <v>7370</v>
      </c>
    </row>
    <row r="1133" spans="1:10" x14ac:dyDescent="0.2">
      <c r="A1133" s="346" t="str">
        <f t="shared" ca="1" si="0"/>
        <v>艾巴霍多的堡垒</v>
      </c>
      <c r="B1133" s="346" t="s">
        <v>7371</v>
      </c>
      <c r="C1133" s="243"/>
      <c r="D1133" s="243" t="s">
        <v>7372</v>
      </c>
      <c r="E1133" s="243"/>
      <c r="F1133" s="243" t="s">
        <v>7373</v>
      </c>
      <c r="G1133" s="53" t="s">
        <v>7374</v>
      </c>
      <c r="H1133" s="243" t="s">
        <v>7375</v>
      </c>
      <c r="I1133" s="243"/>
      <c r="J1133" s="243" t="s">
        <v>7376</v>
      </c>
    </row>
    <row r="1134" spans="1:10" x14ac:dyDescent="0.2">
      <c r="A1134" s="346" t="str">
        <f t="shared" ca="1" si="0"/>
        <v>驱使大蛇的男子</v>
      </c>
      <c r="B1134" s="346" t="s">
        <v>7377</v>
      </c>
      <c r="C1134" s="243"/>
      <c r="D1134" s="243" t="s">
        <v>7378</v>
      </c>
      <c r="E1134" s="243"/>
      <c r="F1134" s="243" t="s">
        <v>7379</v>
      </c>
      <c r="G1134" s="53" t="s">
        <v>7380</v>
      </c>
      <c r="H1134" s="243" t="s">
        <v>7381</v>
      </c>
      <c r="I1134" s="243"/>
      <c r="J1134" s="243" t="s">
        <v>7382</v>
      </c>
    </row>
    <row r="1135" spans="1:10" x14ac:dyDescent="0.2">
      <c r="A1135" s="346" t="str">
        <f t="shared" ca="1" si="0"/>
        <v>守卫的近况</v>
      </c>
      <c r="B1135" s="346" t="s">
        <v>7383</v>
      </c>
      <c r="C1135" s="243" t="s">
        <v>7384</v>
      </c>
      <c r="D1135" s="243" t="s">
        <v>7385</v>
      </c>
      <c r="E1135" s="243"/>
      <c r="F1135" s="243" t="s">
        <v>7386</v>
      </c>
      <c r="G1135" s="53" t="s">
        <v>7387</v>
      </c>
      <c r="H1135" s="243" t="s">
        <v>7388</v>
      </c>
      <c r="I1135" s="243"/>
      <c r="J1135" s="243" t="s">
        <v>7389</v>
      </c>
    </row>
    <row r="1136" spans="1:10" x14ac:dyDescent="0.2">
      <c r="A1136" s="346" t="str">
        <f t="shared" ca="1" si="0"/>
        <v>校长的近况</v>
      </c>
      <c r="B1136" s="346" t="s">
        <v>7390</v>
      </c>
      <c r="C1136" s="243" t="s">
        <v>7391</v>
      </c>
      <c r="D1136" s="243" t="s">
        <v>7392</v>
      </c>
      <c r="E1136" s="243"/>
      <c r="F1136" s="243" t="s">
        <v>7393</v>
      </c>
      <c r="G1136" s="53" t="s">
        <v>7394</v>
      </c>
      <c r="H1136" s="243" t="s">
        <v>7395</v>
      </c>
      <c r="I1136" s="243"/>
      <c r="J1136" s="243" t="s">
        <v>7396</v>
      </c>
    </row>
    <row r="1137" spans="1:10" x14ac:dyDescent="0.2">
      <c r="A1137" s="346" t="str">
        <f t="shared" ca="1" si="0"/>
        <v>名为猛辣椒的植物</v>
      </c>
      <c r="B1137" s="346" t="s">
        <v>7397</v>
      </c>
      <c r="C1137" s="243"/>
      <c r="D1137" s="243" t="s">
        <v>7398</v>
      </c>
      <c r="E1137" s="243"/>
      <c r="F1137" s="243" t="s">
        <v>7399</v>
      </c>
      <c r="G1137" s="53" t="s">
        <v>7400</v>
      </c>
      <c r="H1137" s="243" t="s">
        <v>7401</v>
      </c>
      <c r="I1137" s="243"/>
      <c r="J1137" s="243" t="s">
        <v>7402</v>
      </c>
    </row>
    <row r="1138" spans="1:10" x14ac:dyDescent="0.2">
      <c r="A1138" s="346" t="str">
        <f t="shared" ca="1" si="0"/>
        <v>壁画的内容</v>
      </c>
      <c r="B1138" s="346" t="s">
        <v>7403</v>
      </c>
      <c r="C1138" s="243"/>
      <c r="D1138" s="243" t="s">
        <v>7404</v>
      </c>
      <c r="E1138" s="243"/>
      <c r="F1138" s="243" t="s">
        <v>7405</v>
      </c>
      <c r="G1138" s="53" t="s">
        <v>7406</v>
      </c>
      <c r="H1138" s="243" t="s">
        <v>7407</v>
      </c>
      <c r="I1138" s="243"/>
      <c r="J1138" s="243" t="s">
        <v>7408</v>
      </c>
    </row>
    <row r="1139" spans="1:10" x14ac:dyDescent="0.2">
      <c r="A1139" s="346" t="str">
        <f t="shared" ca="1" si="0"/>
        <v>下水道的情报</v>
      </c>
      <c r="B1139" s="346" t="s">
        <v>3324</v>
      </c>
      <c r="C1139" s="243" t="s">
        <v>7409</v>
      </c>
      <c r="D1139" s="243" t="s">
        <v>3326</v>
      </c>
      <c r="E1139" s="243"/>
      <c r="F1139" s="243" t="s">
        <v>3327</v>
      </c>
      <c r="G1139" s="53" t="s">
        <v>7410</v>
      </c>
      <c r="H1139" s="243" t="s">
        <v>7411</v>
      </c>
      <c r="I1139" s="243"/>
      <c r="J1139" s="243" t="s">
        <v>7412</v>
      </c>
    </row>
    <row r="1140" spans="1:10" x14ac:dyDescent="0.2">
      <c r="A1140" s="346" t="str">
        <f t="shared" ca="1" si="0"/>
        <v>索克拉丝之诗</v>
      </c>
      <c r="B1140" s="346" t="s">
        <v>7413</v>
      </c>
      <c r="C1140" s="243"/>
      <c r="D1140" s="243" t="s">
        <v>7414</v>
      </c>
      <c r="E1140" s="243"/>
      <c r="F1140" s="243" t="s">
        <v>7415</v>
      </c>
      <c r="G1140" s="53" t="s">
        <v>7416</v>
      </c>
      <c r="H1140" s="243" t="s">
        <v>7417</v>
      </c>
      <c r="I1140" s="243"/>
      <c r="J1140" s="243" t="s">
        <v>7418</v>
      </c>
    </row>
    <row r="1141" spans="1:10" x14ac:dyDescent="0.2">
      <c r="A1141" s="346" t="str">
        <f t="shared" ca="1" si="0"/>
        <v>感情很好的老婆婆们</v>
      </c>
      <c r="B1141" s="346" t="s">
        <v>7419</v>
      </c>
      <c r="C1141" s="243"/>
      <c r="D1141" s="243" t="s">
        <v>7420</v>
      </c>
      <c r="E1141" s="243"/>
      <c r="F1141" s="243" t="s">
        <v>7421</v>
      </c>
      <c r="G1141" s="93" t="s">
        <v>7422</v>
      </c>
      <c r="H1141" s="243" t="s">
        <v>7423</v>
      </c>
      <c r="I1141" s="243"/>
      <c r="J1141" s="243" t="s">
        <v>7424</v>
      </c>
    </row>
    <row r="1142" spans="1:10" x14ac:dyDescent="0.2">
      <c r="A1142" s="346" t="str">
        <f t="shared" ca="1" si="0"/>
        <v>《十二天之书第７卷》</v>
      </c>
      <c r="B1142" s="346" t="s">
        <v>7425</v>
      </c>
      <c r="C1142" s="243"/>
      <c r="D1142" s="243" t="s">
        <v>7426</v>
      </c>
      <c r="E1142" s="243"/>
      <c r="F1142" s="243" t="s">
        <v>7427</v>
      </c>
      <c r="G1142" s="53" t="s">
        <v>7428</v>
      </c>
      <c r="H1142" s="243" t="s">
        <v>7429</v>
      </c>
      <c r="I1142" s="243"/>
      <c r="J1142" s="243" t="s">
        <v>7430</v>
      </c>
    </row>
    <row r="1143" spans="1:10" x14ac:dyDescent="0.2">
      <c r="A1143" s="346" t="str">
        <f t="shared" ca="1" si="0"/>
        <v>凡妮莎的去向</v>
      </c>
      <c r="B1143" s="346" t="s">
        <v>7431</v>
      </c>
      <c r="C1143" s="243"/>
      <c r="D1143" s="243" t="s">
        <v>7432</v>
      </c>
      <c r="E1143" s="243"/>
      <c r="F1143" s="243" t="s">
        <v>7433</v>
      </c>
      <c r="G1143" s="53" t="s">
        <v>7434</v>
      </c>
      <c r="H1143" s="243" t="s">
        <v>7434</v>
      </c>
      <c r="I1143" s="243"/>
      <c r="J1143" s="243" t="s">
        <v>7435</v>
      </c>
    </row>
    <row r="1144" spans="1:10" x14ac:dyDescent="0.2">
      <c r="A1144" s="346" t="str">
        <f t="shared" ca="1" si="0"/>
        <v>大狼出现的地方</v>
      </c>
      <c r="B1144" s="346" t="s">
        <v>7436</v>
      </c>
      <c r="C1144" s="243"/>
      <c r="D1144" s="243" t="s">
        <v>7437</v>
      </c>
      <c r="E1144" s="243"/>
      <c r="F1144" s="243" t="s">
        <v>7438</v>
      </c>
      <c r="G1144" s="53" t="s">
        <v>7439</v>
      </c>
      <c r="H1144" s="243" t="s">
        <v>7440</v>
      </c>
      <c r="I1144" s="243"/>
      <c r="J1144" s="243" t="s">
        <v>7441</v>
      </c>
    </row>
    <row r="1145" spans="1:10" x14ac:dyDescent="0.2">
      <c r="A1145" s="346" t="str">
        <f t="shared" ca="1" si="0"/>
        <v>大牙野猪的生态</v>
      </c>
      <c r="B1145" s="346" t="s">
        <v>7442</v>
      </c>
      <c r="C1145" s="243"/>
      <c r="D1145" s="243" t="s">
        <v>7443</v>
      </c>
      <c r="E1145" s="243"/>
      <c r="F1145" s="243" t="s">
        <v>7444</v>
      </c>
      <c r="G1145" s="53" t="s">
        <v>7445</v>
      </c>
      <c r="H1145" s="243" t="s">
        <v>7446</v>
      </c>
      <c r="I1145" s="243"/>
      <c r="J1145" s="243" t="s">
        <v>7447</v>
      </c>
    </row>
    <row r="1146" spans="1:10" x14ac:dyDescent="0.2">
      <c r="A1146" s="346" t="str">
        <f t="shared" ca="1" si="0"/>
        <v>冰之巨人沉眠之处</v>
      </c>
      <c r="B1146" s="346" t="s">
        <v>7448</v>
      </c>
      <c r="C1146" s="243"/>
      <c r="D1146" s="243" t="s">
        <v>7449</v>
      </c>
      <c r="E1146" s="243"/>
      <c r="F1146" s="243" t="s">
        <v>7450</v>
      </c>
      <c r="G1146" s="53" t="s">
        <v>7451</v>
      </c>
      <c r="H1146" s="243" t="s">
        <v>7452</v>
      </c>
      <c r="I1146" s="243"/>
      <c r="J1146" s="243" t="s">
        <v>7453</v>
      </c>
    </row>
    <row r="1147" spans="1:10" x14ac:dyDescent="0.2">
      <c r="A1147" s="346" t="str">
        <f t="shared" ca="1" si="0"/>
        <v>事件的发生地点</v>
      </c>
      <c r="B1147" s="346" t="s">
        <v>7454</v>
      </c>
      <c r="C1147" s="243"/>
      <c r="D1147" s="243" t="s">
        <v>7455</v>
      </c>
      <c r="E1147" s="243"/>
      <c r="F1147" s="243" t="s">
        <v>7456</v>
      </c>
      <c r="G1147" s="53" t="s">
        <v>7457</v>
      </c>
      <c r="H1147" s="243" t="s">
        <v>7458</v>
      </c>
      <c r="I1147" s="243"/>
      <c r="J1147" s="243" t="s">
        <v>7459</v>
      </c>
    </row>
    <row r="1148" spans="1:10" x14ac:dyDescent="0.2">
      <c r="A1148" s="346" t="str">
        <f t="shared" ca="1" si="0"/>
        <v>不去扫墓的理由</v>
      </c>
      <c r="B1148" s="346" t="s">
        <v>7460</v>
      </c>
      <c r="C1148" s="243"/>
      <c r="D1148" s="243" t="s">
        <v>7461</v>
      </c>
      <c r="E1148" s="243"/>
      <c r="F1148" s="243" t="s">
        <v>7462</v>
      </c>
      <c r="G1148" s="53" t="s">
        <v>7463</v>
      </c>
      <c r="H1148" s="243" t="s">
        <v>7464</v>
      </c>
      <c r="I1148" s="243"/>
      <c r="J1148" s="243" t="s">
        <v>7465</v>
      </c>
    </row>
    <row r="1149" spans="1:10" x14ac:dyDescent="0.2">
      <c r="A1149" s="346" t="str">
        <f t="shared" ca="1" si="0"/>
        <v>目击证词</v>
      </c>
      <c r="B1149" s="346" t="s">
        <v>7466</v>
      </c>
      <c r="C1149" s="243"/>
      <c r="D1149" s="243" t="s">
        <v>7467</v>
      </c>
      <c r="E1149" s="243"/>
      <c r="F1149" s="243" t="s">
        <v>7468</v>
      </c>
      <c r="G1149" s="53" t="s">
        <v>7469</v>
      </c>
      <c r="H1149" s="243" t="s">
        <v>7470</v>
      </c>
      <c r="I1149" s="243"/>
      <c r="J1149" s="243" t="s">
        <v>7471</v>
      </c>
    </row>
    <row r="1150" spans="1:10" x14ac:dyDescent="0.2">
      <c r="A1150" s="344" t="str">
        <f t="shared" ca="1" si="0"/>
        <v>怪物</v>
      </c>
      <c r="B1150" s="280" t="s">
        <v>7472</v>
      </c>
      <c r="C1150" s="280" t="s">
        <v>7473</v>
      </c>
      <c r="D1150" s="280" t="s">
        <v>7474</v>
      </c>
      <c r="E1150" s="280"/>
      <c r="F1150" s="280"/>
      <c r="G1150" s="344" t="s">
        <v>7475</v>
      </c>
      <c r="H1150" s="280" t="s">
        <v>7476</v>
      </c>
      <c r="I1150" s="280"/>
      <c r="J1150" s="280" t="s">
        <v>538</v>
      </c>
    </row>
    <row r="1151" spans="1:10" x14ac:dyDescent="0.2">
      <c r="A1151" s="93" t="str">
        <f t="shared" ca="1" si="0"/>
        <v>冰冻的盔甲</v>
      </c>
      <c r="B1151" s="53" t="s">
        <v>7477</v>
      </c>
      <c r="C1151" s="282"/>
      <c r="D1151" s="282" t="s">
        <v>7478</v>
      </c>
      <c r="E1151" s="282"/>
      <c r="F1151" s="282" t="s">
        <v>7479</v>
      </c>
      <c r="G1151" s="93" t="s">
        <v>7480</v>
      </c>
      <c r="H1151" s="282" t="s">
        <v>7481</v>
      </c>
      <c r="I1151" s="282"/>
      <c r="J1151" s="282"/>
    </row>
    <row r="1152" spans="1:10" x14ac:dyDescent="0.2">
      <c r="A1152" s="93" t="str">
        <f t="shared" ca="1" si="0"/>
        <v>断指蚁</v>
      </c>
      <c r="B1152" s="93" t="s">
        <v>7482</v>
      </c>
      <c r="C1152" s="282"/>
      <c r="D1152" s="282" t="s">
        <v>7483</v>
      </c>
      <c r="E1152" s="282"/>
      <c r="F1152" s="282" t="s">
        <v>7484</v>
      </c>
      <c r="G1152" s="93" t="s">
        <v>7485</v>
      </c>
      <c r="H1152" s="282" t="s">
        <v>7486</v>
      </c>
      <c r="I1152" s="282"/>
      <c r="J1152" s="282"/>
    </row>
    <row r="1153" spans="1:10" x14ac:dyDescent="0.2">
      <c r="A1153" s="93" t="str">
        <f t="shared" ca="1" si="0"/>
        <v>白蝙蝠异种</v>
      </c>
      <c r="B1153" s="93" t="s">
        <v>7487</v>
      </c>
      <c r="C1153" s="282" t="s">
        <v>7488</v>
      </c>
      <c r="D1153" s="282" t="s">
        <v>7489</v>
      </c>
      <c r="E1153" s="282"/>
      <c r="F1153" s="282" t="s">
        <v>7490</v>
      </c>
      <c r="G1153" s="93" t="s">
        <v>7491</v>
      </c>
      <c r="H1153" s="282" t="s">
        <v>7492</v>
      </c>
      <c r="I1153" s="282"/>
      <c r="J1153" s="282"/>
    </row>
    <row r="1154" spans="1:10" x14ac:dyDescent="0.2">
      <c r="A1154" s="93" t="str">
        <f t="shared" ca="1" si="0"/>
        <v>行走骷髅</v>
      </c>
      <c r="B1154" s="93" t="s">
        <v>7493</v>
      </c>
      <c r="C1154" s="282"/>
      <c r="D1154" s="282" t="s">
        <v>7494</v>
      </c>
      <c r="E1154" s="282"/>
      <c r="F1154" s="282" t="s">
        <v>7495</v>
      </c>
      <c r="G1154" s="93" t="s">
        <v>7496</v>
      </c>
      <c r="H1154" s="282" t="s">
        <v>7497</v>
      </c>
      <c r="I1154" s="282"/>
      <c r="J1154" s="282"/>
    </row>
    <row r="1155" spans="1:10" x14ac:dyDescent="0.2">
      <c r="A1155" s="93" t="str">
        <f t="shared" ca="1" si="0"/>
        <v>腐朽的盔甲</v>
      </c>
      <c r="B1155" s="93" t="s">
        <v>7498</v>
      </c>
      <c r="C1155" s="282"/>
      <c r="D1155" s="282" t="s">
        <v>7499</v>
      </c>
      <c r="E1155" s="282"/>
      <c r="F1155" s="282" t="s">
        <v>7500</v>
      </c>
      <c r="G1155" s="93" t="s">
        <v>7501</v>
      </c>
      <c r="H1155" s="282" t="s">
        <v>7501</v>
      </c>
      <c r="I1155" s="282"/>
      <c r="J1155" s="282"/>
    </row>
    <row r="1156" spans="1:10" x14ac:dyDescent="0.2">
      <c r="A1156" s="93" t="str">
        <f t="shared" ca="1" si="0"/>
        <v>断指蚁异种</v>
      </c>
      <c r="B1156" s="93" t="s">
        <v>7502</v>
      </c>
      <c r="C1156" s="282"/>
      <c r="D1156" s="282" t="s">
        <v>7503</v>
      </c>
      <c r="E1156" s="282"/>
      <c r="F1156" s="282" t="s">
        <v>7504</v>
      </c>
      <c r="G1156" s="93" t="s">
        <v>7505</v>
      </c>
      <c r="H1156" s="282" t="s">
        <v>7506</v>
      </c>
      <c r="I1156" s="282"/>
      <c r="J1156" s="282"/>
    </row>
    <row r="1157" spans="1:10" x14ac:dyDescent="0.2">
      <c r="A1157" s="93" t="str">
        <f t="shared" ca="1" si="0"/>
        <v>盔甲蜥蜴</v>
      </c>
      <c r="B1157" s="93" t="s">
        <v>7507</v>
      </c>
      <c r="C1157" s="282"/>
      <c r="D1157" s="282" t="s">
        <v>7508</v>
      </c>
      <c r="E1157" s="282"/>
      <c r="F1157" s="282" t="s">
        <v>7509</v>
      </c>
      <c r="G1157" s="93" t="s">
        <v>7510</v>
      </c>
      <c r="H1157" s="282" t="s">
        <v>7510</v>
      </c>
      <c r="I1157" s="282"/>
      <c r="J1157" s="282"/>
    </row>
    <row r="1158" spans="1:10" x14ac:dyDescent="0.2">
      <c r="A1158" s="93" t="str">
        <f t="shared" ca="1" si="0"/>
        <v>咬噬蚁</v>
      </c>
      <c r="B1158" s="93" t="s">
        <v>7511</v>
      </c>
      <c r="C1158" s="282"/>
      <c r="D1158" s="282" t="s">
        <v>7512</v>
      </c>
      <c r="E1158" s="282"/>
      <c r="F1158" s="282" t="s">
        <v>7513</v>
      </c>
      <c r="G1158" s="93" t="s">
        <v>7514</v>
      </c>
      <c r="H1158" s="282" t="s">
        <v>7515</v>
      </c>
      <c r="I1158" s="282"/>
      <c r="J1158" s="282"/>
    </row>
    <row r="1159" spans="1:10" x14ac:dyDescent="0.2">
      <c r="A1159" s="93" t="str">
        <f t="shared" ca="1" si="0"/>
        <v>高地乌鸦</v>
      </c>
      <c r="B1159" s="93" t="s">
        <v>7516</v>
      </c>
      <c r="C1159" s="282"/>
      <c r="D1159" s="282" t="s">
        <v>7517</v>
      </c>
      <c r="E1159" s="282"/>
      <c r="F1159" s="282" t="s">
        <v>7518</v>
      </c>
      <c r="G1159" s="93" t="s">
        <v>7519</v>
      </c>
      <c r="H1159" s="282" t="s">
        <v>7520</v>
      </c>
      <c r="I1159" s="282"/>
      <c r="J1159" s="282"/>
    </row>
    <row r="1160" spans="1:10" x14ac:dyDescent="0.2">
      <c r="A1160" s="93" t="str">
        <f t="shared" ca="1" si="0"/>
        <v>杀手虫</v>
      </c>
      <c r="B1160" s="93" t="s">
        <v>7521</v>
      </c>
      <c r="C1160" s="282"/>
      <c r="D1160" s="282" t="s">
        <v>7522</v>
      </c>
      <c r="E1160" s="282"/>
      <c r="F1160" s="282" t="s">
        <v>7523</v>
      </c>
      <c r="G1160" s="93" t="s">
        <v>7524</v>
      </c>
      <c r="H1160" s="282" t="s">
        <v>7525</v>
      </c>
      <c r="I1160" s="282"/>
      <c r="J1160" s="282"/>
    </row>
    <row r="1161" spans="1:10" x14ac:dyDescent="0.2">
      <c r="A1161" s="93" t="str">
        <f t="shared" ca="1" si="0"/>
        <v>大雪蘑菇</v>
      </c>
      <c r="B1161" s="93" t="s">
        <v>7526</v>
      </c>
      <c r="C1161" s="282"/>
      <c r="D1161" s="282" t="s">
        <v>7527</v>
      </c>
      <c r="E1161" s="282"/>
      <c r="F1161" s="282" t="s">
        <v>7528</v>
      </c>
      <c r="G1161" s="93" t="s">
        <v>7529</v>
      </c>
      <c r="H1161" s="282" t="s">
        <v>7529</v>
      </c>
      <c r="I1161" s="282"/>
      <c r="J1161" s="282"/>
    </row>
    <row r="1162" spans="1:10" x14ac:dyDescent="0.2">
      <c r="A1162" s="93" t="str">
        <f t="shared" ca="1" si="0"/>
        <v>蓝苔海胆</v>
      </c>
      <c r="B1162" s="93" t="s">
        <v>7530</v>
      </c>
      <c r="C1162" s="282"/>
      <c r="D1162" s="282" t="s">
        <v>7531</v>
      </c>
      <c r="E1162" s="282"/>
      <c r="F1162" s="282" t="s">
        <v>7532</v>
      </c>
      <c r="G1162" s="93" t="s">
        <v>7533</v>
      </c>
      <c r="H1162" s="282" t="s">
        <v>7534</v>
      </c>
      <c r="I1162" s="282"/>
      <c r="J1162" s="282"/>
    </row>
    <row r="1163" spans="1:10" x14ac:dyDescent="0.2">
      <c r="A1163" s="93" t="str">
        <f t="shared" ca="1" si="0"/>
        <v>山贼骷髅</v>
      </c>
      <c r="B1163" s="93" t="s">
        <v>7535</v>
      </c>
      <c r="C1163" s="282"/>
      <c r="D1163" s="282" t="s">
        <v>7536</v>
      </c>
      <c r="E1163" s="282"/>
      <c r="F1163" s="282" t="s">
        <v>7537</v>
      </c>
      <c r="G1163" s="93" t="s">
        <v>7538</v>
      </c>
      <c r="H1163" s="282" t="s">
        <v>7539</v>
      </c>
      <c r="I1163" s="282"/>
      <c r="J1163" s="282"/>
    </row>
    <row r="1164" spans="1:10" x14ac:dyDescent="0.2">
      <c r="A1164" s="93" t="str">
        <f t="shared" ca="1" si="0"/>
        <v>蓝苔蝙蝠</v>
      </c>
      <c r="B1164" s="93" t="s">
        <v>7540</v>
      </c>
      <c r="C1164" s="282"/>
      <c r="D1164" s="282" t="s">
        <v>7541</v>
      </c>
      <c r="E1164" s="282"/>
      <c r="F1164" s="282" t="s">
        <v>7542</v>
      </c>
      <c r="G1164" s="93" t="s">
        <v>7543</v>
      </c>
      <c r="H1164" s="282" t="s">
        <v>7544</v>
      </c>
      <c r="I1164" s="282"/>
      <c r="J1164" s="282"/>
    </row>
    <row r="1165" spans="1:10" x14ac:dyDescent="0.2">
      <c r="A1165" s="93" t="str">
        <f t="shared" ca="1" si="0"/>
        <v>蓝苔蟹</v>
      </c>
      <c r="B1165" s="93" t="s">
        <v>7545</v>
      </c>
      <c r="C1165" s="282"/>
      <c r="D1165" s="282" t="s">
        <v>7546</v>
      </c>
      <c r="E1165" s="282"/>
      <c r="F1165" s="282" t="s">
        <v>7547</v>
      </c>
      <c r="G1165" s="93" t="s">
        <v>7548</v>
      </c>
      <c r="H1165" s="282" t="s">
        <v>7549</v>
      </c>
      <c r="I1165" s="282"/>
      <c r="J1165" s="282"/>
    </row>
    <row r="1166" spans="1:10" x14ac:dyDescent="0.2">
      <c r="A1166" s="93" t="str">
        <f t="shared" ca="1" si="0"/>
        <v>蓝苔龟</v>
      </c>
      <c r="B1166" s="93" t="s">
        <v>7550</v>
      </c>
      <c r="C1166" s="282"/>
      <c r="D1166" s="282" t="s">
        <v>7551</v>
      </c>
      <c r="E1166" s="282"/>
      <c r="F1166" s="52" t="s">
        <v>7552</v>
      </c>
      <c r="G1166" s="93" t="s">
        <v>7553</v>
      </c>
      <c r="H1166" s="282" t="s">
        <v>7554</v>
      </c>
      <c r="I1166" s="282"/>
      <c r="J1166" s="282"/>
    </row>
    <row r="1167" spans="1:10" x14ac:dyDescent="0.2">
      <c r="A1167" s="93" t="str">
        <f t="shared" ca="1" si="0"/>
        <v>黑炎教信徒 I</v>
      </c>
      <c r="B1167" s="93" t="s">
        <v>7555</v>
      </c>
      <c r="C1167" s="282"/>
      <c r="D1167" s="282" t="s">
        <v>7556</v>
      </c>
      <c r="E1167" s="282"/>
      <c r="F1167" s="282" t="s">
        <v>7557</v>
      </c>
      <c r="G1167" s="93" t="s">
        <v>7558</v>
      </c>
      <c r="H1167" s="282" t="s">
        <v>7558</v>
      </c>
      <c r="I1167" s="282"/>
      <c r="J1167" s="282"/>
    </row>
    <row r="1168" spans="1:10" x14ac:dyDescent="0.2">
      <c r="A1168" s="93" t="str">
        <f t="shared" ca="1" si="0"/>
        <v>黑炎教信徒 II</v>
      </c>
      <c r="B1168" s="93" t="s">
        <v>7559</v>
      </c>
      <c r="C1168" s="282"/>
      <c r="D1168" s="282" t="s">
        <v>7560</v>
      </c>
      <c r="E1168" s="282"/>
      <c r="F1168" s="282" t="s">
        <v>7561</v>
      </c>
      <c r="G1168" s="93" t="s">
        <v>7562</v>
      </c>
      <c r="H1168" s="282" t="s">
        <v>7562</v>
      </c>
      <c r="I1168" s="282"/>
      <c r="J1168" s="282"/>
    </row>
    <row r="1169" spans="1:10" x14ac:dyDescent="0.2">
      <c r="A1169" s="93" t="str">
        <f t="shared" ca="1" si="0"/>
        <v>黑蝙蝠</v>
      </c>
      <c r="B1169" s="93" t="s">
        <v>7563</v>
      </c>
      <c r="C1169" s="282"/>
      <c r="D1169" s="282" t="s">
        <v>7564</v>
      </c>
      <c r="E1169" s="282"/>
      <c r="F1169" s="282" t="s">
        <v>7565</v>
      </c>
      <c r="G1169" s="93" t="s">
        <v>7566</v>
      </c>
      <c r="H1169" s="282" t="s">
        <v>7566</v>
      </c>
      <c r="I1169" s="282"/>
      <c r="J1169" s="282"/>
    </row>
    <row r="1170" spans="1:10" x14ac:dyDescent="0.2">
      <c r="A1170" s="93" t="str">
        <f t="shared" ca="1" si="0"/>
        <v>黑咆哮者</v>
      </c>
      <c r="B1170" s="93" t="s">
        <v>7567</v>
      </c>
      <c r="C1170" s="282"/>
      <c r="D1170" s="282" t="s">
        <v>7568</v>
      </c>
      <c r="E1170" s="282"/>
      <c r="F1170" s="282" t="s">
        <v>7569</v>
      </c>
      <c r="G1170" s="93" t="s">
        <v>7570</v>
      </c>
      <c r="H1170" s="282" t="s">
        <v>7570</v>
      </c>
      <c r="I1170" s="282"/>
      <c r="J1170" s="282"/>
    </row>
    <row r="1171" spans="1:10" x14ac:dyDescent="0.2">
      <c r="A1171" s="93" t="str">
        <f t="shared" ca="1" si="0"/>
        <v>黑剪蟹</v>
      </c>
      <c r="B1171" s="93" t="s">
        <v>7571</v>
      </c>
      <c r="C1171" s="282" t="s">
        <v>7572</v>
      </c>
      <c r="D1171" s="282" t="s">
        <v>7573</v>
      </c>
      <c r="E1171" s="282"/>
      <c r="F1171" s="282" t="s">
        <v>7574</v>
      </c>
      <c r="G1171" s="93" t="s">
        <v>7575</v>
      </c>
      <c r="H1171" s="282" t="s">
        <v>7575</v>
      </c>
      <c r="I1171" s="282"/>
      <c r="J1171" s="282"/>
    </row>
    <row r="1172" spans="1:10" x14ac:dyDescent="0.2">
      <c r="A1172" s="93" t="str">
        <f t="shared" ca="1" si="0"/>
        <v>古代遗物（兽）・赤型</v>
      </c>
      <c r="B1172" s="93" t="s">
        <v>7576</v>
      </c>
      <c r="C1172" s="282"/>
      <c r="D1172" s="282" t="s">
        <v>7577</v>
      </c>
      <c r="E1172" s="282"/>
      <c r="F1172" s="282" t="s">
        <v>7578</v>
      </c>
      <c r="G1172" s="93" t="s">
        <v>7579</v>
      </c>
      <c r="H1172" s="282" t="s">
        <v>7580</v>
      </c>
      <c r="I1172" s="282"/>
      <c r="J1172" s="282"/>
    </row>
    <row r="1173" spans="1:10" x14ac:dyDescent="0.2">
      <c r="A1173" s="93" t="str">
        <f t="shared" ca="1" si="0"/>
        <v>古代遗物・赤兵</v>
      </c>
      <c r="B1173" s="93" t="s">
        <v>7581</v>
      </c>
      <c r="C1173" s="282"/>
      <c r="D1173" s="282" t="s">
        <v>7582</v>
      </c>
      <c r="E1173" s="282"/>
      <c r="F1173" s="282" t="s">
        <v>7583</v>
      </c>
      <c r="G1173" s="93" t="s">
        <v>7584</v>
      </c>
      <c r="H1173" s="282" t="s">
        <v>7585</v>
      </c>
      <c r="I1173" s="282"/>
      <c r="J1173" s="282"/>
    </row>
    <row r="1174" spans="1:10" x14ac:dyDescent="0.2">
      <c r="A1174" s="93" t="str">
        <f t="shared" ca="1" si="0"/>
        <v>红蛇异种</v>
      </c>
      <c r="B1174" s="93" t="s">
        <v>7586</v>
      </c>
      <c r="C1174" s="282" t="s">
        <v>7587</v>
      </c>
      <c r="D1174" s="282" t="s">
        <v>7588</v>
      </c>
      <c r="E1174" s="282"/>
      <c r="F1174" s="282" t="s">
        <v>7589</v>
      </c>
      <c r="G1174" s="93" t="s">
        <v>7590</v>
      </c>
      <c r="H1174" s="282" t="s">
        <v>7591</v>
      </c>
      <c r="I1174" s="282"/>
      <c r="J1174" s="282"/>
    </row>
    <row r="1175" spans="1:10" x14ac:dyDescent="0.2">
      <c r="A1175" s="93" t="str">
        <f t="shared" ca="1" si="0"/>
        <v>血腥猛牛</v>
      </c>
      <c r="B1175" s="93" t="s">
        <v>7592</v>
      </c>
      <c r="C1175" s="282"/>
      <c r="D1175" s="282" t="s">
        <v>7593</v>
      </c>
      <c r="E1175" s="282"/>
      <c r="F1175" s="282" t="s">
        <v>7594</v>
      </c>
      <c r="G1175" s="93" t="s">
        <v>7595</v>
      </c>
      <c r="H1175" s="282" t="s">
        <v>7595</v>
      </c>
      <c r="I1175" s="282"/>
      <c r="J1175" s="282"/>
    </row>
    <row r="1176" spans="1:10" x14ac:dyDescent="0.2">
      <c r="A1176" s="93" t="str">
        <f t="shared" ca="1" si="0"/>
        <v>红猛角犀牛</v>
      </c>
      <c r="B1176" s="93" t="s">
        <v>7596</v>
      </c>
      <c r="C1176" s="282"/>
      <c r="D1176" s="282" t="s">
        <v>7597</v>
      </c>
      <c r="E1176" s="282"/>
      <c r="F1176" s="282" t="s">
        <v>7598</v>
      </c>
      <c r="G1176" s="93" t="s">
        <v>7599</v>
      </c>
      <c r="H1176" s="282" t="s">
        <v>7600</v>
      </c>
      <c r="I1176" s="282"/>
      <c r="J1176" s="282"/>
    </row>
    <row r="1177" spans="1:10" x14ac:dyDescent="0.2">
      <c r="A1177" s="93" t="str">
        <f t="shared" ca="1" si="0"/>
        <v>蓝猛牛</v>
      </c>
      <c r="B1177" s="93" t="s">
        <v>7601</v>
      </c>
      <c r="C1177" s="282"/>
      <c r="D1177" s="282" t="s">
        <v>7602</v>
      </c>
      <c r="E1177" s="282"/>
      <c r="F1177" s="282" t="s">
        <v>7603</v>
      </c>
      <c r="G1177" s="93" t="s">
        <v>7604</v>
      </c>
      <c r="H1177" s="282" t="s">
        <v>7605</v>
      </c>
      <c r="I1177" s="282"/>
      <c r="J1177" s="282"/>
    </row>
    <row r="1178" spans="1:10" x14ac:dyDescent="0.2">
      <c r="A1178" s="93" t="str">
        <f t="shared" ca="1" si="0"/>
        <v>保镖 I</v>
      </c>
      <c r="B1178" s="93" t="s">
        <v>7606</v>
      </c>
      <c r="C1178" s="282"/>
      <c r="D1178" s="282" t="s">
        <v>7607</v>
      </c>
      <c r="E1178" s="282"/>
      <c r="F1178" s="282" t="s">
        <v>7608</v>
      </c>
      <c r="G1178" s="93" t="s">
        <v>7609</v>
      </c>
      <c r="H1178" s="282" t="s">
        <v>7610</v>
      </c>
      <c r="I1178" s="282"/>
      <c r="J1178" s="282"/>
    </row>
    <row r="1179" spans="1:10" x14ac:dyDescent="0.2">
      <c r="A1179" s="93" t="str">
        <f t="shared" ca="1" si="0"/>
        <v>保镖 II</v>
      </c>
      <c r="B1179" s="93" t="s">
        <v>7611</v>
      </c>
      <c r="C1179" s="282"/>
      <c r="D1179" s="282" t="s">
        <v>7612</v>
      </c>
      <c r="E1179" s="282"/>
      <c r="F1179" s="282" t="s">
        <v>7613</v>
      </c>
      <c r="G1179" s="93" t="s">
        <v>7614</v>
      </c>
      <c r="H1179" s="282" t="s">
        <v>7615</v>
      </c>
      <c r="I1179" s="282"/>
      <c r="J1179" s="282"/>
    </row>
    <row r="1180" spans="1:10" x14ac:dyDescent="0.2">
      <c r="A1180" s="93" t="str">
        <f t="shared" ca="1" si="0"/>
        <v>战士骷髅异种</v>
      </c>
      <c r="B1180" s="93" t="s">
        <v>7616</v>
      </c>
      <c r="C1180" s="282"/>
      <c r="D1180" s="282" t="s">
        <v>7617</v>
      </c>
      <c r="E1180" s="282"/>
      <c r="F1180" s="282" t="s">
        <v>7618</v>
      </c>
      <c r="G1180" s="93" t="s">
        <v>7619</v>
      </c>
      <c r="H1180" s="282" t="s">
        <v>7620</v>
      </c>
      <c r="I1180" s="282"/>
      <c r="J1180" s="282"/>
    </row>
    <row r="1181" spans="1:10" x14ac:dyDescent="0.2">
      <c r="A1181" s="93" t="str">
        <f t="shared" ca="1" si="0"/>
        <v>山贼 I</v>
      </c>
      <c r="B1181" s="93" t="s">
        <v>7621</v>
      </c>
      <c r="C1181" s="282" t="s">
        <v>7622</v>
      </c>
      <c r="D1181" s="282" t="s">
        <v>7621</v>
      </c>
      <c r="E1181" s="282"/>
      <c r="F1181" s="282" t="s">
        <v>7623</v>
      </c>
      <c r="G1181" s="93" t="s">
        <v>7624</v>
      </c>
      <c r="H1181" s="282" t="s">
        <v>7625</v>
      </c>
      <c r="I1181" s="282"/>
      <c r="J1181" s="282"/>
    </row>
    <row r="1182" spans="1:10" x14ac:dyDescent="0.2">
      <c r="A1182" s="93" t="str">
        <f t="shared" ca="1" si="0"/>
        <v>山贼 II</v>
      </c>
      <c r="B1182" s="93" t="s">
        <v>7626</v>
      </c>
      <c r="C1182" s="282" t="s">
        <v>7627</v>
      </c>
      <c r="D1182" s="282" t="s">
        <v>7626</v>
      </c>
      <c r="E1182" s="282"/>
      <c r="F1182" s="282" t="s">
        <v>7628</v>
      </c>
      <c r="G1182" s="93" t="s">
        <v>7629</v>
      </c>
      <c r="H1182" s="282" t="s">
        <v>7630</v>
      </c>
      <c r="I1182" s="282"/>
      <c r="J1182" s="282"/>
    </row>
    <row r="1183" spans="1:10" x14ac:dyDescent="0.2">
      <c r="A1183" s="93" t="str">
        <f t="shared" ca="1" si="0"/>
        <v>山贼 III</v>
      </c>
      <c r="B1183" s="93" t="s">
        <v>7631</v>
      </c>
      <c r="C1183" s="348" t="s">
        <v>7632</v>
      </c>
      <c r="D1183" s="282" t="s">
        <v>7631</v>
      </c>
      <c r="E1183" s="282"/>
      <c r="F1183" s="282" t="s">
        <v>7633</v>
      </c>
      <c r="G1183" s="53" t="s">
        <v>7634</v>
      </c>
      <c r="H1183" s="282" t="s">
        <v>7635</v>
      </c>
      <c r="I1183" s="282"/>
      <c r="J1183" s="282"/>
    </row>
    <row r="1184" spans="1:10" x14ac:dyDescent="0.2">
      <c r="A1184" s="93" t="str">
        <f t="shared" ca="1" si="0"/>
        <v>山贼骷髅异种</v>
      </c>
      <c r="B1184" s="93" t="s">
        <v>7636</v>
      </c>
      <c r="C1184" s="282"/>
      <c r="D1184" s="282" t="s">
        <v>7637</v>
      </c>
      <c r="E1184" s="282"/>
      <c r="F1184" s="282" t="s">
        <v>7638</v>
      </c>
      <c r="G1184" s="93" t="s">
        <v>7639</v>
      </c>
      <c r="H1184" s="282" t="s">
        <v>7640</v>
      </c>
      <c r="I1184" s="282"/>
      <c r="J1184" s="282"/>
    </row>
    <row r="1185" spans="1:10" x14ac:dyDescent="0.2">
      <c r="A1185" s="93" t="str">
        <f t="shared" ca="1" si="0"/>
        <v>盗贼团干部 I</v>
      </c>
      <c r="B1185" s="93" t="s">
        <v>7641</v>
      </c>
      <c r="C1185" s="282"/>
      <c r="D1185" s="282" t="s">
        <v>7642</v>
      </c>
      <c r="E1185" s="282"/>
      <c r="F1185" s="282" t="s">
        <v>7643</v>
      </c>
      <c r="G1185" s="93" t="s">
        <v>7644</v>
      </c>
      <c r="H1185" s="282" t="s">
        <v>7645</v>
      </c>
      <c r="I1185" s="282"/>
      <c r="J1185" s="282"/>
    </row>
    <row r="1186" spans="1:10" x14ac:dyDescent="0.2">
      <c r="A1186" s="93" t="str">
        <f t="shared" ca="1" si="0"/>
        <v>盗贼团干部 II</v>
      </c>
      <c r="B1186" s="93" t="s">
        <v>7646</v>
      </c>
      <c r="C1186" s="282"/>
      <c r="D1186" s="282" t="s">
        <v>7647</v>
      </c>
      <c r="E1186" s="282"/>
      <c r="F1186" s="282" t="s">
        <v>7648</v>
      </c>
      <c r="G1186" s="93" t="s">
        <v>7649</v>
      </c>
      <c r="H1186" s="282" t="s">
        <v>7650</v>
      </c>
      <c r="I1186" s="282"/>
      <c r="J1186" s="282"/>
    </row>
    <row r="1187" spans="1:10" x14ac:dyDescent="0.2">
      <c r="A1187" s="93" t="str">
        <f t="shared" ca="1" si="0"/>
        <v>盗贼团干部 III</v>
      </c>
      <c r="B1187" s="93" t="s">
        <v>7651</v>
      </c>
      <c r="C1187" s="282"/>
      <c r="D1187" s="282" t="s">
        <v>7652</v>
      </c>
      <c r="E1187" s="282"/>
      <c r="F1187" s="282" t="s">
        <v>7653</v>
      </c>
      <c r="G1187" s="93" t="s">
        <v>7654</v>
      </c>
      <c r="H1187" s="282" t="s">
        <v>7655</v>
      </c>
      <c r="I1187" s="282"/>
      <c r="J1187" s="282"/>
    </row>
    <row r="1188" spans="1:10" x14ac:dyDescent="0.2">
      <c r="A1188" s="93" t="str">
        <f t="shared" ca="1" si="0"/>
        <v>海盗（曲剑） I</v>
      </c>
      <c r="B1188" s="93" t="s">
        <v>7656</v>
      </c>
      <c r="C1188" s="282" t="s">
        <v>7657</v>
      </c>
      <c r="D1188" s="282" t="s">
        <v>7658</v>
      </c>
      <c r="E1188" s="282"/>
      <c r="F1188" s="282" t="s">
        <v>7659</v>
      </c>
      <c r="G1188" s="93" t="s">
        <v>7660</v>
      </c>
      <c r="H1188" s="282" t="s">
        <v>7661</v>
      </c>
      <c r="I1188" s="282"/>
      <c r="J1188" s="282"/>
    </row>
    <row r="1189" spans="1:10" x14ac:dyDescent="0.2">
      <c r="A1189" s="93" t="str">
        <f t="shared" ca="1" si="0"/>
        <v>海盗（曲剑） II</v>
      </c>
      <c r="B1189" s="93" t="s">
        <v>7662</v>
      </c>
      <c r="C1189" s="282" t="s">
        <v>7663</v>
      </c>
      <c r="D1189" s="282" t="s">
        <v>7664</v>
      </c>
      <c r="E1189" s="282"/>
      <c r="F1189" s="282" t="s">
        <v>7665</v>
      </c>
      <c r="G1189" s="93" t="s">
        <v>7666</v>
      </c>
      <c r="H1189" s="282" t="s">
        <v>7667</v>
      </c>
      <c r="I1189" s="282"/>
      <c r="J1189" s="282"/>
    </row>
    <row r="1190" spans="1:10" x14ac:dyDescent="0.2">
      <c r="A1190" s="93" t="str">
        <f t="shared" ca="1" si="0"/>
        <v>海盗（曲剑） III</v>
      </c>
      <c r="B1190" s="93" t="s">
        <v>7668</v>
      </c>
      <c r="C1190" s="282" t="s">
        <v>7669</v>
      </c>
      <c r="D1190" s="282" t="s">
        <v>7670</v>
      </c>
      <c r="E1190" s="282"/>
      <c r="F1190" s="282" t="s">
        <v>7671</v>
      </c>
      <c r="G1190" s="93" t="s">
        <v>7672</v>
      </c>
      <c r="H1190" s="282" t="s">
        <v>7673</v>
      </c>
      <c r="I1190" s="282"/>
      <c r="J1190" s="282"/>
    </row>
    <row r="1191" spans="1:10" x14ac:dyDescent="0.2">
      <c r="A1191" s="93" t="str">
        <f t="shared" ca="1" si="0"/>
        <v>海盗（曲剑） IV</v>
      </c>
      <c r="B1191" s="93" t="s">
        <v>7674</v>
      </c>
      <c r="C1191" s="282" t="s">
        <v>7675</v>
      </c>
      <c r="D1191" s="282" t="s">
        <v>7676</v>
      </c>
      <c r="E1191" s="282"/>
      <c r="F1191" s="282" t="s">
        <v>7677</v>
      </c>
      <c r="G1191" s="93" t="s">
        <v>7678</v>
      </c>
      <c r="H1191" s="282" t="s">
        <v>7679</v>
      </c>
      <c r="I1191" s="282"/>
      <c r="J1191" s="282"/>
    </row>
    <row r="1192" spans="1:10" x14ac:dyDescent="0.2">
      <c r="A1192" s="93" t="str">
        <f t="shared" ca="1" si="0"/>
        <v>海盗骷髅</v>
      </c>
      <c r="B1192" s="93" t="s">
        <v>7680</v>
      </c>
      <c r="C1192" s="282" t="s">
        <v>7681</v>
      </c>
      <c r="D1192" s="282" t="s">
        <v>7682</v>
      </c>
      <c r="E1192" s="282"/>
      <c r="F1192" s="282" t="s">
        <v>7683</v>
      </c>
      <c r="G1192" s="93" t="s">
        <v>7684</v>
      </c>
      <c r="H1192" s="282" t="s">
        <v>7685</v>
      </c>
      <c r="I1192" s="282"/>
      <c r="J1192" s="282"/>
    </row>
    <row r="1193" spans="1:10" x14ac:dyDescent="0.2">
      <c r="A1193" s="93" t="str">
        <f t="shared" ca="1" si="0"/>
        <v>仙人掌粪金龟</v>
      </c>
      <c r="B1193" s="93" t="s">
        <v>7686</v>
      </c>
      <c r="C1193" s="282"/>
      <c r="D1193" s="282" t="s">
        <v>7687</v>
      </c>
      <c r="E1193" s="282"/>
      <c r="F1193" s="282" t="s">
        <v>7688</v>
      </c>
      <c r="G1193" s="93" t="s">
        <v>7689</v>
      </c>
      <c r="H1193" s="282" t="s">
        <v>7690</v>
      </c>
      <c r="I1193" s="282"/>
      <c r="J1193" s="282"/>
    </row>
    <row r="1194" spans="1:10" x14ac:dyDescent="0.2">
      <c r="A1194" s="93" t="str">
        <f t="shared" ca="1" si="0"/>
        <v>凯特林</v>
      </c>
      <c r="B1194" s="93" t="s">
        <v>7691</v>
      </c>
      <c r="C1194" s="282" t="s">
        <v>7691</v>
      </c>
      <c r="D1194" s="282" t="s">
        <v>7692</v>
      </c>
      <c r="E1194" s="282"/>
      <c r="F1194" s="282" t="s">
        <v>7691</v>
      </c>
      <c r="G1194" s="93" t="s">
        <v>7693</v>
      </c>
      <c r="H1194" s="282" t="s">
        <v>7694</v>
      </c>
      <c r="I1194" s="282"/>
      <c r="J1194" s="282"/>
    </row>
    <row r="1195" spans="1:10" x14ac:dyDescent="0.2">
      <c r="A1195" s="93" t="str">
        <f t="shared" ca="1" si="0"/>
        <v>红大鹫</v>
      </c>
      <c r="B1195" s="93" t="s">
        <v>7695</v>
      </c>
      <c r="C1195" s="282"/>
      <c r="D1195" s="282" t="s">
        <v>7696</v>
      </c>
      <c r="E1195" s="282"/>
      <c r="F1195" s="282" t="s">
        <v>7697</v>
      </c>
      <c r="G1195" s="93" t="s">
        <v>7698</v>
      </c>
      <c r="H1195" s="282" t="s">
        <v>7699</v>
      </c>
      <c r="I1195" s="282"/>
      <c r="J1195" s="282"/>
    </row>
    <row r="1196" spans="1:10" x14ac:dyDescent="0.2">
      <c r="A1196" s="93" t="str">
        <f t="shared" ca="1" si="0"/>
        <v>肉食蝙蝠</v>
      </c>
      <c r="B1196" s="93" t="s">
        <v>7700</v>
      </c>
      <c r="C1196" s="282"/>
      <c r="D1196" s="282" t="s">
        <v>7701</v>
      </c>
      <c r="E1196" s="282"/>
      <c r="F1196" s="282" t="s">
        <v>7702</v>
      </c>
      <c r="G1196" s="93" t="s">
        <v>7703</v>
      </c>
      <c r="H1196" s="282" t="s">
        <v>7703</v>
      </c>
      <c r="I1196" s="282"/>
      <c r="J1196" s="282"/>
    </row>
    <row r="1197" spans="1:10" x14ac:dyDescent="0.2">
      <c r="A1197" s="93" t="str">
        <f t="shared" ca="1" si="0"/>
        <v>蠢动的大花</v>
      </c>
      <c r="B1197" s="93" t="s">
        <v>7704</v>
      </c>
      <c r="C1197" s="282"/>
      <c r="D1197" s="282" t="s">
        <v>7705</v>
      </c>
      <c r="E1197" s="282"/>
      <c r="F1197" s="282" t="s">
        <v>7706</v>
      </c>
      <c r="G1197" s="93" t="s">
        <v>7707</v>
      </c>
      <c r="H1197" s="282" t="s">
        <v>7708</v>
      </c>
      <c r="I1197" s="282"/>
      <c r="J1197" s="282"/>
    </row>
    <row r="1198" spans="1:10" x14ac:dyDescent="0.2">
      <c r="A1198" s="93" t="str">
        <f t="shared" ca="1" si="0"/>
        <v>巨鲸</v>
      </c>
      <c r="B1198" s="93" t="s">
        <v>7709</v>
      </c>
      <c r="C1198" s="282"/>
      <c r="D1198" s="282" t="s">
        <v>7709</v>
      </c>
      <c r="E1198" s="282"/>
      <c r="F1198" s="282" t="s">
        <v>7709</v>
      </c>
      <c r="G1198" s="93" t="s">
        <v>7710</v>
      </c>
      <c r="H1198" s="282" t="s">
        <v>7711</v>
      </c>
      <c r="I1198" s="282"/>
      <c r="J1198" s="282"/>
    </row>
    <row r="1199" spans="1:10" x14ac:dyDescent="0.2">
      <c r="A1199" s="93" t="str">
        <f t="shared" ca="1" si="0"/>
        <v>布尔乔亚凯特林</v>
      </c>
      <c r="B1199" s="93" t="s">
        <v>7712</v>
      </c>
      <c r="C1199" s="282"/>
      <c r="D1199" s="282" t="s">
        <v>7713</v>
      </c>
      <c r="E1199" s="282"/>
      <c r="F1199" s="52" t="s">
        <v>7714</v>
      </c>
      <c r="G1199" s="93" t="s">
        <v>7715</v>
      </c>
      <c r="H1199" s="282" t="s">
        <v>7716</v>
      </c>
      <c r="I1199" s="282"/>
      <c r="J1199" s="282"/>
    </row>
    <row r="1200" spans="1:10" x14ac:dyDescent="0.2">
      <c r="A1200" s="93" t="str">
        <f t="shared" ca="1" si="0"/>
        <v>悬崖鸟人 I</v>
      </c>
      <c r="B1200" s="93" t="s">
        <v>7717</v>
      </c>
      <c r="C1200" s="282"/>
      <c r="D1200" s="282" t="s">
        <v>7718</v>
      </c>
      <c r="E1200" s="282"/>
      <c r="F1200" s="282" t="s">
        <v>7719</v>
      </c>
      <c r="G1200" s="93" t="s">
        <v>7720</v>
      </c>
      <c r="H1200" s="282" t="s">
        <v>7721</v>
      </c>
      <c r="I1200" s="282"/>
      <c r="J1200" s="282"/>
    </row>
    <row r="1201" spans="1:10" x14ac:dyDescent="0.2">
      <c r="A1201" s="93" t="str">
        <f t="shared" ca="1" si="0"/>
        <v>悬崖鸟人 II</v>
      </c>
      <c r="B1201" s="93" t="s">
        <v>7722</v>
      </c>
      <c r="C1201" s="282"/>
      <c r="D1201" s="282" t="s">
        <v>7723</v>
      </c>
      <c r="E1201" s="282"/>
      <c r="F1201" s="282" t="s">
        <v>7724</v>
      </c>
      <c r="G1201" s="93" t="s">
        <v>7725</v>
      </c>
      <c r="H1201" s="282" t="s">
        <v>7726</v>
      </c>
      <c r="I1201" s="282"/>
      <c r="J1201" s="282"/>
    </row>
    <row r="1202" spans="1:10" x14ac:dyDescent="0.2">
      <c r="A1202" s="93" t="str">
        <f t="shared" ca="1" si="0"/>
        <v>悬崖鸟人 III</v>
      </c>
      <c r="B1202" s="93" t="s">
        <v>7727</v>
      </c>
      <c r="C1202" s="282"/>
      <c r="D1202" s="282" t="s">
        <v>7728</v>
      </c>
      <c r="E1202" s="282"/>
      <c r="F1202" s="282" t="s">
        <v>7729</v>
      </c>
      <c r="G1202" s="93" t="s">
        <v>7730</v>
      </c>
      <c r="H1202" s="282" t="s">
        <v>7731</v>
      </c>
      <c r="I1202" s="282"/>
      <c r="J1202" s="282"/>
    </row>
    <row r="1203" spans="1:10" x14ac:dyDescent="0.2">
      <c r="A1203" s="93" t="str">
        <f t="shared" ca="1" si="0"/>
        <v>悬崖鸟人 IV</v>
      </c>
      <c r="B1203" s="93" t="s">
        <v>7732</v>
      </c>
      <c r="C1203" s="282"/>
      <c r="D1203" s="282" t="s">
        <v>7733</v>
      </c>
      <c r="E1203" s="282"/>
      <c r="F1203" s="282" t="s">
        <v>7734</v>
      </c>
      <c r="G1203" s="93" t="s">
        <v>7735</v>
      </c>
      <c r="H1203" s="282" t="s">
        <v>7736</v>
      </c>
      <c r="I1203" s="282"/>
      <c r="J1203" s="282"/>
    </row>
    <row r="1204" spans="1:10" x14ac:dyDescent="0.2">
      <c r="A1204" s="93" t="str">
        <f t="shared" ca="1" si="0"/>
        <v>悬崖鸟人 V</v>
      </c>
      <c r="B1204" s="93" t="s">
        <v>7737</v>
      </c>
      <c r="C1204" s="282"/>
      <c r="D1204" s="282" t="s">
        <v>7738</v>
      </c>
      <c r="E1204" s="282"/>
      <c r="F1204" s="282" t="s">
        <v>7739</v>
      </c>
      <c r="G1204" s="93" t="s">
        <v>7740</v>
      </c>
      <c r="H1204" s="282" t="s">
        <v>7741</v>
      </c>
      <c r="I1204" s="282"/>
      <c r="J1204" s="282"/>
    </row>
    <row r="1205" spans="1:10" x14ac:dyDescent="0.2">
      <c r="A1205" s="93" t="str">
        <f t="shared" ca="1" si="0"/>
        <v>悬崖鸟人 VI</v>
      </c>
      <c r="B1205" s="93" t="s">
        <v>7742</v>
      </c>
      <c r="C1205" s="282"/>
      <c r="D1205" s="282" t="s">
        <v>7743</v>
      </c>
      <c r="E1205" s="282"/>
      <c r="F1205" s="282" t="s">
        <v>7744</v>
      </c>
      <c r="G1205" s="93" t="s">
        <v>7745</v>
      </c>
      <c r="H1205" s="282" t="s">
        <v>7746</v>
      </c>
      <c r="I1205" s="282"/>
      <c r="J1205" s="282"/>
    </row>
    <row r="1206" spans="1:10" x14ac:dyDescent="0.2">
      <c r="A1206" s="93" t="str">
        <f t="shared" ca="1" si="0"/>
        <v>悬崖大鸟人 I</v>
      </c>
      <c r="B1206" s="93" t="s">
        <v>7747</v>
      </c>
      <c r="C1206" s="282"/>
      <c r="D1206" s="282" t="s">
        <v>7748</v>
      </c>
      <c r="E1206" s="282"/>
      <c r="F1206" s="282" t="s">
        <v>7749</v>
      </c>
      <c r="G1206" s="93" t="s">
        <v>7750</v>
      </c>
      <c r="H1206" s="282" t="s">
        <v>7751</v>
      </c>
      <c r="I1206" s="282"/>
      <c r="J1206" s="282"/>
    </row>
    <row r="1207" spans="1:10" x14ac:dyDescent="0.2">
      <c r="A1207" s="93" t="str">
        <f t="shared" ca="1" si="0"/>
        <v>悬崖大鸟人 II</v>
      </c>
      <c r="B1207" s="93" t="s">
        <v>7752</v>
      </c>
      <c r="C1207" s="282"/>
      <c r="D1207" s="282" t="s">
        <v>7753</v>
      </c>
      <c r="E1207" s="282"/>
      <c r="F1207" s="282" t="s">
        <v>7754</v>
      </c>
      <c r="G1207" s="93" t="s">
        <v>7755</v>
      </c>
      <c r="H1207" s="282" t="s">
        <v>7756</v>
      </c>
      <c r="I1207" s="282"/>
      <c r="J1207" s="282"/>
    </row>
    <row r="1208" spans="1:10" x14ac:dyDescent="0.2">
      <c r="A1208" s="93" t="str">
        <f t="shared" ca="1" si="0"/>
        <v>悬崖大鸟人 III</v>
      </c>
      <c r="B1208" s="93" t="s">
        <v>7757</v>
      </c>
      <c r="C1208" s="282"/>
      <c r="D1208" s="282" t="s">
        <v>7758</v>
      </c>
      <c r="E1208" s="282"/>
      <c r="F1208" s="282" t="s">
        <v>7759</v>
      </c>
      <c r="G1208" s="93" t="s">
        <v>7760</v>
      </c>
      <c r="H1208" s="282" t="s">
        <v>7761</v>
      </c>
      <c r="I1208" s="282"/>
      <c r="J1208" s="282"/>
    </row>
    <row r="1209" spans="1:10" x14ac:dyDescent="0.2">
      <c r="A1209" s="93" t="str">
        <f t="shared" ca="1" si="0"/>
        <v>沙罗曼达异种</v>
      </c>
      <c r="B1209" s="93" t="s">
        <v>7762</v>
      </c>
      <c r="C1209" s="282"/>
      <c r="D1209" s="282" t="s">
        <v>7763</v>
      </c>
      <c r="E1209" s="282"/>
      <c r="F1209" s="282" t="s">
        <v>7764</v>
      </c>
      <c r="G1209" s="93" t="s">
        <v>7765</v>
      </c>
      <c r="H1209" s="282" t="s">
        <v>7766</v>
      </c>
      <c r="I1209" s="282"/>
      <c r="J1209" s="282"/>
    </row>
    <row r="1210" spans="1:10" x14ac:dyDescent="0.2">
      <c r="A1210" s="93" t="str">
        <f t="shared" ca="1" si="0"/>
        <v>黑曜会成员 I</v>
      </c>
      <c r="B1210" s="93" t="s">
        <v>7767</v>
      </c>
      <c r="C1210" s="282"/>
      <c r="D1210" s="282" t="s">
        <v>7768</v>
      </c>
      <c r="E1210" s="282"/>
      <c r="F1210" s="282" t="s">
        <v>7769</v>
      </c>
      <c r="G1210" s="93" t="s">
        <v>7770</v>
      </c>
      <c r="H1210" s="282" t="s">
        <v>7771</v>
      </c>
      <c r="I1210" s="282"/>
      <c r="J1210" s="282"/>
    </row>
    <row r="1211" spans="1:10" x14ac:dyDescent="0.2">
      <c r="A1211" s="93" t="str">
        <f t="shared" ca="1" si="0"/>
        <v>黑曜会成员 II</v>
      </c>
      <c r="B1211" s="93" t="s">
        <v>7772</v>
      </c>
      <c r="C1211" s="282"/>
      <c r="D1211" s="282" t="s">
        <v>7773</v>
      </c>
      <c r="E1211" s="282"/>
      <c r="F1211" s="282" t="s">
        <v>7774</v>
      </c>
      <c r="G1211" s="93" t="s">
        <v>7775</v>
      </c>
      <c r="H1211" s="282" t="s">
        <v>7776</v>
      </c>
      <c r="I1211" s="282"/>
      <c r="J1211" s="282"/>
    </row>
    <row r="1212" spans="1:10" x14ac:dyDescent="0.2">
      <c r="A1212" s="93" t="str">
        <f t="shared" ca="1" si="0"/>
        <v>不可思议的幼体</v>
      </c>
      <c r="B1212" s="93" t="s">
        <v>7777</v>
      </c>
      <c r="C1212" s="282"/>
      <c r="D1212" s="282" t="s">
        <v>7778</v>
      </c>
      <c r="E1212" s="282"/>
      <c r="F1212" s="282" t="s">
        <v>7779</v>
      </c>
      <c r="G1212" s="93" t="s">
        <v>7780</v>
      </c>
      <c r="H1212" s="282" t="s">
        <v>7781</v>
      </c>
      <c r="I1212" s="282"/>
      <c r="J1212" s="282"/>
    </row>
    <row r="1213" spans="1:10" x14ac:dyDescent="0.2">
      <c r="A1213" s="93" t="str">
        <f t="shared" ca="1" si="0"/>
        <v>蠢动的树木</v>
      </c>
      <c r="B1213" s="93" t="s">
        <v>7782</v>
      </c>
      <c r="C1213" s="282"/>
      <c r="D1213" s="282" t="s">
        <v>7783</v>
      </c>
      <c r="E1213" s="282"/>
      <c r="F1213" s="282" t="s">
        <v>7784</v>
      </c>
      <c r="G1213" s="93" t="s">
        <v>7785</v>
      </c>
      <c r="H1213" s="282" t="s">
        <v>7786</v>
      </c>
      <c r="I1213" s="282"/>
      <c r="J1213" s="282"/>
    </row>
    <row r="1214" spans="1:10" x14ac:dyDescent="0.2">
      <c r="A1214" s="93" t="str">
        <f t="shared" ca="1" si="0"/>
        <v>诡异的幼体</v>
      </c>
      <c r="B1214" s="93" t="s">
        <v>7787</v>
      </c>
      <c r="C1214" s="282"/>
      <c r="D1214" s="282" t="s">
        <v>7788</v>
      </c>
      <c r="E1214" s="282"/>
      <c r="F1214" s="282" t="s">
        <v>7789</v>
      </c>
      <c r="G1214" s="93" t="s">
        <v>7790</v>
      </c>
      <c r="H1214" s="282" t="s">
        <v>7791</v>
      </c>
      <c r="I1214" s="282"/>
      <c r="J1214" s="282"/>
    </row>
    <row r="1215" spans="1:10" x14ac:dyDescent="0.2">
      <c r="A1215" s="93" t="str">
        <f t="shared" ca="1" si="0"/>
        <v>绅士凯特林</v>
      </c>
      <c r="B1215" s="93" t="s">
        <v>7792</v>
      </c>
      <c r="C1215" s="282" t="s">
        <v>7793</v>
      </c>
      <c r="D1215" s="282" t="s">
        <v>7794</v>
      </c>
      <c r="E1215" s="282"/>
      <c r="F1215" s="52" t="s">
        <v>7795</v>
      </c>
      <c r="G1215" s="93" t="s">
        <v>7796</v>
      </c>
      <c r="H1215" s="282" t="s">
        <v>7797</v>
      </c>
      <c r="I1215" s="282"/>
      <c r="J1215" s="282"/>
    </row>
    <row r="1216" spans="1:10" x14ac:dyDescent="0.2">
      <c r="A1216" s="93" t="str">
        <f t="shared" ca="1" si="0"/>
        <v>魔导飞器</v>
      </c>
      <c r="B1216" s="93" t="s">
        <v>7798</v>
      </c>
      <c r="C1216" s="282"/>
      <c r="D1216" s="282" t="s">
        <v>7799</v>
      </c>
      <c r="E1216" s="282"/>
      <c r="F1216" s="282" t="s">
        <v>7800</v>
      </c>
      <c r="G1216" s="93" t="s">
        <v>7801</v>
      </c>
      <c r="H1216" s="282" t="s">
        <v>7802</v>
      </c>
      <c r="I1216" s="282"/>
      <c r="J1216" s="282"/>
    </row>
    <row r="1217" spans="1:10" x14ac:dyDescent="0.2">
      <c r="A1217" s="93" t="str">
        <f t="shared" ca="1" si="0"/>
        <v>魔导飞器・异型</v>
      </c>
      <c r="B1217" s="93" t="s">
        <v>7803</v>
      </c>
      <c r="C1217" s="282"/>
      <c r="D1217" s="282" t="s">
        <v>7804</v>
      </c>
      <c r="E1217" s="282"/>
      <c r="F1217" s="282" t="s">
        <v>7805</v>
      </c>
      <c r="G1217" s="53" t="s">
        <v>7806</v>
      </c>
      <c r="H1217" s="282" t="s">
        <v>7807</v>
      </c>
      <c r="I1217" s="282"/>
      <c r="J1217" s="282"/>
    </row>
    <row r="1218" spans="1:10" x14ac:dyDescent="0.2">
      <c r="A1218" s="93" t="str">
        <f t="shared" ca="1" si="0"/>
        <v>魔导飞器（暗）</v>
      </c>
      <c r="B1218" s="93" t="s">
        <v>7808</v>
      </c>
      <c r="C1218" s="282"/>
      <c r="D1218" s="282" t="s">
        <v>7809</v>
      </c>
      <c r="E1218" s="282"/>
      <c r="F1218" s="282" t="s">
        <v>7810</v>
      </c>
      <c r="G1218" s="93" t="s">
        <v>7811</v>
      </c>
      <c r="H1218" s="282" t="s">
        <v>7812</v>
      </c>
      <c r="I1218" s="282"/>
      <c r="J1218" s="282"/>
    </row>
    <row r="1219" spans="1:10" x14ac:dyDescent="0.2">
      <c r="A1219" s="93" t="str">
        <f t="shared" ca="1" si="0"/>
        <v>魔导飞器（暗）・异型</v>
      </c>
      <c r="B1219" s="93" t="s">
        <v>7813</v>
      </c>
      <c r="C1219" s="282"/>
      <c r="D1219" s="282" t="s">
        <v>7814</v>
      </c>
      <c r="E1219" s="282"/>
      <c r="F1219" s="282" t="s">
        <v>7815</v>
      </c>
      <c r="G1219" s="93" t="s">
        <v>7816</v>
      </c>
      <c r="H1219" s="282" t="s">
        <v>7817</v>
      </c>
      <c r="I1219" s="282"/>
      <c r="J1219" s="282"/>
    </row>
    <row r="1220" spans="1:10" x14ac:dyDescent="0.2">
      <c r="A1220" s="93" t="str">
        <f t="shared" ca="1" si="0"/>
        <v>暗元素</v>
      </c>
      <c r="B1220" s="93" t="s">
        <v>7818</v>
      </c>
      <c r="C1220" s="51" t="s">
        <v>7819</v>
      </c>
      <c r="D1220" s="282" t="s">
        <v>7820</v>
      </c>
      <c r="E1220" s="282"/>
      <c r="F1220" s="282" t="s">
        <v>7821</v>
      </c>
      <c r="G1220" s="93" t="s">
        <v>7822</v>
      </c>
      <c r="H1220" s="282" t="s">
        <v>7823</v>
      </c>
      <c r="I1220" s="282"/>
      <c r="J1220" s="282"/>
    </row>
    <row r="1221" spans="1:10" x14ac:dyDescent="0.2">
      <c r="A1221" s="93" t="str">
        <f t="shared" ca="1" si="0"/>
        <v>魔导机兵（暗）</v>
      </c>
      <c r="B1221" s="93" t="s">
        <v>7824</v>
      </c>
      <c r="C1221" s="282"/>
      <c r="D1221" s="282" t="s">
        <v>7825</v>
      </c>
      <c r="E1221" s="282"/>
      <c r="F1221" s="282" t="s">
        <v>7826</v>
      </c>
      <c r="G1221" s="93" t="s">
        <v>7827</v>
      </c>
      <c r="H1221" s="282" t="s">
        <v>7828</v>
      </c>
      <c r="I1221" s="282"/>
      <c r="J1221" s="282"/>
    </row>
    <row r="1222" spans="1:10" x14ac:dyDescent="0.2">
      <c r="A1222" s="93" t="str">
        <f t="shared" ca="1" si="0"/>
        <v>魔导机兵（暗）・异型</v>
      </c>
      <c r="B1222" s="93" t="s">
        <v>7829</v>
      </c>
      <c r="C1222" s="282"/>
      <c r="D1222" s="282" t="s">
        <v>7830</v>
      </c>
      <c r="E1222" s="282"/>
      <c r="F1222" s="282" t="s">
        <v>7831</v>
      </c>
      <c r="G1222" s="93" t="s">
        <v>7832</v>
      </c>
      <c r="H1222" s="282" t="s">
        <v>7833</v>
      </c>
      <c r="I1222" s="282"/>
      <c r="J1222" s="282"/>
    </row>
    <row r="1223" spans="1:10" x14ac:dyDescent="0.2">
      <c r="A1223" s="93" t="str">
        <f t="shared" ca="1" si="0"/>
        <v>古代遗物（兽）・黑型</v>
      </c>
      <c r="B1223" s="93" t="s">
        <v>7834</v>
      </c>
      <c r="C1223" s="282"/>
      <c r="D1223" s="282" t="s">
        <v>7835</v>
      </c>
      <c r="E1223" s="282"/>
      <c r="F1223" s="282" t="s">
        <v>7836</v>
      </c>
      <c r="G1223" s="93" t="s">
        <v>7837</v>
      </c>
      <c r="H1223" s="282" t="s">
        <v>7838</v>
      </c>
      <c r="I1223" s="282"/>
      <c r="J1223" s="282"/>
    </row>
    <row r="1224" spans="1:10" x14ac:dyDescent="0.2">
      <c r="A1224" s="93" t="str">
        <f t="shared" ca="1" si="0"/>
        <v>古代遗物・黑兵</v>
      </c>
      <c r="B1224" s="93" t="s">
        <v>7839</v>
      </c>
      <c r="C1224" s="282"/>
      <c r="D1224" s="282" t="s">
        <v>7840</v>
      </c>
      <c r="E1224" s="282"/>
      <c r="F1224" s="282" t="s">
        <v>7841</v>
      </c>
      <c r="G1224" s="93" t="s">
        <v>7842</v>
      </c>
      <c r="H1224" s="282" t="s">
        <v>7843</v>
      </c>
      <c r="I1224" s="282"/>
      <c r="J1224" s="282"/>
    </row>
    <row r="1225" spans="1:10" x14ac:dyDescent="0.2">
      <c r="A1225" s="93" t="str">
        <f t="shared" ca="1" si="0"/>
        <v>黑粪金龟</v>
      </c>
      <c r="B1225" s="93" t="s">
        <v>7844</v>
      </c>
      <c r="C1225" s="282"/>
      <c r="D1225" s="282" t="s">
        <v>7845</v>
      </c>
      <c r="E1225" s="282"/>
      <c r="F1225" s="282" t="s">
        <v>7846</v>
      </c>
      <c r="G1225" s="93" t="s">
        <v>7847</v>
      </c>
      <c r="H1225" s="282" t="s">
        <v>7848</v>
      </c>
      <c r="I1225" s="282"/>
      <c r="J1225" s="282"/>
    </row>
    <row r="1226" spans="1:10" x14ac:dyDescent="0.2">
      <c r="A1226" s="93" t="str">
        <f t="shared" ca="1" si="0"/>
        <v>魔导机（暗）</v>
      </c>
      <c r="B1226" s="93" t="s">
        <v>7849</v>
      </c>
      <c r="C1226" s="282"/>
      <c r="D1226" s="282" t="s">
        <v>7850</v>
      </c>
      <c r="E1226" s="282"/>
      <c r="F1226" s="282" t="s">
        <v>7851</v>
      </c>
      <c r="G1226" s="93" t="s">
        <v>7852</v>
      </c>
      <c r="H1226" s="282" t="s">
        <v>7853</v>
      </c>
      <c r="I1226" s="282"/>
      <c r="J1226" s="282"/>
    </row>
    <row r="1227" spans="1:10" x14ac:dyDescent="0.2">
      <c r="A1227" s="93" t="str">
        <f t="shared" ca="1" si="0"/>
        <v>魔导机（暗）・异型</v>
      </c>
      <c r="B1227" s="93" t="s">
        <v>7854</v>
      </c>
      <c r="C1227" s="282"/>
      <c r="D1227" s="282" t="s">
        <v>7855</v>
      </c>
      <c r="E1227" s="282"/>
      <c r="F1227" s="282" t="s">
        <v>7856</v>
      </c>
      <c r="G1227" s="93" t="s">
        <v>7857</v>
      </c>
      <c r="H1227" s="282" t="s">
        <v>7858</v>
      </c>
      <c r="I1227" s="282"/>
      <c r="J1227" s="282"/>
    </row>
    <row r="1228" spans="1:10" x14ac:dyDescent="0.2">
      <c r="A1228" s="93" t="str">
        <f t="shared" ca="1" si="0"/>
        <v>海盗骷髅异种</v>
      </c>
      <c r="B1228" s="93" t="s">
        <v>7859</v>
      </c>
      <c r="C1228" s="282"/>
      <c r="D1228" s="282" t="s">
        <v>7860</v>
      </c>
      <c r="E1228" s="282"/>
      <c r="F1228" s="282" t="s">
        <v>7861</v>
      </c>
      <c r="G1228" s="93" t="s">
        <v>7862</v>
      </c>
      <c r="H1228" s="282" t="s">
        <v>7863</v>
      </c>
      <c r="I1228" s="282"/>
      <c r="J1228" s="282"/>
    </row>
    <row r="1229" spans="1:10" x14ac:dyDescent="0.2">
      <c r="A1229" s="93" t="str">
        <f t="shared" ca="1" si="0"/>
        <v>梅伊尔史多洛姆</v>
      </c>
      <c r="B1229" s="93" t="s">
        <v>7864</v>
      </c>
      <c r="C1229" s="282"/>
      <c r="D1229" s="282" t="s">
        <v>7865</v>
      </c>
      <c r="E1229" s="282"/>
      <c r="F1229" s="282" t="s">
        <v>7866</v>
      </c>
      <c r="G1229" s="93" t="s">
        <v>7867</v>
      </c>
      <c r="H1229" s="282" t="s">
        <v>7868</v>
      </c>
      <c r="I1229" s="282"/>
      <c r="J1229" s="282"/>
    </row>
    <row r="1230" spans="1:10" x14ac:dyDescent="0.2">
      <c r="A1230" s="93" t="str">
        <f t="shared" ca="1" si="0"/>
        <v>邪鹿怪</v>
      </c>
      <c r="B1230" s="93" t="s">
        <v>7869</v>
      </c>
      <c r="C1230" s="282"/>
      <c r="D1230" s="282" t="s">
        <v>7870</v>
      </c>
      <c r="E1230" s="282"/>
      <c r="F1230" s="52" t="s">
        <v>7871</v>
      </c>
      <c r="G1230" s="93" t="s">
        <v>7872</v>
      </c>
      <c r="H1230" s="282" t="s">
        <v>7872</v>
      </c>
      <c r="I1230" s="282"/>
      <c r="J1230" s="282"/>
    </row>
    <row r="1231" spans="1:10" x14ac:dyDescent="0.2">
      <c r="A1231" s="93" t="str">
        <f t="shared" ca="1" si="0"/>
        <v>狂战羊</v>
      </c>
      <c r="B1231" s="93" t="s">
        <v>7873</v>
      </c>
      <c r="C1231" s="282"/>
      <c r="D1231" s="282" t="s">
        <v>7874</v>
      </c>
      <c r="E1231" s="282"/>
      <c r="F1231" s="52" t="s">
        <v>7875</v>
      </c>
      <c r="G1231" s="93" t="s">
        <v>7876</v>
      </c>
      <c r="H1231" s="282" t="s">
        <v>7877</v>
      </c>
      <c r="I1231" s="282"/>
      <c r="J1231" s="282"/>
    </row>
    <row r="1232" spans="1:10" x14ac:dyDescent="0.2">
      <c r="A1232" s="93" t="str">
        <f t="shared" ca="1" si="0"/>
        <v>沙虫异种</v>
      </c>
      <c r="B1232" s="93" t="s">
        <v>7878</v>
      </c>
      <c r="C1232" s="282" t="s">
        <v>7879</v>
      </c>
      <c r="D1232" s="282" t="s">
        <v>7880</v>
      </c>
      <c r="E1232" s="282"/>
      <c r="F1232" s="282" t="s">
        <v>7881</v>
      </c>
      <c r="G1232" s="93" t="s">
        <v>7882</v>
      </c>
      <c r="H1232" s="282" t="s">
        <v>7883</v>
      </c>
      <c r="I1232" s="282"/>
      <c r="J1232" s="282"/>
    </row>
    <row r="1233" spans="1:10" x14ac:dyDescent="0.2">
      <c r="A1233" s="93" t="str">
        <f t="shared" ca="1" si="0"/>
        <v>邪鹿怪异种</v>
      </c>
      <c r="B1233" s="93" t="s">
        <v>7884</v>
      </c>
      <c r="C1233" s="282"/>
      <c r="D1233" s="282" t="s">
        <v>7885</v>
      </c>
      <c r="E1233" s="282"/>
      <c r="F1233" s="282" t="s">
        <v>7886</v>
      </c>
      <c r="G1233" s="93" t="s">
        <v>7887</v>
      </c>
      <c r="H1233" s="282" t="s">
        <v>7888</v>
      </c>
      <c r="I1233" s="282"/>
      <c r="J1233" s="282"/>
    </row>
    <row r="1234" spans="1:10" x14ac:dyDescent="0.2">
      <c r="A1234" s="93" t="str">
        <f t="shared" ca="1" si="0"/>
        <v>咬噬蚁异种</v>
      </c>
      <c r="B1234" s="93" t="s">
        <v>7889</v>
      </c>
      <c r="C1234" s="282"/>
      <c r="D1234" s="282" t="s">
        <v>7890</v>
      </c>
      <c r="E1234" s="282"/>
      <c r="F1234" s="282" t="s">
        <v>7891</v>
      </c>
      <c r="G1234" s="93" t="s">
        <v>7892</v>
      </c>
      <c r="H1234" s="282" t="s">
        <v>7893</v>
      </c>
      <c r="I1234" s="282"/>
      <c r="J1234" s="282"/>
    </row>
    <row r="1235" spans="1:10" x14ac:dyDescent="0.2">
      <c r="A1235" s="93" t="str">
        <f t="shared" ca="1" si="0"/>
        <v>高地乌鸦异种</v>
      </c>
      <c r="B1235" s="93" t="s">
        <v>7894</v>
      </c>
      <c r="C1235" s="282"/>
      <c r="D1235" s="282" t="s">
        <v>7895</v>
      </c>
      <c r="E1235" s="282"/>
      <c r="F1235" s="282" t="s">
        <v>7896</v>
      </c>
      <c r="G1235" s="93" t="s">
        <v>7897</v>
      </c>
      <c r="H1235" s="282" t="s">
        <v>7898</v>
      </c>
      <c r="I1235" s="282"/>
      <c r="J1235" s="282"/>
    </row>
    <row r="1236" spans="1:10" x14ac:dyDescent="0.2">
      <c r="A1236" s="93" t="str">
        <f t="shared" ca="1" si="0"/>
        <v>黑乌鸦异种</v>
      </c>
      <c r="B1236" s="93" t="s">
        <v>7899</v>
      </c>
      <c r="C1236" s="282"/>
      <c r="D1236" s="282" t="s">
        <v>7900</v>
      </c>
      <c r="E1236" s="282"/>
      <c r="F1236" s="282" t="s">
        <v>7901</v>
      </c>
      <c r="G1236" s="93" t="s">
        <v>7902</v>
      </c>
      <c r="H1236" s="282" t="s">
        <v>7903</v>
      </c>
      <c r="I1236" s="282"/>
      <c r="J1236" s="282"/>
    </row>
    <row r="1237" spans="1:10" x14ac:dyDescent="0.2">
      <c r="A1237" s="93" t="str">
        <f t="shared" ca="1" si="0"/>
        <v>尸骸粪金龟异种</v>
      </c>
      <c r="B1237" s="93" t="s">
        <v>7904</v>
      </c>
      <c r="C1237" s="282"/>
      <c r="D1237" s="282" t="s">
        <v>7905</v>
      </c>
      <c r="E1237" s="282"/>
      <c r="F1237" s="282" t="s">
        <v>7906</v>
      </c>
      <c r="G1237" s="93" t="s">
        <v>7907</v>
      </c>
      <c r="H1237" s="282" t="s">
        <v>7908</v>
      </c>
      <c r="I1237" s="282"/>
      <c r="J1237" s="282"/>
    </row>
    <row r="1238" spans="1:10" x14ac:dyDescent="0.2">
      <c r="A1238" s="93" t="str">
        <f t="shared" ca="1" si="0"/>
        <v>大游隼异种</v>
      </c>
      <c r="B1238" s="93" t="s">
        <v>7909</v>
      </c>
      <c r="C1238" s="282" t="s">
        <v>7910</v>
      </c>
      <c r="D1238" s="282" t="s">
        <v>7911</v>
      </c>
      <c r="E1238" s="282"/>
      <c r="F1238" s="282" t="s">
        <v>7912</v>
      </c>
      <c r="G1238" s="93" t="s">
        <v>7913</v>
      </c>
      <c r="H1238" s="282" t="s">
        <v>7914</v>
      </c>
      <c r="I1238" s="282"/>
      <c r="J1238" s="282"/>
    </row>
    <row r="1239" spans="1:10" x14ac:dyDescent="0.2">
      <c r="A1239" s="93" t="str">
        <f t="shared" ca="1" si="0"/>
        <v>鳞蛇异种</v>
      </c>
      <c r="B1239" s="93" t="s">
        <v>7915</v>
      </c>
      <c r="C1239" s="282"/>
      <c r="D1239" s="282" t="s">
        <v>7916</v>
      </c>
      <c r="E1239" s="282"/>
      <c r="F1239" s="282" t="s">
        <v>7917</v>
      </c>
      <c r="G1239" s="93" t="s">
        <v>7918</v>
      </c>
      <c r="H1239" s="282" t="s">
        <v>7919</v>
      </c>
      <c r="I1239" s="282"/>
      <c r="J1239" s="282"/>
    </row>
    <row r="1240" spans="1:10" x14ac:dyDescent="0.2">
      <c r="A1240" s="93" t="str">
        <f t="shared" ca="1" si="0"/>
        <v>诡异的鸟</v>
      </c>
      <c r="B1240" s="93" t="s">
        <v>7920</v>
      </c>
      <c r="C1240" s="282"/>
      <c r="D1240" s="282" t="s">
        <v>7921</v>
      </c>
      <c r="E1240" s="282"/>
      <c r="F1240" s="282" t="s">
        <v>7922</v>
      </c>
      <c r="G1240" s="93" t="s">
        <v>7923</v>
      </c>
      <c r="H1240" s="282" t="s">
        <v>7924</v>
      </c>
      <c r="I1240" s="282"/>
      <c r="J1240" s="282"/>
    </row>
    <row r="1241" spans="1:10" x14ac:dyDescent="0.2">
      <c r="A1241" s="93" t="str">
        <f t="shared" ca="1" si="0"/>
        <v>蛋眼</v>
      </c>
      <c r="B1241" s="93" t="s">
        <v>7925</v>
      </c>
      <c r="C1241" s="282"/>
      <c r="D1241" s="282" t="s">
        <v>7926</v>
      </c>
      <c r="E1241" s="282"/>
      <c r="F1241" s="282" t="s">
        <v>7927</v>
      </c>
      <c r="G1241" s="93" t="s">
        <v>7928</v>
      </c>
      <c r="H1241" s="282" t="s">
        <v>7928</v>
      </c>
      <c r="I1241" s="282"/>
      <c r="J1241" s="282"/>
    </row>
    <row r="1242" spans="1:10" x14ac:dyDescent="0.2">
      <c r="A1242" s="93" t="str">
        <f t="shared" ca="1" si="0"/>
        <v>双子蛇</v>
      </c>
      <c r="B1242" s="93" t="s">
        <v>7929</v>
      </c>
      <c r="C1242" s="282"/>
      <c r="D1242" s="282" t="s">
        <v>7930</v>
      </c>
      <c r="E1242" s="282"/>
      <c r="F1242" s="282" t="s">
        <v>7931</v>
      </c>
      <c r="G1242" s="93" t="s">
        <v>7932</v>
      </c>
      <c r="H1242" s="282" t="s">
        <v>7933</v>
      </c>
      <c r="I1242" s="282"/>
      <c r="J1242" s="282"/>
    </row>
    <row r="1243" spans="1:10" x14ac:dyDescent="0.2">
      <c r="A1243" s="93" t="str">
        <f t="shared" ca="1" si="0"/>
        <v>双子蛇异种</v>
      </c>
      <c r="B1243" s="93" t="s">
        <v>7934</v>
      </c>
      <c r="C1243" s="282"/>
      <c r="D1243" s="282" t="s">
        <v>7935</v>
      </c>
      <c r="E1243" s="282"/>
      <c r="F1243" s="282" t="s">
        <v>7936</v>
      </c>
      <c r="G1243" s="93" t="s">
        <v>7937</v>
      </c>
      <c r="H1243" s="282" t="s">
        <v>7938</v>
      </c>
      <c r="I1243" s="282"/>
      <c r="J1243" s="282"/>
    </row>
    <row r="1244" spans="1:10" x14ac:dyDescent="0.2">
      <c r="A1244" s="93" t="str">
        <f t="shared" ca="1" si="0"/>
        <v>双头蛇</v>
      </c>
      <c r="B1244" s="93" t="s">
        <v>7939</v>
      </c>
      <c r="C1244" s="282"/>
      <c r="D1244" s="282" t="s">
        <v>7940</v>
      </c>
      <c r="E1244" s="282"/>
      <c r="F1244" s="282" t="s">
        <v>7941</v>
      </c>
      <c r="G1244" s="93" t="s">
        <v>7942</v>
      </c>
      <c r="H1244" s="282" t="s">
        <v>7943</v>
      </c>
      <c r="I1244" s="282"/>
      <c r="J1244" s="282"/>
    </row>
    <row r="1245" spans="1:10" x14ac:dyDescent="0.2">
      <c r="A1245" s="93" t="str">
        <f t="shared" ca="1" si="0"/>
        <v>双颈蛇</v>
      </c>
      <c r="B1245" s="93" t="s">
        <v>7944</v>
      </c>
      <c r="C1245" s="282"/>
      <c r="D1245" s="282" t="s">
        <v>7945</v>
      </c>
      <c r="E1245" s="282"/>
      <c r="F1245" s="282" t="s">
        <v>7946</v>
      </c>
      <c r="G1245" s="93" t="s">
        <v>7947</v>
      </c>
      <c r="H1245" s="282" t="s">
        <v>7948</v>
      </c>
      <c r="I1245" s="282"/>
      <c r="J1245" s="282"/>
    </row>
    <row r="1246" spans="1:10" x14ac:dyDescent="0.2">
      <c r="A1246" s="93" t="str">
        <f t="shared" ca="1" si="0"/>
        <v>火元素</v>
      </c>
      <c r="B1246" s="93" t="s">
        <v>7949</v>
      </c>
      <c r="C1246" s="282"/>
      <c r="D1246" s="282" t="s">
        <v>7950</v>
      </c>
      <c r="E1246" s="282"/>
      <c r="F1246" s="282" t="s">
        <v>7951</v>
      </c>
      <c r="G1246" s="93" t="s">
        <v>7952</v>
      </c>
      <c r="H1246" s="282" t="s">
        <v>7952</v>
      </c>
      <c r="I1246" s="282"/>
      <c r="J1246" s="282"/>
    </row>
    <row r="1247" spans="1:10" x14ac:dyDescent="0.2">
      <c r="A1247" s="93" t="str">
        <f t="shared" ca="1" si="0"/>
        <v>魔导机兵（火）・异型</v>
      </c>
      <c r="B1247" s="93" t="s">
        <v>7953</v>
      </c>
      <c r="C1247" s="282"/>
      <c r="D1247" s="282" t="s">
        <v>7954</v>
      </c>
      <c r="E1247" s="282"/>
      <c r="F1247" s="282" t="s">
        <v>7955</v>
      </c>
      <c r="G1247" s="93" t="s">
        <v>7956</v>
      </c>
      <c r="H1247" s="282" t="s">
        <v>7957</v>
      </c>
      <c r="I1247" s="282"/>
      <c r="J1247" s="282"/>
    </row>
    <row r="1248" spans="1:10" x14ac:dyDescent="0.2">
      <c r="A1248" s="93" t="str">
        <f t="shared" ca="1" si="0"/>
        <v>魔导机（火）</v>
      </c>
      <c r="B1248" s="93" t="s">
        <v>7958</v>
      </c>
      <c r="C1248" s="282"/>
      <c r="D1248" s="282" t="s">
        <v>7959</v>
      </c>
      <c r="E1248" s="282"/>
      <c r="F1248" s="282" t="s">
        <v>7960</v>
      </c>
      <c r="G1248" s="93" t="s">
        <v>7961</v>
      </c>
      <c r="H1248" s="282" t="s">
        <v>7962</v>
      </c>
      <c r="I1248" s="282"/>
      <c r="J1248" s="282"/>
    </row>
    <row r="1249" spans="1:10" x14ac:dyDescent="0.2">
      <c r="A1249" s="93" t="str">
        <f t="shared" ca="1" si="0"/>
        <v>火之鬼火</v>
      </c>
      <c r="B1249" s="93" t="s">
        <v>7963</v>
      </c>
      <c r="C1249" s="51" t="s">
        <v>7964</v>
      </c>
      <c r="D1249" s="282" t="s">
        <v>7965</v>
      </c>
      <c r="E1249" s="282"/>
      <c r="F1249" s="282" t="s">
        <v>7966</v>
      </c>
      <c r="G1249" s="93" t="s">
        <v>7967</v>
      </c>
      <c r="H1249" s="282" t="s">
        <v>7967</v>
      </c>
      <c r="I1249" s="282"/>
      <c r="J1249" s="282"/>
    </row>
    <row r="1250" spans="1:10" x14ac:dyDescent="0.2">
      <c r="A1250" s="93" t="str">
        <f t="shared" ca="1" si="0"/>
        <v>魔导飞器（火）</v>
      </c>
      <c r="B1250" s="93" t="s">
        <v>7968</v>
      </c>
      <c r="C1250" s="282"/>
      <c r="D1250" s="282" t="s">
        <v>7969</v>
      </c>
      <c r="E1250" s="282"/>
      <c r="F1250" s="282" t="s">
        <v>7970</v>
      </c>
      <c r="G1250" s="93" t="s">
        <v>7971</v>
      </c>
      <c r="H1250" s="282" t="s">
        <v>7972</v>
      </c>
      <c r="I1250" s="282"/>
      <c r="J1250" s="282"/>
    </row>
    <row r="1251" spans="1:10" x14ac:dyDescent="0.2">
      <c r="A1251" s="93" t="str">
        <f t="shared" ca="1" si="0"/>
        <v>魔导飞器（火）・异型</v>
      </c>
      <c r="B1251" s="93" t="s">
        <v>7973</v>
      </c>
      <c r="C1251" s="282"/>
      <c r="D1251" s="282" t="s">
        <v>7974</v>
      </c>
      <c r="E1251" s="282"/>
      <c r="F1251" s="282" t="s">
        <v>7975</v>
      </c>
      <c r="G1251" s="93" t="s">
        <v>7976</v>
      </c>
      <c r="H1251" s="282" t="s">
        <v>7977</v>
      </c>
      <c r="I1251" s="282"/>
      <c r="J1251" s="282"/>
    </row>
    <row r="1252" spans="1:10" x14ac:dyDescent="0.2">
      <c r="A1252" s="93" t="str">
        <f t="shared" ca="1" si="0"/>
        <v>魔导机兵（火）</v>
      </c>
      <c r="B1252" s="93" t="s">
        <v>7978</v>
      </c>
      <c r="C1252" s="282"/>
      <c r="D1252" s="282" t="s">
        <v>7979</v>
      </c>
      <c r="E1252" s="282"/>
      <c r="F1252" s="282" t="s">
        <v>7980</v>
      </c>
      <c r="G1252" s="93" t="s">
        <v>7981</v>
      </c>
      <c r="H1252" s="282" t="s">
        <v>7982</v>
      </c>
      <c r="I1252" s="282"/>
      <c r="J1252" s="282"/>
    </row>
    <row r="1253" spans="1:10" x14ac:dyDescent="0.2">
      <c r="A1253" s="93" t="str">
        <f t="shared" ca="1" si="0"/>
        <v>古代遗物（火兽）・异型</v>
      </c>
      <c r="B1253" s="93" t="s">
        <v>7983</v>
      </c>
      <c r="C1253" s="282"/>
      <c r="D1253" s="282" t="s">
        <v>7984</v>
      </c>
      <c r="E1253" s="282"/>
      <c r="F1253" s="282" t="s">
        <v>7985</v>
      </c>
      <c r="G1253" s="93" t="s">
        <v>7986</v>
      </c>
      <c r="H1253" s="282" t="s">
        <v>7987</v>
      </c>
      <c r="I1253" s="282"/>
      <c r="J1253" s="282"/>
    </row>
    <row r="1254" spans="1:10" x14ac:dyDescent="0.2">
      <c r="A1254" s="93" t="str">
        <f t="shared" ca="1" si="0"/>
        <v>古代遗物・火兵</v>
      </c>
      <c r="B1254" s="93" t="s">
        <v>7988</v>
      </c>
      <c r="C1254" s="282"/>
      <c r="D1254" s="282" t="s">
        <v>7989</v>
      </c>
      <c r="E1254" s="282"/>
      <c r="F1254" s="282" t="s">
        <v>7990</v>
      </c>
      <c r="G1254" s="93" t="s">
        <v>7991</v>
      </c>
      <c r="H1254" s="282" t="s">
        <v>7992</v>
      </c>
      <c r="I1254" s="282"/>
      <c r="J1254" s="282"/>
    </row>
    <row r="1255" spans="1:10" x14ac:dyDescent="0.2">
      <c r="A1255" s="93" t="str">
        <f t="shared" ca="1" si="0"/>
        <v>魔导机（火）・异型</v>
      </c>
      <c r="B1255" s="93" t="s">
        <v>7993</v>
      </c>
      <c r="C1255" s="282"/>
      <c r="D1255" s="282" t="s">
        <v>7994</v>
      </c>
      <c r="E1255" s="282"/>
      <c r="F1255" s="282" t="s">
        <v>7995</v>
      </c>
      <c r="G1255" s="93" t="s">
        <v>7996</v>
      </c>
      <c r="H1255" s="282" t="s">
        <v>7997</v>
      </c>
      <c r="I1255" s="282"/>
      <c r="J1255" s="282"/>
    </row>
    <row r="1256" spans="1:10" x14ac:dyDescent="0.2">
      <c r="A1256" s="93" t="str">
        <f t="shared" ca="1" si="0"/>
        <v>平原巨蛙 I</v>
      </c>
      <c r="B1256" s="93" t="s">
        <v>7998</v>
      </c>
      <c r="C1256" s="51" t="s">
        <v>7999</v>
      </c>
      <c r="D1256" s="282" t="s">
        <v>8000</v>
      </c>
      <c r="E1256" s="282"/>
      <c r="F1256" s="282" t="s">
        <v>8001</v>
      </c>
      <c r="G1256" s="93" t="s">
        <v>8002</v>
      </c>
      <c r="H1256" s="282" t="s">
        <v>8002</v>
      </c>
      <c r="I1256" s="282"/>
      <c r="J1256" s="282"/>
    </row>
    <row r="1257" spans="1:10" x14ac:dyDescent="0.2">
      <c r="A1257" s="93" t="str">
        <f t="shared" ca="1" si="0"/>
        <v>平原巨蛙 II</v>
      </c>
      <c r="B1257" s="93" t="s">
        <v>8003</v>
      </c>
      <c r="C1257" s="51" t="s">
        <v>8004</v>
      </c>
      <c r="D1257" s="282" t="s">
        <v>8005</v>
      </c>
      <c r="E1257" s="282"/>
      <c r="F1257" s="282" t="s">
        <v>8006</v>
      </c>
      <c r="G1257" s="93" t="s">
        <v>8007</v>
      </c>
      <c r="H1257" s="282" t="s">
        <v>8007</v>
      </c>
      <c r="I1257" s="282"/>
      <c r="J1257" s="282"/>
    </row>
    <row r="1258" spans="1:10" x14ac:dyDescent="0.2">
      <c r="A1258" s="93" t="str">
        <f t="shared" ca="1" si="0"/>
        <v>平原巨蛙 III</v>
      </c>
      <c r="B1258" s="93" t="s">
        <v>8008</v>
      </c>
      <c r="C1258" s="51" t="s">
        <v>8009</v>
      </c>
      <c r="D1258" s="282" t="s">
        <v>8010</v>
      </c>
      <c r="E1258" s="282"/>
      <c r="F1258" s="282" t="s">
        <v>8011</v>
      </c>
      <c r="G1258" s="53" t="s">
        <v>8012</v>
      </c>
      <c r="H1258" s="282" t="s">
        <v>8012</v>
      </c>
      <c r="I1258" s="282"/>
      <c r="J1258" s="282"/>
    </row>
    <row r="1259" spans="1:10" x14ac:dyDescent="0.2">
      <c r="A1259" s="93" t="str">
        <f t="shared" ca="1" si="0"/>
        <v>平原巨蛙 IV</v>
      </c>
      <c r="B1259" s="93" t="s">
        <v>8013</v>
      </c>
      <c r="C1259" s="51" t="s">
        <v>8014</v>
      </c>
      <c r="D1259" s="282" t="s">
        <v>8015</v>
      </c>
      <c r="E1259" s="282"/>
      <c r="F1259" s="282" t="s">
        <v>8016</v>
      </c>
      <c r="G1259" s="93" t="s">
        <v>8017</v>
      </c>
      <c r="H1259" s="282" t="s">
        <v>8017</v>
      </c>
      <c r="I1259" s="282"/>
      <c r="J1259" s="282"/>
    </row>
    <row r="1260" spans="1:10" x14ac:dyDescent="0.2">
      <c r="A1260" s="93" t="str">
        <f t="shared" ca="1" si="0"/>
        <v>平原巨蛙 V</v>
      </c>
      <c r="B1260" s="93" t="s">
        <v>8018</v>
      </c>
      <c r="C1260" s="51" t="s">
        <v>8019</v>
      </c>
      <c r="D1260" s="282" t="s">
        <v>8020</v>
      </c>
      <c r="E1260" s="282"/>
      <c r="F1260" s="282" t="s">
        <v>8021</v>
      </c>
      <c r="G1260" s="93" t="s">
        <v>8022</v>
      </c>
      <c r="H1260" s="282" t="s">
        <v>8022</v>
      </c>
      <c r="I1260" s="282"/>
      <c r="J1260" s="282"/>
    </row>
    <row r="1261" spans="1:10" x14ac:dyDescent="0.2">
      <c r="A1261" s="93" t="str">
        <f t="shared" ca="1" si="0"/>
        <v>平原巨蛙 VI</v>
      </c>
      <c r="B1261" s="93" t="s">
        <v>8023</v>
      </c>
      <c r="C1261" s="51" t="s">
        <v>8024</v>
      </c>
      <c r="D1261" s="282" t="s">
        <v>8025</v>
      </c>
      <c r="E1261" s="282"/>
      <c r="F1261" s="348" t="s">
        <v>8026</v>
      </c>
      <c r="G1261" s="93" t="s">
        <v>8027</v>
      </c>
      <c r="H1261" s="282" t="s">
        <v>8027</v>
      </c>
      <c r="I1261" s="282"/>
      <c r="J1261" s="282"/>
    </row>
    <row r="1262" spans="1:10" x14ac:dyDescent="0.2">
      <c r="A1262" s="93" t="str">
        <f t="shared" ca="1" si="0"/>
        <v>平原大巨蛙 I</v>
      </c>
      <c r="B1262" s="93" t="s">
        <v>8028</v>
      </c>
      <c r="C1262" s="282"/>
      <c r="D1262" s="282" t="s">
        <v>8029</v>
      </c>
      <c r="E1262" s="282"/>
      <c r="F1262" s="282" t="s">
        <v>8030</v>
      </c>
      <c r="G1262" s="93" t="s">
        <v>8031</v>
      </c>
      <c r="H1262" s="282" t="s">
        <v>8031</v>
      </c>
      <c r="I1262" s="282"/>
      <c r="J1262" s="282"/>
    </row>
    <row r="1263" spans="1:10" x14ac:dyDescent="0.2">
      <c r="A1263" s="93" t="str">
        <f t="shared" ca="1" si="0"/>
        <v>平原大巨蛙 II</v>
      </c>
      <c r="B1263" s="93" t="s">
        <v>8032</v>
      </c>
      <c r="C1263" s="282"/>
      <c r="D1263" s="282" t="s">
        <v>8033</v>
      </c>
      <c r="E1263" s="282"/>
      <c r="F1263" s="282" t="s">
        <v>8034</v>
      </c>
      <c r="G1263" s="93" t="s">
        <v>8035</v>
      </c>
      <c r="H1263" s="282" t="s">
        <v>8035</v>
      </c>
      <c r="I1263" s="282"/>
      <c r="J1263" s="282"/>
    </row>
    <row r="1264" spans="1:10" x14ac:dyDescent="0.2">
      <c r="A1264" s="93" t="str">
        <f t="shared" ca="1" si="0"/>
        <v>平原大巨蛙 III</v>
      </c>
      <c r="B1264" s="93" t="s">
        <v>8036</v>
      </c>
      <c r="C1264" s="282"/>
      <c r="D1264" s="282" t="s">
        <v>8037</v>
      </c>
      <c r="E1264" s="282"/>
      <c r="F1264" s="282" t="s">
        <v>8038</v>
      </c>
      <c r="G1264" s="93" t="s">
        <v>8039</v>
      </c>
      <c r="H1264" s="282" t="s">
        <v>8039</v>
      </c>
      <c r="I1264" s="282"/>
      <c r="J1264" s="282"/>
    </row>
    <row r="1265" spans="1:10" x14ac:dyDescent="0.2">
      <c r="A1265" s="93" t="str">
        <f t="shared" ca="1" si="0"/>
        <v>飞鱼</v>
      </c>
      <c r="B1265" s="93" t="s">
        <v>8040</v>
      </c>
      <c r="C1265" s="282"/>
      <c r="D1265" s="282" t="s">
        <v>8041</v>
      </c>
      <c r="E1265" s="282"/>
      <c r="F1265" s="282" t="s">
        <v>8042</v>
      </c>
      <c r="G1265" s="93" t="s">
        <v>8043</v>
      </c>
      <c r="H1265" s="282" t="s">
        <v>8044</v>
      </c>
      <c r="I1265" s="282"/>
      <c r="J1265" s="282"/>
    </row>
    <row r="1266" spans="1:10" x14ac:dyDescent="0.2">
      <c r="A1266" s="93" t="str">
        <f t="shared" ca="1" si="0"/>
        <v>森林狐狸</v>
      </c>
      <c r="B1266" s="93" t="s">
        <v>8045</v>
      </c>
      <c r="C1266" s="282"/>
      <c r="D1266" s="282" t="s">
        <v>8046</v>
      </c>
      <c r="E1266" s="282"/>
      <c r="F1266" s="282" t="s">
        <v>8047</v>
      </c>
      <c r="G1266" s="93" t="s">
        <v>8048</v>
      </c>
      <c r="H1266" s="282" t="s">
        <v>8048</v>
      </c>
      <c r="I1266" s="282"/>
      <c r="J1266" s="282"/>
    </row>
    <row r="1267" spans="1:10" x14ac:dyDescent="0.2">
      <c r="A1267" s="93" t="str">
        <f t="shared" ca="1" si="0"/>
        <v>森林鼠人 I</v>
      </c>
      <c r="B1267" s="93" t="s">
        <v>8049</v>
      </c>
      <c r="C1267" s="282"/>
      <c r="D1267" s="282" t="s">
        <v>8050</v>
      </c>
      <c r="E1267" s="282"/>
      <c r="F1267" s="282" t="s">
        <v>8051</v>
      </c>
      <c r="G1267" s="93" t="s">
        <v>8052</v>
      </c>
      <c r="H1267" s="282" t="s">
        <v>8052</v>
      </c>
      <c r="I1267" s="282"/>
      <c r="J1267" s="282"/>
    </row>
    <row r="1268" spans="1:10" x14ac:dyDescent="0.2">
      <c r="A1268" s="93" t="str">
        <f t="shared" ca="1" si="0"/>
        <v>森林鼠人 II</v>
      </c>
      <c r="B1268" s="93" t="s">
        <v>8053</v>
      </c>
      <c r="C1268" s="282"/>
      <c r="D1268" s="282" t="s">
        <v>8054</v>
      </c>
      <c r="E1268" s="282"/>
      <c r="F1268" s="282" t="s">
        <v>8055</v>
      </c>
      <c r="G1268" s="93" t="s">
        <v>8056</v>
      </c>
      <c r="H1268" s="282" t="s">
        <v>8056</v>
      </c>
      <c r="I1268" s="282"/>
      <c r="J1268" s="282"/>
    </row>
    <row r="1269" spans="1:10" x14ac:dyDescent="0.2">
      <c r="A1269" s="93" t="str">
        <f t="shared" ca="1" si="0"/>
        <v>森林鼠人 III</v>
      </c>
      <c r="B1269" s="93" t="s">
        <v>8057</v>
      </c>
      <c r="C1269" s="282"/>
      <c r="D1269" s="282" t="s">
        <v>8058</v>
      </c>
      <c r="E1269" s="282"/>
      <c r="F1269" s="282" t="s">
        <v>8059</v>
      </c>
      <c r="G1269" s="93" t="s">
        <v>8060</v>
      </c>
      <c r="H1269" s="282" t="s">
        <v>8060</v>
      </c>
      <c r="I1269" s="282"/>
      <c r="J1269" s="282"/>
    </row>
    <row r="1270" spans="1:10" x14ac:dyDescent="0.2">
      <c r="A1270" s="93" t="str">
        <f t="shared" ca="1" si="0"/>
        <v>森林鼠人 IV</v>
      </c>
      <c r="B1270" s="93" t="s">
        <v>8061</v>
      </c>
      <c r="C1270" s="282"/>
      <c r="D1270" s="282" t="s">
        <v>8062</v>
      </c>
      <c r="E1270" s="282"/>
      <c r="F1270" s="282" t="s">
        <v>8063</v>
      </c>
      <c r="G1270" s="93" t="s">
        <v>8064</v>
      </c>
      <c r="H1270" s="282" t="s">
        <v>8064</v>
      </c>
      <c r="I1270" s="282"/>
      <c r="J1270" s="282"/>
    </row>
    <row r="1271" spans="1:10" x14ac:dyDescent="0.2">
      <c r="A1271" s="93" t="str">
        <f t="shared" ca="1" si="0"/>
        <v>森林鼠人 V</v>
      </c>
      <c r="B1271" s="93" t="s">
        <v>8065</v>
      </c>
      <c r="C1271" s="282"/>
      <c r="D1271" s="282" t="s">
        <v>8066</v>
      </c>
      <c r="E1271" s="282"/>
      <c r="F1271" s="282" t="s">
        <v>8067</v>
      </c>
      <c r="G1271" s="93" t="s">
        <v>8068</v>
      </c>
      <c r="H1271" s="282" t="s">
        <v>8068</v>
      </c>
      <c r="I1271" s="282"/>
      <c r="J1271" s="282"/>
    </row>
    <row r="1272" spans="1:10" x14ac:dyDescent="0.2">
      <c r="A1272" s="93" t="str">
        <f t="shared" ca="1" si="0"/>
        <v>森林鼠人 VI</v>
      </c>
      <c r="B1272" s="93" t="s">
        <v>8069</v>
      </c>
      <c r="C1272" s="282"/>
      <c r="D1272" s="282" t="s">
        <v>8070</v>
      </c>
      <c r="E1272" s="282"/>
      <c r="F1272" s="282" t="s">
        <v>8071</v>
      </c>
      <c r="G1272" s="93" t="s">
        <v>8072</v>
      </c>
      <c r="H1272" s="282" t="s">
        <v>8072</v>
      </c>
      <c r="I1272" s="282"/>
      <c r="J1272" s="282"/>
    </row>
    <row r="1273" spans="1:10" x14ac:dyDescent="0.2">
      <c r="A1273" s="93" t="str">
        <f t="shared" ca="1" si="0"/>
        <v>森林大鼠人 I</v>
      </c>
      <c r="B1273" s="93" t="s">
        <v>8073</v>
      </c>
      <c r="C1273" s="282"/>
      <c r="D1273" s="282" t="s">
        <v>8074</v>
      </c>
      <c r="E1273" s="282"/>
      <c r="F1273" s="282" t="s">
        <v>8075</v>
      </c>
      <c r="G1273" s="93" t="s">
        <v>8076</v>
      </c>
      <c r="H1273" s="282" t="s">
        <v>8076</v>
      </c>
      <c r="I1273" s="282"/>
      <c r="J1273" s="282"/>
    </row>
    <row r="1274" spans="1:10" x14ac:dyDescent="0.2">
      <c r="A1274" s="93" t="str">
        <f t="shared" ca="1" si="0"/>
        <v>森林大鼠人 II</v>
      </c>
      <c r="B1274" s="93" t="s">
        <v>8077</v>
      </c>
      <c r="C1274" s="282"/>
      <c r="D1274" s="282" t="s">
        <v>8078</v>
      </c>
      <c r="E1274" s="282"/>
      <c r="F1274" s="282" t="s">
        <v>8079</v>
      </c>
      <c r="G1274" s="93" t="s">
        <v>8080</v>
      </c>
      <c r="H1274" s="282" t="s">
        <v>8080</v>
      </c>
      <c r="I1274" s="282"/>
      <c r="J1274" s="282"/>
    </row>
    <row r="1275" spans="1:10" x14ac:dyDescent="0.2">
      <c r="A1275" s="93" t="str">
        <f t="shared" ca="1" si="0"/>
        <v>森林大鼠人 III</v>
      </c>
      <c r="B1275" s="93" t="s">
        <v>8081</v>
      </c>
      <c r="C1275" s="282"/>
      <c r="D1275" s="282" t="s">
        <v>8082</v>
      </c>
      <c r="E1275" s="282"/>
      <c r="F1275" s="282" t="s">
        <v>8083</v>
      </c>
      <c r="G1275" s="93" t="s">
        <v>8084</v>
      </c>
      <c r="H1275" s="282" t="s">
        <v>8084</v>
      </c>
      <c r="I1275" s="282"/>
      <c r="J1275" s="282"/>
    </row>
    <row r="1276" spans="1:10" x14ac:dyDescent="0.2">
      <c r="A1276" s="93" t="str">
        <f t="shared" ca="1" si="0"/>
        <v>冰霜熊</v>
      </c>
      <c r="B1276" s="93" t="s">
        <v>8085</v>
      </c>
      <c r="C1276" s="51" t="s">
        <v>8086</v>
      </c>
      <c r="D1276" s="282" t="s">
        <v>8087</v>
      </c>
      <c r="E1276" s="282"/>
      <c r="F1276" s="282" t="s">
        <v>8088</v>
      </c>
      <c r="G1276" s="93" t="s">
        <v>8089</v>
      </c>
      <c r="H1276" s="282" t="s">
        <v>8089</v>
      </c>
      <c r="I1276" s="282"/>
      <c r="J1276" s="282"/>
    </row>
    <row r="1277" spans="1:10" x14ac:dyDescent="0.2">
      <c r="A1277" s="93" t="str">
        <f t="shared" ca="1" si="0"/>
        <v>白雪狐狸</v>
      </c>
      <c r="B1277" s="93" t="s">
        <v>8090</v>
      </c>
      <c r="C1277" s="282"/>
      <c r="D1277" s="282" t="s">
        <v>8091</v>
      </c>
      <c r="E1277" s="282"/>
      <c r="F1277" s="282" t="s">
        <v>8092</v>
      </c>
      <c r="G1277" s="93" t="s">
        <v>8093</v>
      </c>
      <c r="H1277" s="282" t="s">
        <v>8093</v>
      </c>
      <c r="I1277" s="282"/>
      <c r="J1277" s="282"/>
    </row>
    <row r="1278" spans="1:10" x14ac:dyDescent="0.2">
      <c r="A1278" s="93" t="str">
        <f t="shared" ca="1" si="0"/>
        <v>雪蛇鸟</v>
      </c>
      <c r="B1278" s="93" t="s">
        <v>8094</v>
      </c>
      <c r="C1278" s="282"/>
      <c r="D1278" s="282" t="s">
        <v>8095</v>
      </c>
      <c r="E1278" s="282"/>
      <c r="F1278" s="282" t="s">
        <v>8096</v>
      </c>
      <c r="G1278" s="93" t="s">
        <v>8097</v>
      </c>
      <c r="H1278" s="282" t="s">
        <v>8098</v>
      </c>
      <c r="I1278" s="282"/>
      <c r="J1278" s="282"/>
    </row>
    <row r="1279" spans="1:10" x14ac:dyDescent="0.2">
      <c r="A1279" s="93" t="str">
        <f t="shared" ca="1" si="0"/>
        <v>狂暴菌类</v>
      </c>
      <c r="B1279" s="93" t="s">
        <v>8099</v>
      </c>
      <c r="C1279" s="282"/>
      <c r="D1279" s="282" t="s">
        <v>8100</v>
      </c>
      <c r="E1279" s="282"/>
      <c r="F1279" s="282" t="s">
        <v>8101</v>
      </c>
      <c r="G1279" s="93" t="s">
        <v>8102</v>
      </c>
      <c r="H1279" s="282" t="s">
        <v>8103</v>
      </c>
      <c r="I1279" s="282"/>
      <c r="J1279" s="282"/>
    </row>
    <row r="1280" spans="1:10" x14ac:dyDescent="0.2">
      <c r="A1280" s="93" t="str">
        <f t="shared" ca="1" si="0"/>
        <v>辉长岩犰狳</v>
      </c>
      <c r="B1280" s="93" t="s">
        <v>8104</v>
      </c>
      <c r="C1280" s="282"/>
      <c r="D1280" s="282" t="s">
        <v>8104</v>
      </c>
      <c r="E1280" s="282"/>
      <c r="F1280" s="282" t="s">
        <v>8105</v>
      </c>
      <c r="G1280" s="93" t="s">
        <v>8106</v>
      </c>
      <c r="H1280" s="282" t="s">
        <v>8107</v>
      </c>
      <c r="I1280" s="282"/>
      <c r="J1280" s="282"/>
    </row>
    <row r="1281" spans="1:10" x14ac:dyDescent="0.2">
      <c r="A1281" s="93" t="str">
        <f t="shared" ca="1" si="0"/>
        <v>大牙野猪异种</v>
      </c>
      <c r="B1281" s="93" t="s">
        <v>8108</v>
      </c>
      <c r="C1281" s="282"/>
      <c r="D1281" s="282" t="s">
        <v>8109</v>
      </c>
      <c r="E1281" s="282"/>
      <c r="F1281" s="282" t="s">
        <v>8110</v>
      </c>
      <c r="G1281" s="93" t="s">
        <v>8111</v>
      </c>
      <c r="H1281" s="282" t="s">
        <v>8112</v>
      </c>
      <c r="I1281" s="282"/>
      <c r="J1281" s="282"/>
    </row>
    <row r="1282" spans="1:10" x14ac:dyDescent="0.2">
      <c r="A1282" s="93" t="str">
        <f t="shared" ca="1" si="0"/>
        <v>大牙野猪</v>
      </c>
      <c r="B1282" s="93" t="s">
        <v>8113</v>
      </c>
      <c r="C1282" s="282"/>
      <c r="D1282" s="282" t="s">
        <v>8114</v>
      </c>
      <c r="E1282" s="282"/>
      <c r="F1282" s="282" t="s">
        <v>8115</v>
      </c>
      <c r="G1282" s="93" t="s">
        <v>8116</v>
      </c>
      <c r="H1282" s="282" t="s">
        <v>8117</v>
      </c>
      <c r="I1282" s="282"/>
      <c r="J1282" s="282"/>
    </row>
    <row r="1283" spans="1:10" x14ac:dyDescent="0.2">
      <c r="A1283" s="93" t="str">
        <f t="shared" ca="1" si="0"/>
        <v>大鹫</v>
      </c>
      <c r="B1283" s="93" t="s">
        <v>8118</v>
      </c>
      <c r="C1283" s="51" t="s">
        <v>8119</v>
      </c>
      <c r="D1283" s="282" t="s">
        <v>8120</v>
      </c>
      <c r="E1283" s="282"/>
      <c r="F1283" s="282" t="s">
        <v>8121</v>
      </c>
      <c r="G1283" s="93" t="s">
        <v>8122</v>
      </c>
      <c r="H1283" s="282" t="s">
        <v>8123</v>
      </c>
      <c r="I1283" s="282"/>
      <c r="J1283" s="282"/>
    </row>
    <row r="1284" spans="1:10" x14ac:dyDescent="0.2">
      <c r="A1284" s="93" t="str">
        <f t="shared" ca="1" si="0"/>
        <v>大游隼</v>
      </c>
      <c r="B1284" s="93" t="s">
        <v>8124</v>
      </c>
      <c r="C1284" s="51" t="s">
        <v>8125</v>
      </c>
      <c r="D1284" s="282" t="s">
        <v>8126</v>
      </c>
      <c r="E1284" s="282"/>
      <c r="F1284" s="282" t="s">
        <v>8127</v>
      </c>
      <c r="G1284" s="93" t="s">
        <v>8128</v>
      </c>
      <c r="H1284" s="282" t="s">
        <v>8129</v>
      </c>
      <c r="I1284" s="282"/>
      <c r="J1284" s="282"/>
    </row>
    <row r="1285" spans="1:10" x14ac:dyDescent="0.2">
      <c r="A1285" s="93" t="str">
        <f t="shared" ca="1" si="0"/>
        <v>巨大短鼻鳄</v>
      </c>
      <c r="B1285" s="93" t="s">
        <v>8130</v>
      </c>
      <c r="C1285" s="282"/>
      <c r="D1285" s="282" t="s">
        <v>8131</v>
      </c>
      <c r="E1285" s="282"/>
      <c r="F1285" s="282" t="s">
        <v>8132</v>
      </c>
      <c r="G1285" s="93" t="s">
        <v>8133</v>
      </c>
      <c r="H1285" s="282" t="s">
        <v>8134</v>
      </c>
      <c r="I1285" s="282"/>
      <c r="J1285" s="282"/>
    </row>
    <row r="1286" spans="1:10" x14ac:dyDescent="0.2">
      <c r="A1286" s="93" t="str">
        <f t="shared" ca="1" si="0"/>
        <v>大蝎子</v>
      </c>
      <c r="B1286" s="93" t="s">
        <v>8135</v>
      </c>
      <c r="C1286" s="282"/>
      <c r="D1286" s="282" t="s">
        <v>8136</v>
      </c>
      <c r="E1286" s="282"/>
      <c r="F1286" s="282" t="s">
        <v>8137</v>
      </c>
      <c r="G1286" s="93" t="s">
        <v>8138</v>
      </c>
      <c r="H1286" s="282" t="s">
        <v>8139</v>
      </c>
      <c r="I1286" s="282"/>
      <c r="J1286" s="282"/>
    </row>
    <row r="1287" spans="1:10" x14ac:dyDescent="0.2">
      <c r="A1287" s="93" t="str">
        <f t="shared" ca="1" si="0"/>
        <v>大绵羊</v>
      </c>
      <c r="B1287" s="93" t="s">
        <v>8140</v>
      </c>
      <c r="C1287" s="51" t="s">
        <v>8141</v>
      </c>
      <c r="D1287" s="282" t="s">
        <v>8142</v>
      </c>
      <c r="E1287" s="282"/>
      <c r="F1287" s="282" t="s">
        <v>8143</v>
      </c>
      <c r="G1287" s="93" t="s">
        <v>8144</v>
      </c>
      <c r="H1287" s="282" t="s">
        <v>8145</v>
      </c>
      <c r="I1287" s="282"/>
      <c r="J1287" s="282"/>
    </row>
    <row r="1288" spans="1:10" x14ac:dyDescent="0.2">
      <c r="A1288" s="93" t="str">
        <f t="shared" ca="1" si="0"/>
        <v>贝壳蜗牛</v>
      </c>
      <c r="B1288" s="93" t="s">
        <v>8146</v>
      </c>
      <c r="C1288" s="282"/>
      <c r="D1288" s="282" t="s">
        <v>8147</v>
      </c>
      <c r="E1288" s="282"/>
      <c r="F1288" s="282" t="s">
        <v>8148</v>
      </c>
      <c r="G1288" s="93" t="s">
        <v>8149</v>
      </c>
      <c r="H1288" s="282" t="s">
        <v>8150</v>
      </c>
      <c r="I1288" s="282"/>
      <c r="J1288" s="282"/>
    </row>
    <row r="1289" spans="1:10" x14ac:dyDescent="0.2">
      <c r="A1289" s="93" t="str">
        <f t="shared" ca="1" si="0"/>
        <v>蛞蝓怪异种</v>
      </c>
      <c r="B1289" s="93" t="s">
        <v>8151</v>
      </c>
      <c r="C1289" s="282"/>
      <c r="D1289" s="282" t="s">
        <v>8152</v>
      </c>
      <c r="E1289" s="282"/>
      <c r="F1289" s="282" t="s">
        <v>8153</v>
      </c>
      <c r="G1289" s="93" t="s">
        <v>8154</v>
      </c>
      <c r="H1289" s="282" t="s">
        <v>8155</v>
      </c>
      <c r="I1289" s="282"/>
      <c r="J1289" s="282"/>
    </row>
    <row r="1290" spans="1:10" x14ac:dyDescent="0.2">
      <c r="A1290" s="93" t="str">
        <f t="shared" ca="1" si="0"/>
        <v>大秃鹰</v>
      </c>
      <c r="B1290" s="93" t="s">
        <v>8156</v>
      </c>
      <c r="C1290" s="282"/>
      <c r="D1290" s="282" t="s">
        <v>8157</v>
      </c>
      <c r="E1290" s="282"/>
      <c r="F1290" s="282" t="s">
        <v>8158</v>
      </c>
      <c r="G1290" s="93" t="s">
        <v>8159</v>
      </c>
      <c r="H1290" s="282" t="s">
        <v>8160</v>
      </c>
      <c r="I1290" s="282"/>
      <c r="J1290" s="282"/>
    </row>
    <row r="1291" spans="1:10" x14ac:dyDescent="0.2">
      <c r="A1291" s="93" t="str">
        <f t="shared" ca="1" si="0"/>
        <v>海雀异种</v>
      </c>
      <c r="B1291" s="93" t="s">
        <v>8161</v>
      </c>
      <c r="C1291" s="282"/>
      <c r="D1291" s="282" t="s">
        <v>8162</v>
      </c>
      <c r="E1291" s="282"/>
      <c r="F1291" s="282" t="s">
        <v>8163</v>
      </c>
      <c r="G1291" s="93" t="s">
        <v>8164</v>
      </c>
      <c r="H1291" s="282" t="s">
        <v>8165</v>
      </c>
      <c r="I1291" s="282"/>
      <c r="J1291" s="282"/>
    </row>
    <row r="1292" spans="1:10" x14ac:dyDescent="0.2">
      <c r="A1292" s="93" t="str">
        <f t="shared" ca="1" si="0"/>
        <v>绿剪虫</v>
      </c>
      <c r="B1292" s="93" t="s">
        <v>8166</v>
      </c>
      <c r="C1292" s="282"/>
      <c r="D1292" s="282" t="s">
        <v>8167</v>
      </c>
      <c r="E1292" s="282"/>
      <c r="F1292" s="282" t="s">
        <v>8168</v>
      </c>
      <c r="G1292" s="93" t="s">
        <v>8169</v>
      </c>
      <c r="H1292" s="282" t="s">
        <v>8170</v>
      </c>
      <c r="I1292" s="282"/>
      <c r="J1292" s="282"/>
    </row>
    <row r="1293" spans="1:10" x14ac:dyDescent="0.2">
      <c r="A1293" s="93" t="str">
        <f t="shared" ca="1" si="0"/>
        <v>看门狗</v>
      </c>
      <c r="B1293" s="93" t="s">
        <v>8171</v>
      </c>
      <c r="C1293" s="282" t="s">
        <v>8172</v>
      </c>
      <c r="D1293" s="282" t="s">
        <v>8173</v>
      </c>
      <c r="E1293" s="282"/>
      <c r="F1293" s="282" t="s">
        <v>8174</v>
      </c>
      <c r="G1293" s="93" t="s">
        <v>8175</v>
      </c>
      <c r="H1293" s="282" t="s">
        <v>8176</v>
      </c>
      <c r="I1293" s="282"/>
      <c r="J1293" s="282"/>
    </row>
    <row r="1294" spans="1:10" x14ac:dyDescent="0.2">
      <c r="A1294" s="93" t="str">
        <f t="shared" ca="1" si="0"/>
        <v>魔导机兵</v>
      </c>
      <c r="B1294" s="93" t="s">
        <v>8177</v>
      </c>
      <c r="C1294" s="282"/>
      <c r="D1294" s="282" t="s">
        <v>8178</v>
      </c>
      <c r="E1294" s="282"/>
      <c r="F1294" s="282" t="s">
        <v>8179</v>
      </c>
      <c r="G1294" s="53" t="s">
        <v>8180</v>
      </c>
      <c r="H1294" s="282" t="s">
        <v>8181</v>
      </c>
      <c r="I1294" s="282"/>
      <c r="J1294" s="282"/>
    </row>
    <row r="1295" spans="1:10" x14ac:dyDescent="0.2">
      <c r="A1295" s="93" t="str">
        <f t="shared" ca="1" si="0"/>
        <v>魔导机兵・异型</v>
      </c>
      <c r="B1295" s="93" t="s">
        <v>8182</v>
      </c>
      <c r="C1295" s="282"/>
      <c r="D1295" s="282" t="s">
        <v>8183</v>
      </c>
      <c r="E1295" s="282"/>
      <c r="F1295" s="282" t="s">
        <v>8184</v>
      </c>
      <c r="G1295" s="93" t="s">
        <v>8185</v>
      </c>
      <c r="H1295" s="282" t="s">
        <v>8186</v>
      </c>
      <c r="I1295" s="282"/>
      <c r="J1295" s="282"/>
    </row>
    <row r="1296" spans="1:10" x14ac:dyDescent="0.2">
      <c r="A1296" s="93" t="str">
        <f t="shared" ca="1" si="0"/>
        <v>手蛋</v>
      </c>
      <c r="B1296" s="93" t="s">
        <v>8187</v>
      </c>
      <c r="C1296" s="282"/>
      <c r="D1296" s="282" t="s">
        <v>8188</v>
      </c>
      <c r="E1296" s="282"/>
      <c r="F1296" s="282" t="s">
        <v>8189</v>
      </c>
      <c r="G1296" s="93" t="s">
        <v>8190</v>
      </c>
      <c r="H1296" s="282" t="s">
        <v>8190</v>
      </c>
      <c r="I1296" s="282"/>
      <c r="J1296" s="282"/>
    </row>
    <row r="1297" spans="1:10" x14ac:dyDescent="0.2">
      <c r="A1297" s="93" t="str">
        <f t="shared" ca="1" si="0"/>
        <v>寄居贝</v>
      </c>
      <c r="B1297" s="93" t="s">
        <v>8191</v>
      </c>
      <c r="C1297" s="282"/>
      <c r="D1297" s="282" t="s">
        <v>8192</v>
      </c>
      <c r="E1297" s="282"/>
      <c r="F1297" s="282" t="s">
        <v>8193</v>
      </c>
      <c r="G1297" s="93" t="s">
        <v>8194</v>
      </c>
      <c r="H1297" s="282" t="s">
        <v>8195</v>
      </c>
      <c r="I1297" s="282"/>
      <c r="J1297" s="282"/>
    </row>
    <row r="1298" spans="1:10" x14ac:dyDescent="0.2">
      <c r="A1298" s="93" t="str">
        <f t="shared" ca="1" si="0"/>
        <v>高地狼</v>
      </c>
      <c r="B1298" s="93" t="s">
        <v>8196</v>
      </c>
      <c r="C1298" s="282" t="s">
        <v>8197</v>
      </c>
      <c r="D1298" s="282" t="s">
        <v>8198</v>
      </c>
      <c r="E1298" s="282"/>
      <c r="F1298" s="282" t="s">
        <v>8199</v>
      </c>
      <c r="G1298" s="93" t="s">
        <v>8200</v>
      </c>
      <c r="H1298" s="282" t="s">
        <v>8200</v>
      </c>
      <c r="I1298" s="282"/>
      <c r="J1298" s="282"/>
    </row>
    <row r="1299" spans="1:10" x14ac:dyDescent="0.2">
      <c r="A1299" s="93" t="str">
        <f t="shared" ca="1" si="0"/>
        <v>哈伊兰多山羊</v>
      </c>
      <c r="B1299" s="93" t="s">
        <v>8201</v>
      </c>
      <c r="C1299" s="282"/>
      <c r="D1299" s="282" t="s">
        <v>8202</v>
      </c>
      <c r="E1299" s="282"/>
      <c r="F1299" s="282" t="s">
        <v>8203</v>
      </c>
      <c r="G1299" s="93" t="s">
        <v>8204</v>
      </c>
      <c r="H1299" s="282" t="s">
        <v>8205</v>
      </c>
      <c r="I1299" s="282"/>
      <c r="J1299" s="282"/>
    </row>
    <row r="1300" spans="1:10" x14ac:dyDescent="0.2">
      <c r="A1300" s="93" t="str">
        <f t="shared" ca="1" si="0"/>
        <v>山丘鼠人 I</v>
      </c>
      <c r="B1300" s="93" t="s">
        <v>8206</v>
      </c>
      <c r="C1300" s="282"/>
      <c r="D1300" s="282" t="s">
        <v>8207</v>
      </c>
      <c r="E1300" s="282"/>
      <c r="F1300" s="282" t="s">
        <v>8208</v>
      </c>
      <c r="G1300" s="93" t="s">
        <v>8209</v>
      </c>
      <c r="H1300" s="282" t="s">
        <v>8209</v>
      </c>
      <c r="I1300" s="282"/>
      <c r="J1300" s="282"/>
    </row>
    <row r="1301" spans="1:10" x14ac:dyDescent="0.2">
      <c r="A1301" s="93" t="str">
        <f t="shared" ca="1" si="0"/>
        <v>山丘鼠人 II</v>
      </c>
      <c r="B1301" s="93" t="s">
        <v>8210</v>
      </c>
      <c r="C1301" s="282"/>
      <c r="D1301" s="282" t="s">
        <v>8211</v>
      </c>
      <c r="E1301" s="282"/>
      <c r="F1301" s="282" t="s">
        <v>8212</v>
      </c>
      <c r="G1301" s="93" t="s">
        <v>8213</v>
      </c>
      <c r="H1301" s="282" t="s">
        <v>8213</v>
      </c>
      <c r="I1301" s="282"/>
      <c r="J1301" s="282"/>
    </row>
    <row r="1302" spans="1:10" x14ac:dyDescent="0.2">
      <c r="A1302" s="93" t="str">
        <f t="shared" ca="1" si="0"/>
        <v>山丘鼠人 III</v>
      </c>
      <c r="B1302" s="93" t="s">
        <v>8214</v>
      </c>
      <c r="C1302" s="282"/>
      <c r="D1302" s="282" t="s">
        <v>8215</v>
      </c>
      <c r="E1302" s="282"/>
      <c r="F1302" s="282" t="s">
        <v>8216</v>
      </c>
      <c r="G1302" s="93" t="s">
        <v>8217</v>
      </c>
      <c r="H1302" s="282" t="s">
        <v>8217</v>
      </c>
      <c r="I1302" s="282"/>
      <c r="J1302" s="282"/>
    </row>
    <row r="1303" spans="1:10" x14ac:dyDescent="0.2">
      <c r="A1303" s="93" t="str">
        <f t="shared" ca="1" si="0"/>
        <v>山丘鼠人 IV</v>
      </c>
      <c r="B1303" s="93" t="s">
        <v>8218</v>
      </c>
      <c r="C1303" s="282"/>
      <c r="D1303" s="282" t="s">
        <v>8219</v>
      </c>
      <c r="E1303" s="282"/>
      <c r="F1303" s="282" t="s">
        <v>8220</v>
      </c>
      <c r="G1303" s="93" t="s">
        <v>8221</v>
      </c>
      <c r="H1303" s="282" t="s">
        <v>8221</v>
      </c>
      <c r="I1303" s="282"/>
      <c r="J1303" s="282"/>
    </row>
    <row r="1304" spans="1:10" x14ac:dyDescent="0.2">
      <c r="A1304" s="93" t="str">
        <f t="shared" ca="1" si="0"/>
        <v>山丘鼠人 V</v>
      </c>
      <c r="B1304" s="93" t="s">
        <v>8222</v>
      </c>
      <c r="C1304" s="282"/>
      <c r="D1304" s="282" t="s">
        <v>8223</v>
      </c>
      <c r="E1304" s="282"/>
      <c r="F1304" s="282" t="s">
        <v>8224</v>
      </c>
      <c r="G1304" s="93" t="s">
        <v>8225</v>
      </c>
      <c r="H1304" s="282" t="s">
        <v>8225</v>
      </c>
      <c r="I1304" s="282"/>
      <c r="J1304" s="282"/>
    </row>
    <row r="1305" spans="1:10" x14ac:dyDescent="0.2">
      <c r="A1305" s="93" t="str">
        <f t="shared" ca="1" si="0"/>
        <v>山丘鼠人 VI</v>
      </c>
      <c r="B1305" s="93" t="s">
        <v>8226</v>
      </c>
      <c r="C1305" s="282"/>
      <c r="D1305" s="282" t="s">
        <v>8227</v>
      </c>
      <c r="E1305" s="282"/>
      <c r="F1305" s="282" t="s">
        <v>8228</v>
      </c>
      <c r="G1305" s="93" t="s">
        <v>8229</v>
      </c>
      <c r="H1305" s="282" t="s">
        <v>8229</v>
      </c>
      <c r="I1305" s="282"/>
      <c r="J1305" s="282"/>
    </row>
    <row r="1306" spans="1:10" x14ac:dyDescent="0.2">
      <c r="A1306" s="93" t="str">
        <f t="shared" ca="1" si="0"/>
        <v>山丘大鼠人 I</v>
      </c>
      <c r="B1306" s="93" t="s">
        <v>8230</v>
      </c>
      <c r="C1306" s="282"/>
      <c r="D1306" s="282" t="s">
        <v>8231</v>
      </c>
      <c r="E1306" s="282"/>
      <c r="F1306" s="282" t="s">
        <v>8232</v>
      </c>
      <c r="G1306" s="93" t="s">
        <v>8233</v>
      </c>
      <c r="H1306" s="282" t="s">
        <v>8233</v>
      </c>
      <c r="I1306" s="282"/>
      <c r="J1306" s="282"/>
    </row>
    <row r="1307" spans="1:10" x14ac:dyDescent="0.2">
      <c r="A1307" s="93" t="str">
        <f t="shared" ca="1" si="0"/>
        <v>山丘大鼠人 II</v>
      </c>
      <c r="B1307" s="93" t="s">
        <v>8234</v>
      </c>
      <c r="C1307" s="282"/>
      <c r="D1307" s="282" t="s">
        <v>8235</v>
      </c>
      <c r="E1307" s="282"/>
      <c r="F1307" s="282" t="s">
        <v>8236</v>
      </c>
      <c r="G1307" s="93" t="s">
        <v>8237</v>
      </c>
      <c r="H1307" s="282" t="s">
        <v>8237</v>
      </c>
      <c r="I1307" s="282"/>
      <c r="J1307" s="282"/>
    </row>
    <row r="1308" spans="1:10" x14ac:dyDescent="0.2">
      <c r="A1308" s="93" t="str">
        <f t="shared" ca="1" si="0"/>
        <v>山丘大鼠人 III</v>
      </c>
      <c r="B1308" s="93" t="s">
        <v>8238</v>
      </c>
      <c r="C1308" s="282"/>
      <c r="D1308" s="282" t="s">
        <v>8239</v>
      </c>
      <c r="E1308" s="282"/>
      <c r="F1308" s="282" t="s">
        <v>8240</v>
      </c>
      <c r="G1308" s="93" t="s">
        <v>8241</v>
      </c>
      <c r="H1308" s="282" t="s">
        <v>8241</v>
      </c>
      <c r="I1308" s="282"/>
      <c r="J1308" s="282"/>
    </row>
    <row r="1309" spans="1:10" x14ac:dyDescent="0.2">
      <c r="A1309" s="93" t="str">
        <f t="shared" ca="1" si="0"/>
        <v>巨大熊</v>
      </c>
      <c r="B1309" s="93" t="s">
        <v>8242</v>
      </c>
      <c r="C1309" s="282"/>
      <c r="D1309" s="282" t="s">
        <v>8243</v>
      </c>
      <c r="E1309" s="282"/>
      <c r="F1309" s="282" t="s">
        <v>8244</v>
      </c>
      <c r="G1309" s="93" t="s">
        <v>8245</v>
      </c>
      <c r="H1309" s="282" t="s">
        <v>8245</v>
      </c>
      <c r="I1309" s="282"/>
      <c r="J1309" s="282"/>
    </row>
    <row r="1310" spans="1:10" x14ac:dyDescent="0.2">
      <c r="A1310" s="93" t="str">
        <f t="shared" ca="1" si="0"/>
        <v>白咆哮者异种</v>
      </c>
      <c r="B1310" s="93" t="s">
        <v>8246</v>
      </c>
      <c r="C1310" s="282"/>
      <c r="D1310" s="282" t="s">
        <v>8247</v>
      </c>
      <c r="E1310" s="282"/>
      <c r="F1310" s="282" t="s">
        <v>8248</v>
      </c>
      <c r="G1310" s="93" t="s">
        <v>8249</v>
      </c>
      <c r="H1310" s="282" t="s">
        <v>8250</v>
      </c>
      <c r="I1310" s="282"/>
      <c r="J1310" s="282"/>
    </row>
    <row r="1311" spans="1:10" x14ac:dyDescent="0.2">
      <c r="A1311" s="93" t="str">
        <f t="shared" ca="1" si="0"/>
        <v>咬断蝇</v>
      </c>
      <c r="B1311" s="93" t="s">
        <v>8251</v>
      </c>
      <c r="C1311" s="282"/>
      <c r="D1311" s="282" t="s">
        <v>8252</v>
      </c>
      <c r="E1311" s="282"/>
      <c r="F1311" s="282" t="s">
        <v>8253</v>
      </c>
      <c r="G1311" s="93" t="s">
        <v>8254</v>
      </c>
      <c r="H1311" s="282" t="s">
        <v>8255</v>
      </c>
      <c r="I1311" s="282"/>
      <c r="J1311" s="282"/>
    </row>
    <row r="1312" spans="1:10" x14ac:dyDescent="0.2">
      <c r="A1312" s="93" t="str">
        <f t="shared" ca="1" si="0"/>
        <v>咆啸者异种</v>
      </c>
      <c r="B1312" s="93" t="s">
        <v>8256</v>
      </c>
      <c r="C1312" s="282"/>
      <c r="D1312" s="282" t="s">
        <v>8257</v>
      </c>
      <c r="E1312" s="282"/>
      <c r="F1312" s="282" t="s">
        <v>8258</v>
      </c>
      <c r="G1312" s="93" t="s">
        <v>8259</v>
      </c>
      <c r="H1312" s="282" t="s">
        <v>8260</v>
      </c>
      <c r="I1312" s="282"/>
      <c r="J1312" s="282"/>
    </row>
    <row r="1313" spans="1:10" x14ac:dyDescent="0.2">
      <c r="A1313" s="93" t="str">
        <f t="shared" ca="1" si="0"/>
        <v>河川苍蝇异种</v>
      </c>
      <c r="B1313" s="93" t="s">
        <v>8261</v>
      </c>
      <c r="C1313" s="282"/>
      <c r="D1313" s="282" t="s">
        <v>8262</v>
      </c>
      <c r="E1313" s="282"/>
      <c r="F1313" s="282" t="s">
        <v>8263</v>
      </c>
      <c r="G1313" s="93" t="s">
        <v>8264</v>
      </c>
      <c r="H1313" s="282" t="s">
        <v>8265</v>
      </c>
      <c r="I1313" s="282"/>
      <c r="J1313" s="282"/>
    </row>
    <row r="1314" spans="1:10" x14ac:dyDescent="0.2">
      <c r="A1314" s="93" t="str">
        <f t="shared" ca="1" si="0"/>
        <v>咆哮者</v>
      </c>
      <c r="B1314" s="93" t="s">
        <v>8266</v>
      </c>
      <c r="C1314" s="282"/>
      <c r="D1314" s="282" t="s">
        <v>8267</v>
      </c>
      <c r="E1314" s="282"/>
      <c r="F1314" s="282" t="s">
        <v>8268</v>
      </c>
      <c r="G1314" s="93" t="s">
        <v>8269</v>
      </c>
      <c r="H1314" s="282" t="s">
        <v>8269</v>
      </c>
      <c r="I1314" s="282"/>
      <c r="J1314" s="282"/>
    </row>
    <row r="1315" spans="1:10" x14ac:dyDescent="0.2">
      <c r="A1315" s="93" t="str">
        <f t="shared" ca="1" si="0"/>
        <v>魔导飞器（冰）</v>
      </c>
      <c r="B1315" s="93" t="s">
        <v>8270</v>
      </c>
      <c r="C1315" s="282"/>
      <c r="D1315" s="282" t="s">
        <v>8271</v>
      </c>
      <c r="E1315" s="282"/>
      <c r="F1315" s="282" t="s">
        <v>8272</v>
      </c>
      <c r="G1315" s="93" t="s">
        <v>8273</v>
      </c>
      <c r="H1315" s="282" t="s">
        <v>8274</v>
      </c>
      <c r="I1315" s="282"/>
      <c r="J1315" s="282"/>
    </row>
    <row r="1316" spans="1:10" x14ac:dyDescent="0.2">
      <c r="A1316" s="93" t="str">
        <f t="shared" ca="1" si="0"/>
        <v>魔导飞器（冰）・异型</v>
      </c>
      <c r="B1316" s="93" t="s">
        <v>8275</v>
      </c>
      <c r="C1316" s="282"/>
      <c r="D1316" s="282" t="s">
        <v>8276</v>
      </c>
      <c r="E1316" s="282"/>
      <c r="F1316" s="282" t="s">
        <v>8277</v>
      </c>
      <c r="G1316" s="93" t="s">
        <v>8278</v>
      </c>
      <c r="H1316" s="282" t="s">
        <v>8279</v>
      </c>
      <c r="I1316" s="282"/>
      <c r="J1316" s="282"/>
    </row>
    <row r="1317" spans="1:10" x14ac:dyDescent="0.2">
      <c r="A1317" s="93" t="str">
        <f t="shared" ca="1" si="0"/>
        <v>冰元素</v>
      </c>
      <c r="B1317" s="93" t="s">
        <v>8280</v>
      </c>
      <c r="C1317" s="282" t="s">
        <v>8281</v>
      </c>
      <c r="D1317" s="282" t="s">
        <v>8282</v>
      </c>
      <c r="E1317" s="282"/>
      <c r="F1317" s="282" t="s">
        <v>8283</v>
      </c>
      <c r="G1317" s="93" t="s">
        <v>8284</v>
      </c>
      <c r="H1317" s="282" t="s">
        <v>8284</v>
      </c>
      <c r="I1317" s="282"/>
      <c r="J1317" s="282"/>
    </row>
    <row r="1318" spans="1:10" x14ac:dyDescent="0.2">
      <c r="A1318" s="93" t="str">
        <f t="shared" ca="1" si="0"/>
        <v>魔导机兵（冰）</v>
      </c>
      <c r="B1318" s="93" t="s">
        <v>8285</v>
      </c>
      <c r="C1318" s="282"/>
      <c r="D1318" s="282" t="s">
        <v>8286</v>
      </c>
      <c r="E1318" s="282"/>
      <c r="F1318" s="282" t="s">
        <v>8287</v>
      </c>
      <c r="G1318" s="93" t="s">
        <v>8288</v>
      </c>
      <c r="H1318" s="282" t="s">
        <v>8289</v>
      </c>
      <c r="I1318" s="282"/>
      <c r="J1318" s="282"/>
    </row>
    <row r="1319" spans="1:10" x14ac:dyDescent="0.2">
      <c r="A1319" s="93" t="str">
        <f t="shared" ca="1" si="0"/>
        <v>魔导机兵（冰）・异型</v>
      </c>
      <c r="B1319" s="93" t="s">
        <v>8290</v>
      </c>
      <c r="C1319" s="282"/>
      <c r="D1319" s="282" t="s">
        <v>8291</v>
      </c>
      <c r="E1319" s="282"/>
      <c r="F1319" s="282" t="s">
        <v>8292</v>
      </c>
      <c r="G1319" s="93" t="s">
        <v>8293</v>
      </c>
      <c r="H1319" s="282" t="s">
        <v>8294</v>
      </c>
      <c r="I1319" s="282"/>
      <c r="J1319" s="282"/>
    </row>
    <row r="1320" spans="1:10" x14ac:dyDescent="0.2">
      <c r="A1320" s="93" t="str">
        <f t="shared" ca="1" si="0"/>
        <v>冰雪大蜥蜴人 I</v>
      </c>
      <c r="B1320" s="93" t="s">
        <v>8295</v>
      </c>
      <c r="C1320" s="282"/>
      <c r="D1320" s="282" t="s">
        <v>8296</v>
      </c>
      <c r="E1320" s="282"/>
      <c r="F1320" s="282" t="s">
        <v>8297</v>
      </c>
      <c r="G1320" s="93" t="s">
        <v>8298</v>
      </c>
      <c r="H1320" s="282" t="s">
        <v>8298</v>
      </c>
      <c r="I1320" s="282"/>
      <c r="J1320" s="282"/>
    </row>
    <row r="1321" spans="1:10" x14ac:dyDescent="0.2">
      <c r="A1321" s="93" t="str">
        <f t="shared" ca="1" si="0"/>
        <v>冰雪大蜥蜴人 II</v>
      </c>
      <c r="B1321" s="93" t="s">
        <v>8299</v>
      </c>
      <c r="C1321" s="282"/>
      <c r="D1321" s="282" t="s">
        <v>8300</v>
      </c>
      <c r="E1321" s="282"/>
      <c r="F1321" s="282" t="s">
        <v>8301</v>
      </c>
      <c r="G1321" s="93" t="s">
        <v>8302</v>
      </c>
      <c r="H1321" s="282" t="s">
        <v>8302</v>
      </c>
      <c r="I1321" s="282"/>
      <c r="J1321" s="282"/>
    </row>
    <row r="1322" spans="1:10" x14ac:dyDescent="0.2">
      <c r="A1322" s="93" t="str">
        <f t="shared" ca="1" si="0"/>
        <v>冰雪大蜥蜴人 III</v>
      </c>
      <c r="B1322" s="93" t="s">
        <v>8303</v>
      </c>
      <c r="C1322" s="282"/>
      <c r="D1322" s="282" t="s">
        <v>8300</v>
      </c>
      <c r="E1322" s="282"/>
      <c r="F1322" s="282" t="s">
        <v>8304</v>
      </c>
      <c r="G1322" s="93" t="s">
        <v>8305</v>
      </c>
      <c r="H1322" s="282" t="s">
        <v>8305</v>
      </c>
      <c r="I1322" s="282"/>
      <c r="J1322" s="282"/>
    </row>
    <row r="1323" spans="1:10" x14ac:dyDescent="0.2">
      <c r="A1323" s="93" t="str">
        <f t="shared" ca="1" si="0"/>
        <v>冰雪蜥蜴人 I</v>
      </c>
      <c r="B1323" s="93" t="s">
        <v>8306</v>
      </c>
      <c r="C1323" s="282"/>
      <c r="D1323" s="282" t="s">
        <v>8307</v>
      </c>
      <c r="E1323" s="282"/>
      <c r="F1323" s="282" t="s">
        <v>8308</v>
      </c>
      <c r="G1323" s="93" t="s">
        <v>8309</v>
      </c>
      <c r="H1323" s="282" t="s">
        <v>8309</v>
      </c>
      <c r="I1323" s="282"/>
      <c r="J1323" s="282"/>
    </row>
    <row r="1324" spans="1:10" x14ac:dyDescent="0.2">
      <c r="A1324" s="93" t="str">
        <f t="shared" ca="1" si="0"/>
        <v>冰雪蜥蜴人 II</v>
      </c>
      <c r="B1324" s="93" t="s">
        <v>8310</v>
      </c>
      <c r="C1324" s="282"/>
      <c r="D1324" s="282" t="s">
        <v>8311</v>
      </c>
      <c r="E1324" s="282"/>
      <c r="F1324" s="282" t="s">
        <v>8312</v>
      </c>
      <c r="G1324" s="93" t="s">
        <v>8313</v>
      </c>
      <c r="H1324" s="282" t="s">
        <v>8313</v>
      </c>
      <c r="I1324" s="282"/>
      <c r="J1324" s="282"/>
    </row>
    <row r="1325" spans="1:10" x14ac:dyDescent="0.2">
      <c r="A1325" s="93" t="str">
        <f t="shared" ca="1" si="0"/>
        <v>冰雪蜥蜴人 III</v>
      </c>
      <c r="B1325" s="93" t="s">
        <v>8314</v>
      </c>
      <c r="C1325" s="282"/>
      <c r="D1325" s="282" t="s">
        <v>8315</v>
      </c>
      <c r="E1325" s="282"/>
      <c r="F1325" s="282" t="s">
        <v>8316</v>
      </c>
      <c r="G1325" s="93" t="s">
        <v>8317</v>
      </c>
      <c r="H1325" s="282" t="s">
        <v>8317</v>
      </c>
      <c r="I1325" s="282"/>
      <c r="J1325" s="282"/>
    </row>
    <row r="1326" spans="1:10" x14ac:dyDescent="0.2">
      <c r="A1326" s="93" t="str">
        <f t="shared" ca="1" si="0"/>
        <v>冰雪蜥蜴人 IV</v>
      </c>
      <c r="B1326" s="93" t="s">
        <v>8318</v>
      </c>
      <c r="C1326" s="282"/>
      <c r="D1326" s="282" t="s">
        <v>8319</v>
      </c>
      <c r="E1326" s="282"/>
      <c r="F1326" s="282" t="s">
        <v>8320</v>
      </c>
      <c r="G1326" s="93" t="s">
        <v>8321</v>
      </c>
      <c r="H1326" s="282" t="s">
        <v>8321</v>
      </c>
      <c r="I1326" s="282"/>
      <c r="J1326" s="282"/>
    </row>
    <row r="1327" spans="1:10" x14ac:dyDescent="0.2">
      <c r="A1327" s="93" t="str">
        <f t="shared" ca="1" si="0"/>
        <v>冰雪蜥蜴人 V</v>
      </c>
      <c r="B1327" s="93" t="s">
        <v>8322</v>
      </c>
      <c r="C1327" s="282"/>
      <c r="D1327" s="282" t="s">
        <v>8323</v>
      </c>
      <c r="E1327" s="282"/>
      <c r="F1327" s="282" t="s">
        <v>8324</v>
      </c>
      <c r="G1327" s="93" t="s">
        <v>8325</v>
      </c>
      <c r="H1327" s="282" t="s">
        <v>8325</v>
      </c>
      <c r="I1327" s="282"/>
      <c r="J1327" s="282"/>
    </row>
    <row r="1328" spans="1:10" x14ac:dyDescent="0.2">
      <c r="A1328" s="93" t="str">
        <f t="shared" ca="1" si="0"/>
        <v>冰雪蜥蜴人 VI</v>
      </c>
      <c r="B1328" s="93" t="s">
        <v>8326</v>
      </c>
      <c r="C1328" s="282"/>
      <c r="D1328" s="282" t="s">
        <v>8327</v>
      </c>
      <c r="E1328" s="282"/>
      <c r="F1328" s="282" t="s">
        <v>8328</v>
      </c>
      <c r="G1328" s="93" t="s">
        <v>8329</v>
      </c>
      <c r="H1328" s="282" t="s">
        <v>8329</v>
      </c>
      <c r="I1328" s="282"/>
      <c r="J1328" s="282"/>
    </row>
    <row r="1329" spans="1:10" x14ac:dyDescent="0.2">
      <c r="A1329" s="93" t="str">
        <f t="shared" ca="1" si="0"/>
        <v>古代遗物（冰兽）</v>
      </c>
      <c r="B1329" s="93" t="s">
        <v>8330</v>
      </c>
      <c r="C1329" s="282"/>
      <c r="D1329" s="282" t="s">
        <v>8331</v>
      </c>
      <c r="E1329" s="282"/>
      <c r="F1329" s="282" t="s">
        <v>8332</v>
      </c>
      <c r="G1329" s="93" t="s">
        <v>8333</v>
      </c>
      <c r="H1329" s="282" t="s">
        <v>8334</v>
      </c>
      <c r="I1329" s="282"/>
      <c r="J1329" s="282"/>
    </row>
    <row r="1330" spans="1:10" x14ac:dyDescent="0.2">
      <c r="A1330" s="93" t="str">
        <f t="shared" ca="1" si="0"/>
        <v>古代遗物（冰兽）・异型</v>
      </c>
      <c r="B1330" s="93" t="s">
        <v>8335</v>
      </c>
      <c r="C1330" s="282"/>
      <c r="D1330" s="282" t="s">
        <v>8336</v>
      </c>
      <c r="E1330" s="282"/>
      <c r="F1330" s="282" t="s">
        <v>8337</v>
      </c>
      <c r="G1330" s="93" t="s">
        <v>8338</v>
      </c>
      <c r="H1330" s="282" t="s">
        <v>8339</v>
      </c>
      <c r="I1330" s="282"/>
      <c r="J1330" s="282"/>
    </row>
    <row r="1331" spans="1:10" x14ac:dyDescent="0.2">
      <c r="A1331" s="93" t="str">
        <f t="shared" ca="1" si="0"/>
        <v>古代遗物・冰兵</v>
      </c>
      <c r="B1331" s="93" t="s">
        <v>8340</v>
      </c>
      <c r="C1331" s="282"/>
      <c r="D1331" s="282" t="s">
        <v>8341</v>
      </c>
      <c r="E1331" s="282"/>
      <c r="F1331" s="282" t="s">
        <v>8342</v>
      </c>
      <c r="G1331" s="93" t="s">
        <v>8343</v>
      </c>
      <c r="H1331" s="282" t="s">
        <v>8344</v>
      </c>
      <c r="I1331" s="282"/>
      <c r="J1331" s="282"/>
    </row>
    <row r="1332" spans="1:10" x14ac:dyDescent="0.2">
      <c r="A1332" s="93" t="str">
        <f t="shared" ca="1" si="0"/>
        <v>魔导机（冰）</v>
      </c>
      <c r="B1332" s="93" t="s">
        <v>8345</v>
      </c>
      <c r="C1332" s="51" t="s">
        <v>8346</v>
      </c>
      <c r="D1332" s="282" t="s">
        <v>8347</v>
      </c>
      <c r="E1332" s="282"/>
      <c r="F1332" s="282" t="s">
        <v>8348</v>
      </c>
      <c r="G1332" s="93" t="s">
        <v>8349</v>
      </c>
      <c r="H1332" s="282" t="s">
        <v>8350</v>
      </c>
      <c r="I1332" s="282"/>
      <c r="J1332" s="282"/>
    </row>
    <row r="1333" spans="1:10" x14ac:dyDescent="0.2">
      <c r="A1333" s="93" t="str">
        <f t="shared" ca="1" si="0"/>
        <v>魔导机（冰）・异型</v>
      </c>
      <c r="B1333" s="93" t="s">
        <v>8351</v>
      </c>
      <c r="C1333" s="51" t="s">
        <v>8352</v>
      </c>
      <c r="D1333" s="282" t="s">
        <v>8353</v>
      </c>
      <c r="E1333" s="282"/>
      <c r="F1333" s="282" t="s">
        <v>8354</v>
      </c>
      <c r="G1333" s="93" t="s">
        <v>8355</v>
      </c>
      <c r="H1333" s="282" t="s">
        <v>8356</v>
      </c>
      <c r="I1333" s="282"/>
      <c r="J1333" s="282"/>
    </row>
    <row r="1334" spans="1:10" x14ac:dyDescent="0.2">
      <c r="A1334" s="93" t="str">
        <f t="shared" ca="1" si="0"/>
        <v>冰之鬼火</v>
      </c>
      <c r="B1334" s="93" t="s">
        <v>8357</v>
      </c>
      <c r="C1334" s="51" t="s">
        <v>8358</v>
      </c>
      <c r="D1334" s="282" t="s">
        <v>8359</v>
      </c>
      <c r="E1334" s="282"/>
      <c r="F1334" s="282" t="s">
        <v>8360</v>
      </c>
      <c r="G1334" s="93" t="s">
        <v>8361</v>
      </c>
      <c r="H1334" s="282" t="s">
        <v>8361</v>
      </c>
      <c r="I1334" s="282"/>
      <c r="J1334" s="282"/>
    </row>
    <row r="1335" spans="1:10" x14ac:dyDescent="0.2">
      <c r="A1335" s="93" t="str">
        <f t="shared" ca="1" si="0"/>
        <v>黑蛞蝓怪</v>
      </c>
      <c r="B1335" s="93" t="s">
        <v>8362</v>
      </c>
      <c r="C1335" s="282"/>
      <c r="D1335" s="282" t="s">
        <v>8363</v>
      </c>
      <c r="E1335" s="282"/>
      <c r="F1335" s="282" t="s">
        <v>8364</v>
      </c>
      <c r="G1335" s="93" t="s">
        <v>8365</v>
      </c>
      <c r="H1335" s="282" t="s">
        <v>8365</v>
      </c>
      <c r="I1335" s="282"/>
      <c r="J1335" s="282"/>
    </row>
    <row r="1336" spans="1:10" x14ac:dyDescent="0.2">
      <c r="A1336" s="93" t="str">
        <f t="shared" ca="1" si="0"/>
        <v>七色鸟</v>
      </c>
      <c r="B1336" s="93" t="s">
        <v>8366</v>
      </c>
      <c r="C1336" s="282"/>
      <c r="D1336" s="282" t="s">
        <v>8366</v>
      </c>
      <c r="E1336" s="282"/>
      <c r="F1336" s="282" t="s">
        <v>8367</v>
      </c>
      <c r="G1336" s="93" t="s">
        <v>8368</v>
      </c>
      <c r="H1336" s="282" t="s">
        <v>8369</v>
      </c>
      <c r="I1336" s="282"/>
      <c r="J1336" s="282"/>
    </row>
    <row r="1337" spans="1:10" x14ac:dyDescent="0.2">
      <c r="A1337" s="93" t="str">
        <f t="shared" ca="1" si="0"/>
        <v>杀手虫异种</v>
      </c>
      <c r="B1337" s="93" t="s">
        <v>8370</v>
      </c>
      <c r="C1337" s="282"/>
      <c r="D1337" s="282" t="s">
        <v>7522</v>
      </c>
      <c r="E1337" s="282"/>
      <c r="F1337" s="282" t="s">
        <v>8371</v>
      </c>
      <c r="G1337" s="93" t="s">
        <v>8372</v>
      </c>
      <c r="H1337" s="282" t="s">
        <v>8373</v>
      </c>
      <c r="I1337" s="282"/>
      <c r="J1337" s="282"/>
    </row>
    <row r="1338" spans="1:10" x14ac:dyDescent="0.2">
      <c r="A1338" s="93" t="str">
        <f t="shared" ca="1" si="0"/>
        <v>雷普塔利欧尔</v>
      </c>
      <c r="B1338" s="93" t="s">
        <v>8374</v>
      </c>
      <c r="C1338" s="282"/>
      <c r="D1338" s="282" t="s">
        <v>8375</v>
      </c>
      <c r="E1338" s="282"/>
      <c r="F1338" s="282" t="s">
        <v>8376</v>
      </c>
      <c r="G1338" s="93" t="s">
        <v>8377</v>
      </c>
      <c r="H1338" s="282" t="s">
        <v>8378</v>
      </c>
      <c r="I1338" s="282"/>
      <c r="J1338" s="282"/>
    </row>
    <row r="1339" spans="1:10" x14ac:dyDescent="0.2">
      <c r="A1339" s="93" t="str">
        <f t="shared" ca="1" si="0"/>
        <v>大秃鹰异种</v>
      </c>
      <c r="B1339" s="93" t="s">
        <v>8379</v>
      </c>
      <c r="C1339" s="282"/>
      <c r="D1339" s="282" t="s">
        <v>8380</v>
      </c>
      <c r="E1339" s="282"/>
      <c r="F1339" s="282" t="s">
        <v>8381</v>
      </c>
      <c r="G1339" s="93" t="s">
        <v>8382</v>
      </c>
      <c r="H1339" s="282" t="s">
        <v>8383</v>
      </c>
      <c r="I1339" s="282"/>
      <c r="J1339" s="282"/>
    </row>
    <row r="1340" spans="1:10" x14ac:dyDescent="0.2">
      <c r="A1340" s="93" t="str">
        <f t="shared" ca="1" si="0"/>
        <v>海雀</v>
      </c>
      <c r="B1340" s="93" t="s">
        <v>8384</v>
      </c>
      <c r="C1340" s="282"/>
      <c r="D1340" s="282" t="s">
        <v>8385</v>
      </c>
      <c r="E1340" s="282"/>
      <c r="F1340" s="282" t="s">
        <v>8386</v>
      </c>
      <c r="G1340" s="93" t="s">
        <v>8387</v>
      </c>
      <c r="H1340" s="282" t="s">
        <v>8387</v>
      </c>
      <c r="I1340" s="282"/>
      <c r="J1340" s="282"/>
    </row>
    <row r="1341" spans="1:10" x14ac:dyDescent="0.2">
      <c r="A1341" s="93" t="str">
        <f t="shared" ca="1" si="0"/>
        <v>笑鬣狗</v>
      </c>
      <c r="B1341" s="93" t="s">
        <v>8388</v>
      </c>
      <c r="C1341" s="51" t="s">
        <v>8389</v>
      </c>
      <c r="D1341" s="282" t="s">
        <v>8390</v>
      </c>
      <c r="E1341" s="282"/>
      <c r="F1341" s="282" t="s">
        <v>8391</v>
      </c>
      <c r="G1341" s="93" t="s">
        <v>8392</v>
      </c>
      <c r="H1341" s="282" t="s">
        <v>8392</v>
      </c>
      <c r="I1341" s="282"/>
      <c r="J1341" s="282"/>
    </row>
    <row r="1342" spans="1:10" x14ac:dyDescent="0.2">
      <c r="A1342" s="93" t="str">
        <f t="shared" ca="1" si="0"/>
        <v>魔导飞器（光）</v>
      </c>
      <c r="B1342" s="93" t="s">
        <v>8393</v>
      </c>
      <c r="C1342" s="282"/>
      <c r="D1342" s="282" t="s">
        <v>8394</v>
      </c>
      <c r="E1342" s="282"/>
      <c r="F1342" s="282" t="s">
        <v>8395</v>
      </c>
      <c r="G1342" s="93" t="s">
        <v>8396</v>
      </c>
      <c r="H1342" s="282" t="s">
        <v>8397</v>
      </c>
      <c r="I1342" s="282"/>
      <c r="J1342" s="282"/>
    </row>
    <row r="1343" spans="1:10" x14ac:dyDescent="0.2">
      <c r="A1343" s="93" t="str">
        <f t="shared" ca="1" si="0"/>
        <v>魔导飞器（光）・异型</v>
      </c>
      <c r="B1343" s="93" t="s">
        <v>8398</v>
      </c>
      <c r="C1343" s="282"/>
      <c r="D1343" s="282" t="s">
        <v>8399</v>
      </c>
      <c r="E1343" s="282"/>
      <c r="F1343" s="282" t="s">
        <v>8400</v>
      </c>
      <c r="G1343" s="93" t="s">
        <v>8401</v>
      </c>
      <c r="H1343" s="282" t="s">
        <v>8402</v>
      </c>
      <c r="I1343" s="282"/>
      <c r="J1343" s="282"/>
    </row>
    <row r="1344" spans="1:10" x14ac:dyDescent="0.2">
      <c r="A1344" s="93" t="str">
        <f t="shared" ca="1" si="0"/>
        <v>光元素</v>
      </c>
      <c r="B1344" s="93" t="s">
        <v>8403</v>
      </c>
      <c r="C1344" s="282"/>
      <c r="D1344" s="282" t="s">
        <v>8404</v>
      </c>
      <c r="E1344" s="282"/>
      <c r="F1344" s="282" t="s">
        <v>8405</v>
      </c>
      <c r="G1344" s="93" t="s">
        <v>8406</v>
      </c>
      <c r="H1344" s="282" t="s">
        <v>8406</v>
      </c>
      <c r="I1344" s="282"/>
      <c r="J1344" s="282"/>
    </row>
    <row r="1345" spans="1:10" x14ac:dyDescent="0.2">
      <c r="A1345" s="93" t="str">
        <f t="shared" ca="1" si="0"/>
        <v>魔导机兵（光）</v>
      </c>
      <c r="B1345" s="93" t="s">
        <v>8407</v>
      </c>
      <c r="C1345" s="282"/>
      <c r="D1345" s="282" t="s">
        <v>8408</v>
      </c>
      <c r="E1345" s="282"/>
      <c r="F1345" s="282" t="s">
        <v>8409</v>
      </c>
      <c r="G1345" s="93" t="s">
        <v>8410</v>
      </c>
      <c r="H1345" s="282" t="s">
        <v>8411</v>
      </c>
      <c r="I1345" s="282"/>
      <c r="J1345" s="282"/>
    </row>
    <row r="1346" spans="1:10" x14ac:dyDescent="0.2">
      <c r="A1346" s="93" t="str">
        <f t="shared" ca="1" si="0"/>
        <v>魔导机兵（光）・异型</v>
      </c>
      <c r="B1346" s="93" t="s">
        <v>8412</v>
      </c>
      <c r="C1346" s="282"/>
      <c r="D1346" s="282" t="s">
        <v>8413</v>
      </c>
      <c r="E1346" s="282"/>
      <c r="F1346" s="282" t="s">
        <v>8414</v>
      </c>
      <c r="G1346" s="93" t="s">
        <v>8415</v>
      </c>
      <c r="H1346" s="282" t="s">
        <v>8416</v>
      </c>
      <c r="I1346" s="282"/>
      <c r="J1346" s="282"/>
    </row>
    <row r="1347" spans="1:10" x14ac:dyDescent="0.2">
      <c r="A1347" s="93" t="str">
        <f t="shared" ca="1" si="0"/>
        <v>古代遗物（光兽）</v>
      </c>
      <c r="B1347" s="93" t="s">
        <v>8417</v>
      </c>
      <c r="C1347" s="282"/>
      <c r="D1347" s="282" t="s">
        <v>8418</v>
      </c>
      <c r="E1347" s="282"/>
      <c r="F1347" s="282" t="s">
        <v>8419</v>
      </c>
      <c r="G1347" s="93" t="s">
        <v>8420</v>
      </c>
      <c r="H1347" s="282" t="s">
        <v>8421</v>
      </c>
      <c r="I1347" s="282"/>
      <c r="J1347" s="282"/>
    </row>
    <row r="1348" spans="1:10" x14ac:dyDescent="0.2">
      <c r="A1348" s="93" t="str">
        <f t="shared" ca="1" si="0"/>
        <v>古代遗物（光兽）・异型</v>
      </c>
      <c r="B1348" s="93" t="s">
        <v>8422</v>
      </c>
      <c r="C1348" s="282"/>
      <c r="D1348" s="282" t="s">
        <v>8423</v>
      </c>
      <c r="E1348" s="282"/>
      <c r="F1348" s="282" t="s">
        <v>8424</v>
      </c>
      <c r="G1348" s="93" t="s">
        <v>8425</v>
      </c>
      <c r="H1348" s="282" t="s">
        <v>8426</v>
      </c>
      <c r="I1348" s="282"/>
      <c r="J1348" s="282"/>
    </row>
    <row r="1349" spans="1:10" x14ac:dyDescent="0.2">
      <c r="A1349" s="93" t="str">
        <f t="shared" ca="1" si="0"/>
        <v>古代遗物・光兵</v>
      </c>
      <c r="B1349" s="93" t="s">
        <v>8427</v>
      </c>
      <c r="C1349" s="282"/>
      <c r="D1349" s="282" t="s">
        <v>8428</v>
      </c>
      <c r="E1349" s="282"/>
      <c r="F1349" s="282" t="s">
        <v>8429</v>
      </c>
      <c r="G1349" s="93" t="s">
        <v>8430</v>
      </c>
      <c r="H1349" s="282" t="s">
        <v>8431</v>
      </c>
      <c r="I1349" s="282"/>
      <c r="J1349" s="282"/>
    </row>
    <row r="1350" spans="1:10" x14ac:dyDescent="0.2">
      <c r="A1350" s="93" t="str">
        <f t="shared" ca="1" si="0"/>
        <v>魔导机（光）</v>
      </c>
      <c r="B1350" s="93" t="s">
        <v>8432</v>
      </c>
      <c r="C1350" s="282"/>
      <c r="D1350" s="282" t="s">
        <v>8433</v>
      </c>
      <c r="E1350" s="282"/>
      <c r="F1350" s="282" t="s">
        <v>8434</v>
      </c>
      <c r="G1350" s="93" t="s">
        <v>8435</v>
      </c>
      <c r="H1350" s="282" t="s">
        <v>8436</v>
      </c>
      <c r="I1350" s="282"/>
      <c r="J1350" s="282"/>
    </row>
    <row r="1351" spans="1:10" x14ac:dyDescent="0.2">
      <c r="A1351" s="93" t="str">
        <f t="shared" ca="1" si="0"/>
        <v>魔导机（光）・异型</v>
      </c>
      <c r="B1351" s="93" t="s">
        <v>8437</v>
      </c>
      <c r="C1351" s="282"/>
      <c r="D1351" s="282" t="s">
        <v>8438</v>
      </c>
      <c r="E1351" s="282"/>
      <c r="F1351" s="282" t="s">
        <v>8439</v>
      </c>
      <c r="G1351" s="93" t="s">
        <v>8440</v>
      </c>
      <c r="H1351" s="282" t="s">
        <v>8441</v>
      </c>
      <c r="I1351" s="282"/>
      <c r="J1351" s="282"/>
    </row>
    <row r="1352" spans="1:10" x14ac:dyDescent="0.2">
      <c r="A1352" s="93" t="str">
        <f t="shared" ca="1" si="0"/>
        <v>光之鬼火</v>
      </c>
      <c r="B1352" s="93" t="s">
        <v>8442</v>
      </c>
      <c r="C1352" s="51" t="s">
        <v>8443</v>
      </c>
      <c r="D1352" s="282" t="s">
        <v>8444</v>
      </c>
      <c r="E1352" s="282"/>
      <c r="F1352" s="282" t="s">
        <v>8445</v>
      </c>
      <c r="G1352" s="93" t="s">
        <v>8446</v>
      </c>
      <c r="H1352" s="282" t="s">
        <v>8446</v>
      </c>
      <c r="I1352" s="282"/>
      <c r="J1352" s="282"/>
    </row>
    <row r="1353" spans="1:10" x14ac:dyDescent="0.2">
      <c r="A1353" s="93" t="str">
        <f t="shared" ca="1" si="0"/>
        <v>雷元素</v>
      </c>
      <c r="B1353" s="93" t="s">
        <v>8447</v>
      </c>
      <c r="C1353" s="282"/>
      <c r="D1353" s="282" t="s">
        <v>8448</v>
      </c>
      <c r="E1353" s="282"/>
      <c r="F1353" s="282" t="s">
        <v>8449</v>
      </c>
      <c r="G1353" s="93" t="s">
        <v>8450</v>
      </c>
      <c r="H1353" s="282" t="s">
        <v>8450</v>
      </c>
      <c r="I1353" s="282"/>
      <c r="J1353" s="282"/>
    </row>
    <row r="1354" spans="1:10" x14ac:dyDescent="0.2">
      <c r="A1354" s="93" t="str">
        <f t="shared" ca="1" si="0"/>
        <v>洛里斯</v>
      </c>
      <c r="B1354" s="93" t="s">
        <v>8451</v>
      </c>
      <c r="C1354" s="282" t="s">
        <v>8451</v>
      </c>
      <c r="D1354" s="282" t="s">
        <v>8451</v>
      </c>
      <c r="E1354" s="282"/>
      <c r="F1354" s="282" t="s">
        <v>8451</v>
      </c>
      <c r="G1354" s="93" t="s">
        <v>8452</v>
      </c>
      <c r="H1354" s="282" t="s">
        <v>8452</v>
      </c>
      <c r="I1354" s="282"/>
      <c r="J1354" s="282"/>
    </row>
    <row r="1355" spans="1:10" x14ac:dyDescent="0.2">
      <c r="A1355" s="93" t="str">
        <f t="shared" ca="1" si="0"/>
        <v>长耳洛里斯</v>
      </c>
      <c r="B1355" s="93" t="s">
        <v>8453</v>
      </c>
      <c r="C1355" s="282"/>
      <c r="D1355" s="282" t="s">
        <v>8454</v>
      </c>
      <c r="E1355" s="282"/>
      <c r="F1355" s="282" t="s">
        <v>8455</v>
      </c>
      <c r="G1355" s="93" t="s">
        <v>8456</v>
      </c>
      <c r="H1355" s="282" t="s">
        <v>8457</v>
      </c>
      <c r="I1355" s="282"/>
      <c r="J1355" s="282"/>
    </row>
    <row r="1356" spans="1:10" x14ac:dyDescent="0.2">
      <c r="A1356" s="93" t="str">
        <f t="shared" ca="1" si="0"/>
        <v>巨大黑死苍蝇</v>
      </c>
      <c r="B1356" s="93" t="s">
        <v>8458</v>
      </c>
      <c r="C1356" s="282"/>
      <c r="D1356" s="282" t="s">
        <v>8459</v>
      </c>
      <c r="E1356" s="282"/>
      <c r="F1356" s="282" t="s">
        <v>8460</v>
      </c>
      <c r="G1356" s="93" t="s">
        <v>8461</v>
      </c>
      <c r="H1356" s="282" t="s">
        <v>8462</v>
      </c>
      <c r="I1356" s="282"/>
      <c r="J1356" s="282"/>
    </row>
    <row r="1357" spans="1:10" x14ac:dyDescent="0.2">
      <c r="A1357" s="93" t="str">
        <f t="shared" ca="1" si="0"/>
        <v>狰狞的鼠人</v>
      </c>
      <c r="B1357" s="93" t="s">
        <v>8463</v>
      </c>
      <c r="C1357" s="282"/>
      <c r="D1357" s="282" t="s">
        <v>8464</v>
      </c>
      <c r="E1357" s="282"/>
      <c r="F1357" s="282" t="s">
        <v>8465</v>
      </c>
      <c r="G1357" s="93" t="s">
        <v>8466</v>
      </c>
      <c r="H1357" s="282" t="s">
        <v>8467</v>
      </c>
      <c r="I1357" s="282"/>
      <c r="J1357" s="282"/>
    </row>
    <row r="1358" spans="1:10" x14ac:dyDescent="0.2">
      <c r="A1358" s="93" t="str">
        <f t="shared" ca="1" si="0"/>
        <v>大尾土拨鼠</v>
      </c>
      <c r="B1358" s="93" t="s">
        <v>8468</v>
      </c>
      <c r="C1358" s="51" t="s">
        <v>8469</v>
      </c>
      <c r="D1358" s="282" t="s">
        <v>8470</v>
      </c>
      <c r="E1358" s="282"/>
      <c r="F1358" s="282" t="s">
        <v>8471</v>
      </c>
      <c r="G1358" s="93" t="s">
        <v>8472</v>
      </c>
      <c r="H1358" s="282" t="s">
        <v>8473</v>
      </c>
      <c r="I1358" s="282"/>
      <c r="J1358" s="282"/>
    </row>
    <row r="1359" spans="1:10" x14ac:dyDescent="0.2">
      <c r="A1359" s="93" t="str">
        <f t="shared" ca="1" si="0"/>
        <v>冰雪大尾土拨鼠</v>
      </c>
      <c r="B1359" s="93" t="s">
        <v>8474</v>
      </c>
      <c r="C1359" s="51" t="s">
        <v>8475</v>
      </c>
      <c r="D1359" s="282" t="s">
        <v>8476</v>
      </c>
      <c r="E1359" s="282"/>
      <c r="F1359" s="282" t="s">
        <v>8477</v>
      </c>
      <c r="G1359" s="93" t="s">
        <v>8478</v>
      </c>
      <c r="H1359" s="282" t="s">
        <v>8479</v>
      </c>
      <c r="I1359" s="282"/>
      <c r="J1359" s="282"/>
    </row>
    <row r="1360" spans="1:10" x14ac:dyDescent="0.2">
      <c r="A1360" s="93" t="str">
        <f t="shared" ca="1" si="0"/>
        <v>大绵羊异种</v>
      </c>
      <c r="B1360" s="93" t="s">
        <v>8480</v>
      </c>
      <c r="C1360" s="282"/>
      <c r="D1360" s="282" t="s">
        <v>8481</v>
      </c>
      <c r="E1360" s="282"/>
      <c r="F1360" s="282" t="s">
        <v>8482</v>
      </c>
      <c r="G1360" s="93" t="s">
        <v>8483</v>
      </c>
      <c r="H1360" s="282" t="s">
        <v>8484</v>
      </c>
      <c r="I1360" s="282"/>
      <c r="J1360" s="282"/>
    </row>
    <row r="1361" spans="1:10" x14ac:dyDescent="0.2">
      <c r="A1361" s="93" t="str">
        <f t="shared" ca="1" si="0"/>
        <v>法尔帕斯</v>
      </c>
      <c r="B1361" s="93" t="s">
        <v>8485</v>
      </c>
      <c r="C1361" s="282"/>
      <c r="D1361" s="282" t="s">
        <v>8485</v>
      </c>
      <c r="E1361" s="282"/>
      <c r="F1361" s="282" t="s">
        <v>8486</v>
      </c>
      <c r="G1361" s="93" t="s">
        <v>8487</v>
      </c>
      <c r="H1361" s="282" t="s">
        <v>8488</v>
      </c>
      <c r="I1361" s="282"/>
      <c r="J1361" s="282"/>
    </row>
    <row r="1362" spans="1:10" x14ac:dyDescent="0.2">
      <c r="A1362" s="93" t="str">
        <f t="shared" ca="1" si="0"/>
        <v>傀儡骷髅</v>
      </c>
      <c r="B1362" s="93" t="s">
        <v>8489</v>
      </c>
      <c r="C1362" s="282"/>
      <c r="D1362" s="282" t="s">
        <v>8490</v>
      </c>
      <c r="E1362" s="282"/>
      <c r="F1362" s="282" t="s">
        <v>8491</v>
      </c>
      <c r="G1362" s="93" t="s">
        <v>8492</v>
      </c>
      <c r="H1362" s="282" t="s">
        <v>8493</v>
      </c>
      <c r="I1362" s="282"/>
      <c r="J1362" s="282"/>
    </row>
    <row r="1363" spans="1:10" x14ac:dyDescent="0.2">
      <c r="A1363" s="93" t="str">
        <f t="shared" ca="1" si="0"/>
        <v>土拨鼠</v>
      </c>
      <c r="B1363" s="93" t="s">
        <v>8494</v>
      </c>
      <c r="C1363" s="51" t="s">
        <v>8495</v>
      </c>
      <c r="D1363" s="282" t="s">
        <v>8496</v>
      </c>
      <c r="E1363" s="282"/>
      <c r="F1363" s="282" t="s">
        <v>8497</v>
      </c>
      <c r="G1363" s="93" t="s">
        <v>8498</v>
      </c>
      <c r="H1363" s="282" t="s">
        <v>8499</v>
      </c>
      <c r="I1363" s="282"/>
      <c r="J1363" s="282"/>
    </row>
    <row r="1364" spans="1:10" x14ac:dyDescent="0.2">
      <c r="A1364" s="93" t="str">
        <f t="shared" ca="1" si="0"/>
        <v>上级盗贼 I</v>
      </c>
      <c r="B1364" s="93" t="s">
        <v>8500</v>
      </c>
      <c r="C1364" s="282"/>
      <c r="D1364" s="282" t="s">
        <v>8501</v>
      </c>
      <c r="E1364" s="282"/>
      <c r="F1364" s="282" t="s">
        <v>8502</v>
      </c>
      <c r="G1364" s="93" t="s">
        <v>8503</v>
      </c>
      <c r="H1364" s="282" t="s">
        <v>8504</v>
      </c>
      <c r="I1364" s="282"/>
      <c r="J1364" s="282"/>
    </row>
    <row r="1365" spans="1:10" x14ac:dyDescent="0.2">
      <c r="A1365" s="93" t="str">
        <f t="shared" ca="1" si="0"/>
        <v>上级盗贼 II</v>
      </c>
      <c r="B1365" s="93" t="s">
        <v>8505</v>
      </c>
      <c r="C1365" s="282"/>
      <c r="D1365" s="282" t="s">
        <v>8506</v>
      </c>
      <c r="E1365" s="282"/>
      <c r="F1365" s="282" t="s">
        <v>8507</v>
      </c>
      <c r="G1365" s="93" t="s">
        <v>8508</v>
      </c>
      <c r="H1365" s="282" t="s">
        <v>8509</v>
      </c>
      <c r="I1365" s="282"/>
      <c r="J1365" s="282"/>
    </row>
    <row r="1366" spans="1:10" x14ac:dyDescent="0.2">
      <c r="A1366" s="93" t="str">
        <f t="shared" ca="1" si="0"/>
        <v>比仆</v>
      </c>
      <c r="B1366" s="93" t="s">
        <v>8510</v>
      </c>
      <c r="C1366" s="282" t="s">
        <v>8510</v>
      </c>
      <c r="D1366" s="282" t="s">
        <v>8511</v>
      </c>
      <c r="E1366" s="282"/>
      <c r="F1366" s="282" t="s">
        <v>8512</v>
      </c>
      <c r="G1366" s="93" t="s">
        <v>8513</v>
      </c>
      <c r="H1366" s="282" t="s">
        <v>8514</v>
      </c>
      <c r="I1366" s="282"/>
      <c r="J1366" s="282"/>
    </row>
    <row r="1367" spans="1:10" x14ac:dyDescent="0.2">
      <c r="A1367" s="93" t="str">
        <f t="shared" ca="1" si="0"/>
        <v>法尔帕斯异种</v>
      </c>
      <c r="B1367" s="93" t="s">
        <v>8515</v>
      </c>
      <c r="C1367" s="282"/>
      <c r="D1367" s="282" t="s">
        <v>8516</v>
      </c>
      <c r="E1367" s="282"/>
      <c r="F1367" s="282" t="s">
        <v>8517</v>
      </c>
      <c r="G1367" s="93" t="s">
        <v>8518</v>
      </c>
      <c r="H1367" s="282" t="s">
        <v>8519</v>
      </c>
      <c r="I1367" s="282"/>
      <c r="J1367" s="282"/>
    </row>
    <row r="1368" spans="1:10" x14ac:dyDescent="0.2">
      <c r="A1368" s="93" t="str">
        <f t="shared" ca="1" si="0"/>
        <v>莫洛克的警备兵 I</v>
      </c>
      <c r="B1368" s="93" t="s">
        <v>8520</v>
      </c>
      <c r="C1368" s="282" t="s">
        <v>8521</v>
      </c>
      <c r="D1368" s="282" t="s">
        <v>8522</v>
      </c>
      <c r="E1368" s="282"/>
      <c r="F1368" s="282" t="s">
        <v>8523</v>
      </c>
      <c r="G1368" s="93" t="s">
        <v>8524</v>
      </c>
      <c r="H1368" s="282" t="s">
        <v>8525</v>
      </c>
      <c r="I1368" s="282"/>
      <c r="J1368" s="282"/>
    </row>
    <row r="1369" spans="1:10" x14ac:dyDescent="0.2">
      <c r="A1369" s="93" t="str">
        <f t="shared" ca="1" si="0"/>
        <v>莫洛克的警备兵 II</v>
      </c>
      <c r="B1369" s="93" t="s">
        <v>8526</v>
      </c>
      <c r="C1369" s="282" t="s">
        <v>8527</v>
      </c>
      <c r="D1369" s="282" t="s">
        <v>8528</v>
      </c>
      <c r="E1369" s="282"/>
      <c r="F1369" s="282" t="s">
        <v>8529</v>
      </c>
      <c r="G1369" s="93" t="s">
        <v>8530</v>
      </c>
      <c r="H1369" s="282" t="s">
        <v>8531</v>
      </c>
      <c r="I1369" s="282"/>
      <c r="J1369" s="282"/>
    </row>
    <row r="1370" spans="1:10" x14ac:dyDescent="0.2">
      <c r="A1370" s="93" t="str">
        <f t="shared" ca="1" si="0"/>
        <v>猛毒菇</v>
      </c>
      <c r="B1370" s="93" t="s">
        <v>8532</v>
      </c>
      <c r="C1370" s="282"/>
      <c r="D1370" s="282" t="s">
        <v>8533</v>
      </c>
      <c r="E1370" s="282"/>
      <c r="F1370" s="282" t="s">
        <v>8534</v>
      </c>
      <c r="G1370" s="93" t="s">
        <v>8535</v>
      </c>
      <c r="H1370" s="282" t="s">
        <v>8535</v>
      </c>
      <c r="I1370" s="282"/>
      <c r="J1370" s="282"/>
    </row>
    <row r="1371" spans="1:10" x14ac:dyDescent="0.2">
      <c r="A1371" s="93" t="str">
        <f t="shared" ca="1" si="0"/>
        <v>摩斯比仆</v>
      </c>
      <c r="B1371" s="93" t="s">
        <v>8536</v>
      </c>
      <c r="C1371" s="282" t="s">
        <v>8537</v>
      </c>
      <c r="D1371" s="282" t="s">
        <v>8538</v>
      </c>
      <c r="E1371" s="282"/>
      <c r="F1371" s="282" t="s">
        <v>8539</v>
      </c>
      <c r="G1371" s="93" t="s">
        <v>8540</v>
      </c>
      <c r="H1371" s="282" t="s">
        <v>8541</v>
      </c>
      <c r="I1371" s="282"/>
      <c r="J1371" s="282"/>
    </row>
    <row r="1372" spans="1:10" x14ac:dyDescent="0.2">
      <c r="A1372" s="93" t="str">
        <f t="shared" ca="1" si="0"/>
        <v>苔龟</v>
      </c>
      <c r="B1372" s="93" t="s">
        <v>8542</v>
      </c>
      <c r="C1372" s="282"/>
      <c r="D1372" s="282" t="s">
        <v>8543</v>
      </c>
      <c r="E1372" s="282"/>
      <c r="F1372" s="52" t="s">
        <v>8544</v>
      </c>
      <c r="G1372" s="93" t="s">
        <v>8545</v>
      </c>
      <c r="H1372" s="282" t="s">
        <v>8546</v>
      </c>
      <c r="I1372" s="282"/>
      <c r="J1372" s="282"/>
    </row>
    <row r="1373" spans="1:10" x14ac:dyDescent="0.2">
      <c r="A1373" s="93" t="str">
        <f t="shared" ca="1" si="0"/>
        <v>彩色蜗牛</v>
      </c>
      <c r="B1373" s="93" t="s">
        <v>8547</v>
      </c>
      <c r="C1373" s="282"/>
      <c r="D1373" s="282" t="s">
        <v>8548</v>
      </c>
      <c r="E1373" s="282"/>
      <c r="F1373" s="282" t="s">
        <v>8549</v>
      </c>
      <c r="G1373" s="93" t="s">
        <v>8550</v>
      </c>
      <c r="H1373" s="282" t="s">
        <v>8551</v>
      </c>
      <c r="I1373" s="282"/>
      <c r="J1373" s="282"/>
    </row>
    <row r="1374" spans="1:10" x14ac:dyDescent="0.2">
      <c r="A1374" s="93" t="str">
        <f t="shared" ca="1" si="0"/>
        <v>山羊</v>
      </c>
      <c r="B1374" s="93" t="s">
        <v>8552</v>
      </c>
      <c r="C1374" s="282"/>
      <c r="D1374" s="282" t="s">
        <v>8553</v>
      </c>
      <c r="E1374" s="282"/>
      <c r="F1374" s="282" t="s">
        <v>8554</v>
      </c>
      <c r="G1374" s="93" t="s">
        <v>8555</v>
      </c>
      <c r="H1374" s="282" t="s">
        <v>8555</v>
      </c>
      <c r="I1374" s="282"/>
      <c r="J1374" s="282"/>
    </row>
    <row r="1375" spans="1:10" x14ac:dyDescent="0.2">
      <c r="A1375" s="93" t="str">
        <f t="shared" ca="1" si="0"/>
        <v>怪异菇</v>
      </c>
      <c r="B1375" s="93" t="s">
        <v>8556</v>
      </c>
      <c r="C1375" s="282"/>
      <c r="D1375" s="282" t="s">
        <v>8557</v>
      </c>
      <c r="E1375" s="282"/>
      <c r="F1375" s="282" t="s">
        <v>8558</v>
      </c>
      <c r="G1375" s="93" t="s">
        <v>8559</v>
      </c>
      <c r="H1375" s="282" t="s">
        <v>8560</v>
      </c>
      <c r="I1375" s="282"/>
      <c r="J1375" s="282"/>
    </row>
    <row r="1376" spans="1:10" x14ac:dyDescent="0.2">
      <c r="A1376" s="93" t="str">
        <f t="shared" ca="1" si="0"/>
        <v>黑乌鸦</v>
      </c>
      <c r="B1376" s="93" t="s">
        <v>8561</v>
      </c>
      <c r="C1376" s="282"/>
      <c r="D1376" s="282" t="s">
        <v>8562</v>
      </c>
      <c r="E1376" s="282"/>
      <c r="F1376" s="282" t="s">
        <v>8563</v>
      </c>
      <c r="G1376" s="93" t="s">
        <v>8564</v>
      </c>
      <c r="H1376" s="282" t="s">
        <v>8565</v>
      </c>
      <c r="I1376" s="282"/>
      <c r="J1376" s="282"/>
    </row>
    <row r="1377" spans="1:10" x14ac:dyDescent="0.2">
      <c r="A1377" s="93" t="str">
        <f t="shared" ca="1" si="0"/>
        <v>黑曜会干部 I</v>
      </c>
      <c r="B1377" s="93" t="s">
        <v>8566</v>
      </c>
      <c r="C1377" s="282"/>
      <c r="D1377" s="282" t="s">
        <v>8567</v>
      </c>
      <c r="E1377" s="282"/>
      <c r="F1377" s="282" t="s">
        <v>8568</v>
      </c>
      <c r="G1377" s="93" t="s">
        <v>8569</v>
      </c>
      <c r="H1377" s="282" t="s">
        <v>8570</v>
      </c>
      <c r="I1377" s="282"/>
      <c r="J1377" s="282"/>
    </row>
    <row r="1378" spans="1:10" x14ac:dyDescent="0.2">
      <c r="A1378" s="93" t="str">
        <f t="shared" ca="1" si="0"/>
        <v>黑曜会干部 II</v>
      </c>
      <c r="B1378" s="93" t="s">
        <v>8571</v>
      </c>
      <c r="C1378" s="282"/>
      <c r="D1378" s="282" t="s">
        <v>8572</v>
      </c>
      <c r="E1378" s="282"/>
      <c r="F1378" s="282" t="s">
        <v>8573</v>
      </c>
      <c r="G1378" s="93" t="s">
        <v>8574</v>
      </c>
      <c r="H1378" s="282" t="s">
        <v>8575</v>
      </c>
      <c r="I1378" s="282"/>
      <c r="J1378" s="282"/>
    </row>
    <row r="1379" spans="1:10" x14ac:dyDescent="0.2">
      <c r="A1379" s="93" t="str">
        <f t="shared" ca="1" si="0"/>
        <v>九命树</v>
      </c>
      <c r="B1379" s="93" t="s">
        <v>8576</v>
      </c>
      <c r="C1379" s="282"/>
      <c r="D1379" s="282" t="s">
        <v>8577</v>
      </c>
      <c r="E1379" s="282"/>
      <c r="F1379" s="282" t="s">
        <v>8578</v>
      </c>
      <c r="G1379" s="93" t="s">
        <v>8579</v>
      </c>
      <c r="H1379" s="282" t="s">
        <v>8580</v>
      </c>
      <c r="I1379" s="282"/>
      <c r="J1379" s="282"/>
    </row>
    <row r="1380" spans="1:10" x14ac:dyDescent="0.2">
      <c r="A1380" s="93" t="str">
        <f t="shared" ca="1" si="0"/>
        <v>海盗（枪） I</v>
      </c>
      <c r="B1380" s="93" t="s">
        <v>8581</v>
      </c>
      <c r="C1380" s="51" t="s">
        <v>8582</v>
      </c>
      <c r="D1380" s="282" t="s">
        <v>8581</v>
      </c>
      <c r="E1380" s="282"/>
      <c r="F1380" s="282" t="s">
        <v>8583</v>
      </c>
      <c r="G1380" s="93" t="s">
        <v>8584</v>
      </c>
      <c r="H1380" s="282" t="s">
        <v>8585</v>
      </c>
      <c r="I1380" s="282"/>
      <c r="J1380" s="282"/>
    </row>
    <row r="1381" spans="1:10" x14ac:dyDescent="0.2">
      <c r="A1381" s="93" t="str">
        <f t="shared" ca="1" si="0"/>
        <v>海盗（枪） II</v>
      </c>
      <c r="B1381" s="93" t="s">
        <v>8586</v>
      </c>
      <c r="C1381" s="51" t="s">
        <v>8587</v>
      </c>
      <c r="D1381" s="282" t="s">
        <v>8586</v>
      </c>
      <c r="E1381" s="282"/>
      <c r="F1381" s="282" t="s">
        <v>8588</v>
      </c>
      <c r="G1381" s="93" t="s">
        <v>8589</v>
      </c>
      <c r="H1381" s="282" t="s">
        <v>8590</v>
      </c>
      <c r="I1381" s="282"/>
      <c r="J1381" s="282"/>
    </row>
    <row r="1382" spans="1:10" x14ac:dyDescent="0.2">
      <c r="A1382" s="93" t="str">
        <f t="shared" ca="1" si="0"/>
        <v>海盗（枪） III</v>
      </c>
      <c r="B1382" s="93" t="s">
        <v>8591</v>
      </c>
      <c r="C1382" s="51" t="s">
        <v>8592</v>
      </c>
      <c r="D1382" s="282" t="s">
        <v>8593</v>
      </c>
      <c r="E1382" s="282"/>
      <c r="F1382" s="282" t="s">
        <v>8594</v>
      </c>
      <c r="G1382" s="93" t="s">
        <v>8595</v>
      </c>
      <c r="H1382" s="282" t="s">
        <v>8596</v>
      </c>
      <c r="I1382" s="282"/>
      <c r="J1382" s="282"/>
    </row>
    <row r="1383" spans="1:10" x14ac:dyDescent="0.2">
      <c r="A1383" s="93" t="str">
        <f t="shared" ca="1" si="0"/>
        <v>翼蜥蜴</v>
      </c>
      <c r="B1383" s="93" t="s">
        <v>8597</v>
      </c>
      <c r="C1383" s="282"/>
      <c r="D1383" s="282" t="s">
        <v>8598</v>
      </c>
      <c r="E1383" s="282"/>
      <c r="F1383" s="282" t="s">
        <v>8599</v>
      </c>
      <c r="G1383" s="93" t="s">
        <v>8600</v>
      </c>
      <c r="H1383" s="282" t="s">
        <v>8600</v>
      </c>
      <c r="I1383" s="282"/>
      <c r="J1383" s="282"/>
    </row>
    <row r="1384" spans="1:10" x14ac:dyDescent="0.2">
      <c r="A1384" s="93" t="str">
        <f t="shared" ca="1" si="0"/>
        <v>企鹅怪</v>
      </c>
      <c r="B1384" s="93" t="s">
        <v>8601</v>
      </c>
      <c r="C1384" s="282"/>
      <c r="D1384" s="282" t="s">
        <v>8602</v>
      </c>
      <c r="E1384" s="282"/>
      <c r="F1384" s="282" t="s">
        <v>8603</v>
      </c>
      <c r="G1384" s="93" t="s">
        <v>8604</v>
      </c>
      <c r="H1384" s="282" t="s">
        <v>8605</v>
      </c>
      <c r="I1384" s="282"/>
      <c r="J1384" s="282"/>
    </row>
    <row r="1385" spans="1:10" x14ac:dyDescent="0.2">
      <c r="A1385" s="93" t="str">
        <f t="shared" ca="1" si="0"/>
        <v>傀儡骷髅异种</v>
      </c>
      <c r="B1385" s="93" t="s">
        <v>8606</v>
      </c>
      <c r="C1385" s="51" t="s">
        <v>8607</v>
      </c>
      <c r="D1385" s="282" t="s">
        <v>8608</v>
      </c>
      <c r="E1385" s="282"/>
      <c r="F1385" s="282" t="s">
        <v>8609</v>
      </c>
      <c r="G1385" s="93" t="s">
        <v>8610</v>
      </c>
      <c r="H1385" s="282" t="s">
        <v>8611</v>
      </c>
      <c r="I1385" s="282"/>
      <c r="J1385" s="282"/>
    </row>
    <row r="1386" spans="1:10" x14ac:dyDescent="0.2">
      <c r="A1386" s="93" t="str">
        <f t="shared" ca="1" si="0"/>
        <v>猛角犀牛</v>
      </c>
      <c r="B1386" s="93" t="s">
        <v>8612</v>
      </c>
      <c r="C1386" s="282"/>
      <c r="D1386" s="282" t="s">
        <v>8613</v>
      </c>
      <c r="E1386" s="282"/>
      <c r="F1386" s="282" t="s">
        <v>8614</v>
      </c>
      <c r="G1386" s="93" t="s">
        <v>8615</v>
      </c>
      <c r="H1386" s="282" t="s">
        <v>8615</v>
      </c>
      <c r="I1386" s="282"/>
      <c r="J1386" s="282"/>
    </row>
    <row r="1387" spans="1:10" x14ac:dyDescent="0.2">
      <c r="A1387" s="93" t="str">
        <f t="shared" ca="1" si="0"/>
        <v>狂暴树木</v>
      </c>
      <c r="B1387" s="93" t="s">
        <v>8616</v>
      </c>
      <c r="C1387" s="282"/>
      <c r="D1387" s="282" t="s">
        <v>8617</v>
      </c>
      <c r="E1387" s="282"/>
      <c r="F1387" s="282" t="s">
        <v>8618</v>
      </c>
      <c r="G1387" s="93" t="s">
        <v>8619</v>
      </c>
      <c r="H1387" s="282" t="s">
        <v>8620</v>
      </c>
      <c r="I1387" s="282"/>
      <c r="J1387" s="282"/>
    </row>
    <row r="1388" spans="1:10" x14ac:dyDescent="0.2">
      <c r="A1388" s="93" t="str">
        <f t="shared" ca="1" si="0"/>
        <v>狂暴植物</v>
      </c>
      <c r="B1388" s="93" t="s">
        <v>8621</v>
      </c>
      <c r="C1388" s="282"/>
      <c r="D1388" s="282" t="s">
        <v>8622</v>
      </c>
      <c r="E1388" s="282"/>
      <c r="F1388" s="282" t="s">
        <v>8623</v>
      </c>
      <c r="G1388" s="93" t="s">
        <v>8624</v>
      </c>
      <c r="H1388" s="282" t="s">
        <v>8624</v>
      </c>
      <c r="I1388" s="282"/>
      <c r="J1388" s="282"/>
    </row>
    <row r="1389" spans="1:10" x14ac:dyDescent="0.2">
      <c r="A1389" s="93" t="str">
        <f t="shared" ca="1" si="0"/>
        <v>瑞布斯的士兵 I</v>
      </c>
      <c r="B1389" s="93" t="s">
        <v>8625</v>
      </c>
      <c r="C1389" s="282" t="s">
        <v>8626</v>
      </c>
      <c r="D1389" s="282" t="s">
        <v>8627</v>
      </c>
      <c r="E1389" s="282"/>
      <c r="F1389" s="282" t="s">
        <v>8628</v>
      </c>
      <c r="G1389" s="93" t="s">
        <v>8629</v>
      </c>
      <c r="H1389" s="282" t="s">
        <v>8629</v>
      </c>
      <c r="I1389" s="282"/>
      <c r="J1389" s="282"/>
    </row>
    <row r="1390" spans="1:10" x14ac:dyDescent="0.2">
      <c r="A1390" s="93" t="str">
        <f t="shared" ca="1" si="0"/>
        <v>瑞布斯的士兵 II</v>
      </c>
      <c r="B1390" s="93" t="s">
        <v>8630</v>
      </c>
      <c r="C1390" s="282" t="s">
        <v>8631</v>
      </c>
      <c r="D1390" s="282" t="s">
        <v>8632</v>
      </c>
      <c r="E1390" s="282"/>
      <c r="F1390" s="282" t="s">
        <v>8633</v>
      </c>
      <c r="G1390" s="93" t="s">
        <v>8634</v>
      </c>
      <c r="H1390" s="282" t="s">
        <v>8634</v>
      </c>
      <c r="I1390" s="282"/>
      <c r="J1390" s="282"/>
    </row>
    <row r="1391" spans="1:10" x14ac:dyDescent="0.2">
      <c r="A1391" s="93" t="str">
        <f t="shared" ca="1" si="0"/>
        <v>瑞布斯的士兵 III</v>
      </c>
      <c r="B1391" s="93" t="s">
        <v>8635</v>
      </c>
      <c r="C1391" s="282" t="s">
        <v>8636</v>
      </c>
      <c r="D1391" s="282" t="s">
        <v>8637</v>
      </c>
      <c r="E1391" s="282"/>
      <c r="F1391" s="282" t="s">
        <v>8638</v>
      </c>
      <c r="G1391" s="93" t="s">
        <v>8639</v>
      </c>
      <c r="H1391" s="282" t="s">
        <v>8639</v>
      </c>
      <c r="I1391" s="282"/>
      <c r="J1391" s="282"/>
    </row>
    <row r="1392" spans="1:10" x14ac:dyDescent="0.2">
      <c r="A1392" s="93" t="str">
        <f t="shared" ca="1" si="0"/>
        <v>双剪蟹</v>
      </c>
      <c r="B1392" s="93" t="s">
        <v>8640</v>
      </c>
      <c r="C1392" s="282"/>
      <c r="D1392" s="282" t="s">
        <v>8641</v>
      </c>
      <c r="E1392" s="282"/>
      <c r="F1392" s="282" t="s">
        <v>8642</v>
      </c>
      <c r="G1392" s="93" t="s">
        <v>8643</v>
      </c>
      <c r="H1392" s="282" t="s">
        <v>8644</v>
      </c>
      <c r="I1392" s="282"/>
      <c r="J1392" s="282"/>
    </row>
    <row r="1393" spans="1:10" x14ac:dyDescent="0.2">
      <c r="A1393" s="93" t="str">
        <f t="shared" ca="1" si="0"/>
        <v>红森林狐狸</v>
      </c>
      <c r="B1393" s="93" t="s">
        <v>8645</v>
      </c>
      <c r="C1393" s="51" t="s">
        <v>8646</v>
      </c>
      <c r="D1393" s="282" t="s">
        <v>8647</v>
      </c>
      <c r="E1393" s="282"/>
      <c r="F1393" s="282" t="s">
        <v>8648</v>
      </c>
      <c r="G1393" s="93" t="s">
        <v>8649</v>
      </c>
      <c r="H1393" s="282" t="s">
        <v>8650</v>
      </c>
      <c r="I1393" s="282"/>
      <c r="J1393" s="282"/>
    </row>
    <row r="1394" spans="1:10" x14ac:dyDescent="0.2">
      <c r="A1394" s="93" t="str">
        <f t="shared" ca="1" si="0"/>
        <v>红蛇异种</v>
      </c>
      <c r="B1394" s="93" t="s">
        <v>8651</v>
      </c>
      <c r="C1394" s="51" t="s">
        <v>8652</v>
      </c>
      <c r="D1394" s="282" t="s">
        <v>8653</v>
      </c>
      <c r="E1394" s="282"/>
      <c r="F1394" s="282" t="s">
        <v>8654</v>
      </c>
      <c r="G1394" s="93" t="s">
        <v>8655</v>
      </c>
      <c r="H1394" s="282" t="s">
        <v>7591</v>
      </c>
      <c r="I1394" s="282"/>
      <c r="J1394" s="282"/>
    </row>
    <row r="1395" spans="1:10" x14ac:dyDescent="0.2">
      <c r="A1395" s="93" t="str">
        <f t="shared" ca="1" si="0"/>
        <v>古代遗物（兽）</v>
      </c>
      <c r="B1395" s="93" t="s">
        <v>8656</v>
      </c>
      <c r="C1395" s="282"/>
      <c r="D1395" s="282" t="s">
        <v>8657</v>
      </c>
      <c r="E1395" s="282"/>
      <c r="F1395" s="282" t="s">
        <v>8658</v>
      </c>
      <c r="G1395" s="93" t="s">
        <v>8659</v>
      </c>
      <c r="H1395" s="282" t="s">
        <v>8660</v>
      </c>
      <c r="I1395" s="282"/>
      <c r="J1395" s="282"/>
    </row>
    <row r="1396" spans="1:10" x14ac:dyDescent="0.2">
      <c r="A1396" s="93" t="str">
        <f t="shared" ca="1" si="0"/>
        <v>古代遗物（兽）・异型</v>
      </c>
      <c r="B1396" s="93" t="s">
        <v>8661</v>
      </c>
      <c r="C1396" s="282"/>
      <c r="D1396" s="282" t="s">
        <v>8662</v>
      </c>
      <c r="E1396" s="282"/>
      <c r="F1396" s="282" t="s">
        <v>8663</v>
      </c>
      <c r="G1396" s="93" t="s">
        <v>8664</v>
      </c>
      <c r="H1396" s="282" t="s">
        <v>8665</v>
      </c>
      <c r="I1396" s="282"/>
      <c r="J1396" s="282"/>
    </row>
    <row r="1397" spans="1:10" x14ac:dyDescent="0.2">
      <c r="A1397" s="93" t="str">
        <f t="shared" ca="1" si="0"/>
        <v>雷普塔利翁</v>
      </c>
      <c r="B1397" s="93" t="s">
        <v>8666</v>
      </c>
      <c r="C1397" s="282"/>
      <c r="D1397" s="282" t="s">
        <v>8666</v>
      </c>
      <c r="E1397" s="282"/>
      <c r="F1397" s="282" t="s">
        <v>8666</v>
      </c>
      <c r="G1397" s="93" t="s">
        <v>8667</v>
      </c>
      <c r="H1397" s="282" t="s">
        <v>8667</v>
      </c>
      <c r="I1397" s="282"/>
      <c r="J1397" s="282"/>
    </row>
    <row r="1398" spans="1:10" x14ac:dyDescent="0.2">
      <c r="A1398" s="93" t="str">
        <f t="shared" ca="1" si="0"/>
        <v>雷普塔利欧斯</v>
      </c>
      <c r="B1398" s="93" t="s">
        <v>8668</v>
      </c>
      <c r="C1398" s="282"/>
      <c r="D1398" s="282" t="s">
        <v>8668</v>
      </c>
      <c r="E1398" s="282"/>
      <c r="F1398" s="282" t="s">
        <v>8668</v>
      </c>
      <c r="G1398" s="93" t="s">
        <v>8669</v>
      </c>
      <c r="H1398" s="282" t="s">
        <v>8670</v>
      </c>
      <c r="I1398" s="282"/>
      <c r="J1398" s="282"/>
    </row>
    <row r="1399" spans="1:10" x14ac:dyDescent="0.2">
      <c r="A1399" s="93" t="str">
        <f t="shared" ca="1" si="0"/>
        <v>研究员 I</v>
      </c>
      <c r="B1399" s="93" t="s">
        <v>8671</v>
      </c>
      <c r="C1399" s="51" t="s">
        <v>8672</v>
      </c>
      <c r="D1399" s="282" t="s">
        <v>8673</v>
      </c>
      <c r="E1399" s="282"/>
      <c r="F1399" s="282" t="s">
        <v>8674</v>
      </c>
      <c r="G1399" s="93" t="s">
        <v>8675</v>
      </c>
      <c r="H1399" s="282" t="s">
        <v>8676</v>
      </c>
      <c r="I1399" s="282"/>
      <c r="J1399" s="282"/>
    </row>
    <row r="1400" spans="1:10" x14ac:dyDescent="0.2">
      <c r="A1400" s="93" t="str">
        <f t="shared" ca="1" si="0"/>
        <v>研究员 II</v>
      </c>
      <c r="B1400" s="93" t="s">
        <v>8677</v>
      </c>
      <c r="C1400" s="51" t="s">
        <v>8678</v>
      </c>
      <c r="D1400" s="282" t="s">
        <v>8679</v>
      </c>
      <c r="E1400" s="282"/>
      <c r="F1400" s="282" t="s">
        <v>8680</v>
      </c>
      <c r="G1400" s="93" t="s">
        <v>8681</v>
      </c>
      <c r="H1400" s="282" t="s">
        <v>8682</v>
      </c>
      <c r="I1400" s="282"/>
      <c r="J1400" s="282"/>
    </row>
    <row r="1401" spans="1:10" x14ac:dyDescent="0.2">
      <c r="A1401" s="93" t="str">
        <f t="shared" ca="1" si="0"/>
        <v>研究员 III</v>
      </c>
      <c r="B1401" s="93" t="s">
        <v>8683</v>
      </c>
      <c r="C1401" s="51" t="s">
        <v>8684</v>
      </c>
      <c r="D1401" s="282" t="s">
        <v>8685</v>
      </c>
      <c r="E1401" s="282"/>
      <c r="F1401" s="282" t="s">
        <v>8686</v>
      </c>
      <c r="G1401" s="93" t="s">
        <v>8687</v>
      </c>
      <c r="H1401" s="282" t="s">
        <v>8688</v>
      </c>
      <c r="I1401" s="282"/>
      <c r="J1401" s="282"/>
    </row>
    <row r="1402" spans="1:10" x14ac:dyDescent="0.2">
      <c r="A1402" s="93" t="str">
        <f t="shared" ca="1" si="0"/>
        <v>古代遗物・兵</v>
      </c>
      <c r="B1402" s="93" t="s">
        <v>8689</v>
      </c>
      <c r="C1402" s="282"/>
      <c r="D1402" s="282" t="s">
        <v>8689</v>
      </c>
      <c r="E1402" s="282"/>
      <c r="F1402" s="282" t="s">
        <v>8690</v>
      </c>
      <c r="G1402" s="93" t="s">
        <v>8691</v>
      </c>
      <c r="H1402" s="282" t="s">
        <v>8692</v>
      </c>
      <c r="I1402" s="282"/>
      <c r="J1402" s="282"/>
    </row>
    <row r="1403" spans="1:10" x14ac:dyDescent="0.2">
      <c r="A1403" s="93" t="str">
        <f t="shared" ca="1" si="0"/>
        <v>腐臭虫</v>
      </c>
      <c r="B1403" s="93" t="s">
        <v>8693</v>
      </c>
      <c r="C1403" s="282"/>
      <c r="D1403" s="282" t="s">
        <v>8694</v>
      </c>
      <c r="E1403" s="282"/>
      <c r="F1403" s="282" t="s">
        <v>8695</v>
      </c>
      <c r="G1403" s="93" t="s">
        <v>8696</v>
      </c>
      <c r="H1403" s="282" t="s">
        <v>8697</v>
      </c>
      <c r="I1403" s="282"/>
      <c r="J1403" s="282"/>
    </row>
    <row r="1404" spans="1:10" x14ac:dyDescent="0.2">
      <c r="A1404" s="93" t="str">
        <f t="shared" ca="1" si="0"/>
        <v>河川苍蝇</v>
      </c>
      <c r="B1404" s="93" t="s">
        <v>8698</v>
      </c>
      <c r="C1404" s="282"/>
      <c r="D1404" s="282" t="s">
        <v>8699</v>
      </c>
      <c r="E1404" s="282"/>
      <c r="F1404" s="282" t="s">
        <v>8700</v>
      </c>
      <c r="G1404" s="93" t="s">
        <v>8701</v>
      </c>
      <c r="H1404" s="282" t="s">
        <v>8702</v>
      </c>
      <c r="I1404" s="282"/>
      <c r="J1404" s="282"/>
    </row>
    <row r="1405" spans="1:10" x14ac:dyDescent="0.2">
      <c r="A1405" s="93" t="str">
        <f t="shared" ca="1" si="0"/>
        <v>河川巨蛙 I</v>
      </c>
      <c r="B1405" s="93" t="s">
        <v>8703</v>
      </c>
      <c r="C1405" s="282" t="s">
        <v>8704</v>
      </c>
      <c r="D1405" s="282" t="s">
        <v>8705</v>
      </c>
      <c r="E1405" s="282"/>
      <c r="F1405" s="282" t="s">
        <v>8706</v>
      </c>
      <c r="G1405" s="93" t="s">
        <v>8707</v>
      </c>
      <c r="H1405" s="282" t="s">
        <v>8707</v>
      </c>
      <c r="I1405" s="282"/>
      <c r="J1405" s="282"/>
    </row>
    <row r="1406" spans="1:10" x14ac:dyDescent="0.2">
      <c r="A1406" s="93" t="str">
        <f t="shared" ca="1" si="0"/>
        <v>河川巨蛙 II</v>
      </c>
      <c r="B1406" s="93" t="s">
        <v>8708</v>
      </c>
      <c r="C1406" s="282" t="s">
        <v>8709</v>
      </c>
      <c r="D1406" s="282" t="s">
        <v>8710</v>
      </c>
      <c r="E1406" s="282"/>
      <c r="F1406" s="282" t="s">
        <v>8711</v>
      </c>
      <c r="G1406" s="93" t="s">
        <v>8712</v>
      </c>
      <c r="H1406" s="282" t="s">
        <v>8712</v>
      </c>
      <c r="I1406" s="282"/>
      <c r="J1406" s="282"/>
    </row>
    <row r="1407" spans="1:10" x14ac:dyDescent="0.2">
      <c r="A1407" s="93" t="str">
        <f t="shared" ca="1" si="0"/>
        <v>河川巨蛙 III</v>
      </c>
      <c r="B1407" s="93" t="s">
        <v>8713</v>
      </c>
      <c r="C1407" s="282" t="s">
        <v>8714</v>
      </c>
      <c r="D1407" s="282" t="s">
        <v>8715</v>
      </c>
      <c r="E1407" s="282"/>
      <c r="F1407" s="282" t="s">
        <v>8716</v>
      </c>
      <c r="G1407" s="93" t="s">
        <v>8717</v>
      </c>
      <c r="H1407" s="282" t="s">
        <v>8717</v>
      </c>
      <c r="I1407" s="282"/>
      <c r="J1407" s="282"/>
    </row>
    <row r="1408" spans="1:10" x14ac:dyDescent="0.2">
      <c r="A1408" s="93" t="str">
        <f t="shared" ca="1" si="0"/>
        <v>河川巨蛙 IV</v>
      </c>
      <c r="B1408" s="93" t="s">
        <v>8718</v>
      </c>
      <c r="C1408" s="282" t="s">
        <v>8719</v>
      </c>
      <c r="D1408" s="282" t="s">
        <v>8720</v>
      </c>
      <c r="E1408" s="282"/>
      <c r="F1408" s="282" t="s">
        <v>8721</v>
      </c>
      <c r="G1408" s="93" t="s">
        <v>8722</v>
      </c>
      <c r="H1408" s="282" t="s">
        <v>8722</v>
      </c>
      <c r="I1408" s="282"/>
      <c r="J1408" s="282"/>
    </row>
    <row r="1409" spans="1:10" x14ac:dyDescent="0.2">
      <c r="A1409" s="93" t="str">
        <f t="shared" ca="1" si="0"/>
        <v>河川巨蛙 V</v>
      </c>
      <c r="B1409" s="93" t="s">
        <v>8723</v>
      </c>
      <c r="C1409" s="282" t="s">
        <v>8724</v>
      </c>
      <c r="D1409" s="282" t="s">
        <v>8725</v>
      </c>
      <c r="E1409" s="282"/>
      <c r="F1409" s="282" t="s">
        <v>8726</v>
      </c>
      <c r="G1409" s="93" t="s">
        <v>8727</v>
      </c>
      <c r="H1409" s="282" t="s">
        <v>8727</v>
      </c>
      <c r="I1409" s="282"/>
      <c r="J1409" s="282"/>
    </row>
    <row r="1410" spans="1:10" x14ac:dyDescent="0.2">
      <c r="A1410" s="93" t="str">
        <f t="shared" ca="1" si="0"/>
        <v>河川巨蛙 VI</v>
      </c>
      <c r="B1410" s="93" t="s">
        <v>8728</v>
      </c>
      <c r="C1410" s="282" t="s">
        <v>8729</v>
      </c>
      <c r="D1410" s="282" t="s">
        <v>8730</v>
      </c>
      <c r="E1410" s="282"/>
      <c r="F1410" s="282" t="s">
        <v>8731</v>
      </c>
      <c r="G1410" s="93" t="s">
        <v>8732</v>
      </c>
      <c r="H1410" s="282" t="s">
        <v>8732</v>
      </c>
      <c r="I1410" s="282"/>
      <c r="J1410" s="282"/>
    </row>
    <row r="1411" spans="1:10" x14ac:dyDescent="0.2">
      <c r="A1411" s="93" t="str">
        <f t="shared" ca="1" si="0"/>
        <v>河川大巨蛙 I</v>
      </c>
      <c r="B1411" s="93" t="s">
        <v>8733</v>
      </c>
      <c r="C1411" s="282"/>
      <c r="D1411" s="282" t="s">
        <v>8734</v>
      </c>
      <c r="E1411" s="282"/>
      <c r="F1411" s="282" t="s">
        <v>8735</v>
      </c>
      <c r="G1411" s="93" t="s">
        <v>8736</v>
      </c>
      <c r="H1411" s="282" t="s">
        <v>8736</v>
      </c>
      <c r="I1411" s="282"/>
      <c r="J1411" s="282"/>
    </row>
    <row r="1412" spans="1:10" x14ac:dyDescent="0.2">
      <c r="A1412" s="93" t="str">
        <f t="shared" ca="1" si="0"/>
        <v>河川大巨蛙 II</v>
      </c>
      <c r="B1412" s="93" t="s">
        <v>8737</v>
      </c>
      <c r="C1412" s="282"/>
      <c r="D1412" s="282" t="s">
        <v>8738</v>
      </c>
      <c r="E1412" s="282"/>
      <c r="F1412" s="282" t="s">
        <v>8739</v>
      </c>
      <c r="G1412" s="93" t="s">
        <v>8740</v>
      </c>
      <c r="H1412" s="282" t="s">
        <v>8740</v>
      </c>
      <c r="I1412" s="282"/>
      <c r="J1412" s="282"/>
    </row>
    <row r="1413" spans="1:10" x14ac:dyDescent="0.2">
      <c r="A1413" s="93" t="str">
        <f t="shared" ca="1" si="0"/>
        <v>河川大巨蛙 III</v>
      </c>
      <c r="B1413" s="93" t="s">
        <v>8741</v>
      </c>
      <c r="C1413" s="282"/>
      <c r="D1413" s="282" t="s">
        <v>8742</v>
      </c>
      <c r="E1413" s="282"/>
      <c r="F1413" s="282" t="s">
        <v>8743</v>
      </c>
      <c r="G1413" s="93" t="s">
        <v>8744</v>
      </c>
      <c r="H1413" s="282" t="s">
        <v>8744</v>
      </c>
      <c r="I1413" s="282"/>
      <c r="J1413" s="282"/>
    </row>
    <row r="1414" spans="1:10" x14ac:dyDescent="0.2">
      <c r="A1414" s="93" t="str">
        <f t="shared" ca="1" si="0"/>
        <v>河蜂</v>
      </c>
      <c r="B1414" s="93" t="s">
        <v>8745</v>
      </c>
      <c r="C1414" s="51" t="s">
        <v>8746</v>
      </c>
      <c r="D1414" s="282" t="s">
        <v>8747</v>
      </c>
      <c r="E1414" s="282"/>
      <c r="F1414" s="282" t="s">
        <v>8748</v>
      </c>
      <c r="G1414" s="93" t="s">
        <v>8749</v>
      </c>
      <c r="H1414" s="282" t="s">
        <v>8749</v>
      </c>
      <c r="I1414" s="282"/>
      <c r="J1414" s="282"/>
    </row>
    <row r="1415" spans="1:10" x14ac:dyDescent="0.2">
      <c r="A1415" s="93" t="str">
        <f t="shared" ca="1" si="0"/>
        <v>岩龟</v>
      </c>
      <c r="B1415" s="93" t="s">
        <v>8750</v>
      </c>
      <c r="C1415" s="51" t="s">
        <v>8751</v>
      </c>
      <c r="D1415" s="282" t="s">
        <v>8752</v>
      </c>
      <c r="E1415" s="282"/>
      <c r="F1415" s="282" t="s">
        <v>8753</v>
      </c>
      <c r="G1415" s="93" t="s">
        <v>8754</v>
      </c>
      <c r="H1415" s="282" t="s">
        <v>8755</v>
      </c>
      <c r="I1415" s="282"/>
      <c r="J1415" s="282"/>
    </row>
    <row r="1416" spans="1:10" x14ac:dyDescent="0.2">
      <c r="A1416" s="93" t="str">
        <f t="shared" ca="1" si="0"/>
        <v>岩犰狳</v>
      </c>
      <c r="B1416" s="93" t="s">
        <v>8756</v>
      </c>
      <c r="C1416" s="51" t="s">
        <v>8757</v>
      </c>
      <c r="D1416" s="282" t="s">
        <v>8758</v>
      </c>
      <c r="E1416" s="282"/>
      <c r="F1416" s="282" t="s">
        <v>8759</v>
      </c>
      <c r="G1416" s="93" t="s">
        <v>8760</v>
      </c>
      <c r="H1416" s="282" t="s">
        <v>8760</v>
      </c>
      <c r="I1416" s="282"/>
      <c r="J1416" s="282"/>
    </row>
    <row r="1417" spans="1:10" x14ac:dyDescent="0.2">
      <c r="A1417" s="93" t="str">
        <f t="shared" ca="1" si="0"/>
        <v>飞鱼异种</v>
      </c>
      <c r="B1417" s="93" t="s">
        <v>8761</v>
      </c>
      <c r="C1417" s="282"/>
      <c r="D1417" s="282" t="s">
        <v>8762</v>
      </c>
      <c r="E1417" s="282"/>
      <c r="F1417" s="282" t="s">
        <v>8763</v>
      </c>
      <c r="G1417" s="93" t="s">
        <v>8764</v>
      </c>
      <c r="H1417" s="282" t="s">
        <v>8765</v>
      </c>
      <c r="I1417" s="282"/>
      <c r="J1417" s="282"/>
    </row>
    <row r="1418" spans="1:10" x14ac:dyDescent="0.2">
      <c r="A1418" s="93" t="str">
        <f t="shared" ca="1" si="0"/>
        <v>沙罗曼达</v>
      </c>
      <c r="B1418" s="93" t="s">
        <v>8766</v>
      </c>
      <c r="C1418" s="51" t="s">
        <v>8767</v>
      </c>
      <c r="D1418" s="282" t="s">
        <v>8768</v>
      </c>
      <c r="E1418" s="282"/>
      <c r="F1418" s="282" t="s">
        <v>8767</v>
      </c>
      <c r="G1418" s="93" t="s">
        <v>8769</v>
      </c>
      <c r="H1418" s="282" t="s">
        <v>8770</v>
      </c>
      <c r="I1418" s="282"/>
      <c r="J1418" s="282"/>
    </row>
    <row r="1419" spans="1:10" x14ac:dyDescent="0.2">
      <c r="A1419" s="93" t="str">
        <f t="shared" ca="1" si="0"/>
        <v>沙漠大蜥蜴人 I</v>
      </c>
      <c r="B1419" s="93" t="s">
        <v>8771</v>
      </c>
      <c r="C1419" s="282"/>
      <c r="D1419" s="282" t="s">
        <v>8772</v>
      </c>
      <c r="E1419" s="282"/>
      <c r="F1419" s="282" t="s">
        <v>8773</v>
      </c>
      <c r="G1419" s="93" t="s">
        <v>8774</v>
      </c>
      <c r="H1419" s="282" t="s">
        <v>8774</v>
      </c>
      <c r="I1419" s="282"/>
      <c r="J1419" s="282"/>
    </row>
    <row r="1420" spans="1:10" x14ac:dyDescent="0.2">
      <c r="A1420" s="93" t="str">
        <f t="shared" ca="1" si="0"/>
        <v>热沙大蜥蜴人 I</v>
      </c>
      <c r="B1420" s="93" t="s">
        <v>8771</v>
      </c>
      <c r="C1420" s="282"/>
      <c r="D1420" s="282" t="s">
        <v>8772</v>
      </c>
      <c r="E1420" s="282"/>
      <c r="F1420" s="282" t="s">
        <v>8773</v>
      </c>
      <c r="G1420" s="93" t="s">
        <v>8775</v>
      </c>
      <c r="H1420" s="282" t="s">
        <v>8776</v>
      </c>
      <c r="I1420" s="282"/>
      <c r="J1420" s="282"/>
    </row>
    <row r="1421" spans="1:10" x14ac:dyDescent="0.2">
      <c r="A1421" s="93" t="str">
        <f t="shared" ca="1" si="0"/>
        <v>沙漠大蜥蜴人 II</v>
      </c>
      <c r="B1421" s="93" t="s">
        <v>8777</v>
      </c>
      <c r="C1421" s="282"/>
      <c r="D1421" s="282" t="s">
        <v>8778</v>
      </c>
      <c r="E1421" s="282"/>
      <c r="F1421" s="282" t="s">
        <v>8779</v>
      </c>
      <c r="G1421" s="93" t="s">
        <v>8780</v>
      </c>
      <c r="H1421" s="282" t="s">
        <v>8780</v>
      </c>
      <c r="I1421" s="282"/>
      <c r="J1421" s="282"/>
    </row>
    <row r="1422" spans="1:10" x14ac:dyDescent="0.2">
      <c r="A1422" s="93" t="str">
        <f t="shared" ca="1" si="0"/>
        <v>热沙大蜥蜴人 II</v>
      </c>
      <c r="B1422" s="93" t="s">
        <v>8777</v>
      </c>
      <c r="C1422" s="282"/>
      <c r="D1422" s="282" t="s">
        <v>8778</v>
      </c>
      <c r="E1422" s="282"/>
      <c r="F1422" s="282" t="s">
        <v>8779</v>
      </c>
      <c r="G1422" s="93" t="s">
        <v>8781</v>
      </c>
      <c r="H1422" s="282" t="s">
        <v>8782</v>
      </c>
      <c r="I1422" s="282"/>
      <c r="J1422" s="282"/>
    </row>
    <row r="1423" spans="1:10" x14ac:dyDescent="0.2">
      <c r="A1423" s="93" t="str">
        <f t="shared" ca="1" si="0"/>
        <v>沙漠大蜥蜴人 III</v>
      </c>
      <c r="B1423" s="93" t="s">
        <v>8783</v>
      </c>
      <c r="C1423" s="282"/>
      <c r="D1423" s="282" t="s">
        <v>8784</v>
      </c>
      <c r="E1423" s="282"/>
      <c r="F1423" s="282" t="s">
        <v>8785</v>
      </c>
      <c r="G1423" s="93" t="s">
        <v>8786</v>
      </c>
      <c r="H1423" s="282" t="s">
        <v>8786</v>
      </c>
      <c r="I1423" s="282"/>
      <c r="J1423" s="282"/>
    </row>
    <row r="1424" spans="1:10" x14ac:dyDescent="0.2">
      <c r="A1424" s="93" t="str">
        <f t="shared" ca="1" si="0"/>
        <v>沙漠蜥蜴人 I</v>
      </c>
      <c r="B1424" s="93" t="s">
        <v>8787</v>
      </c>
      <c r="C1424" s="282"/>
      <c r="D1424" s="282" t="s">
        <v>8788</v>
      </c>
      <c r="E1424" s="282"/>
      <c r="F1424" s="282" t="s">
        <v>8789</v>
      </c>
      <c r="G1424" s="93" t="s">
        <v>8790</v>
      </c>
      <c r="H1424" s="282" t="s">
        <v>8790</v>
      </c>
      <c r="I1424" s="282"/>
      <c r="J1424" s="282"/>
    </row>
    <row r="1425" spans="1:10" x14ac:dyDescent="0.2">
      <c r="A1425" s="93" t="str">
        <f t="shared" ca="1" si="0"/>
        <v>热沙蜥蜴人 I</v>
      </c>
      <c r="B1425" s="93" t="s">
        <v>8787</v>
      </c>
      <c r="C1425" s="282"/>
      <c r="D1425" s="282" t="s">
        <v>8788</v>
      </c>
      <c r="E1425" s="282"/>
      <c r="F1425" s="282" t="s">
        <v>8789</v>
      </c>
      <c r="G1425" s="93" t="s">
        <v>8791</v>
      </c>
      <c r="H1425" s="282" t="s">
        <v>8792</v>
      </c>
      <c r="I1425" s="282"/>
      <c r="J1425" s="282"/>
    </row>
    <row r="1426" spans="1:10" x14ac:dyDescent="0.2">
      <c r="A1426" s="93" t="str">
        <f t="shared" ca="1" si="0"/>
        <v>沙漠蜥蜴人 II</v>
      </c>
      <c r="B1426" s="93" t="s">
        <v>8793</v>
      </c>
      <c r="C1426" s="282"/>
      <c r="D1426" s="282" t="s">
        <v>8794</v>
      </c>
      <c r="E1426" s="282"/>
      <c r="F1426" s="282" t="s">
        <v>8795</v>
      </c>
      <c r="G1426" s="93" t="s">
        <v>8796</v>
      </c>
      <c r="H1426" s="282" t="s">
        <v>8796</v>
      </c>
      <c r="I1426" s="282"/>
      <c r="J1426" s="282"/>
    </row>
    <row r="1427" spans="1:10" x14ac:dyDescent="0.2">
      <c r="A1427" s="93" t="str">
        <f t="shared" ca="1" si="0"/>
        <v>热沙蜥蜴人 II</v>
      </c>
      <c r="B1427" s="93" t="s">
        <v>8793</v>
      </c>
      <c r="C1427" s="282"/>
      <c r="D1427" s="282" t="s">
        <v>8794</v>
      </c>
      <c r="E1427" s="282"/>
      <c r="F1427" s="282" t="s">
        <v>8795</v>
      </c>
      <c r="G1427" s="93" t="s">
        <v>8797</v>
      </c>
      <c r="H1427" s="282" t="s">
        <v>8798</v>
      </c>
      <c r="I1427" s="282"/>
      <c r="J1427" s="282"/>
    </row>
    <row r="1428" spans="1:10" x14ac:dyDescent="0.2">
      <c r="A1428" s="93" t="str">
        <f t="shared" ca="1" si="0"/>
        <v>沙漠蜥蜴人 III</v>
      </c>
      <c r="B1428" s="93" t="s">
        <v>8799</v>
      </c>
      <c r="C1428" s="282"/>
      <c r="D1428" s="282" t="s">
        <v>8800</v>
      </c>
      <c r="E1428" s="282"/>
      <c r="F1428" s="282" t="s">
        <v>8801</v>
      </c>
      <c r="G1428" s="93" t="s">
        <v>8802</v>
      </c>
      <c r="H1428" s="282" t="s">
        <v>8802</v>
      </c>
      <c r="I1428" s="282"/>
      <c r="J1428" s="282"/>
    </row>
    <row r="1429" spans="1:10" x14ac:dyDescent="0.2">
      <c r="A1429" s="93" t="str">
        <f t="shared" ca="1" si="0"/>
        <v>热沙蜥蜴人 III</v>
      </c>
      <c r="B1429" s="93" t="s">
        <v>8799</v>
      </c>
      <c r="C1429" s="282"/>
      <c r="D1429" s="282" t="s">
        <v>8800</v>
      </c>
      <c r="E1429" s="282"/>
      <c r="F1429" s="282" t="s">
        <v>8801</v>
      </c>
      <c r="G1429" s="93" t="s">
        <v>8803</v>
      </c>
      <c r="H1429" s="282" t="s">
        <v>8804</v>
      </c>
      <c r="I1429" s="282"/>
      <c r="J1429" s="282"/>
    </row>
    <row r="1430" spans="1:10" x14ac:dyDescent="0.2">
      <c r="A1430" s="93" t="str">
        <f t="shared" ca="1" si="0"/>
        <v>沙漠蜥蜴人 IV</v>
      </c>
      <c r="B1430" s="93" t="s">
        <v>8805</v>
      </c>
      <c r="C1430" s="282"/>
      <c r="D1430" s="282" t="s">
        <v>8806</v>
      </c>
      <c r="E1430" s="282"/>
      <c r="F1430" s="282" t="s">
        <v>8807</v>
      </c>
      <c r="G1430" s="93" t="s">
        <v>8808</v>
      </c>
      <c r="H1430" s="282" t="s">
        <v>8808</v>
      </c>
      <c r="I1430" s="282"/>
      <c r="J1430" s="282"/>
    </row>
    <row r="1431" spans="1:10" x14ac:dyDescent="0.2">
      <c r="A1431" s="93" t="str">
        <f t="shared" ca="1" si="0"/>
        <v>沙漠蜥蜴人 V</v>
      </c>
      <c r="B1431" s="93" t="s">
        <v>8809</v>
      </c>
      <c r="C1431" s="282"/>
      <c r="D1431" s="282" t="s">
        <v>8810</v>
      </c>
      <c r="E1431" s="282"/>
      <c r="F1431" s="282" t="s">
        <v>8811</v>
      </c>
      <c r="G1431" s="93" t="s">
        <v>8812</v>
      </c>
      <c r="H1431" s="282" t="s">
        <v>8812</v>
      </c>
      <c r="I1431" s="282"/>
      <c r="J1431" s="282"/>
    </row>
    <row r="1432" spans="1:10" x14ac:dyDescent="0.2">
      <c r="A1432" s="93" t="str">
        <f t="shared" ca="1" si="0"/>
        <v>沙漠蜥蜴人 VI</v>
      </c>
      <c r="B1432" s="93" t="s">
        <v>8813</v>
      </c>
      <c r="C1432" s="282"/>
      <c r="D1432" s="282" t="s">
        <v>8814</v>
      </c>
      <c r="E1432" s="282"/>
      <c r="F1432" s="282" t="s">
        <v>8815</v>
      </c>
      <c r="G1432" s="93" t="s">
        <v>8816</v>
      </c>
      <c r="H1432" s="282" t="s">
        <v>8816</v>
      </c>
      <c r="I1432" s="282"/>
      <c r="J1432" s="282"/>
    </row>
    <row r="1433" spans="1:10" x14ac:dyDescent="0.2">
      <c r="A1433" s="93" t="str">
        <f t="shared" ca="1" si="0"/>
        <v>沙虫</v>
      </c>
      <c r="B1433" s="93" t="s">
        <v>8817</v>
      </c>
      <c r="C1433" s="282" t="s">
        <v>8818</v>
      </c>
      <c r="D1433" s="282" t="s">
        <v>8819</v>
      </c>
      <c r="E1433" s="282"/>
      <c r="F1433" s="282" t="s">
        <v>8820</v>
      </c>
      <c r="G1433" s="93" t="s">
        <v>8821</v>
      </c>
      <c r="H1433" s="282" t="s">
        <v>8822</v>
      </c>
      <c r="I1433" s="282"/>
      <c r="J1433" s="282"/>
    </row>
    <row r="1434" spans="1:10" x14ac:dyDescent="0.2">
      <c r="A1434" s="93" t="str">
        <f t="shared" ca="1" si="0"/>
        <v>大蝎子异种</v>
      </c>
      <c r="B1434" s="93" t="s">
        <v>8823</v>
      </c>
      <c r="C1434" s="282"/>
      <c r="D1434" s="282" t="s">
        <v>8824</v>
      </c>
      <c r="E1434" s="282"/>
      <c r="F1434" s="282" t="s">
        <v>8825</v>
      </c>
      <c r="G1434" s="93" t="s">
        <v>8826</v>
      </c>
      <c r="H1434" s="282" t="s">
        <v>8827</v>
      </c>
      <c r="I1434" s="282"/>
      <c r="J1434" s="282"/>
    </row>
    <row r="1435" spans="1:10" x14ac:dyDescent="0.2">
      <c r="A1435" s="93" t="str">
        <f t="shared" ca="1" si="0"/>
        <v>鳞蛇</v>
      </c>
      <c r="B1435" s="93" t="s">
        <v>8828</v>
      </c>
      <c r="C1435" s="282"/>
      <c r="D1435" s="282" t="s">
        <v>8829</v>
      </c>
      <c r="E1435" s="282"/>
      <c r="F1435" s="282" t="s">
        <v>8830</v>
      </c>
      <c r="G1435" s="93" t="s">
        <v>8831</v>
      </c>
      <c r="H1435" s="282" t="s">
        <v>8832</v>
      </c>
      <c r="I1435" s="282"/>
      <c r="J1435" s="282"/>
    </row>
    <row r="1436" spans="1:10" x14ac:dyDescent="0.2">
      <c r="A1436" s="93" t="str">
        <f t="shared" ca="1" si="0"/>
        <v>剪刀蟹</v>
      </c>
      <c r="B1436" s="93" t="s">
        <v>8833</v>
      </c>
      <c r="C1436" s="51" t="s">
        <v>8834</v>
      </c>
      <c r="D1436" s="282" t="s">
        <v>8835</v>
      </c>
      <c r="E1436" s="282"/>
      <c r="F1436" s="282" t="s">
        <v>8836</v>
      </c>
      <c r="G1436" s="93" t="s">
        <v>8837</v>
      </c>
      <c r="H1436" s="282" t="s">
        <v>8837</v>
      </c>
      <c r="I1436" s="282"/>
      <c r="J1436" s="282"/>
    </row>
    <row r="1437" spans="1:10" x14ac:dyDescent="0.2">
      <c r="A1437" s="93" t="str">
        <f t="shared" ca="1" si="0"/>
        <v>剪刀蟹异种</v>
      </c>
      <c r="B1437" s="93" t="s">
        <v>8838</v>
      </c>
      <c r="C1437" s="282"/>
      <c r="D1437" s="282" t="s">
        <v>8839</v>
      </c>
      <c r="E1437" s="282"/>
      <c r="F1437" s="282" t="s">
        <v>8840</v>
      </c>
      <c r="G1437" s="93" t="s">
        <v>8841</v>
      </c>
      <c r="H1437" s="282" t="s">
        <v>8842</v>
      </c>
      <c r="I1437" s="282"/>
      <c r="J1437" s="282"/>
    </row>
    <row r="1438" spans="1:10" x14ac:dyDescent="0.2">
      <c r="A1438" s="93" t="str">
        <f t="shared" ca="1" si="0"/>
        <v>浮浪海葵</v>
      </c>
      <c r="B1438" s="93" t="s">
        <v>8843</v>
      </c>
      <c r="C1438" s="282"/>
      <c r="D1438" s="282" t="s">
        <v>8844</v>
      </c>
      <c r="E1438" s="282"/>
      <c r="F1438" s="282" t="s">
        <v>8845</v>
      </c>
      <c r="G1438" s="93" t="s">
        <v>8846</v>
      </c>
      <c r="H1438" s="282" t="s">
        <v>8846</v>
      </c>
      <c r="I1438" s="282"/>
      <c r="J1438" s="282"/>
    </row>
    <row r="1439" spans="1:10" x14ac:dyDescent="0.2">
      <c r="A1439" s="93" t="str">
        <f t="shared" ca="1" si="0"/>
        <v>海之鸟人 I</v>
      </c>
      <c r="B1439" s="93" t="s">
        <v>8847</v>
      </c>
      <c r="C1439" s="51" t="s">
        <v>8848</v>
      </c>
      <c r="D1439" s="282" t="s">
        <v>8849</v>
      </c>
      <c r="E1439" s="282"/>
      <c r="F1439" s="282" t="s">
        <v>8850</v>
      </c>
      <c r="G1439" s="93" t="s">
        <v>8851</v>
      </c>
      <c r="H1439" s="282" t="s">
        <v>8852</v>
      </c>
      <c r="I1439" s="282"/>
      <c r="J1439" s="282"/>
    </row>
    <row r="1440" spans="1:10" x14ac:dyDescent="0.2">
      <c r="A1440" s="93" t="str">
        <f t="shared" ca="1" si="0"/>
        <v>海之鸟人 II</v>
      </c>
      <c r="B1440" s="93" t="s">
        <v>8853</v>
      </c>
      <c r="C1440" s="51" t="s">
        <v>8854</v>
      </c>
      <c r="D1440" s="282" t="s">
        <v>8855</v>
      </c>
      <c r="E1440" s="282"/>
      <c r="F1440" s="282" t="s">
        <v>8856</v>
      </c>
      <c r="G1440" s="93" t="s">
        <v>8857</v>
      </c>
      <c r="H1440" s="282" t="s">
        <v>8858</v>
      </c>
      <c r="I1440" s="282"/>
      <c r="J1440" s="282"/>
    </row>
    <row r="1441" spans="1:10" x14ac:dyDescent="0.2">
      <c r="A1441" s="93" t="str">
        <f t="shared" ca="1" si="0"/>
        <v>海之鸟人 III</v>
      </c>
      <c r="B1441" s="93" t="s">
        <v>8859</v>
      </c>
      <c r="C1441" s="51" t="s">
        <v>8860</v>
      </c>
      <c r="D1441" s="282" t="s">
        <v>8861</v>
      </c>
      <c r="E1441" s="282"/>
      <c r="F1441" s="282" t="s">
        <v>8862</v>
      </c>
      <c r="G1441" s="93" t="s">
        <v>8863</v>
      </c>
      <c r="H1441" s="282" t="s">
        <v>8864</v>
      </c>
      <c r="I1441" s="282"/>
      <c r="J1441" s="282"/>
    </row>
    <row r="1442" spans="1:10" x14ac:dyDescent="0.2">
      <c r="A1442" s="93" t="str">
        <f t="shared" ca="1" si="0"/>
        <v>海之鸟人 IV</v>
      </c>
      <c r="B1442" s="93" t="s">
        <v>8865</v>
      </c>
      <c r="C1442" s="51" t="s">
        <v>8866</v>
      </c>
      <c r="D1442" s="282" t="s">
        <v>8867</v>
      </c>
      <c r="E1442" s="282"/>
      <c r="F1442" s="282" t="s">
        <v>8868</v>
      </c>
      <c r="G1442" s="93" t="s">
        <v>8869</v>
      </c>
      <c r="H1442" s="282" t="s">
        <v>8870</v>
      </c>
      <c r="I1442" s="282"/>
      <c r="J1442" s="282"/>
    </row>
    <row r="1443" spans="1:10" x14ac:dyDescent="0.2">
      <c r="A1443" s="93" t="str">
        <f t="shared" ca="1" si="0"/>
        <v>海之鸟人 V</v>
      </c>
      <c r="B1443" s="93" t="s">
        <v>8871</v>
      </c>
      <c r="C1443" s="51" t="s">
        <v>8872</v>
      </c>
      <c r="D1443" s="282" t="s">
        <v>8873</v>
      </c>
      <c r="E1443" s="282"/>
      <c r="F1443" s="282" t="s">
        <v>8874</v>
      </c>
      <c r="G1443" s="93" t="s">
        <v>8875</v>
      </c>
      <c r="H1443" s="282" t="s">
        <v>8876</v>
      </c>
      <c r="I1443" s="282"/>
      <c r="J1443" s="282"/>
    </row>
    <row r="1444" spans="1:10" x14ac:dyDescent="0.2">
      <c r="A1444" s="93" t="str">
        <f t="shared" ca="1" si="0"/>
        <v>海之鸟人 VI</v>
      </c>
      <c r="B1444" s="93" t="s">
        <v>8877</v>
      </c>
      <c r="C1444" s="51" t="s">
        <v>8878</v>
      </c>
      <c r="D1444" s="282" t="s">
        <v>8879</v>
      </c>
      <c r="E1444" s="282"/>
      <c r="F1444" s="282" t="s">
        <v>8880</v>
      </c>
      <c r="G1444" s="93" t="s">
        <v>8881</v>
      </c>
      <c r="H1444" s="282" t="s">
        <v>8882</v>
      </c>
      <c r="I1444" s="282"/>
      <c r="J1444" s="282"/>
    </row>
    <row r="1445" spans="1:10" x14ac:dyDescent="0.2">
      <c r="A1445" s="93" t="str">
        <f t="shared" ca="1" si="0"/>
        <v>海之大鸟人 I</v>
      </c>
      <c r="B1445" s="93" t="s">
        <v>8883</v>
      </c>
      <c r="C1445" s="282"/>
      <c r="D1445" s="282" t="s">
        <v>8884</v>
      </c>
      <c r="E1445" s="282"/>
      <c r="F1445" s="282" t="s">
        <v>8885</v>
      </c>
      <c r="G1445" s="93" t="s">
        <v>8886</v>
      </c>
      <c r="H1445" s="282" t="s">
        <v>8887</v>
      </c>
      <c r="I1445" s="282"/>
      <c r="J1445" s="282"/>
    </row>
    <row r="1446" spans="1:10" x14ac:dyDescent="0.2">
      <c r="A1446" s="93" t="str">
        <f t="shared" ca="1" si="0"/>
        <v>海之大鸟人 II</v>
      </c>
      <c r="B1446" s="93" t="s">
        <v>8888</v>
      </c>
      <c r="C1446" s="282"/>
      <c r="D1446" s="282" t="s">
        <v>8889</v>
      </c>
      <c r="E1446" s="282"/>
      <c r="F1446" s="282" t="s">
        <v>8890</v>
      </c>
      <c r="G1446" s="93" t="s">
        <v>8891</v>
      </c>
      <c r="H1446" s="282" t="s">
        <v>8892</v>
      </c>
      <c r="I1446" s="282"/>
      <c r="J1446" s="282"/>
    </row>
    <row r="1447" spans="1:10" x14ac:dyDescent="0.2">
      <c r="A1447" s="93" t="str">
        <f t="shared" ca="1" si="0"/>
        <v>海之大鸟人 III</v>
      </c>
      <c r="B1447" s="93" t="s">
        <v>8893</v>
      </c>
      <c r="C1447" s="282"/>
      <c r="D1447" s="282" t="s">
        <v>8894</v>
      </c>
      <c r="E1447" s="282"/>
      <c r="F1447" s="282" t="s">
        <v>8895</v>
      </c>
      <c r="G1447" s="93" t="s">
        <v>8896</v>
      </c>
      <c r="H1447" s="282" t="s">
        <v>8897</v>
      </c>
      <c r="I1447" s="282"/>
      <c r="J1447" s="282"/>
    </row>
    <row r="1448" spans="1:10" x14ac:dyDescent="0.2">
      <c r="A1448" s="93" t="str">
        <f t="shared" ca="1" si="0"/>
        <v>海蝎子</v>
      </c>
      <c r="B1448" s="93" t="s">
        <v>8898</v>
      </c>
      <c r="C1448" s="282"/>
      <c r="D1448" s="282" t="s">
        <v>8899</v>
      </c>
      <c r="E1448" s="282"/>
      <c r="F1448" s="282" t="s">
        <v>8900</v>
      </c>
      <c r="G1448" s="93" t="s">
        <v>8901</v>
      </c>
      <c r="H1448" s="282" t="s">
        <v>8902</v>
      </c>
      <c r="I1448" s="282"/>
      <c r="J1448" s="282"/>
    </row>
    <row r="1449" spans="1:10" x14ac:dyDescent="0.2">
      <c r="A1449" s="93" t="str">
        <f t="shared" ca="1" si="0"/>
        <v>冷水蜗牛</v>
      </c>
      <c r="B1449" s="93" t="s">
        <v>8903</v>
      </c>
      <c r="C1449" s="282"/>
      <c r="D1449" s="282" t="s">
        <v>8904</v>
      </c>
      <c r="E1449" s="282"/>
      <c r="F1449" s="282" t="s">
        <v>8905</v>
      </c>
      <c r="G1449" s="93" t="s">
        <v>8906</v>
      </c>
      <c r="H1449" s="282" t="s">
        <v>8907</v>
      </c>
      <c r="I1449" s="282"/>
      <c r="J1449" s="282"/>
    </row>
    <row r="1450" spans="1:10" x14ac:dyDescent="0.2">
      <c r="A1450" s="93" t="str">
        <f t="shared" ca="1" si="0"/>
        <v>蓝蛇</v>
      </c>
      <c r="B1450" s="93" t="s">
        <v>8908</v>
      </c>
      <c r="C1450" s="282"/>
      <c r="D1450" s="282" t="s">
        <v>8909</v>
      </c>
      <c r="E1450" s="282"/>
      <c r="F1450" s="282" t="s">
        <v>8910</v>
      </c>
      <c r="G1450" s="93" t="s">
        <v>8911</v>
      </c>
      <c r="H1450" s="282" t="s">
        <v>8912</v>
      </c>
      <c r="I1450" s="282"/>
      <c r="J1450" s="282"/>
    </row>
    <row r="1451" spans="1:10" x14ac:dyDescent="0.2">
      <c r="A1451" s="93" t="str">
        <f t="shared" ca="1" si="0"/>
        <v>魔导机</v>
      </c>
      <c r="B1451" s="93" t="s">
        <v>8913</v>
      </c>
      <c r="C1451" s="51" t="s">
        <v>8914</v>
      </c>
      <c r="D1451" s="282" t="s">
        <v>8915</v>
      </c>
      <c r="E1451" s="282"/>
      <c r="F1451" s="282" t="s">
        <v>8916</v>
      </c>
      <c r="G1451" s="93" t="s">
        <v>8917</v>
      </c>
      <c r="H1451" s="282" t="s">
        <v>8918</v>
      </c>
      <c r="I1451" s="282"/>
      <c r="J1451" s="282"/>
    </row>
    <row r="1452" spans="1:10" x14ac:dyDescent="0.2">
      <c r="A1452" s="93" t="str">
        <f t="shared" ca="1" si="0"/>
        <v>魔导机・异型</v>
      </c>
      <c r="B1452" s="93" t="s">
        <v>8919</v>
      </c>
      <c r="C1452" s="282"/>
      <c r="D1452" s="282" t="s">
        <v>8920</v>
      </c>
      <c r="E1452" s="282"/>
      <c r="F1452" s="282" t="s">
        <v>8921</v>
      </c>
      <c r="G1452" s="93" t="s">
        <v>8922</v>
      </c>
      <c r="H1452" s="282" t="s">
        <v>8923</v>
      </c>
      <c r="I1452" s="282"/>
      <c r="J1452" s="282"/>
    </row>
    <row r="1453" spans="1:10" x14ac:dyDescent="0.2">
      <c r="A1453" s="93" t="str">
        <f t="shared" ca="1" si="0"/>
        <v>黑蝙蝠异种</v>
      </c>
      <c r="B1453" s="93" t="s">
        <v>8924</v>
      </c>
      <c r="C1453" s="282" t="s">
        <v>8925</v>
      </c>
      <c r="D1453" s="282" t="s">
        <v>8926</v>
      </c>
      <c r="E1453" s="282"/>
      <c r="F1453" s="282" t="s">
        <v>8927</v>
      </c>
      <c r="G1453" s="93" t="s">
        <v>8928</v>
      </c>
      <c r="H1453" s="282" t="s">
        <v>8929</v>
      </c>
      <c r="I1453" s="282"/>
      <c r="J1453" s="282"/>
    </row>
    <row r="1454" spans="1:10" x14ac:dyDescent="0.2">
      <c r="A1454" s="93" t="str">
        <f t="shared" ca="1" si="0"/>
        <v>暗乌鸦</v>
      </c>
      <c r="B1454" s="93" t="s">
        <v>8930</v>
      </c>
      <c r="C1454" s="282"/>
      <c r="D1454" s="282" t="s">
        <v>8931</v>
      </c>
      <c r="E1454" s="282"/>
      <c r="F1454" s="282" t="s">
        <v>8932</v>
      </c>
      <c r="G1454" s="93" t="s">
        <v>8933</v>
      </c>
      <c r="H1454" s="282" t="s">
        <v>8934</v>
      </c>
      <c r="I1454" s="282"/>
      <c r="J1454" s="282"/>
    </row>
    <row r="1455" spans="1:10" x14ac:dyDescent="0.2">
      <c r="A1455" s="93" t="str">
        <f t="shared" ca="1" si="0"/>
        <v>古代遗物（暗兽）・异型</v>
      </c>
      <c r="B1455" s="93" t="s">
        <v>8935</v>
      </c>
      <c r="C1455" s="282"/>
      <c r="D1455" s="282" t="s">
        <v>8936</v>
      </c>
      <c r="E1455" s="282"/>
      <c r="F1455" s="282" t="s">
        <v>8937</v>
      </c>
      <c r="G1455" s="93" t="s">
        <v>8938</v>
      </c>
      <c r="H1455" s="282" t="s">
        <v>8939</v>
      </c>
      <c r="I1455" s="282"/>
      <c r="J1455" s="282"/>
    </row>
    <row r="1456" spans="1:10" x14ac:dyDescent="0.2">
      <c r="A1456" s="93" t="str">
        <f t="shared" ca="1" si="0"/>
        <v>古代遗物・暗兵</v>
      </c>
      <c r="B1456" s="93" t="s">
        <v>8940</v>
      </c>
      <c r="C1456" s="282"/>
      <c r="D1456" s="282" t="s">
        <v>7840</v>
      </c>
      <c r="E1456" s="282"/>
      <c r="F1456" s="282" t="s">
        <v>8941</v>
      </c>
      <c r="G1456" s="93" t="s">
        <v>8942</v>
      </c>
      <c r="H1456" s="282" t="s">
        <v>8943</v>
      </c>
      <c r="I1456" s="282"/>
      <c r="J1456" s="282"/>
    </row>
    <row r="1457" spans="1:10" x14ac:dyDescent="0.2">
      <c r="A1457" s="93" t="str">
        <f t="shared" ca="1" si="0"/>
        <v>暗鬼火</v>
      </c>
      <c r="B1457" s="93" t="s">
        <v>8944</v>
      </c>
      <c r="C1457" s="282"/>
      <c r="D1457" s="282" t="s">
        <v>8945</v>
      </c>
      <c r="E1457" s="282"/>
      <c r="F1457" s="282" t="s">
        <v>8946</v>
      </c>
      <c r="G1457" s="93" t="s">
        <v>8947</v>
      </c>
      <c r="H1457" s="282" t="s">
        <v>8948</v>
      </c>
      <c r="I1457" s="282"/>
      <c r="J1457" s="282"/>
    </row>
    <row r="1458" spans="1:10" x14ac:dyDescent="0.2">
      <c r="A1458" s="93" t="str">
        <f t="shared" ca="1" si="0"/>
        <v>粗毛牛</v>
      </c>
      <c r="B1458" s="93" t="s">
        <v>8949</v>
      </c>
      <c r="C1458" s="51" t="s">
        <v>8950</v>
      </c>
      <c r="D1458" s="282" t="s">
        <v>8951</v>
      </c>
      <c r="E1458" s="282"/>
      <c r="F1458" s="282" t="s">
        <v>8952</v>
      </c>
      <c r="G1458" s="93" t="s">
        <v>8953</v>
      </c>
      <c r="H1458" s="282" t="s">
        <v>8953</v>
      </c>
      <c r="I1458" s="282"/>
      <c r="J1458" s="282"/>
    </row>
    <row r="1459" spans="1:10" x14ac:dyDescent="0.2">
      <c r="A1459" s="93" t="str">
        <f t="shared" ca="1" si="0"/>
        <v>头领比仆</v>
      </c>
      <c r="B1459" s="93" t="s">
        <v>8954</v>
      </c>
      <c r="C1459" s="51" t="s">
        <v>8955</v>
      </c>
      <c r="D1459" s="282" t="s">
        <v>8956</v>
      </c>
      <c r="E1459" s="282"/>
      <c r="F1459" s="282" t="s">
        <v>8957</v>
      </c>
      <c r="G1459" s="93" t="s">
        <v>8958</v>
      </c>
      <c r="H1459" s="282" t="s">
        <v>8959</v>
      </c>
      <c r="I1459" s="282"/>
      <c r="J1459" s="282"/>
    </row>
    <row r="1460" spans="1:10" x14ac:dyDescent="0.2">
      <c r="A1460" s="93" t="str">
        <f t="shared" ca="1" si="0"/>
        <v>天上蜘蛛</v>
      </c>
      <c r="B1460" s="93" t="s">
        <v>8960</v>
      </c>
      <c r="C1460" s="282"/>
      <c r="D1460" s="282" t="s">
        <v>8961</v>
      </c>
      <c r="E1460" s="282"/>
      <c r="F1460" s="282" t="s">
        <v>8962</v>
      </c>
      <c r="G1460" s="93" t="s">
        <v>8963</v>
      </c>
      <c r="H1460" s="282" t="s">
        <v>8963</v>
      </c>
      <c r="I1460" s="282"/>
      <c r="J1460" s="282"/>
    </row>
    <row r="1461" spans="1:10" x14ac:dyDescent="0.2">
      <c r="A1461" s="93" t="str">
        <f t="shared" ca="1" si="0"/>
        <v>蠢动的植物</v>
      </c>
      <c r="B1461" s="93" t="s">
        <v>8964</v>
      </c>
      <c r="C1461" s="282"/>
      <c r="D1461" s="282" t="s">
        <v>8965</v>
      </c>
      <c r="E1461" s="282"/>
      <c r="F1461" s="282" t="s">
        <v>8966</v>
      </c>
      <c r="G1461" s="93" t="s">
        <v>8967</v>
      </c>
      <c r="H1461" s="282" t="s">
        <v>8968</v>
      </c>
      <c r="I1461" s="282"/>
      <c r="J1461" s="282"/>
    </row>
    <row r="1462" spans="1:10" x14ac:dyDescent="0.2">
      <c r="A1462" s="93" t="str">
        <f t="shared" ca="1" si="0"/>
        <v>蠢动的菌类</v>
      </c>
      <c r="B1462" s="93" t="s">
        <v>8969</v>
      </c>
      <c r="C1462" s="282"/>
      <c r="D1462" s="282" t="s">
        <v>8970</v>
      </c>
      <c r="E1462" s="282"/>
      <c r="F1462" s="282" t="s">
        <v>8971</v>
      </c>
      <c r="G1462" s="93" t="s">
        <v>8972</v>
      </c>
      <c r="H1462" s="282" t="s">
        <v>8973</v>
      </c>
      <c r="I1462" s="282"/>
      <c r="J1462" s="282"/>
    </row>
    <row r="1463" spans="1:10" x14ac:dyDescent="0.2">
      <c r="A1463" s="93" t="str">
        <f t="shared" ca="1" si="0"/>
        <v>尸骸粪金龟</v>
      </c>
      <c r="B1463" s="93" t="s">
        <v>8974</v>
      </c>
      <c r="C1463" s="282"/>
      <c r="D1463" s="282" t="s">
        <v>8975</v>
      </c>
      <c r="E1463" s="282"/>
      <c r="F1463" s="282" t="s">
        <v>8976</v>
      </c>
      <c r="G1463" s="93" t="s">
        <v>8977</v>
      </c>
      <c r="H1463" s="282" t="s">
        <v>8978</v>
      </c>
      <c r="I1463" s="282"/>
      <c r="J1463" s="282"/>
    </row>
    <row r="1464" spans="1:10" x14ac:dyDescent="0.2">
      <c r="A1464" s="93" t="str">
        <f t="shared" ca="1" si="0"/>
        <v>黑杀手虫</v>
      </c>
      <c r="B1464" s="93" t="s">
        <v>8979</v>
      </c>
      <c r="C1464" s="282"/>
      <c r="D1464" s="282" t="s">
        <v>8980</v>
      </c>
      <c r="E1464" s="282"/>
      <c r="F1464" s="282" t="s">
        <v>8981</v>
      </c>
      <c r="G1464" s="93" t="s">
        <v>8982</v>
      </c>
      <c r="H1464" s="282" t="s">
        <v>8983</v>
      </c>
      <c r="I1464" s="282"/>
      <c r="J1464" s="282"/>
    </row>
    <row r="1465" spans="1:10" x14ac:dyDescent="0.2">
      <c r="A1465" s="93" t="str">
        <f t="shared" ca="1" si="0"/>
        <v>翼蜥蜴异种</v>
      </c>
      <c r="B1465" s="93" t="s">
        <v>8984</v>
      </c>
      <c r="C1465" s="282"/>
      <c r="D1465" s="282" t="s">
        <v>8985</v>
      </c>
      <c r="E1465" s="282"/>
      <c r="F1465" s="282" t="s">
        <v>8986</v>
      </c>
      <c r="G1465" s="93" t="s">
        <v>8987</v>
      </c>
      <c r="H1465" s="282" t="s">
        <v>8988</v>
      </c>
      <c r="I1465" s="282"/>
      <c r="J1465" s="282"/>
    </row>
    <row r="1466" spans="1:10" x14ac:dyDescent="0.2">
      <c r="A1466" s="93" t="str">
        <f t="shared" ca="1" si="0"/>
        <v>雪狐狸</v>
      </c>
      <c r="B1466" s="93" t="s">
        <v>8989</v>
      </c>
      <c r="C1466" s="51" t="s">
        <v>8990</v>
      </c>
      <c r="D1466" s="282" t="s">
        <v>8991</v>
      </c>
      <c r="E1466" s="282"/>
      <c r="F1466" s="282" t="s">
        <v>8992</v>
      </c>
      <c r="G1466" s="93" t="s">
        <v>8993</v>
      </c>
      <c r="H1466" s="282" t="s">
        <v>8993</v>
      </c>
      <c r="I1466" s="282"/>
      <c r="J1466" s="282"/>
    </row>
    <row r="1467" spans="1:10" x14ac:dyDescent="0.2">
      <c r="A1467" s="93" t="str">
        <f t="shared" ca="1" si="0"/>
        <v>白豹</v>
      </c>
      <c r="B1467" s="93" t="s">
        <v>8994</v>
      </c>
      <c r="C1467" s="282"/>
      <c r="D1467" s="282" t="s">
        <v>8995</v>
      </c>
      <c r="E1467" s="282"/>
      <c r="F1467" s="282" t="s">
        <v>8996</v>
      </c>
      <c r="G1467" s="93" t="s">
        <v>8997</v>
      </c>
      <c r="H1467" s="282" t="s">
        <v>8997</v>
      </c>
      <c r="I1467" s="282"/>
      <c r="J1467" s="282"/>
    </row>
    <row r="1468" spans="1:10" x14ac:dyDescent="0.2">
      <c r="A1468" s="93" t="str">
        <f t="shared" ca="1" si="0"/>
        <v>雪蜥蜴</v>
      </c>
      <c r="B1468" s="93" t="s">
        <v>8998</v>
      </c>
      <c r="C1468" s="282"/>
      <c r="D1468" s="282" t="s">
        <v>8999</v>
      </c>
      <c r="E1468" s="282"/>
      <c r="F1468" s="282" t="s">
        <v>9000</v>
      </c>
      <c r="G1468" s="93" t="s">
        <v>9001</v>
      </c>
      <c r="H1468" s="282" t="s">
        <v>9001</v>
      </c>
      <c r="I1468" s="282"/>
      <c r="J1468" s="282"/>
    </row>
    <row r="1469" spans="1:10" x14ac:dyDescent="0.2">
      <c r="A1469" s="93" t="str">
        <f t="shared" ca="1" si="0"/>
        <v>冰雪土拨鼠</v>
      </c>
      <c r="B1469" s="93" t="s">
        <v>9002</v>
      </c>
      <c r="C1469" s="51" t="s">
        <v>9003</v>
      </c>
      <c r="D1469" s="282" t="s">
        <v>9004</v>
      </c>
      <c r="E1469" s="282"/>
      <c r="F1469" s="282" t="s">
        <v>9005</v>
      </c>
      <c r="G1469" s="93" t="s">
        <v>9006</v>
      </c>
      <c r="H1469" s="282" t="s">
        <v>9007</v>
      </c>
      <c r="I1469" s="282"/>
      <c r="J1469" s="282"/>
    </row>
    <row r="1470" spans="1:10" x14ac:dyDescent="0.2">
      <c r="A1470" s="93" t="str">
        <f t="shared" ca="1" si="0"/>
        <v>雪牦牛</v>
      </c>
      <c r="B1470" s="93" t="s">
        <v>9008</v>
      </c>
      <c r="C1470" s="282"/>
      <c r="D1470" s="282" t="s">
        <v>9009</v>
      </c>
      <c r="E1470" s="282"/>
      <c r="F1470" s="282" t="s">
        <v>9010</v>
      </c>
      <c r="G1470" s="93" t="s">
        <v>9011</v>
      </c>
      <c r="H1470" s="282" t="s">
        <v>9012</v>
      </c>
      <c r="I1470" s="282"/>
      <c r="J1470" s="282"/>
    </row>
    <row r="1471" spans="1:10" x14ac:dyDescent="0.2">
      <c r="A1471" s="93" t="str">
        <f t="shared" ca="1" si="0"/>
        <v>尖刺蜥蜴</v>
      </c>
      <c r="B1471" s="93" t="s">
        <v>9013</v>
      </c>
      <c r="C1471" s="282"/>
      <c r="D1471" s="282" t="s">
        <v>9014</v>
      </c>
      <c r="E1471" s="282"/>
      <c r="F1471" s="282" t="s">
        <v>9015</v>
      </c>
      <c r="G1471" s="93" t="s">
        <v>9016</v>
      </c>
      <c r="H1471" s="282" t="s">
        <v>9016</v>
      </c>
      <c r="I1471" s="282"/>
      <c r="J1471" s="282"/>
    </row>
    <row r="1472" spans="1:10" x14ac:dyDescent="0.2">
      <c r="A1472" s="93" t="str">
        <f t="shared" ca="1" si="0"/>
        <v>薯虫</v>
      </c>
      <c r="B1472" s="93" t="s">
        <v>9017</v>
      </c>
      <c r="C1472" s="282"/>
      <c r="D1472" s="282" t="s">
        <v>9018</v>
      </c>
      <c r="E1472" s="282"/>
      <c r="F1472" s="282" t="s">
        <v>9019</v>
      </c>
      <c r="G1472" s="93" t="s">
        <v>9020</v>
      </c>
      <c r="H1472" s="282" t="s">
        <v>9021</v>
      </c>
      <c r="I1472" s="282"/>
      <c r="J1472" s="282"/>
    </row>
    <row r="1473" spans="1:10" x14ac:dyDescent="0.2">
      <c r="A1473" s="93" t="str">
        <f t="shared" ca="1" si="0"/>
        <v>蛞蝓怪</v>
      </c>
      <c r="B1473" s="93" t="s">
        <v>9022</v>
      </c>
      <c r="C1473" s="282"/>
      <c r="D1473" s="282" t="s">
        <v>9023</v>
      </c>
      <c r="E1473" s="282"/>
      <c r="F1473" s="282" t="s">
        <v>9024</v>
      </c>
      <c r="G1473" s="93" t="s">
        <v>9025</v>
      </c>
      <c r="H1473" s="282" t="s">
        <v>9025</v>
      </c>
      <c r="I1473" s="282"/>
      <c r="J1473" s="282"/>
    </row>
    <row r="1474" spans="1:10" x14ac:dyDescent="0.2">
      <c r="A1474" s="93" t="str">
        <f t="shared" ca="1" si="0"/>
        <v>石化杀手虫</v>
      </c>
      <c r="B1474" s="93" t="s">
        <v>9026</v>
      </c>
      <c r="C1474" s="282"/>
      <c r="D1474" s="282" t="s">
        <v>9027</v>
      </c>
      <c r="E1474" s="282"/>
      <c r="F1474" s="282" t="s">
        <v>9028</v>
      </c>
      <c r="G1474" s="93" t="s">
        <v>9029</v>
      </c>
      <c r="H1474" s="282" t="s">
        <v>9030</v>
      </c>
      <c r="I1474" s="282"/>
      <c r="J1474" s="282"/>
    </row>
    <row r="1475" spans="1:10" x14ac:dyDescent="0.2">
      <c r="A1475" s="93" t="str">
        <f t="shared" ca="1" si="0"/>
        <v>石化尖刺蜥蜴</v>
      </c>
      <c r="B1475" s="93" t="s">
        <v>9031</v>
      </c>
      <c r="C1475" s="282"/>
      <c r="D1475" s="282" t="s">
        <v>9032</v>
      </c>
      <c r="E1475" s="282"/>
      <c r="F1475" s="282" t="s">
        <v>9033</v>
      </c>
      <c r="G1475" s="93" t="s">
        <v>9034</v>
      </c>
      <c r="H1475" s="282" t="s">
        <v>9034</v>
      </c>
      <c r="I1475" s="282"/>
      <c r="J1475" s="282"/>
    </row>
    <row r="1476" spans="1:10" x14ac:dyDescent="0.2">
      <c r="A1476" s="93" t="str">
        <f t="shared" ca="1" si="0"/>
        <v>石化双子蛇</v>
      </c>
      <c r="B1476" s="93" t="s">
        <v>9035</v>
      </c>
      <c r="C1476" s="282"/>
      <c r="D1476" s="282" t="s">
        <v>9036</v>
      </c>
      <c r="E1476" s="282"/>
      <c r="F1476" s="282" t="s">
        <v>9037</v>
      </c>
      <c r="G1476" s="93" t="s">
        <v>9038</v>
      </c>
      <c r="H1476" s="282" t="s">
        <v>9039</v>
      </c>
      <c r="I1476" s="282"/>
      <c r="J1476" s="282"/>
    </row>
    <row r="1477" spans="1:10" x14ac:dyDescent="0.2">
      <c r="A1477" s="93" t="str">
        <f t="shared" ca="1" si="0"/>
        <v>狂暴游隼</v>
      </c>
      <c r="B1477" s="93" t="s">
        <v>9040</v>
      </c>
      <c r="C1477" s="282"/>
      <c r="D1477" s="282" t="s">
        <v>9041</v>
      </c>
      <c r="E1477" s="282"/>
      <c r="F1477" s="282" t="s">
        <v>9042</v>
      </c>
      <c r="G1477" s="93" t="s">
        <v>9043</v>
      </c>
      <c r="H1477" s="282" t="s">
        <v>9044</v>
      </c>
      <c r="I1477" s="282"/>
      <c r="J1477" s="282"/>
    </row>
    <row r="1478" spans="1:10" x14ac:dyDescent="0.2">
      <c r="A1478" s="93" t="str">
        <f t="shared" ca="1" si="0"/>
        <v>盗贼I</v>
      </c>
      <c r="B1478" s="93" t="s">
        <v>9045</v>
      </c>
      <c r="C1478" s="282" t="s">
        <v>9046</v>
      </c>
      <c r="D1478" s="282" t="s">
        <v>9047</v>
      </c>
      <c r="E1478" s="282"/>
      <c r="F1478" s="282" t="s">
        <v>9048</v>
      </c>
      <c r="G1478" s="93" t="s">
        <v>9049</v>
      </c>
      <c r="H1478" s="282" t="s">
        <v>9050</v>
      </c>
      <c r="I1478" s="282"/>
      <c r="J1478" s="282"/>
    </row>
    <row r="1479" spans="1:10" x14ac:dyDescent="0.2">
      <c r="A1479" s="93" t="str">
        <f t="shared" ca="1" si="0"/>
        <v>盗贼II</v>
      </c>
      <c r="B1479" s="93" t="s">
        <v>9051</v>
      </c>
      <c r="C1479" s="282" t="s">
        <v>9052</v>
      </c>
      <c r="D1479" s="282" t="s">
        <v>9053</v>
      </c>
      <c r="E1479" s="282"/>
      <c r="F1479" s="282" t="s">
        <v>9054</v>
      </c>
      <c r="G1479" s="93" t="s">
        <v>9055</v>
      </c>
      <c r="H1479" s="282" t="s">
        <v>9056</v>
      </c>
      <c r="I1479" s="282"/>
      <c r="J1479" s="282"/>
    </row>
    <row r="1480" spans="1:10" x14ac:dyDescent="0.2">
      <c r="A1480" s="93" t="str">
        <f t="shared" ca="1" si="0"/>
        <v>魔导飞器（雷）</v>
      </c>
      <c r="B1480" s="93" t="s">
        <v>9057</v>
      </c>
      <c r="C1480" s="282"/>
      <c r="D1480" s="282" t="s">
        <v>9058</v>
      </c>
      <c r="E1480" s="282"/>
      <c r="F1480" s="282" t="s">
        <v>9059</v>
      </c>
      <c r="G1480" s="93" t="s">
        <v>9060</v>
      </c>
      <c r="H1480" s="282" t="s">
        <v>9061</v>
      </c>
      <c r="I1480" s="282"/>
      <c r="J1480" s="282"/>
    </row>
    <row r="1481" spans="1:10" x14ac:dyDescent="0.2">
      <c r="A1481" s="93" t="str">
        <f t="shared" ca="1" si="0"/>
        <v>魔导飞器（雷）・异型</v>
      </c>
      <c r="B1481" s="93" t="s">
        <v>9062</v>
      </c>
      <c r="C1481" s="282"/>
      <c r="D1481" s="282" t="s">
        <v>9063</v>
      </c>
      <c r="E1481" s="282"/>
      <c r="F1481" s="282" t="s">
        <v>9064</v>
      </c>
      <c r="G1481" s="93" t="s">
        <v>9065</v>
      </c>
      <c r="H1481" s="282" t="s">
        <v>9066</v>
      </c>
      <c r="I1481" s="282"/>
      <c r="J1481" s="282"/>
    </row>
    <row r="1482" spans="1:10" x14ac:dyDescent="0.2">
      <c r="A1482" s="93" t="str">
        <f t="shared" ca="1" si="0"/>
        <v>魔导机兵（雷）</v>
      </c>
      <c r="B1482" s="93" t="s">
        <v>9067</v>
      </c>
      <c r="C1482" s="282"/>
      <c r="D1482" s="282" t="s">
        <v>9068</v>
      </c>
      <c r="E1482" s="282"/>
      <c r="F1482" s="282" t="s">
        <v>9069</v>
      </c>
      <c r="G1482" s="93" t="s">
        <v>9070</v>
      </c>
      <c r="H1482" s="282" t="s">
        <v>9071</v>
      </c>
      <c r="I1482" s="282"/>
      <c r="J1482" s="282"/>
    </row>
    <row r="1483" spans="1:10" x14ac:dyDescent="0.2">
      <c r="A1483" s="93" t="str">
        <f t="shared" ca="1" si="0"/>
        <v>魔导机兵（雷）・异型</v>
      </c>
      <c r="B1483" s="93" t="s">
        <v>9072</v>
      </c>
      <c r="C1483" s="282"/>
      <c r="D1483" s="282" t="s">
        <v>9073</v>
      </c>
      <c r="E1483" s="282"/>
      <c r="F1483" s="282" t="s">
        <v>9074</v>
      </c>
      <c r="G1483" s="93" t="s">
        <v>9075</v>
      </c>
      <c r="H1483" s="282" t="s">
        <v>9076</v>
      </c>
      <c r="I1483" s="282"/>
      <c r="J1483" s="282"/>
    </row>
    <row r="1484" spans="1:10" x14ac:dyDescent="0.2">
      <c r="A1484" s="93" t="str">
        <f t="shared" ca="1" si="0"/>
        <v>古代遗物（雷兽）</v>
      </c>
      <c r="B1484" s="93" t="s">
        <v>9077</v>
      </c>
      <c r="C1484" s="282"/>
      <c r="D1484" s="282" t="s">
        <v>9078</v>
      </c>
      <c r="E1484" s="282"/>
      <c r="F1484" s="282" t="s">
        <v>9079</v>
      </c>
      <c r="G1484" s="93" t="s">
        <v>9080</v>
      </c>
      <c r="H1484" s="282" t="s">
        <v>9081</v>
      </c>
      <c r="I1484" s="282"/>
      <c r="J1484" s="282"/>
    </row>
    <row r="1485" spans="1:10" x14ac:dyDescent="0.2">
      <c r="A1485" s="93" t="str">
        <f t="shared" ca="1" si="0"/>
        <v>古代遗物（雷兽）・异型</v>
      </c>
      <c r="B1485" s="93" t="s">
        <v>9082</v>
      </c>
      <c r="C1485" s="282"/>
      <c r="D1485" s="282" t="s">
        <v>9083</v>
      </c>
      <c r="E1485" s="282"/>
      <c r="F1485" s="282" t="s">
        <v>9084</v>
      </c>
      <c r="G1485" s="93" t="s">
        <v>9085</v>
      </c>
      <c r="H1485" s="282" t="s">
        <v>9086</v>
      </c>
      <c r="I1485" s="282"/>
      <c r="J1485" s="282"/>
    </row>
    <row r="1486" spans="1:10" x14ac:dyDescent="0.2">
      <c r="A1486" s="93" t="str">
        <f t="shared" ca="1" si="0"/>
        <v>古代遗物。雷兵</v>
      </c>
      <c r="B1486" s="93" t="s">
        <v>9087</v>
      </c>
      <c r="C1486" s="282"/>
      <c r="D1486" s="282" t="s">
        <v>9088</v>
      </c>
      <c r="E1486" s="282"/>
      <c r="F1486" s="282" t="s">
        <v>9089</v>
      </c>
      <c r="G1486" s="93" t="s">
        <v>9090</v>
      </c>
      <c r="H1486" s="282" t="s">
        <v>9091</v>
      </c>
      <c r="I1486" s="282"/>
      <c r="J1486" s="282"/>
    </row>
    <row r="1487" spans="1:10" x14ac:dyDescent="0.2">
      <c r="A1487" s="93" t="str">
        <f t="shared" ca="1" si="0"/>
        <v>魔导机（雷）</v>
      </c>
      <c r="B1487" s="93" t="s">
        <v>9092</v>
      </c>
      <c r="C1487" s="282"/>
      <c r="D1487" s="282" t="s">
        <v>9093</v>
      </c>
      <c r="E1487" s="282"/>
      <c r="F1487" s="282" t="s">
        <v>9094</v>
      </c>
      <c r="G1487" s="93" t="s">
        <v>9095</v>
      </c>
      <c r="H1487" s="282" t="s">
        <v>9096</v>
      </c>
      <c r="I1487" s="282"/>
      <c r="J1487" s="282"/>
    </row>
    <row r="1488" spans="1:10" x14ac:dyDescent="0.2">
      <c r="A1488" s="93" t="str">
        <f t="shared" ca="1" si="0"/>
        <v>魔导机（雷）・异型</v>
      </c>
      <c r="B1488" s="93" t="s">
        <v>9097</v>
      </c>
      <c r="C1488" s="282"/>
      <c r="D1488" s="282" t="s">
        <v>9098</v>
      </c>
      <c r="E1488" s="282"/>
      <c r="F1488" s="282" t="s">
        <v>9099</v>
      </c>
      <c r="G1488" s="93" t="s">
        <v>9100</v>
      </c>
      <c r="H1488" s="282" t="s">
        <v>9101</v>
      </c>
      <c r="I1488" s="282"/>
      <c r="J1488" s="282"/>
    </row>
    <row r="1489" spans="1:10" x14ac:dyDescent="0.2">
      <c r="A1489" s="93" t="str">
        <f t="shared" ca="1" si="0"/>
        <v>雷之鬼火</v>
      </c>
      <c r="B1489" s="93" t="s">
        <v>9102</v>
      </c>
      <c r="C1489" s="282"/>
      <c r="D1489" s="282" t="s">
        <v>9103</v>
      </c>
      <c r="E1489" s="282"/>
      <c r="F1489" s="282" t="s">
        <v>9104</v>
      </c>
      <c r="G1489" s="93" t="s">
        <v>9105</v>
      </c>
      <c r="H1489" s="282" t="s">
        <v>9105</v>
      </c>
      <c r="I1489" s="282"/>
      <c r="J1489" s="282"/>
    </row>
    <row r="1490" spans="1:10" x14ac:dyDescent="0.2">
      <c r="A1490" s="93" t="str">
        <f t="shared" ca="1" si="0"/>
        <v>双手蛋</v>
      </c>
      <c r="B1490" s="93" t="s">
        <v>9106</v>
      </c>
      <c r="C1490" s="282"/>
      <c r="D1490" s="282" t="s">
        <v>9107</v>
      </c>
      <c r="E1490" s="282"/>
      <c r="F1490" s="282" t="s">
        <v>9108</v>
      </c>
      <c r="G1490" s="93" t="s">
        <v>9109</v>
      </c>
      <c r="H1490" s="282" t="s">
        <v>9110</v>
      </c>
      <c r="I1490" s="282"/>
      <c r="J1490" s="282"/>
    </row>
    <row r="1491" spans="1:10" x14ac:dyDescent="0.2">
      <c r="A1491" s="93" t="str">
        <f t="shared" ca="1" si="0"/>
        <v>食人蝙蝠</v>
      </c>
      <c r="B1491" s="93" t="s">
        <v>9111</v>
      </c>
      <c r="C1491" s="282"/>
      <c r="D1491" s="282" t="s">
        <v>9112</v>
      </c>
      <c r="E1491" s="282"/>
      <c r="F1491" s="282" t="s">
        <v>9113</v>
      </c>
      <c r="G1491" s="93" t="s">
        <v>9114</v>
      </c>
      <c r="H1491" s="282" t="s">
        <v>9114</v>
      </c>
      <c r="I1491" s="282"/>
      <c r="J1491" s="282"/>
    </row>
    <row r="1492" spans="1:10" x14ac:dyDescent="0.2">
      <c r="A1492" s="93" t="str">
        <f t="shared" ca="1" si="0"/>
        <v>毒蝎子</v>
      </c>
      <c r="B1492" s="93" t="s">
        <v>9115</v>
      </c>
      <c r="C1492" s="282"/>
      <c r="D1492" s="282" t="s">
        <v>9116</v>
      </c>
      <c r="E1492" s="282"/>
      <c r="F1492" s="282" t="s">
        <v>9117</v>
      </c>
      <c r="G1492" s="93" t="s">
        <v>9118</v>
      </c>
      <c r="H1492" s="282" t="s">
        <v>9119</v>
      </c>
      <c r="I1492" s="282"/>
      <c r="J1492" s="282"/>
    </row>
    <row r="1493" spans="1:10" x14ac:dyDescent="0.2">
      <c r="A1493" s="93" t="str">
        <f t="shared" ca="1" si="0"/>
        <v>风来草</v>
      </c>
      <c r="B1493" s="93" t="s">
        <v>9120</v>
      </c>
      <c r="C1493" s="282"/>
      <c r="D1493" s="282" t="s">
        <v>9121</v>
      </c>
      <c r="E1493" s="282"/>
      <c r="F1493" s="282" t="s">
        <v>9122</v>
      </c>
      <c r="G1493" s="93" t="s">
        <v>9123</v>
      </c>
      <c r="H1493" s="282" t="s">
        <v>9124</v>
      </c>
      <c r="I1493" s="282"/>
      <c r="J1493" s="282"/>
    </row>
    <row r="1494" spans="1:10" x14ac:dyDescent="0.2">
      <c r="A1494" s="93" t="str">
        <f t="shared" ca="1" si="0"/>
        <v>凶暴的看门狗</v>
      </c>
      <c r="B1494" s="93" t="s">
        <v>9125</v>
      </c>
      <c r="C1494" s="282" t="s">
        <v>9126</v>
      </c>
      <c r="D1494" s="282" t="s">
        <v>9127</v>
      </c>
      <c r="E1494" s="282"/>
      <c r="F1494" s="282" t="s">
        <v>9128</v>
      </c>
      <c r="G1494" s="93" t="s">
        <v>9129</v>
      </c>
      <c r="H1494" s="282" t="s">
        <v>9130</v>
      </c>
      <c r="I1494" s="282"/>
      <c r="J1494" s="282"/>
    </row>
    <row r="1495" spans="1:10" x14ac:dyDescent="0.2">
      <c r="A1495" s="93" t="str">
        <f t="shared" ca="1" si="0"/>
        <v>战狼</v>
      </c>
      <c r="B1495" s="93" t="s">
        <v>9131</v>
      </c>
      <c r="C1495" s="282"/>
      <c r="D1495" s="282" t="s">
        <v>9132</v>
      </c>
      <c r="E1495" s="282"/>
      <c r="F1495" s="282" t="s">
        <v>9133</v>
      </c>
      <c r="G1495" s="93" t="s">
        <v>9134</v>
      </c>
      <c r="H1495" s="282" t="s">
        <v>9135</v>
      </c>
      <c r="I1495" s="282"/>
      <c r="J1495" s="282"/>
    </row>
    <row r="1496" spans="1:10" x14ac:dyDescent="0.2">
      <c r="A1496" s="93" t="str">
        <f t="shared" ca="1" si="0"/>
        <v>战士骷髅</v>
      </c>
      <c r="B1496" s="93" t="s">
        <v>9136</v>
      </c>
      <c r="C1496" s="51" t="s">
        <v>9137</v>
      </c>
      <c r="D1496" s="282" t="s">
        <v>9138</v>
      </c>
      <c r="E1496" s="282"/>
      <c r="F1496" s="282" t="s">
        <v>9139</v>
      </c>
      <c r="G1496" s="93" t="s">
        <v>9140</v>
      </c>
      <c r="H1496" s="282" t="s">
        <v>9141</v>
      </c>
      <c r="I1496" s="282"/>
      <c r="J1496" s="282"/>
    </row>
    <row r="1497" spans="1:10" x14ac:dyDescent="0.2">
      <c r="A1497" s="93" t="str">
        <f t="shared" ca="1" si="0"/>
        <v>河蜂异种</v>
      </c>
      <c r="B1497" s="93" t="s">
        <v>9142</v>
      </c>
      <c r="C1497" s="51" t="s">
        <v>9143</v>
      </c>
      <c r="D1497" s="282" t="s">
        <v>9144</v>
      </c>
      <c r="E1497" s="282"/>
      <c r="F1497" s="282" t="s">
        <v>9145</v>
      </c>
      <c r="G1497" s="93" t="s">
        <v>9146</v>
      </c>
      <c r="H1497" s="282" t="s">
        <v>9147</v>
      </c>
      <c r="I1497" s="282"/>
      <c r="J1497" s="282"/>
    </row>
    <row r="1498" spans="1:10" x14ac:dyDescent="0.2">
      <c r="A1498" s="93" t="str">
        <f t="shared" ca="1" si="0"/>
        <v>维尔纳的士兵 I</v>
      </c>
      <c r="B1498" s="93" t="s">
        <v>9148</v>
      </c>
      <c r="C1498" s="51" t="s">
        <v>9149</v>
      </c>
      <c r="D1498" s="282" t="s">
        <v>9150</v>
      </c>
      <c r="E1498" s="282"/>
      <c r="F1498" s="282" t="s">
        <v>9151</v>
      </c>
      <c r="G1498" s="93" t="s">
        <v>9152</v>
      </c>
      <c r="H1498" s="282" t="s">
        <v>9153</v>
      </c>
      <c r="I1498" s="282"/>
      <c r="J1498" s="282"/>
    </row>
    <row r="1499" spans="1:10" x14ac:dyDescent="0.2">
      <c r="A1499" s="93" t="str">
        <f t="shared" ca="1" si="0"/>
        <v>维尔纳的士兵 II</v>
      </c>
      <c r="B1499" s="93" t="s">
        <v>9154</v>
      </c>
      <c r="C1499" s="51" t="s">
        <v>9155</v>
      </c>
      <c r="D1499" s="282" t="s">
        <v>9156</v>
      </c>
      <c r="E1499" s="282"/>
      <c r="F1499" s="282" t="s">
        <v>9157</v>
      </c>
      <c r="G1499" s="93" t="s">
        <v>9158</v>
      </c>
      <c r="H1499" s="282" t="s">
        <v>9159</v>
      </c>
      <c r="I1499" s="282"/>
      <c r="J1499" s="282"/>
    </row>
    <row r="1500" spans="1:10" x14ac:dyDescent="0.2">
      <c r="A1500" s="93" t="str">
        <f t="shared" ca="1" si="0"/>
        <v>维尔纳的士兵 III</v>
      </c>
      <c r="B1500" s="93" t="s">
        <v>9160</v>
      </c>
      <c r="C1500" s="51" t="s">
        <v>9161</v>
      </c>
      <c r="D1500" s="282" t="s">
        <v>9162</v>
      </c>
      <c r="E1500" s="282"/>
      <c r="F1500" s="282" t="s">
        <v>9163</v>
      </c>
      <c r="G1500" s="93" t="s">
        <v>9164</v>
      </c>
      <c r="H1500" s="282" t="s">
        <v>9165</v>
      </c>
      <c r="I1500" s="282"/>
      <c r="J1500" s="282"/>
    </row>
    <row r="1501" spans="1:10" x14ac:dyDescent="0.2">
      <c r="A1501" s="93" t="str">
        <f t="shared" ca="1" si="0"/>
        <v>白蝙蝠</v>
      </c>
      <c r="B1501" s="93" t="s">
        <v>9166</v>
      </c>
      <c r="C1501" s="282"/>
      <c r="D1501" s="282" t="s">
        <v>9167</v>
      </c>
      <c r="E1501" s="282"/>
      <c r="F1501" s="282" t="s">
        <v>9168</v>
      </c>
      <c r="G1501" s="93" t="s">
        <v>9169</v>
      </c>
      <c r="H1501" s="282" t="s">
        <v>9169</v>
      </c>
      <c r="I1501" s="282"/>
      <c r="J1501" s="282"/>
    </row>
    <row r="1502" spans="1:10" x14ac:dyDescent="0.2">
      <c r="A1502" s="93" t="str">
        <f t="shared" ca="1" si="0"/>
        <v>白咆哮者</v>
      </c>
      <c r="B1502" s="93" t="s">
        <v>9170</v>
      </c>
      <c r="C1502" s="282"/>
      <c r="D1502" s="282" t="s">
        <v>9171</v>
      </c>
      <c r="E1502" s="282"/>
      <c r="F1502" s="282" t="s">
        <v>9172</v>
      </c>
      <c r="G1502" s="93" t="s">
        <v>9173</v>
      </c>
      <c r="H1502" s="282" t="s">
        <v>9173</v>
      </c>
      <c r="I1502" s="282"/>
      <c r="J1502" s="282"/>
    </row>
    <row r="1503" spans="1:10" x14ac:dyDescent="0.2">
      <c r="A1503" s="93" t="str">
        <f t="shared" ca="1" si="0"/>
        <v>野鼬鼠</v>
      </c>
      <c r="B1503" s="93" t="s">
        <v>9174</v>
      </c>
      <c r="C1503" s="282"/>
      <c r="D1503" s="282" t="s">
        <v>9175</v>
      </c>
      <c r="E1503" s="282"/>
      <c r="F1503" s="282" t="s">
        <v>9176</v>
      </c>
      <c r="G1503" s="93" t="s">
        <v>9177</v>
      </c>
      <c r="H1503" s="282" t="s">
        <v>9177</v>
      </c>
      <c r="I1503" s="282"/>
      <c r="J1503" s="282"/>
    </row>
    <row r="1504" spans="1:10" x14ac:dyDescent="0.2">
      <c r="A1504" s="93" t="str">
        <f t="shared" ca="1" si="0"/>
        <v>魔导飞器（风）</v>
      </c>
      <c r="B1504" s="93" t="s">
        <v>9178</v>
      </c>
      <c r="C1504" s="282"/>
      <c r="D1504" s="282" t="s">
        <v>9179</v>
      </c>
      <c r="E1504" s="282"/>
      <c r="F1504" s="282" t="s">
        <v>9180</v>
      </c>
      <c r="G1504" s="93" t="s">
        <v>9181</v>
      </c>
      <c r="H1504" s="282" t="s">
        <v>9182</v>
      </c>
      <c r="I1504" s="282"/>
      <c r="J1504" s="282"/>
    </row>
    <row r="1505" spans="1:10" x14ac:dyDescent="0.2">
      <c r="A1505" s="93" t="str">
        <f t="shared" ca="1" si="0"/>
        <v>魔导飞器（风）・异型</v>
      </c>
      <c r="B1505" s="93" t="s">
        <v>9183</v>
      </c>
      <c r="C1505" s="282"/>
      <c r="D1505" s="282" t="s">
        <v>9184</v>
      </c>
      <c r="E1505" s="282"/>
      <c r="F1505" s="282" t="s">
        <v>9185</v>
      </c>
      <c r="G1505" s="93" t="s">
        <v>9186</v>
      </c>
      <c r="H1505" s="282" t="s">
        <v>9187</v>
      </c>
      <c r="I1505" s="282"/>
      <c r="J1505" s="282"/>
    </row>
    <row r="1506" spans="1:10" x14ac:dyDescent="0.2">
      <c r="A1506" s="93" t="str">
        <f t="shared" ca="1" si="0"/>
        <v>风元素</v>
      </c>
      <c r="B1506" s="93" t="s">
        <v>9188</v>
      </c>
      <c r="C1506" s="282"/>
      <c r="D1506" s="282" t="s">
        <v>9189</v>
      </c>
      <c r="E1506" s="282"/>
      <c r="F1506" s="282" t="s">
        <v>9190</v>
      </c>
      <c r="G1506" s="93" t="s">
        <v>9191</v>
      </c>
      <c r="H1506" s="282" t="s">
        <v>9192</v>
      </c>
      <c r="I1506" s="282"/>
      <c r="J1506" s="282"/>
    </row>
    <row r="1507" spans="1:10" x14ac:dyDescent="0.2">
      <c r="A1507" s="93" t="str">
        <f t="shared" ca="1" si="0"/>
        <v>魔导机兵（风）</v>
      </c>
      <c r="B1507" s="93" t="s">
        <v>9193</v>
      </c>
      <c r="C1507" s="282"/>
      <c r="D1507" s="282" t="s">
        <v>9194</v>
      </c>
      <c r="E1507" s="282"/>
      <c r="F1507" s="282" t="s">
        <v>9195</v>
      </c>
      <c r="G1507" s="93" t="s">
        <v>9196</v>
      </c>
      <c r="H1507" s="282" t="s">
        <v>9197</v>
      </c>
      <c r="I1507" s="282"/>
      <c r="J1507" s="282"/>
    </row>
    <row r="1508" spans="1:10" x14ac:dyDescent="0.2">
      <c r="A1508" s="93" t="str">
        <f t="shared" ca="1" si="0"/>
        <v>魔导机兵（风）・异型</v>
      </c>
      <c r="B1508" s="93" t="s">
        <v>9198</v>
      </c>
      <c r="C1508" s="282"/>
      <c r="D1508" s="282" t="s">
        <v>9199</v>
      </c>
      <c r="E1508" s="282"/>
      <c r="F1508" s="282" t="s">
        <v>9200</v>
      </c>
      <c r="G1508" s="93" t="s">
        <v>9201</v>
      </c>
      <c r="H1508" s="282" t="s">
        <v>9202</v>
      </c>
      <c r="I1508" s="282"/>
      <c r="J1508" s="282"/>
    </row>
    <row r="1509" spans="1:10" x14ac:dyDescent="0.2">
      <c r="A1509" s="93" t="str">
        <f t="shared" ca="1" si="0"/>
        <v>古代遗物（风兽）</v>
      </c>
      <c r="B1509" s="93" t="s">
        <v>9203</v>
      </c>
      <c r="C1509" s="282"/>
      <c r="D1509" s="282" t="s">
        <v>9204</v>
      </c>
      <c r="E1509" s="282"/>
      <c r="F1509" s="282" t="s">
        <v>9205</v>
      </c>
      <c r="G1509" s="93" t="s">
        <v>9206</v>
      </c>
      <c r="H1509" s="282" t="s">
        <v>9207</v>
      </c>
      <c r="I1509" s="282"/>
      <c r="J1509" s="282"/>
    </row>
    <row r="1510" spans="1:10" x14ac:dyDescent="0.2">
      <c r="A1510" s="93" t="str">
        <f t="shared" ca="1" si="0"/>
        <v>古代遗物（风兽）・异型</v>
      </c>
      <c r="B1510" s="93" t="s">
        <v>9208</v>
      </c>
      <c r="C1510" s="282"/>
      <c r="D1510" s="282" t="s">
        <v>9209</v>
      </c>
      <c r="E1510" s="282"/>
      <c r="F1510" s="282" t="s">
        <v>9210</v>
      </c>
      <c r="G1510" s="93" t="s">
        <v>9211</v>
      </c>
      <c r="H1510" s="282" t="s">
        <v>9212</v>
      </c>
      <c r="I1510" s="282"/>
      <c r="J1510" s="282"/>
    </row>
    <row r="1511" spans="1:10" x14ac:dyDescent="0.2">
      <c r="A1511" s="93" t="str">
        <f t="shared" ca="1" si="0"/>
        <v>古代遗物・风兵</v>
      </c>
      <c r="B1511" s="93" t="s">
        <v>9213</v>
      </c>
      <c r="C1511" s="282"/>
      <c r="D1511" s="282" t="s">
        <v>9214</v>
      </c>
      <c r="E1511" s="282"/>
      <c r="F1511" s="282" t="s">
        <v>9215</v>
      </c>
      <c r="G1511" s="93" t="s">
        <v>9216</v>
      </c>
      <c r="H1511" s="282" t="s">
        <v>9217</v>
      </c>
      <c r="I1511" s="282"/>
      <c r="J1511" s="282"/>
    </row>
    <row r="1512" spans="1:10" x14ac:dyDescent="0.2">
      <c r="A1512" s="93" t="str">
        <f t="shared" ca="1" si="0"/>
        <v>魔导机（风）</v>
      </c>
      <c r="B1512" s="93" t="s">
        <v>9218</v>
      </c>
      <c r="C1512" s="282"/>
      <c r="D1512" s="282" t="s">
        <v>9219</v>
      </c>
      <c r="E1512" s="282"/>
      <c r="F1512" s="282" t="s">
        <v>9220</v>
      </c>
      <c r="G1512" s="93" t="s">
        <v>9221</v>
      </c>
      <c r="H1512" s="282" t="s">
        <v>9222</v>
      </c>
      <c r="I1512" s="282"/>
      <c r="J1512" s="282"/>
    </row>
    <row r="1513" spans="1:10" x14ac:dyDescent="0.2">
      <c r="A1513" s="93" t="str">
        <f t="shared" ca="1" si="0"/>
        <v>魔导机（风）・异型</v>
      </c>
      <c r="B1513" s="93" t="s">
        <v>9223</v>
      </c>
      <c r="C1513" s="282"/>
      <c r="D1513" s="282" t="s">
        <v>9224</v>
      </c>
      <c r="E1513" s="282"/>
      <c r="F1513" s="282" t="s">
        <v>9225</v>
      </c>
      <c r="G1513" s="93" t="s">
        <v>9226</v>
      </c>
      <c r="H1513" s="282" t="s">
        <v>9227</v>
      </c>
      <c r="I1513" s="282"/>
      <c r="J1513" s="282"/>
    </row>
    <row r="1514" spans="1:10" x14ac:dyDescent="0.2">
      <c r="A1514" s="93" t="str">
        <f t="shared" ca="1" si="0"/>
        <v>风之鬼火</v>
      </c>
      <c r="B1514" s="93" t="s">
        <v>9228</v>
      </c>
      <c r="C1514" s="282"/>
      <c r="D1514" s="282" t="s">
        <v>9229</v>
      </c>
      <c r="E1514" s="282"/>
      <c r="F1514" s="282" t="s">
        <v>9230</v>
      </c>
      <c r="G1514" s="93" t="s">
        <v>9231</v>
      </c>
      <c r="H1514" s="282" t="s">
        <v>9232</v>
      </c>
      <c r="I1514" s="282"/>
      <c r="J1514" s="282"/>
    </row>
    <row r="1515" spans="1:10" x14ac:dyDescent="0.2">
      <c r="A1515" s="93" t="str">
        <f t="shared" ca="1" si="0"/>
        <v>蛇鸟</v>
      </c>
      <c r="B1515" s="93" t="s">
        <v>9233</v>
      </c>
      <c r="C1515" s="282"/>
      <c r="D1515" s="282" t="s">
        <v>9234</v>
      </c>
      <c r="E1515" s="282"/>
      <c r="F1515" s="282" t="s">
        <v>9235</v>
      </c>
      <c r="G1515" s="93" t="s">
        <v>9236</v>
      </c>
      <c r="H1515" s="282" t="s">
        <v>9237</v>
      </c>
      <c r="I1515" s="282"/>
      <c r="J1515" s="282"/>
    </row>
    <row r="1516" spans="1:10" x14ac:dyDescent="0.2">
      <c r="A1516" s="93" t="str">
        <f t="shared" ca="1" si="0"/>
        <v>风来雪草</v>
      </c>
      <c r="B1516" s="93" t="s">
        <v>9238</v>
      </c>
      <c r="C1516" s="282"/>
      <c r="D1516" s="282" t="s">
        <v>9239</v>
      </c>
      <c r="E1516" s="282"/>
      <c r="F1516" s="282" t="s">
        <v>9240</v>
      </c>
      <c r="G1516" s="93" t="s">
        <v>9241</v>
      </c>
      <c r="H1516" s="282" t="s">
        <v>9242</v>
      </c>
      <c r="I1516" s="282"/>
      <c r="J1516" s="282"/>
    </row>
    <row r="1517" spans="1:10" x14ac:dyDescent="0.2">
      <c r="A1517" s="93" t="str">
        <f t="shared" ca="1" si="0"/>
        <v>风来枯草</v>
      </c>
      <c r="B1517" s="93" t="s">
        <v>9243</v>
      </c>
      <c r="C1517" s="282"/>
      <c r="D1517" s="282" t="s">
        <v>9244</v>
      </c>
      <c r="E1517" s="282"/>
      <c r="F1517" s="282" t="s">
        <v>9245</v>
      </c>
      <c r="G1517" s="93" t="s">
        <v>9246</v>
      </c>
      <c r="H1517" s="282" t="s">
        <v>9247</v>
      </c>
      <c r="I1517" s="282"/>
      <c r="J1517" s="282"/>
    </row>
    <row r="1518" spans="1:10" x14ac:dyDescent="0.2">
      <c r="A1518" s="93" t="str">
        <f t="shared" ca="1" si="0"/>
        <v>狼</v>
      </c>
      <c r="B1518" s="93" t="s">
        <v>9248</v>
      </c>
      <c r="C1518" s="282" t="s">
        <v>9249</v>
      </c>
      <c r="D1518" s="282" t="s">
        <v>9250</v>
      </c>
      <c r="E1518" s="282"/>
      <c r="F1518" s="282" t="s">
        <v>9251</v>
      </c>
      <c r="G1518" s="93" t="s">
        <v>9252</v>
      </c>
      <c r="H1518" s="282" t="s">
        <v>9252</v>
      </c>
      <c r="I1518" s="282"/>
      <c r="J1518" s="282"/>
    </row>
    <row r="1519" spans="1:10" x14ac:dyDescent="0.2">
      <c r="A1519" s="93" t="str">
        <f t="shared" ca="1" si="0"/>
        <v>四丈蜘蛛</v>
      </c>
      <c r="B1519" s="93" t="s">
        <v>9253</v>
      </c>
      <c r="C1519" s="282"/>
      <c r="D1519" s="282" t="s">
        <v>9254</v>
      </c>
      <c r="E1519" s="282"/>
      <c r="F1519" s="282" t="s">
        <v>9255</v>
      </c>
      <c r="G1519" s="93" t="s">
        <v>9256</v>
      </c>
      <c r="H1519" s="282" t="s">
        <v>9256</v>
      </c>
      <c r="I1519" s="282"/>
      <c r="J1519" s="282"/>
    </row>
    <row r="1520" spans="1:10" x14ac:dyDescent="0.2">
      <c r="A1520" s="93" t="str">
        <f t="shared" ca="1" si="0"/>
        <v>黑炎教信徒（高级）I</v>
      </c>
      <c r="B1520" s="93" t="s">
        <v>9257</v>
      </c>
      <c r="C1520" s="51" t="s">
        <v>9258</v>
      </c>
      <c r="D1520" s="282" t="s">
        <v>9259</v>
      </c>
      <c r="E1520" s="282"/>
      <c r="F1520" s="282" t="s">
        <v>9260</v>
      </c>
      <c r="G1520" s="93" t="s">
        <v>9261</v>
      </c>
      <c r="H1520" s="282" t="s">
        <v>9262</v>
      </c>
      <c r="I1520" s="282"/>
      <c r="J1520" s="282"/>
    </row>
    <row r="1521" spans="1:10" x14ac:dyDescent="0.2">
      <c r="A1521" s="93" t="str">
        <f t="shared" ca="1" si="0"/>
        <v>黑炎教信徒（高级）II</v>
      </c>
      <c r="B1521" s="93" t="s">
        <v>9263</v>
      </c>
      <c r="C1521" s="51" t="s">
        <v>9264</v>
      </c>
      <c r="D1521" s="282" t="s">
        <v>9265</v>
      </c>
      <c r="E1521" s="282"/>
      <c r="F1521" s="282" t="s">
        <v>9266</v>
      </c>
      <c r="G1521" s="93" t="s">
        <v>9267</v>
      </c>
      <c r="H1521" s="282" t="s">
        <v>9268</v>
      </c>
      <c r="I1521" s="282"/>
      <c r="J1521" s="282"/>
    </row>
    <row r="1522" spans="1:10" x14ac:dyDescent="0.2">
      <c r="A1522" s="79" t="str">
        <f t="shared" ca="1" si="0"/>
        <v>小boss</v>
      </c>
      <c r="B1522" s="79" t="s">
        <v>528</v>
      </c>
      <c r="C1522" s="252" t="s">
        <v>528</v>
      </c>
      <c r="D1522" s="252" t="s">
        <v>528</v>
      </c>
      <c r="E1522" s="252"/>
      <c r="F1522" s="252"/>
      <c r="G1522" s="252" t="s">
        <v>9269</v>
      </c>
      <c r="H1522" s="252" t="s">
        <v>9269</v>
      </c>
      <c r="I1522" s="252"/>
      <c r="J1522" s="252" t="s">
        <v>531</v>
      </c>
    </row>
    <row r="1523" spans="1:10" x14ac:dyDescent="0.2">
      <c r="A1523" s="93" t="str">
        <f t="shared" ca="1" si="0"/>
        <v>贝西摩斯</v>
      </c>
      <c r="B1523" s="93" t="s">
        <v>9270</v>
      </c>
      <c r="C1523" s="282"/>
      <c r="D1523" s="282" t="s">
        <v>9271</v>
      </c>
      <c r="E1523" s="282"/>
      <c r="F1523" s="282" t="s">
        <v>9272</v>
      </c>
      <c r="G1523" s="93" t="s">
        <v>9273</v>
      </c>
      <c r="H1523" s="282" t="s">
        <v>9274</v>
      </c>
      <c r="I1523" s="282"/>
      <c r="J1523" s="282"/>
    </row>
    <row r="1524" spans="1:10" x14ac:dyDescent="0.2">
      <c r="A1524" s="93" t="str">
        <f t="shared" ca="1" si="0"/>
        <v>噬梦</v>
      </c>
      <c r="B1524" s="640" t="s">
        <v>12907</v>
      </c>
      <c r="C1524" s="282"/>
      <c r="D1524" s="282" t="s">
        <v>9275</v>
      </c>
      <c r="E1524" s="282"/>
      <c r="F1524" s="282" t="s">
        <v>9276</v>
      </c>
      <c r="G1524" s="93" t="s">
        <v>9277</v>
      </c>
      <c r="H1524" s="282" t="s">
        <v>9278</v>
      </c>
      <c r="I1524" s="282"/>
      <c r="J1524" s="282"/>
    </row>
    <row r="1525" spans="1:10" x14ac:dyDescent="0.2">
      <c r="A1525" s="93" t="str">
        <f t="shared" ca="1" si="0"/>
        <v>恐狼</v>
      </c>
      <c r="B1525" s="93" t="s">
        <v>9279</v>
      </c>
      <c r="C1525" s="282"/>
      <c r="D1525" s="282" t="s">
        <v>9280</v>
      </c>
      <c r="E1525" s="282"/>
      <c r="F1525" s="282" t="s">
        <v>9281</v>
      </c>
      <c r="G1525" s="93" t="s">
        <v>9282</v>
      </c>
      <c r="H1525" s="282" t="s">
        <v>9282</v>
      </c>
      <c r="I1525" s="282"/>
      <c r="J1525" s="282"/>
    </row>
    <row r="1526" spans="1:10" x14ac:dyDescent="0.2">
      <c r="A1526" s="93" t="str">
        <f t="shared" ca="1" si="0"/>
        <v>基加提亚斯</v>
      </c>
      <c r="B1526" s="93" t="s">
        <v>9283</v>
      </c>
      <c r="C1526" s="282"/>
      <c r="D1526" s="282" t="s">
        <v>9283</v>
      </c>
      <c r="E1526" s="282"/>
      <c r="F1526" s="282" t="s">
        <v>9284</v>
      </c>
      <c r="G1526" s="93" t="s">
        <v>9285</v>
      </c>
      <c r="H1526" s="282" t="s">
        <v>9286</v>
      </c>
      <c r="I1526" s="282"/>
      <c r="J1526" s="282"/>
    </row>
    <row r="1527" spans="1:10" x14ac:dyDescent="0.2">
      <c r="A1527" s="93" t="str">
        <f t="shared" ca="1" si="0"/>
        <v>亚耶罗巴特</v>
      </c>
      <c r="B1527" s="93" t="s">
        <v>9287</v>
      </c>
      <c r="C1527" s="282"/>
      <c r="D1527" s="282" t="s">
        <v>9288</v>
      </c>
      <c r="E1527" s="282"/>
      <c r="F1527" s="282" t="s">
        <v>9289</v>
      </c>
      <c r="G1527" s="93" t="s">
        <v>9290</v>
      </c>
      <c r="H1527" s="282" t="s">
        <v>9291</v>
      </c>
      <c r="I1527" s="282"/>
      <c r="J1527" s="282"/>
    </row>
    <row r="1528" spans="1:10" x14ac:dyDescent="0.2">
      <c r="A1528" s="93" t="str">
        <f t="shared" ca="1" si="0"/>
        <v>沙漠虫</v>
      </c>
      <c r="B1528" s="93" t="s">
        <v>9292</v>
      </c>
      <c r="C1528" s="282"/>
      <c r="D1528" s="282" t="s">
        <v>9293</v>
      </c>
      <c r="E1528" s="282"/>
      <c r="F1528" s="282" t="s">
        <v>9294</v>
      </c>
      <c r="G1528" s="93" t="s">
        <v>9295</v>
      </c>
      <c r="H1528" s="282" t="s">
        <v>9296</v>
      </c>
      <c r="I1528" s="282"/>
      <c r="J1528" s="282"/>
    </row>
    <row r="1529" spans="1:10" x14ac:dyDescent="0.2">
      <c r="A1529" s="93" t="str">
        <f t="shared" ca="1" si="0"/>
        <v>戴特摩尔</v>
      </c>
      <c r="B1529" s="93" t="s">
        <v>9297</v>
      </c>
      <c r="C1529" s="282"/>
      <c r="D1529" s="282" t="s">
        <v>9298</v>
      </c>
      <c r="E1529" s="282"/>
      <c r="F1529" s="282" t="s">
        <v>9299</v>
      </c>
      <c r="G1529" s="93" t="s">
        <v>9300</v>
      </c>
      <c r="H1529" s="282" t="s">
        <v>9301</v>
      </c>
      <c r="I1529" s="282"/>
      <c r="J1529" s="282"/>
    </row>
    <row r="1530" spans="1:10" x14ac:dyDescent="0.2">
      <c r="A1530" s="93" t="str">
        <f t="shared" ca="1" si="0"/>
        <v>人面蝶</v>
      </c>
      <c r="B1530" s="93" t="s">
        <v>9302</v>
      </c>
      <c r="C1530" s="51" t="s">
        <v>9303</v>
      </c>
      <c r="D1530" s="282" t="s">
        <v>9304</v>
      </c>
      <c r="E1530" s="282"/>
      <c r="F1530" s="282" t="s">
        <v>9303</v>
      </c>
      <c r="G1530" s="93" t="s">
        <v>9305</v>
      </c>
      <c r="H1530" s="282" t="s">
        <v>9305</v>
      </c>
      <c r="I1530" s="282"/>
      <c r="J1530" s="282"/>
    </row>
    <row r="1531" spans="1:10" x14ac:dyDescent="0.2">
      <c r="A1531" s="93" t="str">
        <f t="shared" ca="1" si="0"/>
        <v>王座的守护者</v>
      </c>
      <c r="B1531" s="93" t="s">
        <v>9306</v>
      </c>
      <c r="C1531" s="51" t="s">
        <v>9307</v>
      </c>
      <c r="D1531" s="282" t="s">
        <v>9308</v>
      </c>
      <c r="E1531" s="282"/>
      <c r="F1531" s="282" t="s">
        <v>9309</v>
      </c>
      <c r="G1531" s="93" t="s">
        <v>9310</v>
      </c>
      <c r="H1531" s="282" t="s">
        <v>9311</v>
      </c>
      <c r="I1531" s="282"/>
      <c r="J1531" s="282"/>
    </row>
    <row r="1532" spans="1:10" x14ac:dyDescent="0.2">
      <c r="A1532" s="93" t="str">
        <f t="shared" ca="1" si="0"/>
        <v>翼蜥蜴重型种</v>
      </c>
      <c r="B1532" s="93" t="s">
        <v>9312</v>
      </c>
      <c r="C1532" s="282"/>
      <c r="D1532" s="282" t="s">
        <v>9312</v>
      </c>
      <c r="E1532" s="282"/>
      <c r="F1532" s="282" t="s">
        <v>9313</v>
      </c>
      <c r="G1532" s="93" t="s">
        <v>9314</v>
      </c>
      <c r="H1532" s="282" t="s">
        <v>9315</v>
      </c>
      <c r="I1532" s="282"/>
      <c r="J1532" s="282"/>
    </row>
    <row r="1533" spans="1:10" x14ac:dyDescent="0.2">
      <c r="A1533" s="347" t="str">
        <f t="shared" ca="1" si="0"/>
        <v>boss &amp; 特殊怪</v>
      </c>
      <c r="B1533" s="347" t="s">
        <v>9316</v>
      </c>
      <c r="C1533" s="252"/>
      <c r="D1533" s="252" t="s">
        <v>41</v>
      </c>
      <c r="E1533" s="252"/>
      <c r="F1533" s="252"/>
      <c r="G1533" s="252" t="s">
        <v>9317</v>
      </c>
      <c r="H1533" s="252" t="s">
        <v>9317</v>
      </c>
      <c r="I1533" s="252"/>
      <c r="J1533" s="252"/>
    </row>
    <row r="1534" spans="1:10" x14ac:dyDescent="0.2">
      <c r="A1534" s="93" t="str">
        <f t="shared" ca="1" si="0"/>
        <v>圣火的守护者</v>
      </c>
      <c r="B1534" s="93" t="s">
        <v>9318</v>
      </c>
      <c r="C1534" s="51" t="s">
        <v>9319</v>
      </c>
      <c r="D1534" s="282" t="s">
        <v>9320</v>
      </c>
      <c r="E1534" s="282"/>
      <c r="F1534" s="282" t="s">
        <v>9321</v>
      </c>
      <c r="G1534" s="282" t="s">
        <v>9322</v>
      </c>
      <c r="H1534" s="282" t="s">
        <v>9323</v>
      </c>
      <c r="I1534" s="282"/>
      <c r="J1534" s="282"/>
    </row>
    <row r="1535" spans="1:10" x14ac:dyDescent="0.2">
      <c r="A1535" s="93" t="str">
        <f t="shared" ca="1" si="0"/>
        <v>黑鬼火</v>
      </c>
      <c r="B1535" s="93" t="s">
        <v>9324</v>
      </c>
      <c r="C1535" s="51" t="s">
        <v>9325</v>
      </c>
      <c r="D1535" s="282" t="s">
        <v>9326</v>
      </c>
      <c r="E1535" s="282"/>
      <c r="F1535" s="282" t="s">
        <v>9327</v>
      </c>
      <c r="G1535" s="282" t="s">
        <v>9328</v>
      </c>
      <c r="H1535" s="282" t="s">
        <v>9328</v>
      </c>
      <c r="I1535" s="282"/>
      <c r="J1535" s="282"/>
    </row>
    <row r="1536" spans="1:10" x14ac:dyDescent="0.2">
      <c r="A1536" s="93" t="str">
        <f t="shared" ca="1" si="0"/>
        <v>拉赛尔</v>
      </c>
      <c r="B1536" s="93" t="s">
        <v>9329</v>
      </c>
      <c r="C1536" s="282" t="s">
        <v>9329</v>
      </c>
      <c r="D1536" s="282" t="s">
        <v>9330</v>
      </c>
      <c r="E1536" s="282"/>
      <c r="F1536" s="282" t="s">
        <v>9331</v>
      </c>
      <c r="G1536" s="282" t="s">
        <v>9332</v>
      </c>
      <c r="H1536" s="282" t="s">
        <v>9333</v>
      </c>
      <c r="I1536" s="282"/>
      <c r="J1536" s="282"/>
    </row>
    <row r="1537" spans="1:10" x14ac:dyDescent="0.2">
      <c r="A1537" s="93" t="str">
        <f t="shared" ca="1" si="0"/>
        <v>蓝鬼火</v>
      </c>
      <c r="B1537" s="93" t="s">
        <v>9334</v>
      </c>
      <c r="C1537" s="282"/>
      <c r="D1537" s="282" t="s">
        <v>9335</v>
      </c>
      <c r="E1537" s="282"/>
      <c r="F1537" s="282" t="s">
        <v>9336</v>
      </c>
      <c r="G1537" s="282" t="s">
        <v>9337</v>
      </c>
      <c r="H1537" s="282" t="s">
        <v>9338</v>
      </c>
      <c r="I1537" s="282"/>
      <c r="J1537" s="282"/>
    </row>
    <row r="1538" spans="1:10" x14ac:dyDescent="0.2">
      <c r="A1538" s="93" t="str">
        <f t="shared" ca="1" si="0"/>
        <v>米克</v>
      </c>
      <c r="B1538" s="93" t="s">
        <v>9339</v>
      </c>
      <c r="C1538" s="282" t="s">
        <v>9339</v>
      </c>
      <c r="D1538" s="282" t="s">
        <v>9339</v>
      </c>
      <c r="E1538" s="282"/>
      <c r="F1538" s="282" t="s">
        <v>9339</v>
      </c>
      <c r="G1538" s="282" t="s">
        <v>9340</v>
      </c>
      <c r="H1538" s="282" t="s">
        <v>9340</v>
      </c>
      <c r="I1538" s="282"/>
      <c r="J1538" s="282"/>
    </row>
    <row r="1539" spans="1:10" x14ac:dyDescent="0.2">
      <c r="A1539" s="93" t="str">
        <f t="shared" ca="1" si="0"/>
        <v>马克</v>
      </c>
      <c r="B1539" s="93" t="s">
        <v>9341</v>
      </c>
      <c r="C1539" s="282" t="s">
        <v>9341</v>
      </c>
      <c r="D1539" s="282" t="s">
        <v>9341</v>
      </c>
      <c r="E1539" s="282"/>
      <c r="F1539" s="282" t="s">
        <v>9341</v>
      </c>
      <c r="G1539" s="282" t="s">
        <v>9342</v>
      </c>
      <c r="H1539" s="282" t="s">
        <v>9343</v>
      </c>
      <c r="I1539" s="282"/>
      <c r="J1539" s="282"/>
    </row>
    <row r="1540" spans="1:10" x14ac:dyDescent="0.2">
      <c r="A1540" s="93" t="str">
        <f t="shared" ca="1" si="0"/>
        <v>山贼 I</v>
      </c>
      <c r="B1540" s="93" t="s">
        <v>9344</v>
      </c>
      <c r="C1540" s="282" t="s">
        <v>9345</v>
      </c>
      <c r="D1540" s="282" t="s">
        <v>7621</v>
      </c>
      <c r="E1540" s="282"/>
      <c r="F1540" s="282" t="s">
        <v>7623</v>
      </c>
      <c r="G1540" s="282" t="s">
        <v>7624</v>
      </c>
      <c r="H1540" s="282" t="s">
        <v>7625</v>
      </c>
      <c r="I1540" s="282"/>
      <c r="J1540" s="282"/>
    </row>
    <row r="1541" spans="1:10" x14ac:dyDescent="0.2">
      <c r="A1541" s="93" t="str">
        <f t="shared" ca="1" si="0"/>
        <v>山贼 II</v>
      </c>
      <c r="B1541" s="93" t="s">
        <v>9346</v>
      </c>
      <c r="C1541" s="282" t="s">
        <v>9347</v>
      </c>
      <c r="D1541" s="282" t="s">
        <v>7626</v>
      </c>
      <c r="E1541" s="282"/>
      <c r="F1541" s="282" t="s">
        <v>7628</v>
      </c>
      <c r="G1541" s="282" t="s">
        <v>7629</v>
      </c>
      <c r="H1541" s="282" t="s">
        <v>7630</v>
      </c>
      <c r="I1541" s="282"/>
      <c r="J1541" s="282"/>
    </row>
    <row r="1542" spans="1:10" x14ac:dyDescent="0.2">
      <c r="A1542" s="93" t="str">
        <f t="shared" ca="1" si="0"/>
        <v>卡斯顿</v>
      </c>
      <c r="B1542" s="93" t="s">
        <v>9348</v>
      </c>
      <c r="C1542" s="282" t="s">
        <v>9348</v>
      </c>
      <c r="D1542" s="282" t="s">
        <v>9348</v>
      </c>
      <c r="E1542" s="282"/>
      <c r="F1542" s="282" t="s">
        <v>9349</v>
      </c>
      <c r="G1542" s="282" t="s">
        <v>9350</v>
      </c>
      <c r="H1542" s="282" t="s">
        <v>9351</v>
      </c>
      <c r="I1542" s="282"/>
      <c r="J1542" s="282"/>
    </row>
    <row r="1543" spans="1:10" x14ac:dyDescent="0.2">
      <c r="A1543" s="93" t="str">
        <f t="shared" ca="1" si="0"/>
        <v>山贼</v>
      </c>
      <c r="B1543" s="93" t="s">
        <v>9352</v>
      </c>
      <c r="C1543" s="282" t="s">
        <v>9353</v>
      </c>
      <c r="D1543" s="282" t="s">
        <v>9352</v>
      </c>
      <c r="E1543" s="282"/>
      <c r="F1543" s="282" t="s">
        <v>9354</v>
      </c>
      <c r="G1543" s="282" t="s">
        <v>9355</v>
      </c>
      <c r="H1543" s="282" t="s">
        <v>9356</v>
      </c>
      <c r="I1543" s="282"/>
      <c r="J1543" s="282"/>
    </row>
    <row r="1544" spans="1:10" x14ac:dyDescent="0.2">
      <c r="A1544" s="93" t="str">
        <f t="shared" ca="1" si="0"/>
        <v>赫尔根尼修</v>
      </c>
      <c r="B1544" s="93" t="s">
        <v>9357</v>
      </c>
      <c r="C1544" s="282" t="s">
        <v>9357</v>
      </c>
      <c r="D1544" s="282" t="s">
        <v>9357</v>
      </c>
      <c r="E1544" s="282"/>
      <c r="F1544" s="282" t="s">
        <v>9357</v>
      </c>
      <c r="G1544" s="282" t="s">
        <v>9358</v>
      </c>
      <c r="H1544" s="282" t="s">
        <v>9359</v>
      </c>
      <c r="I1544" s="282"/>
      <c r="J1544" s="282"/>
    </row>
    <row r="1545" spans="1:10" x14ac:dyDescent="0.2">
      <c r="A1545" s="93" t="str">
        <f t="shared" ca="1" si="0"/>
        <v>赫尔根尼修的手下</v>
      </c>
      <c r="B1545" s="93" t="s">
        <v>9360</v>
      </c>
      <c r="C1545" s="282" t="s">
        <v>9361</v>
      </c>
      <c r="D1545" s="282" t="s">
        <v>9362</v>
      </c>
      <c r="E1545" s="282"/>
      <c r="F1545" s="282" t="s">
        <v>9363</v>
      </c>
      <c r="G1545" s="282" t="s">
        <v>9364</v>
      </c>
      <c r="H1545" s="282" t="s">
        <v>9365</v>
      </c>
      <c r="I1545" s="282"/>
      <c r="J1545" s="282"/>
    </row>
    <row r="1546" spans="1:10" x14ac:dyDescent="0.2">
      <c r="A1546" s="93" t="str">
        <f t="shared" ca="1" si="0"/>
        <v>赤链蛇</v>
      </c>
      <c r="B1546" s="93" t="s">
        <v>9366</v>
      </c>
      <c r="C1546" s="282"/>
      <c r="D1546" s="282" t="s">
        <v>9367</v>
      </c>
      <c r="E1546" s="282"/>
      <c r="F1546" s="282" t="s">
        <v>9368</v>
      </c>
      <c r="G1546" s="282" t="s">
        <v>9369</v>
      </c>
      <c r="H1546" s="282" t="s">
        <v>9370</v>
      </c>
      <c r="I1546" s="282"/>
      <c r="J1546" s="282"/>
    </row>
    <row r="1547" spans="1:10" x14ac:dyDescent="0.2">
      <c r="A1547" s="93" t="str">
        <f t="shared" ca="1" si="0"/>
        <v>曼陀罗蛇</v>
      </c>
      <c r="B1547" s="93" t="s">
        <v>9371</v>
      </c>
      <c r="C1547" s="282"/>
      <c r="D1547" s="282" t="s">
        <v>9372</v>
      </c>
      <c r="E1547" s="282"/>
      <c r="F1547" s="282" t="s">
        <v>9373</v>
      </c>
      <c r="G1547" s="282" t="s">
        <v>9374</v>
      </c>
      <c r="H1547" s="282" t="s">
        <v>9375</v>
      </c>
      <c r="I1547" s="282"/>
      <c r="J1547" s="282"/>
    </row>
    <row r="1548" spans="1:10" x14ac:dyDescent="0.2">
      <c r="A1548" s="93" t="str">
        <f t="shared" ca="1" si="0"/>
        <v>希斯柯特</v>
      </c>
      <c r="B1548" s="93" t="s">
        <v>9376</v>
      </c>
      <c r="C1548" s="282" t="s">
        <v>9376</v>
      </c>
      <c r="D1548" s="282" t="s">
        <v>9376</v>
      </c>
      <c r="E1548" s="282"/>
      <c r="F1548" s="282" t="s">
        <v>9376</v>
      </c>
      <c r="G1548" s="282" t="s">
        <v>9377</v>
      </c>
      <c r="H1548" s="282" t="s">
        <v>9377</v>
      </c>
      <c r="I1548" s="282"/>
      <c r="J1548" s="282"/>
    </row>
    <row r="1549" spans="1:10" x14ac:dyDescent="0.2">
      <c r="A1549" s="93" t="str">
        <f t="shared" ca="1" si="0"/>
        <v>瑞布斯的士兵</v>
      </c>
      <c r="B1549" s="93" t="s">
        <v>9378</v>
      </c>
      <c r="C1549" s="282"/>
      <c r="D1549" s="282" t="s">
        <v>9379</v>
      </c>
      <c r="E1549" s="282"/>
      <c r="F1549" s="282" t="s">
        <v>9380</v>
      </c>
      <c r="G1549" s="282" t="s">
        <v>9381</v>
      </c>
      <c r="H1549" s="282" t="s">
        <v>9381</v>
      </c>
      <c r="I1549" s="282"/>
      <c r="J1549" s="282"/>
    </row>
    <row r="1550" spans="1:10" x14ac:dyDescent="0.2">
      <c r="A1550" s="93" t="str">
        <f t="shared" ca="1" si="0"/>
        <v>基萨鲁玛</v>
      </c>
      <c r="B1550" s="93" t="s">
        <v>9382</v>
      </c>
      <c r="C1550" s="282"/>
      <c r="D1550" s="282" t="s">
        <v>9382</v>
      </c>
      <c r="E1550" s="282"/>
      <c r="F1550" s="282" t="s">
        <v>9382</v>
      </c>
      <c r="G1550" s="282" t="s">
        <v>9383</v>
      </c>
      <c r="H1550" s="282" t="s">
        <v>9384</v>
      </c>
      <c r="I1550" s="282"/>
      <c r="J1550" s="282"/>
    </row>
    <row r="1551" spans="1:10" x14ac:dyDescent="0.2">
      <c r="A1551" s="93" t="str">
        <f t="shared" ca="1" si="0"/>
        <v>赫罗威涅</v>
      </c>
      <c r="B1551" s="93" t="s">
        <v>9385</v>
      </c>
      <c r="C1551" s="282"/>
      <c r="D1551" s="93" t="s">
        <v>9385</v>
      </c>
      <c r="E1551" s="282"/>
      <c r="F1551" s="282" t="s">
        <v>9386</v>
      </c>
      <c r="G1551" s="282" t="s">
        <v>9387</v>
      </c>
      <c r="H1551" s="282" t="s">
        <v>9388</v>
      </c>
      <c r="I1551" s="282"/>
      <c r="J1551" s="282"/>
    </row>
    <row r="1552" spans="1:10" x14ac:dyDescent="0.2">
      <c r="A1552" s="93" t="str">
        <f t="shared" ca="1" si="0"/>
        <v>基甸</v>
      </c>
      <c r="B1552" s="93" t="s">
        <v>9389</v>
      </c>
      <c r="C1552" s="282" t="s">
        <v>9389</v>
      </c>
      <c r="D1552" s="282" t="s">
        <v>9390</v>
      </c>
      <c r="E1552" s="282"/>
      <c r="F1552" s="282" t="s">
        <v>9389</v>
      </c>
      <c r="G1552" s="282" t="s">
        <v>9391</v>
      </c>
      <c r="H1552" s="282" t="s">
        <v>9391</v>
      </c>
      <c r="I1552" s="282"/>
      <c r="J1552" s="282"/>
    </row>
    <row r="1553" spans="1:10" x14ac:dyDescent="0.2">
      <c r="A1553" s="93" t="str">
        <f t="shared" ca="1" si="0"/>
        <v>傀儡骷髅特殊</v>
      </c>
      <c r="B1553" s="93" t="s">
        <v>9392</v>
      </c>
      <c r="C1553" s="282"/>
      <c r="D1553" s="282" t="s">
        <v>9393</v>
      </c>
      <c r="E1553" s="282"/>
      <c r="F1553" s="282" t="s">
        <v>9394</v>
      </c>
      <c r="G1553" s="282" t="s">
        <v>9395</v>
      </c>
      <c r="H1553" s="282" t="s">
        <v>9396</v>
      </c>
      <c r="I1553" s="282"/>
      <c r="J1553" s="282"/>
    </row>
    <row r="1554" spans="1:10" x14ac:dyDescent="0.2">
      <c r="A1554" s="93" t="str">
        <f t="shared" ca="1" si="0"/>
        <v>奥玛尔</v>
      </c>
      <c r="B1554" s="93" t="s">
        <v>9397</v>
      </c>
      <c r="C1554" s="282" t="s">
        <v>9397</v>
      </c>
      <c r="D1554" s="282" t="s">
        <v>9397</v>
      </c>
      <c r="E1554" s="282"/>
      <c r="F1554" s="282" t="s">
        <v>9397</v>
      </c>
      <c r="G1554" s="282" t="s">
        <v>9398</v>
      </c>
      <c r="H1554" s="282" t="s">
        <v>9399</v>
      </c>
      <c r="I1554" s="282"/>
      <c r="J1554" s="282"/>
    </row>
    <row r="1555" spans="1:10" x14ac:dyDescent="0.2">
      <c r="A1555" s="93" t="str">
        <f t="shared" ca="1" si="0"/>
        <v>奥玛尔的部下</v>
      </c>
      <c r="B1555" s="93" t="s">
        <v>9400</v>
      </c>
      <c r="C1555" s="282"/>
      <c r="D1555" s="282" t="s">
        <v>9401</v>
      </c>
      <c r="E1555" s="282"/>
      <c r="F1555" s="282" t="s">
        <v>9402</v>
      </c>
      <c r="G1555" s="282" t="s">
        <v>9403</v>
      </c>
      <c r="H1555" s="282" t="s">
        <v>9404</v>
      </c>
      <c r="I1555" s="282"/>
      <c r="J1555" s="282"/>
    </row>
    <row r="1556" spans="1:10" x14ac:dyDescent="0.2">
      <c r="A1556" s="93" t="str">
        <f t="shared" ca="1" si="0"/>
        <v>维克托里诺</v>
      </c>
      <c r="B1556" s="93" t="s">
        <v>9405</v>
      </c>
      <c r="C1556" s="282" t="s">
        <v>9405</v>
      </c>
      <c r="D1556" s="282" t="s">
        <v>9405</v>
      </c>
      <c r="E1556" s="282"/>
      <c r="F1556" s="282" t="s">
        <v>9405</v>
      </c>
      <c r="G1556" s="282" t="s">
        <v>9406</v>
      </c>
      <c r="H1556" s="282" t="s">
        <v>9407</v>
      </c>
      <c r="I1556" s="282"/>
      <c r="J1556" s="282"/>
    </row>
    <row r="1557" spans="1:10" x14ac:dyDescent="0.2">
      <c r="A1557" s="93" t="str">
        <f t="shared" ca="1" si="0"/>
        <v>维克托里诺的手下</v>
      </c>
      <c r="B1557" s="93" t="s">
        <v>9408</v>
      </c>
      <c r="C1557" s="282"/>
      <c r="D1557" s="282" t="s">
        <v>9409</v>
      </c>
      <c r="E1557" s="282"/>
      <c r="F1557" s="282" t="s">
        <v>9410</v>
      </c>
      <c r="G1557" s="282" t="s">
        <v>9411</v>
      </c>
      <c r="H1557" s="282" t="s">
        <v>9412</v>
      </c>
      <c r="I1557" s="282"/>
      <c r="J1557" s="282"/>
    </row>
    <row r="1558" spans="1:10" x14ac:dyDescent="0.2">
      <c r="A1558" s="93" t="str">
        <f t="shared" ca="1" si="0"/>
        <v>约书亚</v>
      </c>
      <c r="B1558" s="93" t="s">
        <v>9413</v>
      </c>
      <c r="C1558" s="282" t="s">
        <v>9413</v>
      </c>
      <c r="D1558" s="282" t="s">
        <v>9413</v>
      </c>
      <c r="E1558" s="282"/>
      <c r="F1558" s="282" t="s">
        <v>9413</v>
      </c>
      <c r="G1558" s="282" t="s">
        <v>9414</v>
      </c>
      <c r="H1558" s="282" t="s">
        <v>9415</v>
      </c>
      <c r="I1558" s="282"/>
      <c r="J1558" s="282"/>
    </row>
    <row r="1559" spans="1:10" x14ac:dyDescent="0.2">
      <c r="A1559" s="93" t="str">
        <f t="shared" ca="1" si="0"/>
        <v>剑斗士（英俊）</v>
      </c>
      <c r="B1559" s="93" t="s">
        <v>9416</v>
      </c>
      <c r="C1559" s="282"/>
      <c r="D1559" s="282" t="s">
        <v>9417</v>
      </c>
      <c r="E1559" s="282"/>
      <c r="F1559" s="282" t="s">
        <v>9418</v>
      </c>
      <c r="G1559" s="282" t="s">
        <v>9419</v>
      </c>
      <c r="H1559" s="282" t="s">
        <v>9420</v>
      </c>
      <c r="I1559" s="282"/>
      <c r="J1559" s="282"/>
    </row>
    <row r="1560" spans="1:10" x14ac:dyDescent="0.2">
      <c r="A1560" s="93" t="str">
        <f t="shared" ca="1" si="0"/>
        <v>阿奇博德</v>
      </c>
      <c r="B1560" s="93" t="s">
        <v>9421</v>
      </c>
      <c r="C1560" s="282" t="s">
        <v>9421</v>
      </c>
      <c r="D1560" s="282" t="s">
        <v>9421</v>
      </c>
      <c r="E1560" s="282"/>
      <c r="F1560" s="282" t="s">
        <v>9421</v>
      </c>
      <c r="G1560" s="282" t="s">
        <v>9422</v>
      </c>
      <c r="H1560" s="282" t="s">
        <v>9422</v>
      </c>
      <c r="I1560" s="282"/>
      <c r="J1560" s="282"/>
    </row>
    <row r="1561" spans="1:10" x14ac:dyDescent="0.2">
      <c r="A1561" s="93" t="str">
        <f t="shared" ca="1" si="0"/>
        <v>剑斗士（面具）</v>
      </c>
      <c r="B1561" s="93" t="s">
        <v>9423</v>
      </c>
      <c r="C1561" s="282"/>
      <c r="D1561" s="282" t="s">
        <v>9424</v>
      </c>
      <c r="E1561" s="282"/>
      <c r="F1561" s="282" t="s">
        <v>9425</v>
      </c>
      <c r="G1561" s="282" t="s">
        <v>9426</v>
      </c>
      <c r="H1561" s="282" t="s">
        <v>9427</v>
      </c>
      <c r="I1561" s="282"/>
      <c r="J1561" s="282"/>
    </row>
    <row r="1562" spans="1:10" x14ac:dyDescent="0.2">
      <c r="A1562" s="93" t="str">
        <f t="shared" ca="1" si="0"/>
        <v>古斯塔夫</v>
      </c>
      <c r="B1562" s="93" t="s">
        <v>9428</v>
      </c>
      <c r="C1562" s="282" t="s">
        <v>9428</v>
      </c>
      <c r="D1562" s="282" t="s">
        <v>9428</v>
      </c>
      <c r="E1562" s="282"/>
      <c r="F1562" s="282" t="s">
        <v>9428</v>
      </c>
      <c r="G1562" s="282" t="s">
        <v>9429</v>
      </c>
      <c r="H1562" s="282" t="s">
        <v>9429</v>
      </c>
      <c r="I1562" s="282"/>
      <c r="J1562" s="282"/>
    </row>
    <row r="1563" spans="1:10" x14ac:dyDescent="0.2">
      <c r="A1563" s="93" t="str">
        <f t="shared" ca="1" si="0"/>
        <v>盾斗士</v>
      </c>
      <c r="B1563" s="93" t="s">
        <v>9430</v>
      </c>
      <c r="C1563" s="282"/>
      <c r="D1563" s="282" t="s">
        <v>9431</v>
      </c>
      <c r="E1563" s="282"/>
      <c r="F1563" s="282" t="s">
        <v>9432</v>
      </c>
      <c r="G1563" s="282" t="s">
        <v>9433</v>
      </c>
      <c r="H1563" s="282" t="s">
        <v>9434</v>
      </c>
      <c r="I1563" s="282"/>
      <c r="J1563" s="282"/>
    </row>
    <row r="1564" spans="1:10" x14ac:dyDescent="0.2">
      <c r="A1564" s="93" t="str">
        <f t="shared" ca="1" si="0"/>
        <v>左腕之男鲁弗斯</v>
      </c>
      <c r="B1564" s="93" t="s">
        <v>9435</v>
      </c>
      <c r="C1564" s="282"/>
      <c r="D1564" s="282" t="s">
        <v>9436</v>
      </c>
      <c r="E1564" s="282"/>
      <c r="F1564" s="282" t="s">
        <v>9437</v>
      </c>
      <c r="G1564" s="282" t="s">
        <v>9438</v>
      </c>
      <c r="H1564" s="282" t="s">
        <v>9439</v>
      </c>
      <c r="I1564" s="282"/>
      <c r="J1564" s="282"/>
    </row>
    <row r="1565" spans="1:10" x14ac:dyDescent="0.2">
      <c r="A1565" s="93" t="str">
        <f t="shared" ca="1" si="0"/>
        <v>黑曜会成员</v>
      </c>
      <c r="B1565" s="93" t="s">
        <v>9440</v>
      </c>
      <c r="C1565" s="282"/>
      <c r="D1565" s="282" t="s">
        <v>9441</v>
      </c>
      <c r="E1565" s="282"/>
      <c r="F1565" s="282" t="s">
        <v>9442</v>
      </c>
      <c r="G1565" s="282" t="s">
        <v>9443</v>
      </c>
      <c r="H1565" s="282" t="s">
        <v>9444</v>
      </c>
      <c r="I1565" s="282"/>
      <c r="J1565" s="282"/>
    </row>
    <row r="1566" spans="1:10" x14ac:dyDescent="0.2">
      <c r="A1566" s="93" t="str">
        <f t="shared" ca="1" si="0"/>
        <v>凡妮莎</v>
      </c>
      <c r="B1566" s="93" t="s">
        <v>9445</v>
      </c>
      <c r="C1566" s="282" t="s">
        <v>9445</v>
      </c>
      <c r="D1566" s="282" t="s">
        <v>9445</v>
      </c>
      <c r="E1566" s="282"/>
      <c r="F1566" s="282" t="s">
        <v>9445</v>
      </c>
      <c r="G1566" s="282" t="s">
        <v>9446</v>
      </c>
      <c r="H1566" s="282" t="s">
        <v>9446</v>
      </c>
      <c r="I1566" s="282"/>
      <c r="J1566" s="282"/>
    </row>
    <row r="1567" spans="1:10" x14ac:dyDescent="0.2">
      <c r="A1567" s="93" t="str">
        <f t="shared" ca="1" si="0"/>
        <v>保镖</v>
      </c>
      <c r="B1567" s="93" t="s">
        <v>9447</v>
      </c>
      <c r="C1567" s="282"/>
      <c r="D1567" s="282" t="s">
        <v>9448</v>
      </c>
      <c r="E1567" s="282"/>
      <c r="F1567" s="282" t="s">
        <v>9449</v>
      </c>
      <c r="G1567" s="282" t="s">
        <v>9450</v>
      </c>
      <c r="H1567" s="282" t="s">
        <v>9451</v>
      </c>
      <c r="I1567" s="282"/>
      <c r="J1567" s="282"/>
    </row>
    <row r="1568" spans="1:10" x14ac:dyDescent="0.2">
      <c r="A1568" s="93" t="str">
        <f t="shared" ca="1" si="0"/>
        <v>奥立克</v>
      </c>
      <c r="B1568" s="93" t="s">
        <v>9452</v>
      </c>
      <c r="C1568" s="282" t="s">
        <v>9452</v>
      </c>
      <c r="D1568" s="282" t="s">
        <v>9452</v>
      </c>
      <c r="E1568" s="282"/>
      <c r="F1568" s="282" t="s">
        <v>9452</v>
      </c>
      <c r="G1568" s="282" t="s">
        <v>9453</v>
      </c>
      <c r="H1568" s="282" t="s">
        <v>9454</v>
      </c>
      <c r="I1568" s="282"/>
      <c r="J1568" s="282"/>
    </row>
    <row r="1569" spans="1:10" x14ac:dyDescent="0.2">
      <c r="A1569" s="93" t="str">
        <f t="shared" ca="1" si="0"/>
        <v>奥立克的部下</v>
      </c>
      <c r="B1569" s="93" t="s">
        <v>9455</v>
      </c>
      <c r="C1569" s="282"/>
      <c r="D1569" s="282" t="s">
        <v>9456</v>
      </c>
      <c r="E1569" s="282"/>
      <c r="F1569" s="282" t="s">
        <v>9457</v>
      </c>
      <c r="G1569" s="282" t="s">
        <v>9458</v>
      </c>
      <c r="H1569" s="282" t="s">
        <v>9459</v>
      </c>
      <c r="I1569" s="282"/>
      <c r="J1569" s="282"/>
    </row>
    <row r="1570" spans="1:10" x14ac:dyDescent="0.2">
      <c r="A1570" s="93" t="str">
        <f t="shared" ca="1" si="0"/>
        <v>魔导机兵（奥立克型）</v>
      </c>
      <c r="B1570" s="93" t="s">
        <v>9460</v>
      </c>
      <c r="C1570" s="51" t="s">
        <v>9461</v>
      </c>
      <c r="D1570" s="282" t="s">
        <v>9462</v>
      </c>
      <c r="E1570" s="282"/>
      <c r="F1570" s="282" t="s">
        <v>9463</v>
      </c>
      <c r="G1570" s="282" t="s">
        <v>9464</v>
      </c>
      <c r="H1570" s="282" t="s">
        <v>9465</v>
      </c>
      <c r="I1570" s="282"/>
      <c r="J1570" s="282"/>
    </row>
    <row r="1571" spans="1:10" x14ac:dyDescent="0.2">
      <c r="A1571" s="93" t="str">
        <f t="shared" ca="1" si="0"/>
        <v>拟态魔物</v>
      </c>
      <c r="B1571" s="93" t="s">
        <v>9466</v>
      </c>
      <c r="C1571" s="282"/>
      <c r="D1571" s="282" t="s">
        <v>9467</v>
      </c>
      <c r="E1571" s="282"/>
      <c r="F1571" s="282" t="s">
        <v>9468</v>
      </c>
      <c r="G1571" s="282" t="s">
        <v>9469</v>
      </c>
      <c r="H1571" s="282" t="s">
        <v>9470</v>
      </c>
      <c r="I1571" s="282"/>
      <c r="J1571" s="282"/>
    </row>
    <row r="1572" spans="1:10" x14ac:dyDescent="0.2">
      <c r="A1572" s="93" t="str">
        <f t="shared" ca="1" si="0"/>
        <v>森林之主</v>
      </c>
      <c r="B1572" s="93" t="s">
        <v>9471</v>
      </c>
      <c r="C1572" s="282"/>
      <c r="D1572" s="282" t="s">
        <v>9472</v>
      </c>
      <c r="E1572" s="282"/>
      <c r="F1572" s="282" t="s">
        <v>9473</v>
      </c>
      <c r="G1572" s="282" t="s">
        <v>9474</v>
      </c>
      <c r="H1572" s="282" t="s">
        <v>9474</v>
      </c>
      <c r="I1572" s="282"/>
      <c r="J1572" s="282"/>
    </row>
    <row r="1573" spans="1:10" x14ac:dyDescent="0.2">
      <c r="A1573" s="93" t="str">
        <f t="shared" ca="1" si="0"/>
        <v>摇动的树木</v>
      </c>
      <c r="B1573" s="93" t="s">
        <v>9475</v>
      </c>
      <c r="C1573" s="282"/>
      <c r="D1573" s="282" t="s">
        <v>9476</v>
      </c>
      <c r="E1573" s="282"/>
      <c r="F1573" s="282" t="s">
        <v>9477</v>
      </c>
      <c r="G1573" s="282" t="s">
        <v>9478</v>
      </c>
      <c r="H1573" s="282" t="s">
        <v>9479</v>
      </c>
      <c r="I1573" s="282"/>
      <c r="J1573" s="282"/>
    </row>
    <row r="1574" spans="1:10" x14ac:dyDescent="0.2">
      <c r="A1574" s="93" t="str">
        <f t="shared" ca="1" si="0"/>
        <v>猛毒菇</v>
      </c>
      <c r="B1574" s="93" t="s">
        <v>9480</v>
      </c>
      <c r="C1574" s="282"/>
      <c r="D1574" s="282" t="s">
        <v>9481</v>
      </c>
      <c r="E1574" s="282"/>
      <c r="F1574" s="282" t="s">
        <v>9482</v>
      </c>
      <c r="G1574" s="282" t="s">
        <v>8535</v>
      </c>
      <c r="H1574" s="282" t="s">
        <v>8535</v>
      </c>
      <c r="I1574" s="282"/>
      <c r="J1574" s="282"/>
    </row>
    <row r="1575" spans="1:10" x14ac:dyDescent="0.2">
      <c r="A1575" s="93" t="str">
        <f t="shared" ca="1" si="0"/>
        <v>乱跑的菌类</v>
      </c>
      <c r="B1575" s="93" t="s">
        <v>9483</v>
      </c>
      <c r="C1575" s="282"/>
      <c r="D1575" s="282" t="s">
        <v>9484</v>
      </c>
      <c r="E1575" s="282"/>
      <c r="F1575" s="282" t="s">
        <v>9485</v>
      </c>
      <c r="G1575" s="282" t="s">
        <v>9486</v>
      </c>
      <c r="H1575" s="282" t="s">
        <v>9487</v>
      </c>
      <c r="I1575" s="282"/>
      <c r="J1575" s="282"/>
    </row>
    <row r="1576" spans="1:10" x14ac:dyDescent="0.2">
      <c r="A1576" s="93" t="str">
        <f t="shared" ca="1" si="0"/>
        <v>神秘男子 I</v>
      </c>
      <c r="B1576" s="93" t="s">
        <v>9488</v>
      </c>
      <c r="C1576" s="282"/>
      <c r="D1576" s="282" t="s">
        <v>9489</v>
      </c>
      <c r="E1576" s="282"/>
      <c r="F1576" s="282" t="s">
        <v>9490</v>
      </c>
      <c r="G1576" s="282" t="s">
        <v>9491</v>
      </c>
      <c r="H1576" s="282" t="s">
        <v>9491</v>
      </c>
      <c r="I1576" s="282"/>
      <c r="J1576" s="282"/>
    </row>
    <row r="1577" spans="1:10" x14ac:dyDescent="0.2">
      <c r="A1577" s="93" t="str">
        <f t="shared" ca="1" si="0"/>
        <v>神秘男子 II</v>
      </c>
      <c r="B1577" s="93" t="s">
        <v>9492</v>
      </c>
      <c r="C1577" s="282"/>
      <c r="D1577" s="282" t="s">
        <v>9493</v>
      </c>
      <c r="E1577" s="282"/>
      <c r="F1577" s="282" t="s">
        <v>9494</v>
      </c>
      <c r="G1577" s="282" t="s">
        <v>9495</v>
      </c>
      <c r="H1577" s="282" t="s">
        <v>9495</v>
      </c>
      <c r="I1577" s="282"/>
      <c r="J1577" s="282"/>
    </row>
    <row r="1578" spans="1:10" x14ac:dyDescent="0.2">
      <c r="A1578" s="93" t="str">
        <f t="shared" ca="1" si="0"/>
        <v>伊冯</v>
      </c>
      <c r="B1578" s="93" t="s">
        <v>9496</v>
      </c>
      <c r="C1578" s="51" t="s">
        <v>9496</v>
      </c>
      <c r="D1578" s="282" t="s">
        <v>9496</v>
      </c>
      <c r="E1578" s="282"/>
      <c r="F1578" s="282" t="s">
        <v>9496</v>
      </c>
      <c r="G1578" s="282" t="s">
        <v>9497</v>
      </c>
      <c r="H1578" s="282" t="s">
        <v>9498</v>
      </c>
      <c r="I1578" s="282"/>
      <c r="J1578" s="282"/>
    </row>
    <row r="1579" spans="1:10" x14ac:dyDescent="0.2">
      <c r="A1579" s="93" t="str">
        <f t="shared" ca="1" si="0"/>
        <v>特别研究员</v>
      </c>
      <c r="B1579" s="93" t="s">
        <v>9499</v>
      </c>
      <c r="C1579" s="282"/>
      <c r="D1579" s="282" t="s">
        <v>9500</v>
      </c>
      <c r="E1579" s="282"/>
      <c r="F1579" s="282" t="s">
        <v>9501</v>
      </c>
      <c r="G1579" s="282" t="s">
        <v>9502</v>
      </c>
      <c r="H1579" s="282" t="s">
        <v>9503</v>
      </c>
      <c r="I1579" s="282"/>
      <c r="J1579" s="282"/>
    </row>
    <row r="1580" spans="1:10" x14ac:dyDescent="0.2">
      <c r="A1580" s="93" t="str">
        <f t="shared" ca="1" si="0"/>
        <v>猛毒虎</v>
      </c>
      <c r="B1580" s="93" t="s">
        <v>9504</v>
      </c>
      <c r="C1580" s="282"/>
      <c r="D1580" s="282" t="s">
        <v>9505</v>
      </c>
      <c r="E1580" s="282"/>
      <c r="F1580" s="282" t="s">
        <v>9506</v>
      </c>
      <c r="G1580" s="282" t="s">
        <v>9507</v>
      </c>
      <c r="H1580" s="282" t="s">
        <v>9507</v>
      </c>
      <c r="I1580" s="282"/>
      <c r="J1580" s="282"/>
    </row>
    <row r="1581" spans="1:10" x14ac:dyDescent="0.2">
      <c r="A1581" s="93" t="str">
        <f t="shared" ca="1" si="0"/>
        <v>沙漠大蜥蜴人 I</v>
      </c>
      <c r="B1581" s="93" t="s">
        <v>8771</v>
      </c>
      <c r="C1581" s="282"/>
      <c r="D1581" s="282" t="s">
        <v>8772</v>
      </c>
      <c r="E1581" s="282"/>
      <c r="F1581" s="282" t="s">
        <v>8773</v>
      </c>
      <c r="G1581" s="93" t="s">
        <v>8774</v>
      </c>
      <c r="H1581" s="282" t="s">
        <v>8774</v>
      </c>
      <c r="I1581" s="282"/>
      <c r="J1581" s="282"/>
    </row>
    <row r="1582" spans="1:10" x14ac:dyDescent="0.2">
      <c r="A1582" s="93" t="str">
        <f t="shared" ca="1" si="0"/>
        <v>沙漠大蜥蜴人 II</v>
      </c>
      <c r="B1582" s="93" t="s">
        <v>8777</v>
      </c>
      <c r="C1582" s="282"/>
      <c r="D1582" s="282" t="s">
        <v>8778</v>
      </c>
      <c r="E1582" s="282"/>
      <c r="F1582" s="282" t="s">
        <v>8779</v>
      </c>
      <c r="G1582" s="93" t="s">
        <v>8780</v>
      </c>
      <c r="H1582" s="282" t="s">
        <v>8780</v>
      </c>
      <c r="I1582" s="282"/>
      <c r="J1582" s="282"/>
    </row>
    <row r="1583" spans="1:10" x14ac:dyDescent="0.2">
      <c r="A1583" s="93" t="str">
        <f t="shared" ca="1" si="0"/>
        <v>蜥蜴人的首领</v>
      </c>
      <c r="B1583" s="93" t="s">
        <v>9508</v>
      </c>
      <c r="C1583" s="282"/>
      <c r="D1583" s="282" t="s">
        <v>9509</v>
      </c>
      <c r="E1583" s="282"/>
      <c r="F1583" s="282" t="s">
        <v>9510</v>
      </c>
      <c r="G1583" s="282" t="s">
        <v>9511</v>
      </c>
      <c r="H1583" s="282" t="s">
        <v>9512</v>
      </c>
      <c r="I1583" s="282"/>
      <c r="J1583" s="282"/>
    </row>
    <row r="1584" spans="1:10" x14ac:dyDescent="0.2">
      <c r="A1584" s="93" t="str">
        <f t="shared" ca="1" si="0"/>
        <v>热沙大蜥蜴人</v>
      </c>
      <c r="B1584" s="93" t="s">
        <v>9513</v>
      </c>
      <c r="C1584" s="282"/>
      <c r="D1584" s="282" t="s">
        <v>9514</v>
      </c>
      <c r="E1584" s="282"/>
      <c r="F1584" s="282" t="s">
        <v>9515</v>
      </c>
      <c r="G1584" s="282" t="s">
        <v>9516</v>
      </c>
      <c r="H1584" s="282" t="s">
        <v>9517</v>
      </c>
      <c r="I1584" s="282"/>
      <c r="J1584" s="282"/>
    </row>
    <row r="1585" spans="1:10" x14ac:dyDescent="0.2">
      <c r="A1585" s="93" t="str">
        <f t="shared" ca="1" si="0"/>
        <v>艾尔哈特</v>
      </c>
      <c r="B1585" s="93" t="s">
        <v>9518</v>
      </c>
      <c r="C1585" s="51" t="s">
        <v>9518</v>
      </c>
      <c r="D1585" s="282" t="s">
        <v>9518</v>
      </c>
      <c r="E1585" s="282"/>
      <c r="F1585" s="282" t="s">
        <v>9518</v>
      </c>
      <c r="G1585" s="282" t="s">
        <v>9519</v>
      </c>
      <c r="H1585" s="282" t="s">
        <v>9520</v>
      </c>
      <c r="I1585" s="282"/>
      <c r="J1585" s="282"/>
    </row>
    <row r="1586" spans="1:10" x14ac:dyDescent="0.2">
      <c r="A1586" s="93" t="str">
        <f t="shared" ca="1" si="0"/>
        <v>右腕之男阿尔巴斯</v>
      </c>
      <c r="B1586" s="93" t="s">
        <v>9521</v>
      </c>
      <c r="C1586" s="282"/>
      <c r="D1586" s="282" t="s">
        <v>9522</v>
      </c>
      <c r="E1586" s="282"/>
      <c r="F1586" s="282" t="s">
        <v>9523</v>
      </c>
      <c r="G1586" s="282" t="s">
        <v>9524</v>
      </c>
      <c r="H1586" s="282" t="s">
        <v>9525</v>
      </c>
      <c r="I1586" s="282"/>
      <c r="J1586" s="282"/>
    </row>
    <row r="1587" spans="1:10" x14ac:dyDescent="0.2">
      <c r="A1587" s="93" t="str">
        <f t="shared" ca="1" si="0"/>
        <v>黑曜会干部</v>
      </c>
      <c r="B1587" s="93" t="s">
        <v>9526</v>
      </c>
      <c r="C1587" s="282"/>
      <c r="D1587" s="282" t="s">
        <v>9527</v>
      </c>
      <c r="E1587" s="282"/>
      <c r="F1587" s="282" t="s">
        <v>9528</v>
      </c>
      <c r="G1587" s="282" t="s">
        <v>9529</v>
      </c>
      <c r="H1587" s="282" t="s">
        <v>9530</v>
      </c>
      <c r="I1587" s="282"/>
      <c r="J1587" s="282"/>
    </row>
    <row r="1588" spans="1:10" x14ac:dyDescent="0.2">
      <c r="A1588" s="93" t="str">
        <f t="shared" ca="1" si="0"/>
        <v>米格尔</v>
      </c>
      <c r="B1588" s="93" t="s">
        <v>9531</v>
      </c>
      <c r="C1588" s="51" t="s">
        <v>9531</v>
      </c>
      <c r="D1588" s="282" t="s">
        <v>9531</v>
      </c>
      <c r="E1588" s="282"/>
      <c r="F1588" s="282" t="s">
        <v>9531</v>
      </c>
      <c r="G1588" s="282" t="s">
        <v>9532</v>
      </c>
      <c r="H1588" s="282" t="s">
        <v>9533</v>
      </c>
      <c r="I1588" s="282"/>
      <c r="J1588" s="282"/>
    </row>
    <row r="1589" spans="1:10" x14ac:dyDescent="0.2">
      <c r="A1589" s="93" t="str">
        <f t="shared" ca="1" si="0"/>
        <v>达留斯的手下 I</v>
      </c>
      <c r="B1589" s="93" t="s">
        <v>9534</v>
      </c>
      <c r="C1589" s="51" t="s">
        <v>9535</v>
      </c>
      <c r="D1589" s="282" t="s">
        <v>9536</v>
      </c>
      <c r="E1589" s="282"/>
      <c r="F1589" s="282" t="s">
        <v>9537</v>
      </c>
      <c r="G1589" s="282" t="s">
        <v>9538</v>
      </c>
      <c r="H1589" s="282" t="s">
        <v>9539</v>
      </c>
      <c r="I1589" s="282"/>
      <c r="J1589" s="282"/>
    </row>
    <row r="1590" spans="1:10" x14ac:dyDescent="0.2">
      <c r="A1590" s="93" t="str">
        <f t="shared" ca="1" si="0"/>
        <v>达留斯的手下 II</v>
      </c>
      <c r="B1590" s="93" t="s">
        <v>9540</v>
      </c>
      <c r="C1590" s="282"/>
      <c r="D1590" s="282" t="s">
        <v>9541</v>
      </c>
      <c r="E1590" s="282"/>
      <c r="F1590" s="282" t="s">
        <v>9542</v>
      </c>
      <c r="G1590" s="282" t="s">
        <v>9543</v>
      </c>
      <c r="H1590" s="282" t="s">
        <v>9544</v>
      </c>
      <c r="I1590" s="282"/>
      <c r="J1590" s="282"/>
    </row>
    <row r="1591" spans="1:10" x14ac:dyDescent="0.2">
      <c r="A1591" s="93" t="str">
        <f t="shared" ca="1" si="0"/>
        <v>盖雷斯</v>
      </c>
      <c r="B1591" s="93" t="s">
        <v>9545</v>
      </c>
      <c r="C1591" s="51" t="s">
        <v>9545</v>
      </c>
      <c r="D1591" s="282" t="s">
        <v>9545</v>
      </c>
      <c r="E1591" s="282"/>
      <c r="F1591" s="282" t="s">
        <v>9545</v>
      </c>
      <c r="G1591" s="282" t="s">
        <v>9546</v>
      </c>
      <c r="H1591" s="282" t="s">
        <v>9547</v>
      </c>
      <c r="I1591" s="282"/>
      <c r="J1591" s="282"/>
    </row>
    <row r="1592" spans="1:10" x14ac:dyDescent="0.2">
      <c r="A1592" s="93" t="str">
        <f t="shared" ca="1" si="0"/>
        <v>盗贼团干部</v>
      </c>
      <c r="B1592" s="93" t="s">
        <v>9548</v>
      </c>
      <c r="C1592" s="282"/>
      <c r="D1592" s="282" t="s">
        <v>9549</v>
      </c>
      <c r="E1592" s="282"/>
      <c r="F1592" s="282" t="s">
        <v>9550</v>
      </c>
      <c r="G1592" s="282" t="s">
        <v>9551</v>
      </c>
      <c r="H1592" s="282" t="s">
        <v>9552</v>
      </c>
      <c r="I1592" s="282"/>
      <c r="J1592" s="282"/>
    </row>
    <row r="1593" spans="1:10" x14ac:dyDescent="0.2">
      <c r="A1593" s="93" t="str">
        <f t="shared" ca="1" si="0"/>
        <v>龙</v>
      </c>
      <c r="B1593" s="93" t="s">
        <v>9553</v>
      </c>
      <c r="C1593" s="282"/>
      <c r="D1593" s="282" t="s">
        <v>9553</v>
      </c>
      <c r="E1593" s="282"/>
      <c r="F1593" s="282" t="s">
        <v>9554</v>
      </c>
      <c r="G1593" s="282" t="s">
        <v>9555</v>
      </c>
      <c r="H1593" s="282" t="s">
        <v>9556</v>
      </c>
      <c r="I1593" s="282"/>
      <c r="J1593" s="282"/>
    </row>
    <row r="1594" spans="1:10" x14ac:dyDescent="0.2">
      <c r="A1594" s="93" t="str">
        <f t="shared" ca="1" si="0"/>
        <v>玛提亚斯的随从 I</v>
      </c>
      <c r="B1594" s="93" t="s">
        <v>9557</v>
      </c>
      <c r="C1594" s="282"/>
      <c r="D1594" s="282" t="s">
        <v>9558</v>
      </c>
      <c r="E1594" s="282"/>
      <c r="F1594" s="282" t="s">
        <v>9559</v>
      </c>
      <c r="G1594" s="282" t="s">
        <v>9560</v>
      </c>
      <c r="H1594" s="282" t="s">
        <v>9561</v>
      </c>
      <c r="I1594" s="282"/>
      <c r="J1594" s="282"/>
    </row>
    <row r="1595" spans="1:10" x14ac:dyDescent="0.2">
      <c r="A1595" s="93" t="str">
        <f t="shared" ca="1" si="0"/>
        <v>玛提亚斯的随从 II</v>
      </c>
      <c r="B1595" s="93" t="s">
        <v>9562</v>
      </c>
      <c r="C1595" s="282"/>
      <c r="D1595" s="282" t="s">
        <v>9563</v>
      </c>
      <c r="E1595" s="282"/>
      <c r="F1595" s="282" t="s">
        <v>9564</v>
      </c>
      <c r="G1595" s="282" t="s">
        <v>9565</v>
      </c>
      <c r="H1595" s="282" t="s">
        <v>9566</v>
      </c>
      <c r="I1595" s="282"/>
      <c r="J1595" s="282"/>
    </row>
    <row r="1596" spans="1:10" x14ac:dyDescent="0.2">
      <c r="A1596" s="93" t="str">
        <f t="shared" ca="1" si="0"/>
        <v>马提亚斯</v>
      </c>
      <c r="B1596" s="93" t="s">
        <v>9567</v>
      </c>
      <c r="C1596" s="51" t="s">
        <v>9567</v>
      </c>
      <c r="D1596" s="282" t="s">
        <v>9567</v>
      </c>
      <c r="E1596" s="282"/>
      <c r="F1596" s="282" t="s">
        <v>9567</v>
      </c>
      <c r="G1596" s="282" t="s">
        <v>9568</v>
      </c>
      <c r="H1596" s="282" t="s">
        <v>9569</v>
      </c>
      <c r="I1596" s="282"/>
      <c r="J1596" s="282"/>
    </row>
    <row r="1597" spans="1:10" x14ac:dyDescent="0.2">
      <c r="A1597" s="93" t="str">
        <f t="shared" ca="1" si="0"/>
        <v>黑炎教信徒（干部）</v>
      </c>
      <c r="B1597" s="93" t="s">
        <v>9570</v>
      </c>
      <c r="C1597" s="282"/>
      <c r="D1597" s="282" t="s">
        <v>9571</v>
      </c>
      <c r="E1597" s="282"/>
      <c r="F1597" s="282" t="s">
        <v>9572</v>
      </c>
      <c r="G1597" s="282" t="s">
        <v>9573</v>
      </c>
      <c r="H1597" s="282" t="s">
        <v>9574</v>
      </c>
      <c r="I1597" s="282"/>
      <c r="J1597" s="282"/>
    </row>
    <row r="1598" spans="1:10" x14ac:dyDescent="0.2">
      <c r="A1598" s="93" t="str">
        <f t="shared" ca="1" si="0"/>
        <v>黑元素</v>
      </c>
      <c r="B1598" s="93" t="s">
        <v>9575</v>
      </c>
      <c r="C1598" s="282"/>
      <c r="D1598" s="282" t="s">
        <v>9576</v>
      </c>
      <c r="E1598" s="282"/>
      <c r="F1598" s="282" t="s">
        <v>9577</v>
      </c>
      <c r="G1598" s="282" t="s">
        <v>9578</v>
      </c>
      <c r="H1598" s="282" t="s">
        <v>9578</v>
      </c>
      <c r="I1598" s="282"/>
      <c r="J1598" s="282"/>
    </row>
    <row r="1599" spans="1:10" x14ac:dyDescent="0.2">
      <c r="A1599" s="93" t="str">
        <f t="shared" ca="1" si="0"/>
        <v>古代遗物（兽）・特殊</v>
      </c>
      <c r="B1599" s="93" t="s">
        <v>9579</v>
      </c>
      <c r="C1599" s="282"/>
      <c r="D1599" s="282" t="s">
        <v>9580</v>
      </c>
      <c r="E1599" s="282"/>
      <c r="F1599" s="282" t="s">
        <v>9581</v>
      </c>
      <c r="G1599" s="282" t="s">
        <v>9582</v>
      </c>
      <c r="H1599" s="282" t="s">
        <v>9583</v>
      </c>
      <c r="I1599" s="282"/>
      <c r="J1599" s="282"/>
    </row>
    <row r="1600" spans="1:10" x14ac:dyDescent="0.2">
      <c r="A1600" s="93" t="str">
        <f t="shared" ca="1" si="0"/>
        <v>露西亚</v>
      </c>
      <c r="B1600" s="93" t="s">
        <v>9584</v>
      </c>
      <c r="C1600" s="93" t="s">
        <v>9584</v>
      </c>
      <c r="D1600" s="282" t="s">
        <v>9584</v>
      </c>
      <c r="E1600" s="282"/>
      <c r="F1600" s="282" t="s">
        <v>9585</v>
      </c>
      <c r="G1600" s="282" t="s">
        <v>9586</v>
      </c>
      <c r="H1600" s="282" t="s">
        <v>9587</v>
      </c>
      <c r="I1600" s="282"/>
      <c r="J1600" s="282"/>
    </row>
    <row r="1601" spans="1:10" x14ac:dyDescent="0.2">
      <c r="A1601" s="93" t="str">
        <f t="shared" ca="1" si="0"/>
        <v>埃斯梅拉达</v>
      </c>
      <c r="B1601" s="93" t="s">
        <v>9588</v>
      </c>
      <c r="C1601" s="93" t="s">
        <v>9588</v>
      </c>
      <c r="D1601" s="282" t="s">
        <v>9588</v>
      </c>
      <c r="E1601" s="282"/>
      <c r="F1601" s="282" t="s">
        <v>9588</v>
      </c>
      <c r="G1601" s="282" t="s">
        <v>9589</v>
      </c>
      <c r="H1601" s="282" t="s">
        <v>9590</v>
      </c>
      <c r="I1601" s="282"/>
      <c r="J1601" s="282"/>
    </row>
    <row r="1602" spans="1:10" x14ac:dyDescent="0.2">
      <c r="A1602" s="93" t="str">
        <f t="shared" ca="1" si="0"/>
        <v>维尔纳</v>
      </c>
      <c r="B1602" s="93" t="s">
        <v>9591</v>
      </c>
      <c r="C1602" s="93" t="s">
        <v>9591</v>
      </c>
      <c r="D1602" s="282" t="s">
        <v>9591</v>
      </c>
      <c r="E1602" s="282"/>
      <c r="F1602" s="282" t="s">
        <v>9591</v>
      </c>
      <c r="G1602" s="282" t="s">
        <v>9592</v>
      </c>
      <c r="H1602" s="282" t="s">
        <v>9593</v>
      </c>
      <c r="I1602" s="282"/>
      <c r="J1602" s="282"/>
    </row>
    <row r="1603" spans="1:10" x14ac:dyDescent="0.2">
      <c r="A1603" s="93" t="str">
        <f t="shared" ca="1" si="0"/>
        <v>席米恩</v>
      </c>
      <c r="B1603" s="93" t="s">
        <v>9594</v>
      </c>
      <c r="C1603" s="93" t="s">
        <v>9594</v>
      </c>
      <c r="D1603" s="282" t="s">
        <v>9595</v>
      </c>
      <c r="E1603" s="282"/>
      <c r="F1603" s="282" t="s">
        <v>9596</v>
      </c>
      <c r="G1603" s="282" t="s">
        <v>9597</v>
      </c>
      <c r="H1603" s="282" t="s">
        <v>9597</v>
      </c>
      <c r="I1603" s="282"/>
      <c r="J1603" s="282"/>
    </row>
    <row r="1604" spans="1:10" x14ac:dyDescent="0.2">
      <c r="A1604" s="93" t="str">
        <f t="shared" ca="1" si="0"/>
        <v>傀儡人偶・父亲</v>
      </c>
      <c r="B1604" s="93" t="s">
        <v>9598</v>
      </c>
      <c r="C1604" s="282"/>
      <c r="D1604" s="282" t="s">
        <v>9599</v>
      </c>
      <c r="E1604" s="282"/>
      <c r="F1604" s="282" t="s">
        <v>9600</v>
      </c>
      <c r="G1604" s="282" t="s">
        <v>9601</v>
      </c>
      <c r="H1604" s="282" t="s">
        <v>9602</v>
      </c>
      <c r="I1604" s="282"/>
      <c r="J1604" s="282"/>
    </row>
    <row r="1605" spans="1:10" x14ac:dyDescent="0.2">
      <c r="A1605" s="93" t="str">
        <f t="shared" ca="1" si="0"/>
        <v>傀儡人偶・舞娘</v>
      </c>
      <c r="B1605" s="93" t="s">
        <v>9603</v>
      </c>
      <c r="C1605" s="282"/>
      <c r="D1605" s="282" t="s">
        <v>9604</v>
      </c>
      <c r="E1605" s="282"/>
      <c r="F1605" s="282" t="s">
        <v>9605</v>
      </c>
      <c r="G1605" s="282" t="s">
        <v>9606</v>
      </c>
      <c r="H1605" s="282" t="s">
        <v>9607</v>
      </c>
      <c r="I1605" s="282"/>
      <c r="J1605" s="282"/>
    </row>
    <row r="1606" spans="1:10" x14ac:dyDescent="0.2">
      <c r="A1606" s="93" t="str">
        <f t="shared" ca="1" si="0"/>
        <v>后颈之男席米恩</v>
      </c>
      <c r="B1606" s="93" t="s">
        <v>9608</v>
      </c>
      <c r="C1606" s="282"/>
      <c r="D1606" s="282" t="s">
        <v>9609</v>
      </c>
      <c r="E1606" s="282"/>
      <c r="F1606" s="282" t="s">
        <v>9610</v>
      </c>
      <c r="G1606" s="282" t="s">
        <v>9611</v>
      </c>
      <c r="H1606" s="282" t="s">
        <v>9612</v>
      </c>
      <c r="I1606" s="282"/>
      <c r="J1606" s="282"/>
    </row>
    <row r="1607" spans="1:10" x14ac:dyDescent="0.2">
      <c r="A1607" s="93" t="str">
        <f t="shared" ca="1" si="0"/>
        <v>天狗鹫</v>
      </c>
      <c r="B1607" s="93" t="s">
        <v>9613</v>
      </c>
      <c r="C1607" s="282"/>
      <c r="D1607" s="282" t="s">
        <v>9614</v>
      </c>
      <c r="E1607" s="282"/>
      <c r="F1607" s="282" t="s">
        <v>9615</v>
      </c>
      <c r="G1607" s="282" t="s">
        <v>9616</v>
      </c>
      <c r="H1607" s="282" t="s">
        <v>9617</v>
      </c>
      <c r="I1607" s="282"/>
      <c r="J1607" s="282"/>
    </row>
    <row r="1608" spans="1:10" x14ac:dyDescent="0.2">
      <c r="A1608" s="93" t="str">
        <f t="shared" ca="1" si="0"/>
        <v>盗贼团的手下 I</v>
      </c>
      <c r="B1608" s="53" t="s">
        <v>9618</v>
      </c>
      <c r="C1608" s="282"/>
      <c r="D1608" s="282" t="s">
        <v>9619</v>
      </c>
      <c r="E1608" s="282"/>
      <c r="F1608" s="282" t="s">
        <v>9620</v>
      </c>
      <c r="G1608" s="282" t="s">
        <v>9621</v>
      </c>
      <c r="H1608" s="282" t="s">
        <v>9622</v>
      </c>
      <c r="I1608" s="282"/>
      <c r="J1608" s="282"/>
    </row>
    <row r="1609" spans="1:10" x14ac:dyDescent="0.2">
      <c r="A1609" s="93" t="str">
        <f t="shared" ca="1" si="0"/>
        <v>盗贼团的手下 II</v>
      </c>
      <c r="B1609" s="53" t="s">
        <v>9623</v>
      </c>
      <c r="C1609" s="282"/>
      <c r="D1609" s="282" t="s">
        <v>9624</v>
      </c>
      <c r="E1609" s="282"/>
      <c r="F1609" s="282" t="s">
        <v>9625</v>
      </c>
      <c r="G1609" s="282" t="s">
        <v>9626</v>
      </c>
      <c r="H1609" s="282" t="s">
        <v>9627</v>
      </c>
      <c r="I1609" s="282"/>
      <c r="J1609" s="282"/>
    </row>
    <row r="1610" spans="1:10" x14ac:dyDescent="0.2">
      <c r="A1610" s="93" t="str">
        <f t="shared" ca="1" si="0"/>
        <v>达留斯</v>
      </c>
      <c r="B1610" s="93" t="s">
        <v>9628</v>
      </c>
      <c r="C1610" s="51" t="s">
        <v>9628</v>
      </c>
      <c r="D1610" s="282" t="s">
        <v>9628</v>
      </c>
      <c r="E1610" s="282"/>
      <c r="F1610" s="282" t="s">
        <v>9628</v>
      </c>
      <c r="G1610" s="282" t="s">
        <v>9629</v>
      </c>
      <c r="H1610" s="282" t="s">
        <v>9630</v>
      </c>
      <c r="I1610" s="282"/>
      <c r="J1610" s="282"/>
    </row>
    <row r="1611" spans="1:10" x14ac:dyDescent="0.2">
      <c r="A1611" s="93" t="str">
        <f t="shared" ca="1" si="0"/>
        <v>红眼</v>
      </c>
      <c r="B1611" s="93" t="s">
        <v>9631</v>
      </c>
      <c r="C1611" s="282"/>
      <c r="D1611" s="282" t="s">
        <v>9632</v>
      </c>
      <c r="E1611" s="282"/>
      <c r="F1611" s="282" t="s">
        <v>9633</v>
      </c>
      <c r="G1611" s="282" t="s">
        <v>9634</v>
      </c>
      <c r="H1611" s="282" t="s">
        <v>9635</v>
      </c>
      <c r="I1611" s="282"/>
      <c r="J1611" s="282"/>
    </row>
    <row r="1612" spans="1:10" x14ac:dyDescent="0.2">
      <c r="A1612" s="93" t="str">
        <f t="shared" ca="1" si="0"/>
        <v>占星师史黛欧拉</v>
      </c>
      <c r="B1612" s="93" t="s">
        <v>9636</v>
      </c>
      <c r="C1612" s="282"/>
      <c r="D1612" s="282" t="s">
        <v>9637</v>
      </c>
      <c r="E1612" s="282"/>
      <c r="F1612" s="282" t="s">
        <v>9638</v>
      </c>
      <c r="G1612" s="282" t="s">
        <v>9639</v>
      </c>
      <c r="H1612" s="282" t="s">
        <v>9640</v>
      </c>
      <c r="I1612" s="282"/>
      <c r="J1612" s="282"/>
    </row>
    <row r="1613" spans="1:10" x14ac:dyDescent="0.2">
      <c r="A1613" s="93" t="str">
        <f t="shared" ca="1" si="0"/>
        <v>魔剑士巴罗格</v>
      </c>
      <c r="B1613" s="53" t="s">
        <v>9641</v>
      </c>
      <c r="C1613" s="282"/>
      <c r="D1613" s="282" t="s">
        <v>9642</v>
      </c>
      <c r="E1613" s="282"/>
      <c r="F1613" s="282" t="s">
        <v>9643</v>
      </c>
      <c r="G1613" s="282" t="s">
        <v>9644</v>
      </c>
      <c r="H1613" s="282" t="s">
        <v>9645</v>
      </c>
      <c r="I1613" s="282"/>
      <c r="J1613" s="282"/>
    </row>
    <row r="1614" spans="1:10" x14ac:dyDescent="0.2">
      <c r="A1614" s="93" t="str">
        <f t="shared" ca="1" si="0"/>
        <v>豪武匠温希德</v>
      </c>
      <c r="B1614" s="93" t="s">
        <v>9646</v>
      </c>
      <c r="C1614" s="282"/>
      <c r="D1614" s="282" t="s">
        <v>9647</v>
      </c>
      <c r="E1614" s="282"/>
      <c r="F1614" s="282" t="s">
        <v>9648</v>
      </c>
      <c r="G1614" s="282" t="s">
        <v>9649</v>
      </c>
      <c r="H1614" s="282" t="s">
        <v>9650</v>
      </c>
      <c r="I1614" s="282"/>
      <c r="J1614" s="282"/>
    </row>
    <row r="1615" spans="1:10" x14ac:dyDescent="0.2">
      <c r="A1615" s="93" t="str">
        <f t="shared" ca="1" si="0"/>
        <v>魔大公德雷闪克</v>
      </c>
      <c r="B1615" s="93" t="s">
        <v>9651</v>
      </c>
      <c r="C1615" s="282"/>
      <c r="D1615" s="282" t="s">
        <v>9652</v>
      </c>
      <c r="E1615" s="282"/>
      <c r="F1615" s="282" t="s">
        <v>9653</v>
      </c>
      <c r="G1615" s="282" t="s">
        <v>9654</v>
      </c>
      <c r="H1615" s="282" t="s">
        <v>9655</v>
      </c>
      <c r="I1615" s="282"/>
      <c r="J1615" s="282"/>
    </row>
    <row r="1616" spans="1:10" x14ac:dyDescent="0.2">
      <c r="A1616" s="93" t="str">
        <f t="shared" ca="1" si="0"/>
        <v>冰之巨人约顿</v>
      </c>
      <c r="B1616" s="93" t="s">
        <v>9656</v>
      </c>
      <c r="C1616" s="93" t="s">
        <v>9656</v>
      </c>
      <c r="D1616" s="93" t="s">
        <v>9656</v>
      </c>
      <c r="E1616" s="282"/>
      <c r="F1616" s="282" t="s">
        <v>9657</v>
      </c>
      <c r="G1616" s="282" t="s">
        <v>9658</v>
      </c>
      <c r="H1616" s="282" t="s">
        <v>9659</v>
      </c>
      <c r="I1616" s="282"/>
      <c r="J1616" s="282"/>
    </row>
    <row r="1617" spans="1:10" x14ac:dyDescent="0.2">
      <c r="A1617" s="93" t="str">
        <f t="shared" ca="1" si="0"/>
        <v>冰雪元素</v>
      </c>
      <c r="B1617" s="93" t="s">
        <v>9660</v>
      </c>
      <c r="C1617" s="282" t="s">
        <v>9661</v>
      </c>
      <c r="D1617" s="282" t="s">
        <v>9662</v>
      </c>
      <c r="E1617" s="282"/>
      <c r="F1617" s="282" t="s">
        <v>9663</v>
      </c>
      <c r="G1617" s="282" t="s">
        <v>9664</v>
      </c>
      <c r="H1617" s="282" t="s">
        <v>9664</v>
      </c>
      <c r="I1617" s="282"/>
      <c r="J1617" s="282"/>
    </row>
    <row r="1618" spans="1:10" x14ac:dyDescent="0.2">
      <c r="A1618" s="93" t="str">
        <f t="shared" ca="1" si="0"/>
        <v>玛纳加尔姆</v>
      </c>
      <c r="B1618" s="93" t="s">
        <v>9665</v>
      </c>
      <c r="C1618" s="282"/>
      <c r="D1618" s="282" t="s">
        <v>9666</v>
      </c>
      <c r="E1618" s="282"/>
      <c r="F1618" s="282" t="s">
        <v>9666</v>
      </c>
      <c r="G1618" s="282" t="s">
        <v>9667</v>
      </c>
      <c r="H1618" s="282" t="s">
        <v>9668</v>
      </c>
      <c r="I1618" s="282"/>
      <c r="J1618" s="282"/>
    </row>
    <row r="1619" spans="1:10" x14ac:dyDescent="0.2">
      <c r="A1619" s="93" t="str">
        <f t="shared" ca="1" si="0"/>
        <v>骑士狼</v>
      </c>
      <c r="B1619" s="93" t="s">
        <v>9669</v>
      </c>
      <c r="C1619" s="282"/>
      <c r="D1619" s="282" t="s">
        <v>9670</v>
      </c>
      <c r="E1619" s="282"/>
      <c r="F1619" s="282" t="s">
        <v>9671</v>
      </c>
      <c r="G1619" s="282" t="s">
        <v>9672</v>
      </c>
      <c r="H1619" s="282" t="s">
        <v>9673</v>
      </c>
      <c r="I1619" s="282"/>
      <c r="J1619" s="282"/>
    </row>
    <row r="1620" spans="1:10" x14ac:dyDescent="0.2">
      <c r="A1620" s="93" t="str">
        <f t="shared" ca="1" si="0"/>
        <v>海兽</v>
      </c>
      <c r="B1620" s="93" t="s">
        <v>9674</v>
      </c>
      <c r="C1620" s="51" t="s">
        <v>9675</v>
      </c>
      <c r="D1620" s="282" t="s">
        <v>9676</v>
      </c>
      <c r="E1620" s="282"/>
      <c r="F1620" s="282" t="s">
        <v>9677</v>
      </c>
      <c r="G1620" s="282" t="s">
        <v>9678</v>
      </c>
      <c r="H1620" s="282" t="s">
        <v>9679</v>
      </c>
      <c r="I1620" s="282"/>
      <c r="J1620" s="282"/>
    </row>
    <row r="1621" spans="1:10" x14ac:dyDescent="0.2">
      <c r="A1621" s="93" t="str">
        <f t="shared" ca="1" si="0"/>
        <v>海泣海胆</v>
      </c>
      <c r="B1621" s="93" t="s">
        <v>9680</v>
      </c>
      <c r="C1621" s="282"/>
      <c r="D1621" s="282" t="s">
        <v>9681</v>
      </c>
      <c r="E1621" s="282"/>
      <c r="F1621" s="282" t="s">
        <v>9682</v>
      </c>
      <c r="G1621" s="282" t="s">
        <v>9683</v>
      </c>
      <c r="H1621" s="282" t="s">
        <v>9684</v>
      </c>
      <c r="I1621" s="282"/>
      <c r="J1621" s="282"/>
    </row>
    <row r="1622" spans="1:10" x14ac:dyDescent="0.2">
      <c r="A1622" s="93" t="str">
        <f t="shared" ca="1" si="0"/>
        <v>红锈海胆</v>
      </c>
      <c r="B1622" s="93" t="s">
        <v>9685</v>
      </c>
      <c r="C1622" s="282"/>
      <c r="D1622" s="282" t="s">
        <v>9686</v>
      </c>
      <c r="E1622" s="282"/>
      <c r="F1622" s="282" t="s">
        <v>9687</v>
      </c>
      <c r="G1622" s="282" t="s">
        <v>9688</v>
      </c>
      <c r="H1622" s="282" t="s">
        <v>9689</v>
      </c>
      <c r="I1622" s="282"/>
      <c r="J1622" s="282"/>
    </row>
    <row r="1623" spans="1:10" x14ac:dyDescent="0.2">
      <c r="A1623" s="93" t="str">
        <f t="shared" ca="1" si="0"/>
        <v>巨大蛇</v>
      </c>
      <c r="B1623" s="93" t="s">
        <v>9690</v>
      </c>
      <c r="C1623" s="282"/>
      <c r="D1623" s="282" t="s">
        <v>9691</v>
      </c>
      <c r="E1623" s="282"/>
      <c r="F1623" s="282" t="s">
        <v>9692</v>
      </c>
      <c r="G1623" s="282" t="s">
        <v>9693</v>
      </c>
      <c r="H1623" s="282" t="s">
        <v>9693</v>
      </c>
      <c r="I1623" s="282"/>
      <c r="J1623" s="282"/>
    </row>
    <row r="1624" spans="1:10" x14ac:dyDescent="0.2">
      <c r="A1624" s="93" t="str">
        <f t="shared" ca="1" si="0"/>
        <v>操蛇人</v>
      </c>
      <c r="B1624" s="93" t="s">
        <v>9694</v>
      </c>
      <c r="C1624" s="282"/>
      <c r="D1624" s="282" t="s">
        <v>9695</v>
      </c>
      <c r="E1624" s="282"/>
      <c r="F1624" s="282" t="s">
        <v>9696</v>
      </c>
      <c r="G1624" s="282" t="s">
        <v>9697</v>
      </c>
      <c r="H1624" s="282" t="s">
        <v>9697</v>
      </c>
      <c r="I1624" s="282"/>
      <c r="J1624" s="282"/>
    </row>
    <row r="1625" spans="1:10" x14ac:dyDescent="0.2">
      <c r="A1625" s="93" t="str">
        <f t="shared" ca="1" si="0"/>
        <v>碧眼之虎</v>
      </c>
      <c r="B1625" s="93" t="s">
        <v>9698</v>
      </c>
      <c r="C1625" s="282"/>
      <c r="D1625" s="282" t="s">
        <v>9699</v>
      </c>
      <c r="E1625" s="282"/>
      <c r="F1625" s="282" t="s">
        <v>9700</v>
      </c>
      <c r="G1625" s="282" t="s">
        <v>9701</v>
      </c>
      <c r="H1625" s="282" t="s">
        <v>9701</v>
      </c>
      <c r="I1625" s="282"/>
      <c r="J1625" s="282"/>
    </row>
    <row r="1626" spans="1:10" x14ac:dyDescent="0.2">
      <c r="A1626" s="93" t="str">
        <f t="shared" ca="1" si="0"/>
        <v>盗贼团头目</v>
      </c>
      <c r="B1626" s="93" t="s">
        <v>9702</v>
      </c>
      <c r="C1626" s="282"/>
      <c r="D1626" s="282" t="s">
        <v>9703</v>
      </c>
      <c r="E1626" s="282"/>
      <c r="F1626" s="282" t="s">
        <v>9704</v>
      </c>
      <c r="G1626" s="282" t="s">
        <v>9705</v>
      </c>
      <c r="H1626" s="282" t="s">
        <v>9706</v>
      </c>
      <c r="I1626" s="282"/>
      <c r="J1626" s="282"/>
    </row>
    <row r="1627" spans="1:10" x14ac:dyDescent="0.2">
      <c r="A1627" s="93" t="str">
        <f t="shared" ca="1" si="0"/>
        <v>食人花</v>
      </c>
      <c r="B1627" s="93" t="s">
        <v>9707</v>
      </c>
      <c r="C1627" s="282"/>
      <c r="D1627" s="282" t="s">
        <v>7705</v>
      </c>
      <c r="E1627" s="282"/>
      <c r="F1627" s="282" t="s">
        <v>9708</v>
      </c>
      <c r="G1627" s="282" t="s">
        <v>9709</v>
      </c>
      <c r="H1627" s="282" t="s">
        <v>9709</v>
      </c>
      <c r="I1627" s="282"/>
      <c r="J1627" s="282"/>
    </row>
    <row r="1628" spans="1:10" x14ac:dyDescent="0.2">
      <c r="A1628" s="93" t="str">
        <f t="shared" ca="1" si="0"/>
        <v>食人猛菌</v>
      </c>
      <c r="B1628" s="93" t="s">
        <v>9710</v>
      </c>
      <c r="C1628" s="282"/>
      <c r="D1628" s="282" t="s">
        <v>9711</v>
      </c>
      <c r="E1628" s="282"/>
      <c r="F1628" s="282" t="s">
        <v>9712</v>
      </c>
      <c r="G1628" s="282" t="s">
        <v>9713</v>
      </c>
      <c r="H1628" s="282" t="s">
        <v>9713</v>
      </c>
      <c r="I1628" s="282"/>
      <c r="J1628" s="282"/>
    </row>
    <row r="1629" spans="1:10" x14ac:dyDescent="0.2">
      <c r="A1629" s="79" t="str">
        <f t="shared" ca="1" si="0"/>
        <v>Summon Beast</v>
      </c>
      <c r="B1629" s="79" t="s">
        <v>9714</v>
      </c>
      <c r="C1629" s="252"/>
      <c r="D1629" s="252" t="s">
        <v>9715</v>
      </c>
      <c r="E1629" s="252"/>
      <c r="F1629" s="252"/>
      <c r="G1629" s="252" t="s">
        <v>9716</v>
      </c>
      <c r="H1629" s="252"/>
      <c r="I1629" s="252"/>
      <c r="J1629" s="252"/>
    </row>
    <row r="1630" spans="1:10" x14ac:dyDescent="0.2">
      <c r="A1630" s="93" t="str">
        <f t="shared" ca="1" si="0"/>
        <v>无法捕获</v>
      </c>
      <c r="B1630" s="85" t="s">
        <v>9717</v>
      </c>
      <c r="C1630" s="282"/>
      <c r="D1630" s="282" t="s">
        <v>9718</v>
      </c>
      <c r="E1630" s="282"/>
      <c r="F1630" s="282" t="s">
        <v>9719</v>
      </c>
      <c r="G1630" s="282" t="s">
        <v>9720</v>
      </c>
      <c r="H1630" s="282" t="s">
        <v>9721</v>
      </c>
      <c r="I1630" s="282"/>
      <c r="J1630" s="282"/>
    </row>
    <row r="1631" spans="1:10" x14ac:dyDescent="0.2">
      <c r="A1631" s="93" t="str">
        <f t="shared" ca="1" si="0"/>
        <v>酸性蓝</v>
      </c>
      <c r="B1631" s="85" t="s">
        <v>9722</v>
      </c>
      <c r="C1631" s="282"/>
      <c r="D1631" s="282" t="s">
        <v>9723</v>
      </c>
      <c r="E1631" s="282"/>
      <c r="F1631" s="282" t="s">
        <v>9724</v>
      </c>
      <c r="G1631" s="282" t="s">
        <v>9725</v>
      </c>
      <c r="H1631" s="282" t="s">
        <v>9726</v>
      </c>
      <c r="I1631" s="282"/>
      <c r="J1631" s="282"/>
    </row>
    <row r="1632" spans="1:10" x14ac:dyDescent="0.2">
      <c r="A1632" s="93" t="str">
        <f t="shared" ca="1" si="0"/>
        <v>大破甲斩（全体）</v>
      </c>
      <c r="B1632" s="85" t="s">
        <v>9727</v>
      </c>
      <c r="C1632" s="282"/>
      <c r="D1632" s="282" t="s">
        <v>9728</v>
      </c>
      <c r="E1632" s="282"/>
      <c r="F1632" s="282" t="s">
        <v>9729</v>
      </c>
      <c r="G1632" s="282" t="s">
        <v>9730</v>
      </c>
      <c r="H1632" s="282" t="s">
        <v>9731</v>
      </c>
      <c r="I1632" s="282"/>
      <c r="J1632" s="282"/>
    </row>
    <row r="1633" spans="1:10" x14ac:dyDescent="0.2">
      <c r="A1633" s="93" t="str">
        <f t="shared" ca="1" si="0"/>
        <v>战斗</v>
      </c>
      <c r="B1633" s="85" t="s">
        <v>9732</v>
      </c>
      <c r="C1633" s="282" t="s">
        <v>9733</v>
      </c>
      <c r="D1633" s="282" t="s">
        <v>9734</v>
      </c>
      <c r="E1633" s="282"/>
      <c r="F1633" s="282" t="s">
        <v>9735</v>
      </c>
      <c r="G1633" s="282" t="s">
        <v>9736</v>
      </c>
      <c r="H1633" s="282" t="s">
        <v>9737</v>
      </c>
      <c r="I1633" s="282"/>
      <c r="J1633" s="282"/>
    </row>
    <row r="1634" spans="1:10" x14ac:dyDescent="0.2">
      <c r="A1634" s="93" t="str">
        <f t="shared" ca="1" si="0"/>
        <v>战斗（全体）</v>
      </c>
      <c r="B1634" s="85" t="s">
        <v>9738</v>
      </c>
      <c r="C1634" s="282"/>
      <c r="D1634" s="282" t="s">
        <v>9739</v>
      </c>
      <c r="E1634" s="282"/>
      <c r="F1634" s="282" t="s">
        <v>9740</v>
      </c>
      <c r="G1634" s="282" t="s">
        <v>9741</v>
      </c>
      <c r="H1634" s="282" t="s">
        <v>9742</v>
      </c>
      <c r="I1634" s="282"/>
      <c r="J1634" s="282"/>
    </row>
    <row r="1635" spans="1:10" x14ac:dyDescent="0.2">
      <c r="A1635" s="93" t="str">
        <f t="shared" ca="1" si="0"/>
        <v>恐慌之爪</v>
      </c>
      <c r="B1635" s="85" t="s">
        <v>9743</v>
      </c>
      <c r="C1635" s="282"/>
      <c r="D1635" s="282" t="s">
        <v>9744</v>
      </c>
      <c r="E1635" s="282"/>
      <c r="F1635" s="282" t="s">
        <v>9745</v>
      </c>
      <c r="G1635" s="282" t="s">
        <v>9746</v>
      </c>
      <c r="H1635" s="282" t="s">
        <v>9746</v>
      </c>
      <c r="I1635" s="282"/>
      <c r="J1635" s="282"/>
    </row>
    <row r="1636" spans="1:10" x14ac:dyDescent="0.2">
      <c r="A1636" s="93" t="str">
        <f t="shared" ca="1" si="0"/>
        <v>混乱之牙（全体）</v>
      </c>
      <c r="B1636" s="85" t="s">
        <v>9747</v>
      </c>
      <c r="C1636" s="282"/>
      <c r="D1636" s="282" t="s">
        <v>9748</v>
      </c>
      <c r="E1636" s="282"/>
      <c r="F1636" s="282" t="s">
        <v>9749</v>
      </c>
      <c r="G1636" s="282" t="s">
        <v>9750</v>
      </c>
      <c r="H1636" s="282" t="s">
        <v>9751</v>
      </c>
      <c r="I1636" s="282"/>
      <c r="J1636" s="282"/>
    </row>
    <row r="1637" spans="1:10" x14ac:dyDescent="0.2">
      <c r="A1637" s="93" t="str">
        <f t="shared" ca="1" si="0"/>
        <v>混乱之针（全体）</v>
      </c>
      <c r="B1637" s="85" t="s">
        <v>9752</v>
      </c>
      <c r="C1637" s="282"/>
      <c r="D1637" s="282" t="s">
        <v>9753</v>
      </c>
      <c r="E1637" s="282"/>
      <c r="F1637" s="282" t="s">
        <v>9754</v>
      </c>
      <c r="G1637" s="282" t="s">
        <v>9755</v>
      </c>
      <c r="H1637" s="282" t="s">
        <v>9756</v>
      </c>
      <c r="I1637" s="282"/>
      <c r="J1637" s="282"/>
    </row>
    <row r="1638" spans="1:10" x14ac:dyDescent="0.2">
      <c r="A1638" s="93" t="str">
        <f t="shared" ca="1" si="0"/>
        <v>恐光电光（全体）</v>
      </c>
      <c r="B1638" s="85" t="s">
        <v>9757</v>
      </c>
      <c r="C1638" s="282"/>
      <c r="D1638" s="282" t="s">
        <v>9758</v>
      </c>
      <c r="E1638" s="282"/>
      <c r="F1638" s="282" t="s">
        <v>9759</v>
      </c>
      <c r="G1638" s="282" t="s">
        <v>9760</v>
      </c>
      <c r="H1638" s="282" t="s">
        <v>9761</v>
      </c>
      <c r="I1638" s="282"/>
      <c r="J1638" s="282"/>
    </row>
    <row r="1639" spans="1:10" x14ac:dyDescent="0.2">
      <c r="A1639" s="93" t="str">
        <f t="shared" ca="1" si="0"/>
        <v>咬噬</v>
      </c>
      <c r="B1639" s="85" t="s">
        <v>9762</v>
      </c>
      <c r="C1639" s="282" t="s">
        <v>9763</v>
      </c>
      <c r="D1639" s="282" t="s">
        <v>9764</v>
      </c>
      <c r="E1639" s="282"/>
      <c r="F1639" s="282" t="s">
        <v>9765</v>
      </c>
      <c r="G1639" s="282" t="s">
        <v>9766</v>
      </c>
      <c r="H1639" s="282" t="s">
        <v>9766</v>
      </c>
      <c r="I1639" s="282"/>
      <c r="J1639" s="282"/>
    </row>
    <row r="1640" spans="1:10" x14ac:dyDescent="0.2">
      <c r="A1640" s="93" t="str">
        <f t="shared" ca="1" si="0"/>
        <v>黑之黏液</v>
      </c>
      <c r="B1640" s="85" t="s">
        <v>9767</v>
      </c>
      <c r="C1640" s="282"/>
      <c r="D1640" s="282" t="s">
        <v>9768</v>
      </c>
      <c r="E1640" s="282"/>
      <c r="F1640" s="282" t="s">
        <v>9769</v>
      </c>
      <c r="G1640" s="282" t="s">
        <v>9770</v>
      </c>
      <c r="H1640" s="282" t="s">
        <v>9770</v>
      </c>
      <c r="I1640" s="282"/>
      <c r="J1640" s="282"/>
    </row>
    <row r="1641" spans="1:10" x14ac:dyDescent="0.2">
      <c r="A1641" s="93" t="str">
        <f t="shared" ca="1" si="0"/>
        <v>暗暗大突进</v>
      </c>
      <c r="B1641" s="85" t="s">
        <v>9771</v>
      </c>
      <c r="C1641" s="282"/>
      <c r="D1641" s="282" t="s">
        <v>9772</v>
      </c>
      <c r="E1641" s="282"/>
      <c r="F1641" s="282" t="s">
        <v>9773</v>
      </c>
      <c r="G1641" s="282" t="s">
        <v>9774</v>
      </c>
      <c r="H1641" s="282" t="s">
        <v>9775</v>
      </c>
      <c r="I1641" s="282"/>
      <c r="J1641" s="282"/>
    </row>
    <row r="1642" spans="1:10" x14ac:dyDescent="0.2">
      <c r="A1642" s="93" t="str">
        <f t="shared" ca="1" si="0"/>
        <v>失明之爪</v>
      </c>
      <c r="B1642" s="85" t="s">
        <v>9776</v>
      </c>
      <c r="C1642" s="282"/>
      <c r="D1642" s="282" t="s">
        <v>9777</v>
      </c>
      <c r="E1642" s="282"/>
      <c r="F1642" s="282" t="s">
        <v>9778</v>
      </c>
      <c r="G1642" s="282" t="s">
        <v>9779</v>
      </c>
      <c r="H1642" s="282" t="s">
        <v>9779</v>
      </c>
      <c r="I1642" s="282"/>
      <c r="J1642" s="282"/>
    </row>
    <row r="1643" spans="1:10" x14ac:dyDescent="0.2">
      <c r="A1643" s="93" t="str">
        <f t="shared" ca="1" si="0"/>
        <v>失明之雾（全体）</v>
      </c>
      <c r="B1643" s="85" t="s">
        <v>9780</v>
      </c>
      <c r="C1643" s="282"/>
      <c r="D1643" s="282" t="s">
        <v>9781</v>
      </c>
      <c r="E1643" s="282"/>
      <c r="F1643" s="282" t="s">
        <v>9782</v>
      </c>
      <c r="G1643" s="282" t="s">
        <v>9783</v>
      </c>
      <c r="H1643" s="282" t="s">
        <v>9784</v>
      </c>
      <c r="I1643" s="282"/>
      <c r="J1643" s="282"/>
    </row>
    <row r="1644" spans="1:10" x14ac:dyDescent="0.2">
      <c r="A1644" s="93" t="str">
        <f t="shared" ca="1" si="0"/>
        <v>暗暗之针</v>
      </c>
      <c r="B1644" s="85" t="s">
        <v>9785</v>
      </c>
      <c r="C1644" s="282"/>
      <c r="D1644" s="282" t="s">
        <v>9786</v>
      </c>
      <c r="E1644" s="282"/>
      <c r="F1644" s="282" t="s">
        <v>9787</v>
      </c>
      <c r="G1644" s="83" t="s">
        <v>9788</v>
      </c>
      <c r="H1644" s="282" t="s">
        <v>9789</v>
      </c>
      <c r="I1644" s="282"/>
      <c r="J1644" s="282"/>
    </row>
    <row r="1645" spans="1:10" x14ac:dyDescent="0.2">
      <c r="A1645" s="93" t="str">
        <f t="shared" ca="1" si="0"/>
        <v>暗暗之针（全体）</v>
      </c>
      <c r="B1645" s="85" t="s">
        <v>9790</v>
      </c>
      <c r="C1645" s="282"/>
      <c r="D1645" s="282" t="s">
        <v>9791</v>
      </c>
      <c r="E1645" s="282"/>
      <c r="F1645" s="282" t="s">
        <v>9792</v>
      </c>
      <c r="G1645" s="282" t="s">
        <v>9793</v>
      </c>
      <c r="H1645" s="282" t="s">
        <v>9794</v>
      </c>
      <c r="I1645" s="282"/>
      <c r="J1645" s="282"/>
    </row>
    <row r="1646" spans="1:10" x14ac:dyDescent="0.2">
      <c r="A1646" s="93" t="str">
        <f t="shared" ca="1" si="0"/>
        <v>魔冰冻之息（全体）</v>
      </c>
      <c r="B1646" s="85" t="s">
        <v>9795</v>
      </c>
      <c r="C1646" s="282"/>
      <c r="D1646" s="282" t="s">
        <v>9796</v>
      </c>
      <c r="E1646" s="282"/>
      <c r="F1646" s="282" t="s">
        <v>9797</v>
      </c>
      <c r="G1646" s="282" t="s">
        <v>9798</v>
      </c>
      <c r="H1646" s="282" t="s">
        <v>9799</v>
      </c>
      <c r="I1646" s="282"/>
      <c r="J1646" s="282"/>
    </row>
    <row r="1647" spans="1:10" x14ac:dyDescent="0.2">
      <c r="A1647" s="93" t="str">
        <f t="shared" ca="1" si="0"/>
        <v>铁壁之斧</v>
      </c>
      <c r="B1647" s="85" t="s">
        <v>9800</v>
      </c>
      <c r="C1647" s="282"/>
      <c r="D1647" s="282" t="s">
        <v>9801</v>
      </c>
      <c r="E1647" s="282"/>
      <c r="F1647" s="282" t="s">
        <v>9802</v>
      </c>
      <c r="G1647" s="282" t="s">
        <v>9803</v>
      </c>
      <c r="H1647" s="282" t="s">
        <v>9804</v>
      </c>
      <c r="I1647" s="282"/>
      <c r="J1647" s="282"/>
    </row>
    <row r="1648" spans="1:10" x14ac:dyDescent="0.2">
      <c r="A1648" s="93" t="str">
        <f t="shared" ca="1" si="0"/>
        <v>死亡之蝶（全体）</v>
      </c>
      <c r="B1648" s="85" t="s">
        <v>9805</v>
      </c>
      <c r="C1648" s="282"/>
      <c r="D1648" s="282" t="s">
        <v>9806</v>
      </c>
      <c r="E1648" s="282"/>
      <c r="F1648" s="52" t="s">
        <v>9807</v>
      </c>
      <c r="G1648" s="282" t="s">
        <v>9808</v>
      </c>
      <c r="H1648" s="282" t="s">
        <v>9809</v>
      </c>
      <c r="I1648" s="282"/>
      <c r="J1648" s="282"/>
    </row>
    <row r="1649" spans="1:10" x14ac:dyDescent="0.2">
      <c r="A1649" s="93" t="str">
        <f t="shared" ca="1" si="0"/>
        <v>斧劈</v>
      </c>
      <c r="B1649" s="85" t="s">
        <v>9810</v>
      </c>
      <c r="C1649" s="282"/>
      <c r="D1649" s="282" t="s">
        <v>9811</v>
      </c>
      <c r="E1649" s="282"/>
      <c r="F1649" s="282" t="s">
        <v>9812</v>
      </c>
      <c r="G1649" s="282" t="s">
        <v>9813</v>
      </c>
      <c r="H1649" s="282" t="s">
        <v>9813</v>
      </c>
      <c r="I1649" s="282"/>
      <c r="J1649" s="282"/>
    </row>
    <row r="1650" spans="1:10" x14ac:dyDescent="0.2">
      <c r="A1650" s="93" t="str">
        <f t="shared" ca="1" si="0"/>
        <v>持续光合成（ＨＰ）</v>
      </c>
      <c r="B1650" s="85" t="s">
        <v>9814</v>
      </c>
      <c r="C1650" s="282"/>
      <c r="D1650" s="282" t="s">
        <v>9815</v>
      </c>
      <c r="E1650" s="282"/>
      <c r="F1650" s="282" t="s">
        <v>9816</v>
      </c>
      <c r="G1650" s="282" t="s">
        <v>9817</v>
      </c>
      <c r="H1650" s="282" t="s">
        <v>9818</v>
      </c>
      <c r="I1650" s="282"/>
      <c r="J1650" s="282"/>
    </row>
    <row r="1651" spans="1:10" x14ac:dyDescent="0.2">
      <c r="A1651" s="93" t="str">
        <f t="shared" ca="1" si="0"/>
        <v>持续光合成（ＳＰ）（全体）</v>
      </c>
      <c r="B1651" s="85" t="s">
        <v>9819</v>
      </c>
      <c r="C1651" s="282"/>
      <c r="D1651" s="282" t="s">
        <v>9820</v>
      </c>
      <c r="E1651" s="282"/>
      <c r="F1651" s="282" t="s">
        <v>9821</v>
      </c>
      <c r="G1651" s="282" t="s">
        <v>9822</v>
      </c>
      <c r="H1651" s="282" t="s">
        <v>9823</v>
      </c>
      <c r="I1651" s="282"/>
      <c r="J1651" s="282"/>
    </row>
    <row r="1652" spans="1:10" x14ac:dyDescent="0.2">
      <c r="A1652" s="93" t="str">
        <f t="shared" ca="1" si="0"/>
        <v>会心一击</v>
      </c>
      <c r="B1652" s="85" t="s">
        <v>9824</v>
      </c>
      <c r="C1652" s="282"/>
      <c r="D1652" s="282" t="s">
        <v>9825</v>
      </c>
      <c r="E1652" s="282"/>
      <c r="F1652" s="282" t="s">
        <v>9826</v>
      </c>
      <c r="G1652" s="282" t="s">
        <v>9827</v>
      </c>
      <c r="H1652" s="282" t="s">
        <v>9828</v>
      </c>
      <c r="I1652" s="282"/>
      <c r="J1652" s="282"/>
    </row>
    <row r="1653" spans="1:10" x14ac:dyDescent="0.2">
      <c r="A1653" s="93" t="str">
        <f t="shared" ca="1" si="0"/>
        <v>红莲之炎（全体）</v>
      </c>
      <c r="B1653" s="85" t="s">
        <v>9829</v>
      </c>
      <c r="C1653" s="282"/>
      <c r="D1653" s="282" t="s">
        <v>9830</v>
      </c>
      <c r="E1653" s="282"/>
      <c r="F1653" s="52" t="s">
        <v>9831</v>
      </c>
      <c r="G1653" s="282" t="s">
        <v>9832</v>
      </c>
      <c r="H1653" s="282" t="s">
        <v>9833</v>
      </c>
      <c r="I1653" s="282"/>
      <c r="J1653" s="282"/>
    </row>
    <row r="1654" spans="1:10" x14ac:dyDescent="0.2">
      <c r="A1654" s="93" t="str">
        <f t="shared" ca="1" si="0"/>
        <v>腥红之粉（全体）</v>
      </c>
      <c r="B1654" s="85" t="s">
        <v>9834</v>
      </c>
      <c r="C1654" s="282"/>
      <c r="D1654" s="282" t="s">
        <v>9835</v>
      </c>
      <c r="E1654" s="282"/>
      <c r="F1654" s="282" t="s">
        <v>9836</v>
      </c>
      <c r="G1654" s="282" t="s">
        <v>9837</v>
      </c>
      <c r="H1654" s="282" t="s">
        <v>9838</v>
      </c>
      <c r="I1654" s="282"/>
      <c r="J1654" s="282"/>
    </row>
    <row r="1655" spans="1:10" x14ac:dyDescent="0.2">
      <c r="A1655" s="93" t="str">
        <f t="shared" ca="1" si="0"/>
        <v>破坏之风翼（全体）</v>
      </c>
      <c r="B1655" s="85" t="s">
        <v>9839</v>
      </c>
      <c r="C1655" s="282"/>
      <c r="D1655" s="282" t="s">
        <v>9840</v>
      </c>
      <c r="E1655" s="282"/>
      <c r="F1655" s="282" t="s">
        <v>9841</v>
      </c>
      <c r="G1655" s="282" t="s">
        <v>9842</v>
      </c>
      <c r="H1655" s="282" t="s">
        <v>9843</v>
      </c>
      <c r="I1655" s="282"/>
      <c r="J1655" s="282"/>
    </row>
    <row r="1656" spans="1:10" x14ac:dyDescent="0.2">
      <c r="A1656" s="93" t="str">
        <f t="shared" ca="1" si="0"/>
        <v>凯特林魔法ＤＸ</v>
      </c>
      <c r="B1656" s="85" t="s">
        <v>9844</v>
      </c>
      <c r="C1656" s="282"/>
      <c r="D1656" s="282" t="s">
        <v>9845</v>
      </c>
      <c r="E1656" s="282"/>
      <c r="F1656" s="282" t="s">
        <v>9846</v>
      </c>
      <c r="G1656" s="83" t="s">
        <v>9847</v>
      </c>
      <c r="H1656" s="282" t="s">
        <v>9848</v>
      </c>
      <c r="I1656" s="282"/>
      <c r="J1656" s="282"/>
    </row>
    <row r="1657" spans="1:10" x14ac:dyDescent="0.2">
      <c r="A1657" s="93" t="str">
        <f t="shared" ca="1" si="0"/>
        <v>钻石之钟（全体）</v>
      </c>
      <c r="B1657" s="85" t="s">
        <v>9849</v>
      </c>
      <c r="C1657" s="282"/>
      <c r="D1657" s="282" t="s">
        <v>9850</v>
      </c>
      <c r="E1657" s="282"/>
      <c r="F1657" s="282" t="s">
        <v>9851</v>
      </c>
      <c r="G1657" s="282" t="s">
        <v>9852</v>
      </c>
      <c r="H1657" s="282" t="s">
        <v>9853</v>
      </c>
      <c r="I1657" s="282"/>
      <c r="J1657" s="282"/>
    </row>
    <row r="1658" spans="1:10" x14ac:dyDescent="0.2">
      <c r="A1658" s="93" t="str">
        <f t="shared" ca="1" si="0"/>
        <v>连续破甲</v>
      </c>
      <c r="B1658" s="85" t="s">
        <v>9854</v>
      </c>
      <c r="C1658" s="282"/>
      <c r="D1658" s="282" t="s">
        <v>9855</v>
      </c>
      <c r="E1658" s="282"/>
      <c r="F1658" s="282" t="s">
        <v>9856</v>
      </c>
      <c r="G1658" s="282" t="s">
        <v>9857</v>
      </c>
      <c r="H1658" s="282" t="s">
        <v>9858</v>
      </c>
      <c r="I1658" s="282"/>
      <c r="J1658" s="282"/>
    </row>
    <row r="1659" spans="1:10" x14ac:dyDescent="0.2">
      <c r="A1659" s="93" t="str">
        <f t="shared" ca="1" si="0"/>
        <v>战斗ｘ２（全体）</v>
      </c>
      <c r="B1659" s="85" t="s">
        <v>9859</v>
      </c>
      <c r="C1659" s="282"/>
      <c r="D1659" s="282" t="s">
        <v>9860</v>
      </c>
      <c r="E1659" s="282"/>
      <c r="F1659" s="282" t="s">
        <v>9861</v>
      </c>
      <c r="G1659" s="282" t="s">
        <v>9862</v>
      </c>
      <c r="H1659" s="282" t="s">
        <v>9863</v>
      </c>
      <c r="I1659" s="282"/>
      <c r="J1659" s="282"/>
    </row>
    <row r="1660" spans="1:10" x14ac:dyDescent="0.2">
      <c r="A1660" s="93" t="str">
        <f t="shared" ca="1" si="0"/>
        <v>连续加速之枪</v>
      </c>
      <c r="B1660" s="85" t="s">
        <v>9864</v>
      </c>
      <c r="C1660" s="282"/>
      <c r="D1660" s="282" t="s">
        <v>9865</v>
      </c>
      <c r="E1660" s="282"/>
      <c r="F1660" s="282" t="s">
        <v>9866</v>
      </c>
      <c r="G1660" s="282" t="s">
        <v>9867</v>
      </c>
      <c r="H1660" s="282" t="s">
        <v>9868</v>
      </c>
      <c r="I1660" s="282"/>
      <c r="J1660" s="282"/>
    </row>
    <row r="1661" spans="1:10" x14ac:dyDescent="0.2">
      <c r="A1661" s="93" t="str">
        <f t="shared" ca="1" si="0"/>
        <v>双重泰山压顶</v>
      </c>
      <c r="B1661" s="85" t="s">
        <v>9869</v>
      </c>
      <c r="C1661" s="282"/>
      <c r="D1661" s="282" t="s">
        <v>9870</v>
      </c>
      <c r="E1661" s="282"/>
      <c r="F1661" s="282" t="s">
        <v>9871</v>
      </c>
      <c r="G1661" s="282" t="s">
        <v>9872</v>
      </c>
      <c r="H1661" s="282" t="s">
        <v>9873</v>
      </c>
      <c r="I1661" s="282"/>
      <c r="J1661" s="282"/>
    </row>
    <row r="1662" spans="1:10" x14ac:dyDescent="0.2">
      <c r="A1662" s="93" t="str">
        <f t="shared" ca="1" si="0"/>
        <v>属攻连续弓舞</v>
      </c>
      <c r="B1662" s="85" t="s">
        <v>9874</v>
      </c>
      <c r="C1662" s="282"/>
      <c r="D1662" s="282" t="s">
        <v>9875</v>
      </c>
      <c r="E1662" s="282"/>
      <c r="F1662" s="282" t="s">
        <v>9876</v>
      </c>
      <c r="G1662" s="282" t="s">
        <v>9877</v>
      </c>
      <c r="H1662" s="282" t="s">
        <v>9878</v>
      </c>
      <c r="I1662" s="282"/>
      <c r="J1662" s="282"/>
    </row>
    <row r="1663" spans="1:10" x14ac:dyDescent="0.2">
      <c r="A1663" s="93" t="str">
        <f t="shared" ca="1" si="0"/>
        <v>连续加护破解</v>
      </c>
      <c r="B1663" s="85" t="s">
        <v>9879</v>
      </c>
      <c r="C1663" s="282"/>
      <c r="D1663" s="282" t="s">
        <v>9880</v>
      </c>
      <c r="E1663" s="282"/>
      <c r="F1663" s="282" t="s">
        <v>9881</v>
      </c>
      <c r="G1663" s="282" t="s">
        <v>9882</v>
      </c>
      <c r="H1663" s="282" t="s">
        <v>9883</v>
      </c>
      <c r="I1663" s="282"/>
      <c r="J1663" s="282"/>
    </row>
    <row r="1664" spans="1:10" x14ac:dyDescent="0.2">
      <c r="A1664" s="93" t="str">
        <f t="shared" ca="1" si="0"/>
        <v>高速连续杖舞</v>
      </c>
      <c r="B1664" s="85" t="s">
        <v>9884</v>
      </c>
      <c r="C1664" s="282"/>
      <c r="D1664" s="282" t="s">
        <v>9885</v>
      </c>
      <c r="E1664" s="282"/>
      <c r="F1664" s="282" t="s">
        <v>9886</v>
      </c>
      <c r="G1664" s="282" t="s">
        <v>9887</v>
      </c>
      <c r="H1664" s="282" t="s">
        <v>9888</v>
      </c>
      <c r="I1664" s="282"/>
      <c r="J1664" s="282"/>
    </row>
    <row r="1665" spans="1:10" x14ac:dyDescent="0.2">
      <c r="A1665" s="93" t="str">
        <f t="shared" ca="1" si="0"/>
        <v>双重睡眠之爪</v>
      </c>
      <c r="B1665" s="85" t="s">
        <v>9889</v>
      </c>
      <c r="C1665" s="282"/>
      <c r="D1665" s="282" t="s">
        <v>9890</v>
      </c>
      <c r="E1665" s="282"/>
      <c r="F1665" s="282" t="s">
        <v>9891</v>
      </c>
      <c r="G1665" s="282" t="s">
        <v>9892</v>
      </c>
      <c r="H1665" s="282" t="s">
        <v>9893</v>
      </c>
      <c r="I1665" s="282"/>
      <c r="J1665" s="282"/>
    </row>
    <row r="1666" spans="1:10" x14ac:dyDescent="0.2">
      <c r="A1666" s="93" t="str">
        <f t="shared" ca="1" si="0"/>
        <v>连刺</v>
      </c>
      <c r="B1666" s="85" t="s">
        <v>9894</v>
      </c>
      <c r="C1666" s="282"/>
      <c r="D1666" s="282" t="s">
        <v>9895</v>
      </c>
      <c r="E1666" s="282"/>
      <c r="F1666" s="282" t="s">
        <v>9896</v>
      </c>
      <c r="G1666" s="282" t="s">
        <v>9897</v>
      </c>
      <c r="H1666" s="282" t="s">
        <v>9898</v>
      </c>
      <c r="I1666" s="282"/>
      <c r="J1666" s="282"/>
    </row>
    <row r="1667" spans="1:10" x14ac:dyDescent="0.2">
      <c r="A1667" s="93" t="str">
        <f t="shared" ca="1" si="0"/>
        <v>战斗ｘ２</v>
      </c>
      <c r="B1667" s="85" t="s">
        <v>9899</v>
      </c>
      <c r="C1667" s="282"/>
      <c r="D1667" s="282" t="s">
        <v>1671</v>
      </c>
      <c r="E1667" s="282"/>
      <c r="F1667" s="282" t="s">
        <v>1672</v>
      </c>
      <c r="G1667" s="282" t="s">
        <v>9900</v>
      </c>
      <c r="H1667" s="282" t="s">
        <v>9901</v>
      </c>
      <c r="I1667" s="282"/>
      <c r="J1667" s="282"/>
    </row>
    <row r="1668" spans="1:10" x14ac:dyDescent="0.2">
      <c r="A1668" s="93" t="str">
        <f t="shared" ca="1" si="0"/>
        <v>双重失明攻击（全体）</v>
      </c>
      <c r="B1668" s="85" t="s">
        <v>9902</v>
      </c>
      <c r="C1668" s="282"/>
      <c r="D1668" s="282" t="s">
        <v>9903</v>
      </c>
      <c r="E1668" s="282"/>
      <c r="F1668" s="52" t="s">
        <v>9904</v>
      </c>
      <c r="G1668" s="282" t="s">
        <v>9905</v>
      </c>
      <c r="H1668" s="282" t="s">
        <v>9906</v>
      </c>
      <c r="I1668" s="282"/>
      <c r="J1668" s="282"/>
    </row>
    <row r="1669" spans="1:10" x14ac:dyDescent="0.2">
      <c r="A1669" s="93" t="str">
        <f t="shared" ca="1" si="0"/>
        <v>日蚀之钟（全体）</v>
      </c>
      <c r="B1669" s="85" t="s">
        <v>9907</v>
      </c>
      <c r="C1669" s="282"/>
      <c r="D1669" s="282" t="s">
        <v>9908</v>
      </c>
      <c r="E1669" s="282"/>
      <c r="F1669" s="282" t="s">
        <v>9909</v>
      </c>
      <c r="G1669" s="282" t="s">
        <v>9910</v>
      </c>
      <c r="H1669" s="282" t="s">
        <v>9911</v>
      </c>
      <c r="I1669" s="282"/>
      <c r="J1669" s="282"/>
    </row>
    <row r="1670" spans="1:10" x14ac:dyDescent="0.2">
      <c r="A1670" s="93" t="str">
        <f t="shared" ca="1" si="0"/>
        <v>雷击</v>
      </c>
      <c r="B1670" s="85" t="s">
        <v>9912</v>
      </c>
      <c r="C1670" s="282"/>
      <c r="D1670" s="282" t="s">
        <v>9913</v>
      </c>
      <c r="E1670" s="282"/>
      <c r="F1670" s="282" t="s">
        <v>9914</v>
      </c>
      <c r="G1670" s="282" t="s">
        <v>9915</v>
      </c>
      <c r="H1670" s="282" t="s">
        <v>9916</v>
      </c>
      <c r="I1670" s="282"/>
      <c r="J1670" s="282"/>
    </row>
    <row r="1671" spans="1:10" x14ac:dyDescent="0.2">
      <c r="A1671" s="93" t="str">
        <f t="shared" ca="1" si="0"/>
        <v>雷击（全体）</v>
      </c>
      <c r="B1671" s="85" t="s">
        <v>9917</v>
      </c>
      <c r="C1671" s="282"/>
      <c r="D1671" s="282" t="s">
        <v>9918</v>
      </c>
      <c r="E1671" s="282"/>
      <c r="F1671" s="282" t="s">
        <v>9919</v>
      </c>
      <c r="G1671" s="282" t="s">
        <v>9920</v>
      </c>
      <c r="H1671" s="282" t="s">
        <v>9921</v>
      </c>
      <c r="I1671" s="282"/>
      <c r="J1671" s="282"/>
    </row>
    <row r="1672" spans="1:10" x14ac:dyDescent="0.2">
      <c r="A1672" s="93" t="str">
        <f t="shared" ca="1" si="0"/>
        <v>九命弱体针（全体）</v>
      </c>
      <c r="B1672" s="85" t="s">
        <v>9922</v>
      </c>
      <c r="C1672" s="282"/>
      <c r="D1672" s="282" t="s">
        <v>9923</v>
      </c>
      <c r="E1672" s="282"/>
      <c r="F1672" s="282" t="s">
        <v>9924</v>
      </c>
      <c r="G1672" s="282" t="s">
        <v>9925</v>
      </c>
      <c r="H1672" s="282" t="s">
        <v>9926</v>
      </c>
      <c r="I1672" s="282"/>
      <c r="J1672" s="282"/>
    </row>
    <row r="1673" spans="1:10" x14ac:dyDescent="0.2">
      <c r="A1673" s="93" t="str">
        <f t="shared" ca="1" si="0"/>
        <v>捆绑（全体）</v>
      </c>
      <c r="B1673" s="85" t="s">
        <v>9927</v>
      </c>
      <c r="C1673" s="282"/>
      <c r="D1673" s="282" t="s">
        <v>9928</v>
      </c>
      <c r="E1673" s="282"/>
      <c r="F1673" s="282" t="s">
        <v>9929</v>
      </c>
      <c r="G1673" s="282" t="s">
        <v>9930</v>
      </c>
      <c r="H1673" s="282" t="s">
        <v>9931</v>
      </c>
      <c r="I1673" s="282"/>
      <c r="J1673" s="282"/>
    </row>
    <row r="1674" spans="1:10" x14ac:dyDescent="0.2">
      <c r="A1674" s="93" t="str">
        <f t="shared" ca="1" si="0"/>
        <v>怒涛殴打（全体）</v>
      </c>
      <c r="B1674" s="85" t="s">
        <v>9932</v>
      </c>
      <c r="C1674" s="282"/>
      <c r="D1674" s="282" t="s">
        <v>9933</v>
      </c>
      <c r="E1674" s="282"/>
      <c r="F1674" s="282" t="s">
        <v>9934</v>
      </c>
      <c r="G1674" s="282" t="s">
        <v>9935</v>
      </c>
      <c r="H1674" s="282" t="s">
        <v>9936</v>
      </c>
      <c r="I1674" s="282"/>
      <c r="J1674" s="282"/>
    </row>
    <row r="1675" spans="1:10" x14ac:dyDescent="0.2">
      <c r="A1675" s="93" t="str">
        <f t="shared" ca="1" si="0"/>
        <v>暗黑</v>
      </c>
      <c r="B1675" s="85" t="s">
        <v>9937</v>
      </c>
      <c r="C1675" s="282"/>
      <c r="D1675" s="282" t="s">
        <v>9938</v>
      </c>
      <c r="E1675" s="282"/>
      <c r="F1675" s="282" t="s">
        <v>9939</v>
      </c>
      <c r="G1675" s="282" t="s">
        <v>9940</v>
      </c>
      <c r="H1675" s="282" t="s">
        <v>9940</v>
      </c>
      <c r="I1675" s="282"/>
      <c r="J1675" s="282"/>
    </row>
    <row r="1676" spans="1:10" x14ac:dyDescent="0.2">
      <c r="A1676" s="93" t="str">
        <f t="shared" ca="1" si="0"/>
        <v>暗黑（全体）</v>
      </c>
      <c r="B1676" s="85" t="s">
        <v>9941</v>
      </c>
      <c r="C1676" s="282"/>
      <c r="D1676" s="282" t="s">
        <v>9942</v>
      </c>
      <c r="E1676" s="282"/>
      <c r="F1676" s="282" t="s">
        <v>9943</v>
      </c>
      <c r="G1676" s="282" t="s">
        <v>9944</v>
      </c>
      <c r="H1676" s="282" t="s">
        <v>9945</v>
      </c>
      <c r="I1676" s="282"/>
      <c r="J1676" s="282"/>
    </row>
    <row r="1677" spans="1:10" x14ac:dyDescent="0.2">
      <c r="A1677" s="93" t="str">
        <f t="shared" ca="1" si="0"/>
        <v>一气呵成（全体）</v>
      </c>
      <c r="B1677" s="85" t="s">
        <v>9946</v>
      </c>
      <c r="C1677" s="282"/>
      <c r="D1677" s="282" t="s">
        <v>9947</v>
      </c>
      <c r="E1677" s="282"/>
      <c r="F1677" s="52" t="s">
        <v>9948</v>
      </c>
      <c r="G1677" s="282" t="s">
        <v>9949</v>
      </c>
      <c r="H1677" s="282" t="s">
        <v>9950</v>
      </c>
      <c r="I1677" s="282"/>
      <c r="J1677" s="282"/>
    </row>
    <row r="1678" spans="1:10" x14ac:dyDescent="0.2">
      <c r="A1678" s="93" t="str">
        <f t="shared" ca="1" si="0"/>
        <v>冰冻</v>
      </c>
      <c r="B1678" s="85" t="s">
        <v>9951</v>
      </c>
      <c r="C1678" s="282"/>
      <c r="D1678" s="282" t="s">
        <v>9952</v>
      </c>
      <c r="E1678" s="282"/>
      <c r="F1678" s="282" t="s">
        <v>9953</v>
      </c>
      <c r="G1678" s="282" t="s">
        <v>9954</v>
      </c>
      <c r="H1678" s="282" t="s">
        <v>9955</v>
      </c>
      <c r="I1678" s="282"/>
      <c r="J1678" s="282"/>
    </row>
    <row r="1679" spans="1:10" x14ac:dyDescent="0.2">
      <c r="A1679" s="93" t="str">
        <f t="shared" ca="1" si="0"/>
        <v>冰冻（全体）</v>
      </c>
      <c r="B1679" s="85" t="s">
        <v>9956</v>
      </c>
      <c r="C1679" s="282"/>
      <c r="D1679" s="282" t="s">
        <v>9957</v>
      </c>
      <c r="E1679" s="282"/>
      <c r="F1679" s="282" t="s">
        <v>9958</v>
      </c>
      <c r="G1679" s="282" t="s">
        <v>9959</v>
      </c>
      <c r="H1679" s="282" t="s">
        <v>9960</v>
      </c>
      <c r="I1679" s="282"/>
      <c r="J1679" s="282"/>
    </row>
    <row r="1680" spans="1:10" x14ac:dyDescent="0.2">
      <c r="A1680" s="93" t="str">
        <f t="shared" ca="1" si="0"/>
        <v>ＨＰ治疗（大）（全体）</v>
      </c>
      <c r="B1680" s="85" t="s">
        <v>9961</v>
      </c>
      <c r="C1680" s="282"/>
      <c r="D1680" s="282" t="s">
        <v>9962</v>
      </c>
      <c r="E1680" s="282"/>
      <c r="F1680" s="282" t="s">
        <v>9963</v>
      </c>
      <c r="G1680" s="282" t="s">
        <v>9964</v>
      </c>
      <c r="H1680" s="282" t="s">
        <v>9965</v>
      </c>
      <c r="I1680" s="282"/>
      <c r="J1680" s="282"/>
    </row>
    <row r="1681" spans="1:10" x14ac:dyDescent="0.2">
      <c r="A1681" s="93" t="str">
        <f t="shared" ca="1" si="0"/>
        <v>舌头横扫（全体）</v>
      </c>
      <c r="B1681" s="85" t="s">
        <v>9966</v>
      </c>
      <c r="C1681" s="282"/>
      <c r="D1681" s="282" t="s">
        <v>9967</v>
      </c>
      <c r="E1681" s="282"/>
      <c r="F1681" s="282" t="s">
        <v>9968</v>
      </c>
      <c r="G1681" s="282" t="s">
        <v>9969</v>
      </c>
      <c r="H1681" s="282" t="s">
        <v>9970</v>
      </c>
      <c r="I1681" s="282"/>
      <c r="J1681" s="282"/>
    </row>
    <row r="1682" spans="1:10" x14ac:dyDescent="0.2">
      <c r="A1682" s="93" t="str">
        <f t="shared" ca="1" si="0"/>
        <v>理毛（全体）</v>
      </c>
      <c r="B1682" s="85" t="s">
        <v>9971</v>
      </c>
      <c r="C1682" s="282"/>
      <c r="D1682" s="282" t="s">
        <v>9972</v>
      </c>
      <c r="E1682" s="282"/>
      <c r="F1682" s="282" t="s">
        <v>9973</v>
      </c>
      <c r="G1682" s="282" t="s">
        <v>9974</v>
      </c>
      <c r="H1682" s="282" t="s">
        <v>9975</v>
      </c>
      <c r="I1682" s="282"/>
      <c r="J1682" s="282"/>
    </row>
    <row r="1683" spans="1:10" x14ac:dyDescent="0.2">
      <c r="A1683" s="93" t="str">
        <f t="shared" ca="1" si="0"/>
        <v>守护之斧</v>
      </c>
      <c r="B1683" s="85" t="s">
        <v>9976</v>
      </c>
      <c r="C1683" s="282"/>
      <c r="D1683" s="282" t="s">
        <v>9977</v>
      </c>
      <c r="E1683" s="282"/>
      <c r="F1683" s="282" t="s">
        <v>9978</v>
      </c>
      <c r="G1683" s="282" t="s">
        <v>9979</v>
      </c>
      <c r="H1683" s="282" t="s">
        <v>9980</v>
      </c>
      <c r="I1683" s="282"/>
      <c r="J1683" s="282"/>
    </row>
    <row r="1684" spans="1:10" x14ac:dyDescent="0.2">
      <c r="A1684" s="93" t="str">
        <f t="shared" ca="1" si="0"/>
        <v>极恶臭（全体）</v>
      </c>
      <c r="B1684" s="85" t="s">
        <v>9981</v>
      </c>
      <c r="C1684" s="282"/>
      <c r="D1684" s="282" t="s">
        <v>9982</v>
      </c>
      <c r="E1684" s="282"/>
      <c r="F1684" s="52" t="s">
        <v>9983</v>
      </c>
      <c r="G1684" s="282" t="s">
        <v>9984</v>
      </c>
      <c r="H1684" s="282" t="s">
        <v>9985</v>
      </c>
      <c r="I1684" s="282"/>
      <c r="J1684" s="282"/>
    </row>
    <row r="1685" spans="1:10" x14ac:dyDescent="0.2">
      <c r="A1685" s="93" t="str">
        <f t="shared" ca="1" si="0"/>
        <v>高速大突进（全体）</v>
      </c>
      <c r="B1685" s="85" t="s">
        <v>9986</v>
      </c>
      <c r="C1685" s="282"/>
      <c r="D1685" s="282" t="s">
        <v>9987</v>
      </c>
      <c r="E1685" s="282"/>
      <c r="F1685" s="282" t="s">
        <v>9988</v>
      </c>
      <c r="G1685" s="282" t="s">
        <v>9989</v>
      </c>
      <c r="H1685" s="282" t="s">
        <v>9990</v>
      </c>
      <c r="I1685" s="282"/>
      <c r="J1685" s="282"/>
    </row>
    <row r="1686" spans="1:10" x14ac:dyDescent="0.2">
      <c r="A1686" s="93" t="str">
        <f t="shared" ca="1" si="0"/>
        <v>连续冰冻</v>
      </c>
      <c r="B1686" s="85" t="s">
        <v>9991</v>
      </c>
      <c r="C1686" s="282"/>
      <c r="D1686" s="282" t="s">
        <v>9992</v>
      </c>
      <c r="E1686" s="282"/>
      <c r="F1686" s="282" t="s">
        <v>9993</v>
      </c>
      <c r="G1686" s="282" t="s">
        <v>9994</v>
      </c>
      <c r="H1686" s="282" t="s">
        <v>9995</v>
      </c>
      <c r="I1686" s="282"/>
      <c r="J1686" s="282"/>
    </row>
    <row r="1687" spans="1:10" x14ac:dyDescent="0.2">
      <c r="A1687" s="93" t="str">
        <f t="shared" ca="1" si="0"/>
        <v>冰泥（全体）</v>
      </c>
      <c r="B1687" s="85" t="s">
        <v>9996</v>
      </c>
      <c r="C1687" s="282"/>
      <c r="D1687" s="282" t="s">
        <v>9997</v>
      </c>
      <c r="E1687" s="282"/>
      <c r="F1687" s="282" t="s">
        <v>9998</v>
      </c>
      <c r="G1687" s="282" t="s">
        <v>9999</v>
      </c>
      <c r="H1687" s="282" t="s">
        <v>10000</v>
      </c>
      <c r="I1687" s="282"/>
      <c r="J1687" s="282"/>
    </row>
    <row r="1688" spans="1:10" x14ac:dyDescent="0.2">
      <c r="A1688" s="93" t="str">
        <f t="shared" ca="1" si="0"/>
        <v>冰冻之息（全体）</v>
      </c>
      <c r="B1688" s="85" t="s">
        <v>10001</v>
      </c>
      <c r="C1688" s="282"/>
      <c r="D1688" s="282" t="s">
        <v>10002</v>
      </c>
      <c r="E1688" s="282"/>
      <c r="F1688" s="282" t="s">
        <v>10003</v>
      </c>
      <c r="G1688" s="282" t="s">
        <v>10004</v>
      </c>
      <c r="H1688" s="282" t="s">
        <v>10005</v>
      </c>
      <c r="I1688" s="282"/>
      <c r="J1688" s="282"/>
    </row>
    <row r="1689" spans="1:10" x14ac:dyDescent="0.2">
      <c r="A1689" s="93" t="str">
        <f t="shared" ca="1" si="0"/>
        <v>冲击之钟</v>
      </c>
      <c r="B1689" s="85" t="s">
        <v>10006</v>
      </c>
      <c r="C1689" s="282"/>
      <c r="D1689" s="282" t="s">
        <v>10007</v>
      </c>
      <c r="E1689" s="282"/>
      <c r="F1689" s="282" t="s">
        <v>10008</v>
      </c>
      <c r="G1689" s="282" t="s">
        <v>10009</v>
      </c>
      <c r="H1689" s="282" t="s">
        <v>10010</v>
      </c>
      <c r="I1689" s="282"/>
      <c r="J1689" s="282"/>
    </row>
    <row r="1690" spans="1:10" x14ac:dyDescent="0.2">
      <c r="A1690" s="93" t="str">
        <f t="shared" ca="1" si="0"/>
        <v>业火</v>
      </c>
      <c r="B1690" s="85" t="s">
        <v>10011</v>
      </c>
      <c r="C1690" s="282"/>
      <c r="D1690" s="282" t="s">
        <v>10012</v>
      </c>
      <c r="E1690" s="282"/>
      <c r="F1690" s="282" t="s">
        <v>10013</v>
      </c>
      <c r="G1690" s="282" t="s">
        <v>10014</v>
      </c>
      <c r="H1690" s="282" t="s">
        <v>10015</v>
      </c>
      <c r="I1690" s="282"/>
      <c r="J1690" s="282"/>
    </row>
    <row r="1691" spans="1:10" x14ac:dyDescent="0.2">
      <c r="A1691" s="93" t="str">
        <f t="shared" ca="1" si="0"/>
        <v>业火（全体）</v>
      </c>
      <c r="B1691" s="85" t="s">
        <v>10016</v>
      </c>
      <c r="C1691" s="282"/>
      <c r="D1691" s="282" t="s">
        <v>10017</v>
      </c>
      <c r="E1691" s="282"/>
      <c r="F1691" s="282" t="s">
        <v>10018</v>
      </c>
      <c r="G1691" s="282" t="s">
        <v>10019</v>
      </c>
      <c r="H1691" s="282" t="s">
        <v>10020</v>
      </c>
      <c r="I1691" s="282"/>
      <c r="J1691" s="282"/>
    </row>
    <row r="1692" spans="1:10" x14ac:dyDescent="0.2">
      <c r="A1692" s="93" t="str">
        <f t="shared" ca="1" si="0"/>
        <v>惊奇疗愈（全体）</v>
      </c>
      <c r="B1692" s="85" t="s">
        <v>10021</v>
      </c>
      <c r="C1692" s="282"/>
      <c r="D1692" s="282" t="s">
        <v>10022</v>
      </c>
      <c r="E1692" s="282"/>
      <c r="F1692" s="282" t="s">
        <v>10023</v>
      </c>
      <c r="G1692" s="282" t="s">
        <v>10024</v>
      </c>
      <c r="H1692" s="282" t="s">
        <v>10025</v>
      </c>
      <c r="I1692" s="282"/>
      <c r="J1692" s="282"/>
    </row>
    <row r="1693" spans="1:10" x14ac:dyDescent="0.2">
      <c r="A1693" s="93" t="str">
        <f t="shared" ca="1" si="0"/>
        <v>炼狱之钟（全体）</v>
      </c>
      <c r="B1693" s="85" t="s">
        <v>10026</v>
      </c>
      <c r="C1693" s="282"/>
      <c r="D1693" s="282" t="s">
        <v>10027</v>
      </c>
      <c r="E1693" s="282"/>
      <c r="F1693" s="282" t="s">
        <v>10028</v>
      </c>
      <c r="G1693" s="282" t="s">
        <v>10029</v>
      </c>
      <c r="H1693" s="282" t="s">
        <v>10030</v>
      </c>
      <c r="I1693" s="282"/>
      <c r="J1693" s="282"/>
    </row>
    <row r="1694" spans="1:10" x14ac:dyDescent="0.2">
      <c r="A1694" s="93" t="str">
        <f t="shared" ca="1" si="0"/>
        <v>无敌剑击</v>
      </c>
      <c r="B1694" s="85" t="s">
        <v>10031</v>
      </c>
      <c r="C1694" s="282"/>
      <c r="D1694" s="282" t="s">
        <v>10032</v>
      </c>
      <c r="E1694" s="282"/>
      <c r="F1694" s="282" t="s">
        <v>10033</v>
      </c>
      <c r="G1694" s="282" t="s">
        <v>10034</v>
      </c>
      <c r="H1694" s="282" t="s">
        <v>10035</v>
      </c>
      <c r="I1694" s="282"/>
      <c r="J1694" s="282"/>
    </row>
    <row r="1695" spans="1:10" x14ac:dyDescent="0.2">
      <c r="A1695" s="93" t="str">
        <f t="shared" ca="1" si="0"/>
        <v>连续光明</v>
      </c>
      <c r="B1695" s="85" t="s">
        <v>10036</v>
      </c>
      <c r="C1695" s="282"/>
      <c r="D1695" s="282" t="s">
        <v>10037</v>
      </c>
      <c r="E1695" s="282"/>
      <c r="F1695" s="282" t="s">
        <v>10038</v>
      </c>
      <c r="G1695" s="282" t="s">
        <v>10039</v>
      </c>
      <c r="H1695" s="282" t="s">
        <v>10040</v>
      </c>
      <c r="I1695" s="282"/>
      <c r="J1695" s="282"/>
    </row>
    <row r="1696" spans="1:10" x14ac:dyDescent="0.2">
      <c r="A1696" s="93" t="str">
        <f t="shared" ca="1" si="0"/>
        <v>凯特琳魔法</v>
      </c>
      <c r="B1696" s="85" t="s">
        <v>10041</v>
      </c>
      <c r="C1696" s="282"/>
      <c r="D1696" s="282" t="s">
        <v>10042</v>
      </c>
      <c r="E1696" s="282"/>
      <c r="F1696" s="282" t="s">
        <v>10043</v>
      </c>
      <c r="G1696" s="282" t="s">
        <v>10044</v>
      </c>
      <c r="H1696" s="282" t="s">
        <v>10045</v>
      </c>
      <c r="I1696" s="282"/>
      <c r="J1696" s="282"/>
    </row>
    <row r="1697" spans="1:10" x14ac:dyDescent="0.2">
      <c r="A1697" s="93" t="str">
        <f t="shared" ca="1" si="0"/>
        <v>光明</v>
      </c>
      <c r="B1697" s="85" t="s">
        <v>875</v>
      </c>
      <c r="C1697" s="282"/>
      <c r="D1697" s="282" t="s">
        <v>875</v>
      </c>
      <c r="E1697" s="282"/>
      <c r="F1697" s="282" t="s">
        <v>877</v>
      </c>
      <c r="G1697" s="282" t="s">
        <v>10046</v>
      </c>
      <c r="H1697" s="282" t="s">
        <v>10046</v>
      </c>
      <c r="I1697" s="282"/>
      <c r="J1697" s="282"/>
    </row>
    <row r="1698" spans="1:10" x14ac:dyDescent="0.2">
      <c r="A1698" s="93" t="str">
        <f t="shared" ca="1" si="0"/>
        <v>光明（全体）</v>
      </c>
      <c r="B1698" s="85" t="s">
        <v>10047</v>
      </c>
      <c r="C1698" s="282"/>
      <c r="D1698" s="282" t="s">
        <v>10048</v>
      </c>
      <c r="E1698" s="282"/>
      <c r="F1698" s="282" t="s">
        <v>10049</v>
      </c>
      <c r="G1698" s="282" t="s">
        <v>10050</v>
      </c>
      <c r="H1698" s="282" t="s">
        <v>10051</v>
      </c>
      <c r="I1698" s="282"/>
      <c r="J1698" s="282"/>
    </row>
    <row r="1699" spans="1:10" x14ac:dyDescent="0.2">
      <c r="A1699" s="93" t="str">
        <f t="shared" ca="1" si="0"/>
        <v>突进</v>
      </c>
      <c r="B1699" s="85" t="s">
        <v>10052</v>
      </c>
      <c r="C1699" s="282"/>
      <c r="D1699" s="282" t="s">
        <v>10053</v>
      </c>
      <c r="E1699" s="282"/>
      <c r="F1699" s="282" t="s">
        <v>10054</v>
      </c>
      <c r="G1699" s="282" t="s">
        <v>10055</v>
      </c>
      <c r="H1699" s="282" t="s">
        <v>10056</v>
      </c>
      <c r="I1699" s="282"/>
      <c r="J1699" s="282"/>
    </row>
    <row r="1700" spans="1:10" x14ac:dyDescent="0.2">
      <c r="A1700" s="93" t="str">
        <f t="shared" ca="1" si="0"/>
        <v>精神提升</v>
      </c>
      <c r="B1700" s="85" t="s">
        <v>10057</v>
      </c>
      <c r="C1700" s="282"/>
      <c r="D1700" s="282" t="s">
        <v>10058</v>
      </c>
      <c r="E1700" s="282"/>
      <c r="F1700" s="282" t="s">
        <v>10059</v>
      </c>
      <c r="G1700" s="282" t="s">
        <v>10060</v>
      </c>
      <c r="H1700" s="282" t="s">
        <v>10060</v>
      </c>
      <c r="I1700" s="282"/>
      <c r="J1700" s="282"/>
    </row>
    <row r="1701" spans="1:10" x14ac:dyDescent="0.2">
      <c r="A1701" s="93" t="str">
        <f t="shared" ca="1" si="0"/>
        <v>精神提升（全体）</v>
      </c>
      <c r="B1701" s="85" t="s">
        <v>10061</v>
      </c>
      <c r="C1701" s="282"/>
      <c r="D1701" s="282" t="s">
        <v>10062</v>
      </c>
      <c r="E1701" s="282"/>
      <c r="F1701" s="282" t="s">
        <v>10063</v>
      </c>
      <c r="G1701" s="282" t="s">
        <v>10064</v>
      </c>
      <c r="H1701" s="282" t="s">
        <v>10065</v>
      </c>
      <c r="I1701" s="282"/>
      <c r="J1701" s="282"/>
    </row>
    <row r="1702" spans="1:10" x14ac:dyDescent="0.2">
      <c r="A1702" s="93" t="str">
        <f t="shared" ca="1" si="0"/>
        <v>大突进（全体）</v>
      </c>
      <c r="B1702" s="85" t="s">
        <v>10066</v>
      </c>
      <c r="C1702" s="282"/>
      <c r="D1702" s="282" t="s">
        <v>10067</v>
      </c>
      <c r="E1702" s="282"/>
      <c r="F1702" s="282" t="s">
        <v>10068</v>
      </c>
      <c r="G1702" s="282" t="s">
        <v>10069</v>
      </c>
      <c r="H1702" s="282" t="s">
        <v>10070</v>
      </c>
      <c r="I1702" s="282"/>
      <c r="J1702" s="282"/>
    </row>
    <row r="1703" spans="1:10" x14ac:dyDescent="0.2">
      <c r="A1703" s="93" t="str">
        <f t="shared" ca="1" si="0"/>
        <v>斧劈（全体）</v>
      </c>
      <c r="B1703" s="85" t="s">
        <v>10071</v>
      </c>
      <c r="C1703" s="282"/>
      <c r="D1703" s="282" t="s">
        <v>10072</v>
      </c>
      <c r="E1703" s="282"/>
      <c r="F1703" s="282" t="s">
        <v>10073</v>
      </c>
      <c r="G1703" s="282" t="s">
        <v>10074</v>
      </c>
      <c r="H1703" s="282" t="s">
        <v>10075</v>
      </c>
      <c r="I1703" s="282"/>
      <c r="J1703" s="282"/>
    </row>
    <row r="1704" spans="1:10" x14ac:dyDescent="0.2">
      <c r="A1704" s="93" t="str">
        <f t="shared" ca="1" si="0"/>
        <v>连刺（全体）</v>
      </c>
      <c r="B1704" s="85" t="s">
        <v>10076</v>
      </c>
      <c r="C1704" s="282"/>
      <c r="D1704" s="282" t="s">
        <v>10077</v>
      </c>
      <c r="E1704" s="282"/>
      <c r="F1704" s="282" t="s">
        <v>10078</v>
      </c>
      <c r="G1704" s="282" t="s">
        <v>10079</v>
      </c>
      <c r="H1704" s="282" t="s">
        <v>10080</v>
      </c>
      <c r="I1704" s="282"/>
      <c r="J1704" s="282"/>
    </row>
    <row r="1705" spans="1:10" x14ac:dyDescent="0.2">
      <c r="A1705" s="93" t="str">
        <f t="shared" ca="1" si="0"/>
        <v>突进（全体）</v>
      </c>
      <c r="B1705" s="85" t="s">
        <v>10081</v>
      </c>
      <c r="C1705" s="282"/>
      <c r="D1705" s="282" t="s">
        <v>10082</v>
      </c>
      <c r="E1705" s="282"/>
      <c r="F1705" s="282" t="s">
        <v>10083</v>
      </c>
      <c r="G1705" s="282" t="s">
        <v>10084</v>
      </c>
      <c r="H1705" s="282" t="s">
        <v>10085</v>
      </c>
      <c r="I1705" s="282"/>
      <c r="J1705" s="282"/>
    </row>
    <row r="1706" spans="1:10" x14ac:dyDescent="0.2">
      <c r="A1706" s="93" t="str">
        <f t="shared" ca="1" si="0"/>
        <v>抓击（全体）</v>
      </c>
      <c r="B1706" s="85" t="s">
        <v>10086</v>
      </c>
      <c r="C1706" s="282"/>
      <c r="D1706" s="282" t="s">
        <v>10087</v>
      </c>
      <c r="E1706" s="282"/>
      <c r="F1706" s="282" t="s">
        <v>10088</v>
      </c>
      <c r="G1706" s="282" t="s">
        <v>10089</v>
      </c>
      <c r="H1706" s="282" t="s">
        <v>10090</v>
      </c>
      <c r="I1706" s="282"/>
      <c r="J1706" s="282"/>
    </row>
    <row r="1707" spans="1:10" x14ac:dyDescent="0.2">
      <c r="A1707" s="93" t="str">
        <f t="shared" ca="1" si="0"/>
        <v>刺（全体）</v>
      </c>
      <c r="B1707" s="85" t="s">
        <v>10091</v>
      </c>
      <c r="C1707" s="282"/>
      <c r="D1707" s="282" t="s">
        <v>10092</v>
      </c>
      <c r="E1707" s="282"/>
      <c r="F1707" s="282" t="s">
        <v>10093</v>
      </c>
      <c r="G1707" s="282" t="s">
        <v>10094</v>
      </c>
      <c r="H1707" s="282" t="s">
        <v>10095</v>
      </c>
      <c r="I1707" s="282"/>
      <c r="J1707" s="282"/>
    </row>
    <row r="1708" spans="1:10" x14ac:dyDescent="0.2">
      <c r="A1708" s="93" t="str">
        <f t="shared" ca="1" si="0"/>
        <v>千年茸</v>
      </c>
      <c r="B1708" s="85" t="s">
        <v>10096</v>
      </c>
      <c r="C1708" s="282"/>
      <c r="D1708" s="282" t="s">
        <v>10097</v>
      </c>
      <c r="E1708" s="282"/>
      <c r="F1708" s="282" t="s">
        <v>10098</v>
      </c>
      <c r="G1708" s="282" t="s">
        <v>10099</v>
      </c>
      <c r="H1708" s="282" t="s">
        <v>10099</v>
      </c>
      <c r="I1708" s="282"/>
      <c r="J1708" s="282"/>
    </row>
    <row r="1709" spans="1:10" x14ac:dyDescent="0.2">
      <c r="A1709" s="93" t="str">
        <f t="shared" ca="1" si="0"/>
        <v>破防之爪</v>
      </c>
      <c r="B1709" s="85" t="s">
        <v>10100</v>
      </c>
      <c r="C1709" s="282"/>
      <c r="D1709" s="282" t="s">
        <v>10101</v>
      </c>
      <c r="E1709" s="282"/>
      <c r="F1709" s="282" t="s">
        <v>10102</v>
      </c>
      <c r="G1709" s="282" t="s">
        <v>10103</v>
      </c>
      <c r="H1709" s="282" t="s">
        <v>10103</v>
      </c>
      <c r="I1709" s="282"/>
      <c r="J1709" s="282"/>
    </row>
    <row r="1710" spans="1:10" x14ac:dyDescent="0.2">
      <c r="A1710" s="93" t="str">
        <f t="shared" ca="1" si="0"/>
        <v>物理提升</v>
      </c>
      <c r="B1710" s="85" t="s">
        <v>10104</v>
      </c>
      <c r="C1710" s="282"/>
      <c r="D1710" s="282" t="s">
        <v>10105</v>
      </c>
      <c r="E1710" s="282"/>
      <c r="F1710" s="282" t="s">
        <v>10106</v>
      </c>
      <c r="G1710" s="282" t="s">
        <v>10107</v>
      </c>
      <c r="H1710" s="282" t="s">
        <v>10107</v>
      </c>
      <c r="I1710" s="282"/>
      <c r="J1710" s="282"/>
    </row>
    <row r="1711" spans="1:10" x14ac:dyDescent="0.2">
      <c r="A1711" s="93" t="str">
        <f t="shared" ca="1" si="0"/>
        <v>毒针</v>
      </c>
      <c r="B1711" s="85" t="s">
        <v>10108</v>
      </c>
      <c r="C1711" s="282"/>
      <c r="D1711" s="282" t="s">
        <v>10109</v>
      </c>
      <c r="E1711" s="282"/>
      <c r="F1711" s="282" t="s">
        <v>10110</v>
      </c>
      <c r="G1711" s="282" t="s">
        <v>10111</v>
      </c>
      <c r="H1711" s="282" t="s">
        <v>10112</v>
      </c>
      <c r="I1711" s="282"/>
      <c r="J1711" s="282"/>
    </row>
    <row r="1712" spans="1:10" x14ac:dyDescent="0.2">
      <c r="A1712" s="93" t="str">
        <f t="shared" ca="1" si="0"/>
        <v>剧毒攻击</v>
      </c>
      <c r="B1712" s="89" t="s">
        <v>10113</v>
      </c>
      <c r="C1712" s="282"/>
      <c r="D1712" s="282" t="s">
        <v>10114</v>
      </c>
      <c r="E1712" s="282"/>
      <c r="F1712" s="282" t="s">
        <v>10115</v>
      </c>
      <c r="G1712" s="282" t="s">
        <v>10116</v>
      </c>
      <c r="H1712" s="282" t="s">
        <v>10117</v>
      </c>
      <c r="I1712" s="282"/>
      <c r="J1712" s="282"/>
    </row>
    <row r="1713" spans="1:10" x14ac:dyDescent="0.2">
      <c r="A1713" s="93" t="str">
        <f t="shared" ca="1" si="0"/>
        <v>彩虹闪光（全体）</v>
      </c>
      <c r="B1713" s="85" t="s">
        <v>10118</v>
      </c>
      <c r="C1713" s="282"/>
      <c r="D1713" s="282" t="s">
        <v>10119</v>
      </c>
      <c r="E1713" s="282"/>
      <c r="F1713" s="282" t="s">
        <v>10120</v>
      </c>
      <c r="G1713" s="282" t="s">
        <v>10121</v>
      </c>
      <c r="H1713" s="282" t="s">
        <v>10122</v>
      </c>
      <c r="I1713" s="282"/>
      <c r="J1713" s="282"/>
    </row>
    <row r="1714" spans="1:10" x14ac:dyDescent="0.2">
      <c r="A1714" s="93" t="str">
        <f t="shared" ca="1" si="0"/>
        <v>红之黏液</v>
      </c>
      <c r="B1714" s="85" t="s">
        <v>10123</v>
      </c>
      <c r="C1714" s="282"/>
      <c r="D1714" s="282" t="s">
        <v>10124</v>
      </c>
      <c r="E1714" s="282"/>
      <c r="F1714" s="282" t="s">
        <v>10125</v>
      </c>
      <c r="G1714" s="282" t="s">
        <v>10126</v>
      </c>
      <c r="H1714" s="282" t="s">
        <v>10127</v>
      </c>
      <c r="I1714" s="282"/>
      <c r="J1714" s="282"/>
    </row>
    <row r="1715" spans="1:10" x14ac:dyDescent="0.2">
      <c r="A1715" s="93" t="str">
        <f t="shared" ca="1" si="0"/>
        <v>连续鬼突进（全体）</v>
      </c>
      <c r="B1715" s="85" t="s">
        <v>10128</v>
      </c>
      <c r="C1715" s="282"/>
      <c r="D1715" s="282" t="s">
        <v>10129</v>
      </c>
      <c r="E1715" s="282"/>
      <c r="F1715" s="282" t="s">
        <v>10130</v>
      </c>
      <c r="G1715" s="282" t="s">
        <v>10131</v>
      </c>
      <c r="H1715" s="282" t="s">
        <v>10132</v>
      </c>
      <c r="I1715" s="282"/>
      <c r="J1715" s="282"/>
    </row>
    <row r="1716" spans="1:10" x14ac:dyDescent="0.2">
      <c r="A1716" s="93" t="str">
        <f t="shared" ca="1" si="0"/>
        <v>ＨＰ治疗（大）</v>
      </c>
      <c r="B1716" s="85" t="s">
        <v>10133</v>
      </c>
      <c r="C1716" s="282"/>
      <c r="D1716" s="282" t="s">
        <v>10134</v>
      </c>
      <c r="E1716" s="282"/>
      <c r="F1716" s="282" t="s">
        <v>10135</v>
      </c>
      <c r="G1716" s="282" t="s">
        <v>10136</v>
      </c>
      <c r="H1716" s="282" t="s">
        <v>10137</v>
      </c>
      <c r="I1716" s="282"/>
      <c r="J1716" s="282"/>
    </row>
    <row r="1717" spans="1:10" x14ac:dyDescent="0.2">
      <c r="A1717" s="93" t="str">
        <f t="shared" ca="1" si="0"/>
        <v>ＨＰ治疗</v>
      </c>
      <c r="B1717" s="85" t="s">
        <v>10138</v>
      </c>
      <c r="C1717" s="282"/>
      <c r="D1717" s="282" t="s">
        <v>10139</v>
      </c>
      <c r="E1717" s="282"/>
      <c r="F1717" s="282" t="s">
        <v>10140</v>
      </c>
      <c r="G1717" s="282" t="s">
        <v>10141</v>
      </c>
      <c r="H1717" s="282" t="s">
        <v>10142</v>
      </c>
      <c r="I1717" s="282"/>
      <c r="J1717" s="282"/>
    </row>
    <row r="1718" spans="1:10" x14ac:dyDescent="0.2">
      <c r="A1718" s="93" t="str">
        <f t="shared" ca="1" si="0"/>
        <v>反击之斧</v>
      </c>
      <c r="B1718" s="85" t="s">
        <v>10143</v>
      </c>
      <c r="C1718" s="282"/>
      <c r="D1718" s="282" t="s">
        <v>10144</v>
      </c>
      <c r="E1718" s="282"/>
      <c r="F1718" s="282" t="s">
        <v>10145</v>
      </c>
      <c r="G1718" s="282" t="s">
        <v>10146</v>
      </c>
      <c r="H1718" s="282" t="s">
        <v>10147</v>
      </c>
      <c r="I1718" s="282"/>
      <c r="J1718" s="282"/>
    </row>
    <row r="1719" spans="1:10" x14ac:dyDescent="0.2">
      <c r="A1719" s="93" t="str">
        <f t="shared" ca="1" si="0"/>
        <v>反击姿势</v>
      </c>
      <c r="B1719" s="85" t="s">
        <v>10148</v>
      </c>
      <c r="C1719" s="282"/>
      <c r="D1719" s="282" t="s">
        <v>10149</v>
      </c>
      <c r="E1719" s="282"/>
      <c r="F1719" s="282" t="s">
        <v>10150</v>
      </c>
      <c r="G1719" s="282" t="s">
        <v>10151</v>
      </c>
      <c r="H1719" s="282" t="s">
        <v>10152</v>
      </c>
      <c r="I1719" s="282"/>
      <c r="J1719" s="282"/>
    </row>
    <row r="1720" spans="1:10" x14ac:dyDescent="0.2">
      <c r="A1720" s="93" t="str">
        <f t="shared" ca="1" si="0"/>
        <v>夹击（全体）</v>
      </c>
      <c r="B1720" s="85" t="s">
        <v>10153</v>
      </c>
      <c r="C1720" s="282"/>
      <c r="D1720" s="282" t="s">
        <v>10154</v>
      </c>
      <c r="E1720" s="282"/>
      <c r="F1720" s="282" t="s">
        <v>10155</v>
      </c>
      <c r="G1720" s="282" t="s">
        <v>10156</v>
      </c>
      <c r="H1720" s="282" t="s">
        <v>10157</v>
      </c>
      <c r="I1720" s="282"/>
      <c r="J1720" s="282"/>
    </row>
    <row r="1721" spans="1:10" x14ac:dyDescent="0.2">
      <c r="A1721" s="93" t="str">
        <f t="shared" ca="1" si="0"/>
        <v>超级夹击（全体）</v>
      </c>
      <c r="B1721" s="85" t="s">
        <v>10158</v>
      </c>
      <c r="C1721" s="282"/>
      <c r="D1721" s="282" t="s">
        <v>10159</v>
      </c>
      <c r="E1721" s="282"/>
      <c r="F1721" s="52" t="s">
        <v>10160</v>
      </c>
      <c r="G1721" s="85" t="s">
        <v>10161</v>
      </c>
      <c r="H1721" s="282" t="s">
        <v>10162</v>
      </c>
      <c r="I1721" s="282"/>
      <c r="J1721" s="282"/>
    </row>
    <row r="1722" spans="1:10" x14ac:dyDescent="0.2">
      <c r="A1722" s="93" t="str">
        <f t="shared" ca="1" si="0"/>
        <v>连续暗黑</v>
      </c>
      <c r="B1722" s="85" t="s">
        <v>10163</v>
      </c>
      <c r="C1722" s="282"/>
      <c r="D1722" s="282" t="s">
        <v>10164</v>
      </c>
      <c r="E1722" s="282"/>
      <c r="F1722" s="282" t="s">
        <v>10165</v>
      </c>
      <c r="G1722" s="282" t="s">
        <v>10166</v>
      </c>
      <c r="H1722" s="282" t="s">
        <v>10167</v>
      </c>
      <c r="I1722" s="282"/>
      <c r="J1722" s="282"/>
    </row>
    <row r="1723" spans="1:10" x14ac:dyDescent="0.2">
      <c r="A1723" s="93" t="str">
        <f t="shared" ca="1" si="0"/>
        <v>锐利抓击（全体）</v>
      </c>
      <c r="B1723" s="85" t="s">
        <v>10168</v>
      </c>
      <c r="C1723" s="282"/>
      <c r="D1723" s="282" t="s">
        <v>10169</v>
      </c>
      <c r="E1723" s="282"/>
      <c r="F1723" s="282" t="s">
        <v>10170</v>
      </c>
      <c r="G1723" s="282" t="s">
        <v>10171</v>
      </c>
      <c r="H1723" s="282" t="s">
        <v>10172</v>
      </c>
      <c r="I1723" s="282"/>
      <c r="J1723" s="282"/>
    </row>
    <row r="1724" spans="1:10" x14ac:dyDescent="0.2">
      <c r="A1724" s="93" t="str">
        <f t="shared" ca="1" si="0"/>
        <v>连续雷击</v>
      </c>
      <c r="B1724" s="85" t="s">
        <v>10173</v>
      </c>
      <c r="C1724" s="282"/>
      <c r="D1724" s="282" t="s">
        <v>10174</v>
      </c>
      <c r="E1724" s="282"/>
      <c r="F1724" s="282" t="s">
        <v>10175</v>
      </c>
      <c r="G1724" s="282" t="s">
        <v>10176</v>
      </c>
      <c r="H1724" s="282" t="s">
        <v>10177</v>
      </c>
      <c r="I1724" s="282"/>
      <c r="J1724" s="282"/>
    </row>
    <row r="1725" spans="1:10" x14ac:dyDescent="0.2">
      <c r="A1725" s="93" t="str">
        <f t="shared" ca="1" si="0"/>
        <v>针</v>
      </c>
      <c r="B1725" s="85" t="s">
        <v>10178</v>
      </c>
      <c r="C1725" s="282"/>
      <c r="D1725" s="282" t="s">
        <v>10179</v>
      </c>
      <c r="E1725" s="282"/>
      <c r="F1725" s="282" t="s">
        <v>10180</v>
      </c>
      <c r="G1725" s="282" t="s">
        <v>10181</v>
      </c>
      <c r="H1725" s="282" t="s">
        <v>10182</v>
      </c>
      <c r="I1725" s="282"/>
      <c r="J1725" s="282"/>
    </row>
    <row r="1726" spans="1:10" x14ac:dyDescent="0.2">
      <c r="A1726" s="93" t="str">
        <f t="shared" ca="1" si="0"/>
        <v>抓击</v>
      </c>
      <c r="B1726" s="85" t="s">
        <v>10183</v>
      </c>
      <c r="C1726" s="51" t="s">
        <v>10184</v>
      </c>
      <c r="D1726" s="282" t="s">
        <v>10185</v>
      </c>
      <c r="E1726" s="282"/>
      <c r="F1726" s="282" t="s">
        <v>10186</v>
      </c>
      <c r="G1726" s="282" t="s">
        <v>10187</v>
      </c>
      <c r="H1726" s="282" t="s">
        <v>10188</v>
      </c>
      <c r="I1726" s="282"/>
      <c r="J1726" s="282"/>
    </row>
    <row r="1727" spans="1:10" x14ac:dyDescent="0.2">
      <c r="A1727" s="93" t="str">
        <f t="shared" ca="1" si="0"/>
        <v>睡眠波（全体）</v>
      </c>
      <c r="B1727" s="85" t="s">
        <v>10189</v>
      </c>
      <c r="C1727" s="282"/>
      <c r="D1727" s="282" t="s">
        <v>10190</v>
      </c>
      <c r="E1727" s="282"/>
      <c r="F1727" s="282" t="s">
        <v>10191</v>
      </c>
      <c r="G1727" s="282" t="s">
        <v>10192</v>
      </c>
      <c r="H1727" s="282" t="s">
        <v>10193</v>
      </c>
      <c r="I1727" s="282"/>
      <c r="J1727" s="282"/>
    </row>
    <row r="1728" spans="1:10" x14ac:dyDescent="0.2">
      <c r="A1728" s="93" t="str">
        <f t="shared" ca="1" si="0"/>
        <v>太能光能射线之钟（全体）</v>
      </c>
      <c r="B1728" s="85" t="s">
        <v>10194</v>
      </c>
      <c r="C1728" s="282"/>
      <c r="D1728" s="282" t="s">
        <v>10195</v>
      </c>
      <c r="E1728" s="282"/>
      <c r="F1728" s="282" t="s">
        <v>10196</v>
      </c>
      <c r="G1728" s="282" t="s">
        <v>10197</v>
      </c>
      <c r="H1728" s="282" t="s">
        <v>10198</v>
      </c>
      <c r="I1728" s="282"/>
      <c r="J1728" s="282"/>
    </row>
    <row r="1729" spans="1:10" x14ac:dyDescent="0.2">
      <c r="A1729" s="93" t="str">
        <f t="shared" ca="1" si="0"/>
        <v>睡眠之爪</v>
      </c>
      <c r="B1729" s="85" t="s">
        <v>10199</v>
      </c>
      <c r="C1729" s="282"/>
      <c r="D1729" s="282" t="s">
        <v>10200</v>
      </c>
      <c r="E1729" s="282"/>
      <c r="F1729" s="282" t="s">
        <v>10201</v>
      </c>
      <c r="G1729" s="282" t="s">
        <v>10202</v>
      </c>
      <c r="H1729" s="282" t="s">
        <v>10202</v>
      </c>
      <c r="I1729" s="282"/>
      <c r="J1729" s="282"/>
    </row>
    <row r="1730" spans="1:10" x14ac:dyDescent="0.2">
      <c r="A1730" s="93" t="str">
        <f t="shared" ca="1" si="0"/>
        <v>睡眠之牙</v>
      </c>
      <c r="B1730" s="85" t="s">
        <v>10203</v>
      </c>
      <c r="C1730" s="282"/>
      <c r="D1730" s="282" t="s">
        <v>10204</v>
      </c>
      <c r="E1730" s="282"/>
      <c r="F1730" s="282" t="s">
        <v>10205</v>
      </c>
      <c r="G1730" s="282" t="s">
        <v>10206</v>
      </c>
      <c r="H1730" s="282" t="s">
        <v>10206</v>
      </c>
      <c r="I1730" s="282"/>
      <c r="J1730" s="282"/>
    </row>
    <row r="1731" spans="1:10" x14ac:dyDescent="0.2">
      <c r="A1731" s="93" t="str">
        <f t="shared" ca="1" si="0"/>
        <v>睡眠之牙（全体）</v>
      </c>
      <c r="B1731" s="85" t="s">
        <v>10207</v>
      </c>
      <c r="C1731" s="282"/>
      <c r="D1731" s="282" t="s">
        <v>10208</v>
      </c>
      <c r="E1731" s="282"/>
      <c r="F1731" s="282" t="s">
        <v>10209</v>
      </c>
      <c r="G1731" s="282" t="s">
        <v>10210</v>
      </c>
      <c r="H1731" s="282" t="s">
        <v>10211</v>
      </c>
      <c r="I1731" s="282"/>
      <c r="J1731" s="282"/>
    </row>
    <row r="1732" spans="1:10" x14ac:dyDescent="0.2">
      <c r="A1732" s="93" t="str">
        <f t="shared" ca="1" si="0"/>
        <v>睡眠之雾（全体）</v>
      </c>
      <c r="B1732" s="85" t="s">
        <v>10212</v>
      </c>
      <c r="C1732" s="282"/>
      <c r="D1732" s="282" t="s">
        <v>10213</v>
      </c>
      <c r="E1732" s="282"/>
      <c r="F1732" s="282" t="s">
        <v>10214</v>
      </c>
      <c r="G1732" s="282" t="s">
        <v>10215</v>
      </c>
      <c r="H1732" s="282" t="s">
        <v>10216</v>
      </c>
      <c r="I1732" s="282"/>
      <c r="J1732" s="282"/>
    </row>
    <row r="1733" spans="1:10" x14ac:dyDescent="0.2">
      <c r="A1733" s="93" t="str">
        <f t="shared" ca="1" si="0"/>
        <v>睡眠之针（全体）</v>
      </c>
      <c r="B1733" s="85" t="s">
        <v>10217</v>
      </c>
      <c r="C1733" s="282"/>
      <c r="D1733" s="282" t="s">
        <v>10218</v>
      </c>
      <c r="E1733" s="282"/>
      <c r="F1733" s="282" t="s">
        <v>10219</v>
      </c>
      <c r="G1733" s="282" t="s">
        <v>10220</v>
      </c>
      <c r="H1733" s="282" t="s">
        <v>10221</v>
      </c>
      <c r="I1733" s="282"/>
      <c r="J1733" s="282"/>
    </row>
    <row r="1734" spans="1:10" x14ac:dyDescent="0.2">
      <c r="A1734" s="93" t="str">
        <f t="shared" ca="1" si="0"/>
        <v>睡眠攻击（全体）</v>
      </c>
      <c r="B1734" s="85" t="s">
        <v>10222</v>
      </c>
      <c r="C1734" s="282"/>
      <c r="D1734" s="282" t="s">
        <v>10223</v>
      </c>
      <c r="E1734" s="282"/>
      <c r="F1734" s="282" t="s">
        <v>10224</v>
      </c>
      <c r="G1734" s="282" t="s">
        <v>10225</v>
      </c>
      <c r="H1734" s="282" t="s">
        <v>10226</v>
      </c>
      <c r="I1734" s="282"/>
      <c r="J1734" s="282"/>
    </row>
    <row r="1735" spans="1:10" x14ac:dyDescent="0.2">
      <c r="A1735" s="93" t="str">
        <f t="shared" ca="1" si="0"/>
        <v>睡眠之风</v>
      </c>
      <c r="B1735" s="85" t="s">
        <v>10227</v>
      </c>
      <c r="C1735" s="282"/>
      <c r="D1735" s="282" t="s">
        <v>10228</v>
      </c>
      <c r="E1735" s="282"/>
      <c r="F1735" s="282" t="s">
        <v>10229</v>
      </c>
      <c r="G1735" s="282" t="s">
        <v>10230</v>
      </c>
      <c r="H1735" s="282" t="s">
        <v>10231</v>
      </c>
      <c r="I1735" s="282"/>
      <c r="J1735" s="282"/>
    </row>
    <row r="1736" spans="1:10" x14ac:dyDescent="0.2">
      <c r="A1736" s="93" t="str">
        <f t="shared" ca="1" si="0"/>
        <v>咬噬</v>
      </c>
      <c r="B1736" s="85" t="s">
        <v>10232</v>
      </c>
      <c r="C1736" s="282" t="s">
        <v>10233</v>
      </c>
      <c r="D1736" s="282" t="s">
        <v>10234</v>
      </c>
      <c r="E1736" s="282"/>
      <c r="F1736" s="282" t="s">
        <v>10235</v>
      </c>
      <c r="G1736" s="282" t="s">
        <v>9766</v>
      </c>
      <c r="H1736" s="282" t="s">
        <v>9766</v>
      </c>
      <c r="I1736" s="282"/>
      <c r="J1736" s="282"/>
    </row>
    <row r="1737" spans="1:10" x14ac:dyDescent="0.2">
      <c r="A1737" s="93" t="str">
        <f t="shared" ca="1" si="0"/>
        <v>防御力提升</v>
      </c>
      <c r="B1737" s="85" t="s">
        <v>10236</v>
      </c>
      <c r="C1737" s="282"/>
      <c r="D1737" s="282" t="s">
        <v>10237</v>
      </c>
      <c r="E1737" s="282"/>
      <c r="F1737" s="282" t="s">
        <v>10238</v>
      </c>
      <c r="G1737" s="282" t="s">
        <v>10239</v>
      </c>
      <c r="H1737" s="282" t="s">
        <v>10240</v>
      </c>
      <c r="I1737" s="282"/>
      <c r="J1737" s="282"/>
    </row>
    <row r="1738" spans="1:10" x14ac:dyDescent="0.2">
      <c r="A1738" s="93" t="str">
        <f t="shared" ca="1" si="0"/>
        <v>物攻连续剑舞</v>
      </c>
      <c r="B1738" s="85" t="s">
        <v>10241</v>
      </c>
      <c r="C1738" s="282"/>
      <c r="D1738" s="282" t="s">
        <v>10242</v>
      </c>
      <c r="E1738" s="282"/>
      <c r="F1738" s="282" t="s">
        <v>10243</v>
      </c>
      <c r="G1738" s="282" t="s">
        <v>10244</v>
      </c>
      <c r="H1738" s="282" t="s">
        <v>10245</v>
      </c>
      <c r="I1738" s="282"/>
      <c r="J1738" s="282"/>
    </row>
    <row r="1739" spans="1:10" x14ac:dyDescent="0.2">
      <c r="A1739" s="93" t="str">
        <f t="shared" ca="1" si="0"/>
        <v>凯特琳魔法ＥＸ</v>
      </c>
      <c r="B1739" s="85" t="s">
        <v>10246</v>
      </c>
      <c r="C1739" s="282"/>
      <c r="D1739" s="282" t="s">
        <v>10247</v>
      </c>
      <c r="E1739" s="282"/>
      <c r="F1739" s="282" t="s">
        <v>10248</v>
      </c>
      <c r="G1739" s="282" t="s">
        <v>10249</v>
      </c>
      <c r="H1739" s="282" t="s">
        <v>10250</v>
      </c>
      <c r="I1739" s="282"/>
      <c r="J1739" s="282"/>
    </row>
    <row r="1740" spans="1:10" x14ac:dyDescent="0.2">
      <c r="A1740" s="93" t="str">
        <f t="shared" ca="1" si="0"/>
        <v>连续铁壁剑舞</v>
      </c>
      <c r="B1740" s="85" t="s">
        <v>10251</v>
      </c>
      <c r="C1740" s="282"/>
      <c r="D1740" s="282" t="s">
        <v>10252</v>
      </c>
      <c r="E1740" s="282"/>
      <c r="F1740" s="282" t="s">
        <v>10253</v>
      </c>
      <c r="G1740" s="282" t="s">
        <v>10254</v>
      </c>
      <c r="H1740" s="282" t="s">
        <v>10255</v>
      </c>
      <c r="I1740" s="282"/>
      <c r="J1740" s="282"/>
    </row>
    <row r="1741" spans="1:10" x14ac:dyDescent="0.2">
      <c r="A1741" s="93" t="str">
        <f t="shared" ca="1" si="0"/>
        <v>暴风雨之钟（全体）</v>
      </c>
      <c r="B1741" s="85" t="s">
        <v>10256</v>
      </c>
      <c r="C1741" s="282"/>
      <c r="D1741" s="282" t="s">
        <v>10257</v>
      </c>
      <c r="E1741" s="282"/>
      <c r="F1741" s="282" t="s">
        <v>10258</v>
      </c>
      <c r="G1741" s="282" t="s">
        <v>10259</v>
      </c>
      <c r="H1741" s="282" t="s">
        <v>10260</v>
      </c>
      <c r="I1741" s="282"/>
      <c r="J1741" s="282"/>
    </row>
    <row r="1742" spans="1:10" x14ac:dyDescent="0.2">
      <c r="A1742" s="93" t="str">
        <f t="shared" ca="1" si="0"/>
        <v>镰鼬</v>
      </c>
      <c r="B1742" s="85" t="s">
        <v>10261</v>
      </c>
      <c r="C1742" s="282"/>
      <c r="D1742" s="282" t="s">
        <v>10262</v>
      </c>
      <c r="E1742" s="282"/>
      <c r="F1742" s="282" t="s">
        <v>10263</v>
      </c>
      <c r="G1742" s="282" t="s">
        <v>10264</v>
      </c>
      <c r="H1742" s="282" t="s">
        <v>10265</v>
      </c>
      <c r="I1742" s="282"/>
      <c r="J1742" s="282"/>
    </row>
    <row r="1743" spans="1:10" x14ac:dyDescent="0.2">
      <c r="A1743" s="93" t="str">
        <f t="shared" ca="1" si="0"/>
        <v>剧毒之冰</v>
      </c>
      <c r="B1743" s="85" t="s">
        <v>10266</v>
      </c>
      <c r="C1743" s="282"/>
      <c r="D1743" s="282" t="s">
        <v>10267</v>
      </c>
      <c r="E1743" s="282"/>
      <c r="F1743" s="282" t="s">
        <v>10268</v>
      </c>
      <c r="G1743" s="282" t="s">
        <v>10269</v>
      </c>
      <c r="H1743" s="282" t="s">
        <v>10270</v>
      </c>
      <c r="I1743" s="282"/>
      <c r="J1743" s="282"/>
    </row>
    <row r="1744" spans="1:10" x14ac:dyDescent="0.2">
      <c r="A1744" s="93" t="str">
        <f t="shared" ca="1" si="0"/>
        <v>剧毒之雾（全体）</v>
      </c>
      <c r="B1744" s="85" t="s">
        <v>10271</v>
      </c>
      <c r="C1744" s="282"/>
      <c r="D1744" s="282" t="s">
        <v>10272</v>
      </c>
      <c r="E1744" s="282"/>
      <c r="F1744" s="282" t="s">
        <v>10273</v>
      </c>
      <c r="G1744" s="282" t="s">
        <v>10274</v>
      </c>
      <c r="H1744" s="282" t="s">
        <v>10275</v>
      </c>
      <c r="I1744" s="282"/>
      <c r="J1744" s="282"/>
    </row>
    <row r="1745" spans="1:10" x14ac:dyDescent="0.2">
      <c r="A1745" s="93" t="str">
        <f t="shared" ca="1" si="0"/>
        <v>剧毒之风</v>
      </c>
      <c r="B1745" s="85" t="s">
        <v>10276</v>
      </c>
      <c r="C1745" s="282"/>
      <c r="D1745" s="282" t="s">
        <v>10277</v>
      </c>
      <c r="E1745" s="282"/>
      <c r="F1745" s="282" t="s">
        <v>10278</v>
      </c>
      <c r="G1745" s="282" t="s">
        <v>10279</v>
      </c>
      <c r="H1745" s="282" t="s">
        <v>10280</v>
      </c>
      <c r="I1745" s="282"/>
      <c r="J1745" s="282"/>
    </row>
    <row r="1746" spans="1:10" x14ac:dyDescent="0.2">
      <c r="A1746" s="93" t="str">
        <f t="shared" ca="1" si="0"/>
        <v>战斗ｘ３</v>
      </c>
      <c r="B1746" s="85" t="s">
        <v>10281</v>
      </c>
      <c r="C1746" s="51" t="s">
        <v>10282</v>
      </c>
      <c r="D1746" s="282" t="s">
        <v>10283</v>
      </c>
      <c r="E1746" s="282"/>
      <c r="F1746" s="282" t="s">
        <v>10284</v>
      </c>
      <c r="G1746" s="282" t="s">
        <v>10285</v>
      </c>
      <c r="H1746" s="282" t="s">
        <v>10286</v>
      </c>
      <c r="I1746" s="282"/>
      <c r="J1746" s="282"/>
    </row>
    <row r="1747" spans="1:10" x14ac:dyDescent="0.2">
      <c r="A1747" s="93" t="str">
        <f t="shared" ca="1" si="0"/>
        <v>战斗ｘ３（全体）</v>
      </c>
      <c r="B1747" s="85" t="s">
        <v>10287</v>
      </c>
      <c r="C1747" s="282"/>
      <c r="D1747" s="282" t="s">
        <v>10288</v>
      </c>
      <c r="E1747" s="282"/>
      <c r="F1747" s="282" t="s">
        <v>10289</v>
      </c>
      <c r="G1747" s="282" t="s">
        <v>10290</v>
      </c>
      <c r="H1747" s="282" t="s">
        <v>10291</v>
      </c>
      <c r="I1747" s="282"/>
      <c r="J1747" s="282"/>
    </row>
    <row r="1748" spans="1:10" x14ac:dyDescent="0.2">
      <c r="A1748" s="93" t="str">
        <f t="shared" ca="1" si="0"/>
        <v>剧毒之爪（全体）</v>
      </c>
      <c r="B1748" s="85" t="s">
        <v>10292</v>
      </c>
      <c r="C1748" s="282"/>
      <c r="D1748" s="282" t="s">
        <v>10293</v>
      </c>
      <c r="E1748" s="282"/>
      <c r="F1748" s="282" t="s">
        <v>10294</v>
      </c>
      <c r="G1748" s="282" t="s">
        <v>10295</v>
      </c>
      <c r="H1748" s="282" t="s">
        <v>10296</v>
      </c>
      <c r="I1748" s="282"/>
      <c r="J1748" s="282"/>
    </row>
    <row r="1749" spans="1:10" x14ac:dyDescent="0.2">
      <c r="A1749" s="93" t="str">
        <f t="shared" ca="1" si="0"/>
        <v>毒牙</v>
      </c>
      <c r="B1749" s="85" t="s">
        <v>10297</v>
      </c>
      <c r="C1749" s="282"/>
      <c r="D1749" s="282" t="s">
        <v>10298</v>
      </c>
      <c r="E1749" s="282"/>
      <c r="F1749" s="282" t="s">
        <v>10299</v>
      </c>
      <c r="G1749" s="282" t="s">
        <v>10300</v>
      </c>
      <c r="H1749" s="282" t="s">
        <v>10300</v>
      </c>
      <c r="I1749" s="282"/>
      <c r="J1749" s="282"/>
    </row>
    <row r="1750" spans="1:10" x14ac:dyDescent="0.2">
      <c r="A1750" s="93" t="str">
        <f t="shared" ca="1" si="0"/>
        <v>强黏液</v>
      </c>
      <c r="B1750" s="85" t="s">
        <v>10301</v>
      </c>
      <c r="C1750" s="282"/>
      <c r="D1750" s="282" t="s">
        <v>10302</v>
      </c>
      <c r="E1750" s="282"/>
      <c r="F1750" s="282" t="s">
        <v>10303</v>
      </c>
      <c r="G1750" s="282" t="s">
        <v>10304</v>
      </c>
      <c r="H1750" s="282" t="s">
        <v>10305</v>
      </c>
      <c r="I1750" s="282"/>
      <c r="J1750" s="282"/>
    </row>
    <row r="1751" spans="1:10" x14ac:dyDescent="0.2">
      <c r="A1751" s="93" t="str">
        <f t="shared" ca="1" si="0"/>
        <v>死亡云雾（全体）</v>
      </c>
      <c r="B1751" s="85" t="s">
        <v>10306</v>
      </c>
      <c r="C1751" s="282"/>
      <c r="D1751" s="282" t="s">
        <v>10307</v>
      </c>
      <c r="E1751" s="282"/>
      <c r="F1751" s="52" t="s">
        <v>10308</v>
      </c>
      <c r="G1751" s="282" t="s">
        <v>10309</v>
      </c>
      <c r="H1751" s="282" t="s">
        <v>10310</v>
      </c>
      <c r="I1751" s="282"/>
      <c r="J1751" s="282"/>
    </row>
    <row r="1752" spans="1:10" x14ac:dyDescent="0.2">
      <c r="A1752" s="93" t="str">
        <f t="shared" ca="1" si="0"/>
        <v>漩涡暴击之钟（全体）</v>
      </c>
      <c r="B1752" s="85" t="s">
        <v>10311</v>
      </c>
      <c r="C1752" s="282"/>
      <c r="D1752" s="282" t="s">
        <v>10312</v>
      </c>
      <c r="E1752" s="282"/>
      <c r="F1752" s="282" t="s">
        <v>10313</v>
      </c>
      <c r="G1752" s="282" t="s">
        <v>10314</v>
      </c>
      <c r="H1752" s="282" t="s">
        <v>10315</v>
      </c>
      <c r="I1752" s="282"/>
      <c r="J1752" s="282"/>
    </row>
    <row r="1753" spans="1:10" x14ac:dyDescent="0.2">
      <c r="A1753" s="93" t="str">
        <f t="shared" ca="1" si="0"/>
        <v>防护雷击</v>
      </c>
      <c r="B1753" s="85" t="s">
        <v>10316</v>
      </c>
      <c r="C1753" s="282"/>
      <c r="D1753" s="282" t="s">
        <v>10317</v>
      </c>
      <c r="E1753" s="282"/>
      <c r="F1753" s="282" t="s">
        <v>10318</v>
      </c>
      <c r="G1753" s="282" t="s">
        <v>10319</v>
      </c>
      <c r="H1753" s="282" t="s">
        <v>10320</v>
      </c>
      <c r="I1753" s="282"/>
      <c r="J1753" s="282"/>
    </row>
    <row r="1754" spans="1:10" x14ac:dyDescent="0.2">
      <c r="A1754" s="93" t="str">
        <f t="shared" ca="1" si="0"/>
        <v>乱抓击（全体）</v>
      </c>
      <c r="B1754" s="85" t="s">
        <v>10321</v>
      </c>
      <c r="C1754" s="282"/>
      <c r="D1754" s="282" t="s">
        <v>10322</v>
      </c>
      <c r="E1754" s="282"/>
      <c r="F1754" s="52" t="s">
        <v>10323</v>
      </c>
      <c r="G1754" s="282" t="s">
        <v>10324</v>
      </c>
      <c r="H1754" s="282" t="s">
        <v>10325</v>
      </c>
      <c r="I1754" s="282"/>
      <c r="J1754" s="282"/>
    </row>
    <row r="1755" spans="1:10" x14ac:dyDescent="0.2">
      <c r="A1755" s="93" t="str">
        <f t="shared" ca="1" si="0"/>
        <v>风斩</v>
      </c>
      <c r="B1755" s="85" t="s">
        <v>10326</v>
      </c>
      <c r="C1755" s="282"/>
      <c r="D1755" s="282" t="s">
        <v>10327</v>
      </c>
      <c r="E1755" s="282"/>
      <c r="F1755" s="282" t="s">
        <v>10328</v>
      </c>
      <c r="G1755" s="282" t="s">
        <v>10329</v>
      </c>
      <c r="H1755" s="282" t="s">
        <v>10330</v>
      </c>
      <c r="I1755" s="282"/>
      <c r="J1755" s="282"/>
    </row>
    <row r="1756" spans="1:10" x14ac:dyDescent="0.2">
      <c r="A1756" s="93" t="str">
        <f t="shared" ca="1" si="0"/>
        <v>风斩（全体）</v>
      </c>
      <c r="B1756" s="85" t="s">
        <v>10331</v>
      </c>
      <c r="C1756" s="282"/>
      <c r="D1756" s="282" t="s">
        <v>10332</v>
      </c>
      <c r="E1756" s="282"/>
      <c r="F1756" s="282" t="s">
        <v>10333</v>
      </c>
      <c r="G1756" s="282" t="s">
        <v>10334</v>
      </c>
      <c r="H1756" s="282" t="s">
        <v>10335</v>
      </c>
      <c r="I1756" s="282"/>
      <c r="J1756" s="282"/>
    </row>
    <row r="1757" spans="1:10" x14ac:dyDescent="0.2">
      <c r="A1757" s="93" t="str">
        <f t="shared" ca="1" si="0"/>
        <v>全力狂暴（全体）</v>
      </c>
      <c r="B1757" s="85" t="s">
        <v>10336</v>
      </c>
      <c r="C1757" s="282"/>
      <c r="D1757" s="282" t="s">
        <v>10337</v>
      </c>
      <c r="E1757" s="282"/>
      <c r="F1757" s="282" t="s">
        <v>10338</v>
      </c>
      <c r="G1757" s="282" t="s">
        <v>10339</v>
      </c>
      <c r="H1757" s="282" t="s">
        <v>10340</v>
      </c>
      <c r="I1757" s="282"/>
      <c r="J1757" s="282"/>
    </row>
    <row r="1758" spans="1:10" x14ac:dyDescent="0.2">
      <c r="A1758" s="79" t="str">
        <f t="shared" ca="1" si="0"/>
        <v>NPC</v>
      </c>
      <c r="B1758" s="79" t="s">
        <v>114</v>
      </c>
      <c r="C1758" s="79" t="s">
        <v>114</v>
      </c>
      <c r="D1758" s="252" t="s">
        <v>114</v>
      </c>
      <c r="E1758" s="252"/>
      <c r="F1758" s="252"/>
      <c r="G1758" s="252" t="s">
        <v>114</v>
      </c>
      <c r="H1758" s="252" t="s">
        <v>114</v>
      </c>
      <c r="I1758" s="252"/>
      <c r="J1758" s="252"/>
    </row>
    <row r="1759" spans="1:10" x14ac:dyDescent="0.2">
      <c r="A1759" s="93" t="str">
        <f t="shared" ca="1" si="0"/>
        <v>成就的老人</v>
      </c>
      <c r="B1759" s="24" t="s">
        <v>10341</v>
      </c>
      <c r="C1759" s="282"/>
      <c r="D1759" s="282" t="s">
        <v>10342</v>
      </c>
      <c r="E1759" s="282"/>
      <c r="F1759" s="282" t="s">
        <v>10343</v>
      </c>
      <c r="G1759" s="282" t="s">
        <v>10344</v>
      </c>
      <c r="H1759" s="282" t="s">
        <v>10344</v>
      </c>
      <c r="I1759" s="282"/>
      <c r="J1759" s="282" t="s">
        <v>10345</v>
      </c>
    </row>
    <row r="1760" spans="1:10" x14ac:dyDescent="0.2">
      <c r="A1760" s="93" t="str">
        <f t="shared" ca="1" si="0"/>
        <v>被怀疑的男子</v>
      </c>
      <c r="B1760" s="138" t="s">
        <v>10346</v>
      </c>
      <c r="C1760" s="282" t="s">
        <v>10347</v>
      </c>
      <c r="D1760" s="282" t="s">
        <v>10348</v>
      </c>
      <c r="E1760" s="282"/>
      <c r="F1760" s="52" t="s">
        <v>10349</v>
      </c>
      <c r="G1760" s="282" t="s">
        <v>10350</v>
      </c>
      <c r="H1760" s="282" t="s">
        <v>10351</v>
      </c>
      <c r="I1760" s="282"/>
      <c r="J1760" s="282" t="s">
        <v>10352</v>
      </c>
    </row>
    <row r="1761" spans="1:10" x14ac:dyDescent="0.2">
      <c r="A1761" s="93" t="str">
        <f t="shared" ca="1" si="0"/>
        <v>流浪女艺人</v>
      </c>
      <c r="B1761" s="38" t="s">
        <v>10353</v>
      </c>
      <c r="C1761" s="282" t="s">
        <v>10354</v>
      </c>
      <c r="D1761" s="282" t="s">
        <v>10355</v>
      </c>
      <c r="E1761" s="282"/>
      <c r="F1761" s="282" t="s">
        <v>10356</v>
      </c>
      <c r="G1761" s="282" t="s">
        <v>10357</v>
      </c>
      <c r="H1761" s="282" t="s">
        <v>10358</v>
      </c>
      <c r="I1761" s="282"/>
      <c r="J1761" s="282"/>
    </row>
    <row r="1762" spans="1:10" x14ac:dyDescent="0.2">
      <c r="A1762" s="93" t="str">
        <f t="shared" ca="1" si="0"/>
        <v>给人好印象的古董商</v>
      </c>
      <c r="B1762" s="24" t="s">
        <v>10359</v>
      </c>
      <c r="C1762" s="282"/>
      <c r="D1762" s="282" t="s">
        <v>10360</v>
      </c>
      <c r="E1762" s="282"/>
      <c r="F1762" s="282" t="s">
        <v>10361</v>
      </c>
      <c r="G1762" s="282" t="s">
        <v>10362</v>
      </c>
      <c r="H1762" s="282" t="s">
        <v>10363</v>
      </c>
      <c r="I1762" s="282"/>
      <c r="J1762" s="282" t="s">
        <v>10364</v>
      </c>
    </row>
    <row r="1763" spans="1:10" x14ac:dyDescent="0.2">
      <c r="A1763" s="93" t="str">
        <f t="shared" ca="1" si="0"/>
        <v>爽朗的行商人</v>
      </c>
      <c r="B1763" s="38" t="s">
        <v>10365</v>
      </c>
      <c r="C1763" s="282"/>
      <c r="D1763" s="282" t="s">
        <v>10366</v>
      </c>
      <c r="E1763" s="282"/>
      <c r="F1763" s="282" t="s">
        <v>10367</v>
      </c>
      <c r="G1763" s="282" t="s">
        <v>10368</v>
      </c>
      <c r="H1763" s="282" t="s">
        <v>10368</v>
      </c>
      <c r="I1763" s="282"/>
      <c r="J1763" s="282" t="s">
        <v>10369</v>
      </c>
    </row>
    <row r="1764" spans="1:10" x14ac:dyDescent="0.2">
      <c r="A1764" s="93" t="str">
        <f t="shared" ca="1" si="0"/>
        <v>保镖亚雷克</v>
      </c>
      <c r="B1764" s="138" t="s">
        <v>10370</v>
      </c>
      <c r="C1764" s="51" t="s">
        <v>10370</v>
      </c>
      <c r="D1764" s="282" t="s">
        <v>10370</v>
      </c>
      <c r="E1764" s="282"/>
      <c r="F1764" s="282" t="s">
        <v>10370</v>
      </c>
      <c r="G1764" s="282" t="s">
        <v>10371</v>
      </c>
      <c r="H1764" s="282" t="s">
        <v>10372</v>
      </c>
      <c r="I1764" s="282"/>
      <c r="J1764" s="282" t="s">
        <v>10373</v>
      </c>
    </row>
    <row r="1765" spans="1:10" x14ac:dyDescent="0.2">
      <c r="A1765" s="93" t="str">
        <f t="shared" ca="1" si="0"/>
        <v>商人阿里</v>
      </c>
      <c r="B1765" s="58" t="s">
        <v>10374</v>
      </c>
      <c r="C1765" s="51" t="s">
        <v>10374</v>
      </c>
      <c r="D1765" s="282" t="s">
        <v>10374</v>
      </c>
      <c r="E1765" s="282"/>
      <c r="F1765" s="282" t="s">
        <v>10374</v>
      </c>
      <c r="G1765" s="282" t="s">
        <v>10375</v>
      </c>
      <c r="H1765" s="282" t="s">
        <v>10375</v>
      </c>
      <c r="I1765" s="282"/>
      <c r="J1765" s="282" t="s">
        <v>10376</v>
      </c>
    </row>
    <row r="1766" spans="1:10" x14ac:dyDescent="0.2">
      <c r="A1766" s="93" t="str">
        <f t="shared" ca="1" si="0"/>
        <v>阿尔法丝</v>
      </c>
      <c r="B1766" s="38" t="s">
        <v>10377</v>
      </c>
      <c r="C1766" s="282" t="s">
        <v>10377</v>
      </c>
      <c r="D1766" s="282" t="s">
        <v>10377</v>
      </c>
      <c r="E1766" s="282"/>
      <c r="F1766" s="282" t="s">
        <v>10377</v>
      </c>
      <c r="G1766" s="282" t="s">
        <v>10378</v>
      </c>
      <c r="H1766" s="282" t="s">
        <v>10379</v>
      </c>
      <c r="I1766" s="282"/>
      <c r="J1766" s="282" t="s">
        <v>10380</v>
      </c>
    </row>
    <row r="1767" spans="1:10" x14ac:dyDescent="0.2">
      <c r="A1767" s="93" t="str">
        <f t="shared" ca="1" si="0"/>
        <v>失忆的男子 /
船长</v>
      </c>
      <c r="B1767" s="24" t="s">
        <v>10381</v>
      </c>
      <c r="C1767" s="282"/>
      <c r="D1767" s="282" t="s">
        <v>10382</v>
      </c>
      <c r="E1767" s="282"/>
      <c r="F1767" s="282" t="s">
        <v>10383</v>
      </c>
      <c r="G1767" s="282" t="s">
        <v>10384</v>
      </c>
      <c r="H1767" s="282" t="s">
        <v>10385</v>
      </c>
      <c r="I1767" s="282"/>
      <c r="J1767" s="282"/>
    </row>
    <row r="1768" spans="1:10" x14ac:dyDescent="0.2">
      <c r="A1768" s="93" t="str">
        <f t="shared" ca="1" si="0"/>
        <v>失忆的女孩 /
莱雅</v>
      </c>
      <c r="B1768" s="52" t="s">
        <v>10386</v>
      </c>
      <c r="C1768" s="282"/>
      <c r="D1768" s="282" t="s">
        <v>10387</v>
      </c>
      <c r="E1768" s="282"/>
      <c r="F1768" s="282" t="s">
        <v>10388</v>
      </c>
      <c r="G1768" s="282" t="s">
        <v>10389</v>
      </c>
      <c r="H1768" s="282" t="s">
        <v>10390</v>
      </c>
      <c r="I1768" s="282"/>
      <c r="J1768" s="282"/>
    </row>
    <row r="1769" spans="1:10" x14ac:dyDescent="0.2">
      <c r="A1769" s="93" t="str">
        <f t="shared" ca="1" si="0"/>
        <v>安洁拉</v>
      </c>
      <c r="B1769" s="138" t="s">
        <v>10391</v>
      </c>
      <c r="C1769" s="282" t="s">
        <v>10391</v>
      </c>
      <c r="D1769" s="282" t="s">
        <v>10391</v>
      </c>
      <c r="E1769" s="282"/>
      <c r="F1769" s="282" t="s">
        <v>10392</v>
      </c>
      <c r="G1769" s="282" t="s">
        <v>10393</v>
      </c>
      <c r="H1769" s="282" t="s">
        <v>10394</v>
      </c>
      <c r="I1769" s="282"/>
      <c r="J1769" s="282" t="s">
        <v>10395</v>
      </c>
    </row>
    <row r="1770" spans="1:10" x14ac:dyDescent="0.2">
      <c r="A1770" s="93" t="str">
        <f t="shared" ca="1" si="0"/>
        <v>虹鲑鱼夫</v>
      </c>
      <c r="B1770" s="17" t="s">
        <v>10396</v>
      </c>
      <c r="C1770" s="282"/>
      <c r="D1770" s="282" t="s">
        <v>10397</v>
      </c>
      <c r="E1770" s="282"/>
      <c r="F1770" s="282" t="s">
        <v>10398</v>
      </c>
      <c r="G1770" s="282" t="s">
        <v>10399</v>
      </c>
      <c r="H1770" s="282" t="s">
        <v>10400</v>
      </c>
      <c r="I1770" s="282"/>
      <c r="J1770" s="282" t="s">
        <v>10401</v>
      </c>
    </row>
    <row r="1771" spans="1:10" x14ac:dyDescent="0.2">
      <c r="A1771" s="93" t="str">
        <f t="shared" ca="1" si="0"/>
        <v>喜欢野兽的少年</v>
      </c>
      <c r="B1771" s="24" t="s">
        <v>10402</v>
      </c>
      <c r="C1771" s="282"/>
      <c r="D1771" s="282" t="s">
        <v>10403</v>
      </c>
      <c r="E1771" s="282"/>
      <c r="F1771" s="52" t="s">
        <v>10404</v>
      </c>
      <c r="G1771" s="282" t="s">
        <v>10405</v>
      </c>
      <c r="H1771" s="282" t="s">
        <v>10406</v>
      </c>
      <c r="I1771" s="282"/>
      <c r="J1771" s="282" t="s">
        <v>10407</v>
      </c>
    </row>
    <row r="1772" spans="1:10" x14ac:dyDescent="0.2">
      <c r="A1772" s="93" t="str">
        <f t="shared" ca="1" si="0"/>
        <v>安娜夫人</v>
      </c>
      <c r="B1772" s="24" t="s">
        <v>10408</v>
      </c>
      <c r="C1772" s="282" t="s">
        <v>10408</v>
      </c>
      <c r="D1772" s="282" t="s">
        <v>10408</v>
      </c>
      <c r="E1772" s="282"/>
      <c r="F1772" s="282" t="s">
        <v>10408</v>
      </c>
      <c r="G1772" s="282" t="s">
        <v>10409</v>
      </c>
      <c r="H1772" s="282" t="s">
        <v>10409</v>
      </c>
      <c r="I1772" s="282"/>
      <c r="J1772" s="282" t="s">
        <v>10410</v>
      </c>
    </row>
    <row r="1773" spans="1:10" x14ac:dyDescent="0.2">
      <c r="A1773" s="93" t="str">
        <f t="shared" ca="1" si="0"/>
        <v>旧货商</v>
      </c>
      <c r="B1773" s="38" t="s">
        <v>10411</v>
      </c>
      <c r="C1773" s="282"/>
      <c r="D1773" s="282" t="s">
        <v>10412</v>
      </c>
      <c r="E1773" s="282"/>
      <c r="F1773" s="282" t="s">
        <v>10413</v>
      </c>
      <c r="G1773" s="282" t="s">
        <v>10414</v>
      </c>
      <c r="H1773" s="282" t="s">
        <v>10415</v>
      </c>
      <c r="I1773" s="282"/>
      <c r="J1773" s="282" t="s">
        <v>10416</v>
      </c>
    </row>
    <row r="1774" spans="1:10" x14ac:dyDescent="0.2">
      <c r="A1774" s="93" t="str">
        <f t="shared" ca="1" si="0"/>
        <v>不安的居民</v>
      </c>
      <c r="B1774" s="138" t="s">
        <v>10417</v>
      </c>
      <c r="C1774" s="282"/>
      <c r="D1774" s="282" t="s">
        <v>10418</v>
      </c>
      <c r="E1774" s="282"/>
      <c r="F1774" s="282" t="s">
        <v>10419</v>
      </c>
      <c r="G1774" s="282" t="s">
        <v>10420</v>
      </c>
      <c r="H1774" s="282" t="s">
        <v>10420</v>
      </c>
      <c r="I1774" s="282"/>
      <c r="J1774" s="282" t="s">
        <v>10421</v>
      </c>
    </row>
    <row r="1775" spans="1:10" x14ac:dyDescent="0.2">
      <c r="A1775" s="93" t="str">
        <f t="shared" ca="1" si="0"/>
        <v>药师</v>
      </c>
      <c r="B1775" s="24" t="s">
        <v>801</v>
      </c>
      <c r="C1775" s="282" t="s">
        <v>10422</v>
      </c>
      <c r="D1775" s="282" t="s">
        <v>803</v>
      </c>
      <c r="E1775" s="282"/>
      <c r="F1775" s="282" t="s">
        <v>804</v>
      </c>
      <c r="G1775" s="282" t="s">
        <v>805</v>
      </c>
      <c r="H1775" s="282" t="s">
        <v>806</v>
      </c>
      <c r="I1775" s="282"/>
      <c r="J1775" s="282" t="s">
        <v>807</v>
      </c>
    </row>
    <row r="1776" spans="1:10" x14ac:dyDescent="0.2">
      <c r="A1776" s="93" t="str">
        <f t="shared" ca="1" si="0"/>
        <v>粉碎者阿奇博德</v>
      </c>
      <c r="B1776" s="24" t="s">
        <v>10423</v>
      </c>
      <c r="C1776" s="282"/>
      <c r="D1776" s="282" t="s">
        <v>10424</v>
      </c>
      <c r="E1776" s="282"/>
      <c r="F1776" s="282" t="s">
        <v>10425</v>
      </c>
      <c r="G1776" s="282" t="s">
        <v>10426</v>
      </c>
      <c r="H1776" s="282" t="s">
        <v>10426</v>
      </c>
      <c r="I1776" s="282"/>
      <c r="J1776" s="282" t="s">
        <v>10427</v>
      </c>
    </row>
    <row r="1777" spans="1:10" x14ac:dyDescent="0.2">
      <c r="A1777" s="93" t="str">
        <f t="shared" ca="1" si="0"/>
        <v>狂热的演员</v>
      </c>
      <c r="B1777" s="52" t="s">
        <v>10428</v>
      </c>
      <c r="C1777" s="282"/>
      <c r="D1777" s="282" t="s">
        <v>10429</v>
      </c>
      <c r="E1777" s="282"/>
      <c r="F1777" s="282" t="s">
        <v>10430</v>
      </c>
      <c r="G1777" s="282" t="s">
        <v>10431</v>
      </c>
      <c r="H1777" s="282" t="s">
        <v>10432</v>
      </c>
      <c r="I1777" s="282"/>
      <c r="J1777" s="282" t="s">
        <v>10433</v>
      </c>
    </row>
    <row r="1778" spans="1:10" x14ac:dyDescent="0.2">
      <c r="A1778" s="93" t="str">
        <f t="shared" ca="1" si="0"/>
        <v>竞技场工作人员</v>
      </c>
      <c r="B1778" s="24" t="s">
        <v>10434</v>
      </c>
      <c r="C1778" s="282"/>
      <c r="D1778" s="282" t="s">
        <v>10435</v>
      </c>
      <c r="E1778" s="282"/>
      <c r="F1778" s="282" t="s">
        <v>10436</v>
      </c>
      <c r="G1778" s="282" t="s">
        <v>10437</v>
      </c>
      <c r="H1778" s="282" t="s">
        <v>10438</v>
      </c>
      <c r="I1778" s="282"/>
      <c r="J1778" s="282" t="s">
        <v>10439</v>
      </c>
    </row>
    <row r="1779" spans="1:10" x14ac:dyDescent="0.2">
      <c r="A1779" s="93" t="str">
        <f t="shared" ca="1" si="0"/>
        <v>侍女亚莉安娜</v>
      </c>
      <c r="B1779" s="138" t="s">
        <v>10440</v>
      </c>
      <c r="C1779" s="282" t="s">
        <v>10440</v>
      </c>
      <c r="D1779" s="282" t="s">
        <v>10440</v>
      </c>
      <c r="E1779" s="282"/>
      <c r="F1779" s="282" t="s">
        <v>10440</v>
      </c>
      <c r="G1779" s="282" t="s">
        <v>10441</v>
      </c>
      <c r="H1779" s="282" t="s">
        <v>10442</v>
      </c>
      <c r="I1779" s="282"/>
      <c r="J1779" s="282" t="s">
        <v>10443</v>
      </c>
    </row>
    <row r="1780" spans="1:10" x14ac:dyDescent="0.2">
      <c r="A1780" s="93" t="str">
        <f t="shared" ca="1" si="0"/>
        <v>贵族</v>
      </c>
      <c r="B1780" s="38" t="s">
        <v>10444</v>
      </c>
      <c r="C1780" s="282" t="s">
        <v>10445</v>
      </c>
      <c r="D1780" s="282" t="s">
        <v>10446</v>
      </c>
      <c r="E1780" s="282"/>
      <c r="F1780" s="282" t="s">
        <v>10447</v>
      </c>
      <c r="G1780" s="282" t="s">
        <v>10448</v>
      </c>
      <c r="H1780" s="282" t="s">
        <v>10449</v>
      </c>
      <c r="I1780" s="282"/>
      <c r="J1780" s="282" t="s">
        <v>10448</v>
      </c>
    </row>
    <row r="1781" spans="1:10" x14ac:dyDescent="0.2">
      <c r="A1781" s="93" t="str">
        <f t="shared" ca="1" si="0"/>
        <v>喜爱绘画的贵族</v>
      </c>
      <c r="B1781" s="24" t="s">
        <v>10450</v>
      </c>
      <c r="C1781" s="51" t="s">
        <v>10451</v>
      </c>
      <c r="D1781" s="282" t="s">
        <v>10452</v>
      </c>
      <c r="E1781" s="282"/>
      <c r="F1781" s="52" t="s">
        <v>10453</v>
      </c>
      <c r="G1781" s="282" t="s">
        <v>10454</v>
      </c>
      <c r="H1781" s="282" t="s">
        <v>10455</v>
      </c>
      <c r="I1781" s="282"/>
      <c r="J1781" s="282" t="s">
        <v>10456</v>
      </c>
    </row>
    <row r="1782" spans="1:10" x14ac:dyDescent="0.2">
      <c r="A1782" s="93" t="str">
        <f t="shared" ca="1" si="0"/>
        <v>风景画家的弟弟 /
面包师的弟弟</v>
      </c>
      <c r="B1782" s="17" t="s">
        <v>10457</v>
      </c>
      <c r="C1782" s="282"/>
      <c r="D1782" s="282" t="s">
        <v>10458</v>
      </c>
      <c r="E1782" s="282"/>
      <c r="F1782" s="282" t="s">
        <v>10459</v>
      </c>
      <c r="G1782" s="83" t="s">
        <v>10460</v>
      </c>
      <c r="H1782" s="282" t="s">
        <v>10461</v>
      </c>
      <c r="I1782" s="282"/>
      <c r="J1782" s="282"/>
    </row>
    <row r="1783" spans="1:10" x14ac:dyDescent="0.2">
      <c r="A1783" s="93" t="str">
        <f t="shared" ca="1" si="0"/>
        <v>爱做手工艺的少年</v>
      </c>
      <c r="B1783" s="24" t="s">
        <v>10462</v>
      </c>
      <c r="C1783" s="282"/>
      <c r="D1783" s="282" t="s">
        <v>10463</v>
      </c>
      <c r="E1783" s="282"/>
      <c r="F1783" s="52" t="s">
        <v>10464</v>
      </c>
      <c r="G1783" s="282" t="s">
        <v>10465</v>
      </c>
      <c r="H1783" s="282" t="s">
        <v>10466</v>
      </c>
      <c r="I1783" s="282"/>
      <c r="J1783" s="282" t="s">
        <v>10467</v>
      </c>
    </row>
    <row r="1784" spans="1:10" x14ac:dyDescent="0.2">
      <c r="A1784" s="93" t="str">
        <f t="shared" ca="1" si="0"/>
        <v>阿什兰</v>
      </c>
      <c r="B1784" s="24" t="s">
        <v>10468</v>
      </c>
      <c r="C1784" s="282"/>
      <c r="D1784" s="282" t="s">
        <v>10469</v>
      </c>
      <c r="E1784" s="282"/>
      <c r="F1784" s="282" t="s">
        <v>10468</v>
      </c>
      <c r="G1784" s="282" t="s">
        <v>10470</v>
      </c>
      <c r="H1784" s="282" t="s">
        <v>10471</v>
      </c>
      <c r="I1784" s="282"/>
      <c r="J1784" s="282" t="s">
        <v>10472</v>
      </c>
    </row>
    <row r="1785" spans="1:10" x14ac:dyDescent="0.2">
      <c r="A1785" s="93" t="str">
        <f t="shared" ca="1" si="0"/>
        <v>阿什兰的父亲</v>
      </c>
      <c r="B1785" s="24" t="s">
        <v>10473</v>
      </c>
      <c r="C1785" s="282" t="s">
        <v>10474</v>
      </c>
      <c r="D1785" s="282" t="s">
        <v>10475</v>
      </c>
      <c r="E1785" s="282"/>
      <c r="F1785" s="282" t="s">
        <v>10476</v>
      </c>
      <c r="G1785" s="282" t="s">
        <v>10477</v>
      </c>
      <c r="H1785" s="282" t="s">
        <v>10478</v>
      </c>
      <c r="I1785" s="282"/>
      <c r="J1785" s="282" t="s">
        <v>10479</v>
      </c>
    </row>
    <row r="1786" spans="1:10" x14ac:dyDescent="0.2">
      <c r="A1786" s="93" t="str">
        <f t="shared" ca="1" si="0"/>
        <v>想当艺人的男子</v>
      </c>
      <c r="B1786" s="24" t="s">
        <v>10480</v>
      </c>
      <c r="C1786" s="282" t="s">
        <v>10481</v>
      </c>
      <c r="D1786" s="282" t="s">
        <v>10482</v>
      </c>
      <c r="E1786" s="282"/>
      <c r="F1786" s="52" t="s">
        <v>10483</v>
      </c>
      <c r="G1786" s="282" t="s">
        <v>10484</v>
      </c>
      <c r="H1786" s="282" t="s">
        <v>10485</v>
      </c>
      <c r="I1786" s="282"/>
      <c r="J1786" s="282"/>
    </row>
    <row r="1787" spans="1:10" x14ac:dyDescent="0.2">
      <c r="A1787" s="93" t="str">
        <f t="shared" ca="1" si="0"/>
        <v>见习猎人 /
新手猎人 /
见习商人</v>
      </c>
      <c r="B1787" s="24" t="s">
        <v>10486</v>
      </c>
      <c r="C1787" s="282"/>
      <c r="D1787" s="282" t="s">
        <v>10487</v>
      </c>
      <c r="E1787" s="282"/>
      <c r="F1787" s="282" t="s">
        <v>10488</v>
      </c>
      <c r="G1787" s="282" t="s">
        <v>10489</v>
      </c>
      <c r="H1787" s="282" t="s">
        <v>10490</v>
      </c>
      <c r="I1787" s="282"/>
      <c r="J1787" s="282"/>
    </row>
    <row r="1788" spans="1:10" x14ac:dyDescent="0.2">
      <c r="A1788" s="93" t="str">
        <f t="shared" ca="1" si="0"/>
        <v>勤勉的学者</v>
      </c>
      <c r="B1788" s="17" t="s">
        <v>10491</v>
      </c>
      <c r="C1788" s="282"/>
      <c r="D1788" s="282" t="s">
        <v>10492</v>
      </c>
      <c r="E1788" s="282"/>
      <c r="F1788" s="282" t="s">
        <v>10493</v>
      </c>
      <c r="G1788" s="282" t="s">
        <v>10494</v>
      </c>
      <c r="H1788" s="282" t="s">
        <v>10495</v>
      </c>
      <c r="I1788" s="282"/>
      <c r="J1788" s="282" t="s">
        <v>10496</v>
      </c>
    </row>
    <row r="1789" spans="1:10" x14ac:dyDescent="0.2">
      <c r="A1789" s="93" t="str">
        <f t="shared" ca="1" si="0"/>
        <v>大富豪温德姆</v>
      </c>
      <c r="B1789" s="38" t="s">
        <v>10497</v>
      </c>
      <c r="C1789" s="51" t="s">
        <v>10497</v>
      </c>
      <c r="D1789" s="282" t="s">
        <v>10497</v>
      </c>
      <c r="E1789" s="282"/>
      <c r="F1789" s="282" t="s">
        <v>10497</v>
      </c>
      <c r="G1789" s="282" t="s">
        <v>10498</v>
      </c>
      <c r="H1789" s="282" t="s">
        <v>10499</v>
      </c>
      <c r="I1789" s="282"/>
      <c r="J1789" s="282" t="s">
        <v>10500</v>
      </c>
    </row>
    <row r="1790" spans="1:10" x14ac:dyDescent="0.2">
      <c r="A1790" s="93" t="str">
        <f t="shared" ca="1" si="0"/>
        <v>聪明的少年</v>
      </c>
      <c r="B1790" s="38" t="s">
        <v>10501</v>
      </c>
      <c r="C1790" s="51" t="s">
        <v>10502</v>
      </c>
      <c r="D1790" s="282" t="s">
        <v>10503</v>
      </c>
      <c r="E1790" s="282"/>
      <c r="F1790" s="282" t="s">
        <v>10504</v>
      </c>
      <c r="G1790" s="282" t="s">
        <v>10505</v>
      </c>
      <c r="H1790" s="282" t="s">
        <v>10506</v>
      </c>
      <c r="I1790" s="282"/>
      <c r="J1790" s="282" t="s">
        <v>10507</v>
      </c>
    </row>
    <row r="1791" spans="1:10" x14ac:dyDescent="0.2">
      <c r="A1791" s="93" t="str">
        <f t="shared" ca="1" si="0"/>
        <v>精明的职员</v>
      </c>
      <c r="B1791" s="24" t="s">
        <v>10508</v>
      </c>
      <c r="C1791" s="51" t="s">
        <v>10509</v>
      </c>
      <c r="D1791" s="282" t="s">
        <v>10510</v>
      </c>
      <c r="E1791" s="282"/>
      <c r="F1791" s="52" t="s">
        <v>10511</v>
      </c>
      <c r="G1791" s="282" t="s">
        <v>10512</v>
      </c>
      <c r="H1791" s="282" t="s">
        <v>10513</v>
      </c>
      <c r="I1791" s="282"/>
      <c r="J1791" s="282" t="s">
        <v>10514</v>
      </c>
    </row>
    <row r="1792" spans="1:10" x14ac:dyDescent="0.2">
      <c r="A1792" s="93" t="str">
        <f t="shared" ca="1" si="0"/>
        <v>拙笨的青年</v>
      </c>
      <c r="B1792" s="24" t="s">
        <v>10515</v>
      </c>
      <c r="C1792" s="282"/>
      <c r="D1792" s="282" t="s">
        <v>10516</v>
      </c>
      <c r="E1792" s="282"/>
      <c r="F1792" s="52" t="s">
        <v>10517</v>
      </c>
      <c r="G1792" s="282" t="s">
        <v>10518</v>
      </c>
      <c r="H1792" s="282" t="s">
        <v>10518</v>
      </c>
      <c r="I1792" s="282"/>
      <c r="J1792" s="282" t="s">
        <v>10519</v>
      </c>
    </row>
    <row r="1793" spans="1:10" x14ac:dyDescent="0.2">
      <c r="A1793" s="93" t="str">
        <f t="shared" ca="1" si="0"/>
        <v>贝尔队长</v>
      </c>
      <c r="B1793" s="58" t="s">
        <v>10520</v>
      </c>
      <c r="C1793" s="282" t="s">
        <v>10520</v>
      </c>
      <c r="D1793" s="282" t="s">
        <v>10520</v>
      </c>
      <c r="E1793" s="282"/>
      <c r="F1793" s="282" t="s">
        <v>10520</v>
      </c>
      <c r="G1793" s="282" t="s">
        <v>10521</v>
      </c>
      <c r="H1793" s="282" t="s">
        <v>10522</v>
      </c>
      <c r="I1793" s="282"/>
      <c r="J1793" s="282" t="s">
        <v>10523</v>
      </c>
    </row>
    <row r="1794" spans="1:10" x14ac:dyDescent="0.2">
      <c r="A1794" s="93" t="str">
        <f t="shared" ca="1" si="0"/>
        <v>盗贼团头目</v>
      </c>
      <c r="B1794" s="365" t="s">
        <v>9702</v>
      </c>
      <c r="C1794" s="282"/>
      <c r="D1794" s="282" t="s">
        <v>9703</v>
      </c>
      <c r="E1794" s="282"/>
      <c r="F1794" s="282" t="s">
        <v>10524</v>
      </c>
      <c r="G1794" s="282" t="s">
        <v>9705</v>
      </c>
      <c r="H1794" s="282" t="s">
        <v>9706</v>
      </c>
      <c r="I1794" s="282"/>
      <c r="J1794" s="282"/>
    </row>
    <row r="1795" spans="1:10" x14ac:dyDescent="0.2">
      <c r="A1795" s="93" t="str">
        <f t="shared" ca="1" si="0"/>
        <v>学者巴勒姆</v>
      </c>
      <c r="B1795" s="24" t="s">
        <v>10525</v>
      </c>
      <c r="C1795" s="51" t="s">
        <v>10525</v>
      </c>
      <c r="D1795" s="282" t="s">
        <v>10525</v>
      </c>
      <c r="E1795" s="282"/>
      <c r="F1795" s="282" t="s">
        <v>10525</v>
      </c>
      <c r="G1795" s="282" t="s">
        <v>10526</v>
      </c>
      <c r="H1795" s="282" t="s">
        <v>10527</v>
      </c>
      <c r="I1795" s="282"/>
      <c r="J1795" s="282" t="s">
        <v>10528</v>
      </c>
    </row>
    <row r="1796" spans="1:10" x14ac:dyDescent="0.2">
      <c r="A1796" s="93" t="str">
        <f t="shared" ca="1" si="0"/>
        <v>主持人</v>
      </c>
      <c r="B1796" s="38" t="s">
        <v>10529</v>
      </c>
      <c r="C1796" s="282"/>
      <c r="D1796" s="282" t="s">
        <v>10530</v>
      </c>
      <c r="E1796" s="282"/>
      <c r="F1796" s="282" t="s">
        <v>10531</v>
      </c>
      <c r="G1796" s="282" t="s">
        <v>10532</v>
      </c>
      <c r="H1796" s="282" t="s">
        <v>10532</v>
      </c>
      <c r="I1796" s="282"/>
      <c r="J1796" s="282" t="s">
        <v>10533</v>
      </c>
    </row>
    <row r="1797" spans="1:10" x14ac:dyDescent="0.2">
      <c r="A1797" s="93" t="str">
        <f t="shared" ca="1" si="0"/>
        <v>揽客的人</v>
      </c>
      <c r="B1797" s="366" t="s">
        <v>10529</v>
      </c>
      <c r="C1797" s="282"/>
      <c r="D1797" s="282" t="s">
        <v>10530</v>
      </c>
      <c r="E1797" s="282"/>
      <c r="F1797" s="282" t="s">
        <v>10531</v>
      </c>
      <c r="G1797" s="282" t="s">
        <v>10534</v>
      </c>
      <c r="H1797" s="282" t="s">
        <v>10535</v>
      </c>
      <c r="I1797" s="282"/>
      <c r="J1797" s="282" t="s">
        <v>10536</v>
      </c>
    </row>
    <row r="1798" spans="1:10" x14ac:dyDescent="0.2">
      <c r="A1798" s="93" t="str">
        <f t="shared" ca="1" si="0"/>
        <v>路边摊的客人</v>
      </c>
      <c r="B1798" s="38" t="s">
        <v>10537</v>
      </c>
      <c r="C1798" s="282"/>
      <c r="D1798" s="282" t="s">
        <v>10538</v>
      </c>
      <c r="E1798" s="282"/>
      <c r="F1798" s="282" t="s">
        <v>10539</v>
      </c>
      <c r="G1798" s="282" t="s">
        <v>10540</v>
      </c>
      <c r="H1798" s="282" t="s">
        <v>10541</v>
      </c>
      <c r="I1798" s="282"/>
      <c r="J1798" s="282" t="s">
        <v>10542</v>
      </c>
    </row>
    <row r="1799" spans="1:10" x14ac:dyDescent="0.2">
      <c r="A1799" s="93" t="str">
        <f t="shared" ca="1" si="0"/>
        <v>路边摊的客人</v>
      </c>
      <c r="B1799" s="38" t="s">
        <v>10537</v>
      </c>
      <c r="C1799" s="282"/>
      <c r="D1799" s="282" t="s">
        <v>10543</v>
      </c>
      <c r="E1799" s="282"/>
      <c r="F1799" s="282" t="s">
        <v>10544</v>
      </c>
      <c r="G1799" s="282" t="s">
        <v>10540</v>
      </c>
      <c r="H1799" s="282" t="s">
        <v>10541</v>
      </c>
      <c r="I1799" s="282"/>
      <c r="J1799" s="282" t="s">
        <v>10542</v>
      </c>
    </row>
    <row r="1800" spans="1:10" x14ac:dyDescent="0.2">
      <c r="A1800" s="93" t="str">
        <f t="shared" ca="1" si="0"/>
        <v>驱使野兽的商人</v>
      </c>
      <c r="B1800" s="38" t="s">
        <v>10545</v>
      </c>
      <c r="C1800" s="282"/>
      <c r="D1800" s="282" t="s">
        <v>10546</v>
      </c>
      <c r="E1800" s="282"/>
      <c r="F1800" s="282" t="s">
        <v>10547</v>
      </c>
      <c r="G1800" s="282" t="s">
        <v>10548</v>
      </c>
      <c r="H1800" s="282" t="s">
        <v>10549</v>
      </c>
      <c r="I1800" s="282"/>
      <c r="J1800" s="282" t="s">
        <v>10550</v>
      </c>
    </row>
    <row r="1801" spans="1:10" x14ac:dyDescent="0.2">
      <c r="A1801" s="93" t="str">
        <f t="shared" ca="1" si="0"/>
        <v>猛兽猎人巴纳德</v>
      </c>
      <c r="B1801" s="24" t="s">
        <v>10551</v>
      </c>
      <c r="C1801" s="282"/>
      <c r="D1801" s="282" t="s">
        <v>10552</v>
      </c>
      <c r="E1801" s="282"/>
      <c r="F1801" s="282" t="s">
        <v>10553</v>
      </c>
      <c r="G1801" s="282" t="s">
        <v>10554</v>
      </c>
      <c r="H1801" s="282" t="s">
        <v>10555</v>
      </c>
      <c r="I1801" s="282"/>
      <c r="J1801" s="282" t="s">
        <v>10556</v>
      </c>
    </row>
    <row r="1802" spans="1:10" x14ac:dyDescent="0.2">
      <c r="A1802" s="93" t="str">
        <f t="shared" ca="1" si="0"/>
        <v>当红作家</v>
      </c>
      <c r="B1802" s="38" t="s">
        <v>10557</v>
      </c>
      <c r="C1802" s="282"/>
      <c r="D1802" s="282" t="s">
        <v>10558</v>
      </c>
      <c r="E1802" s="282"/>
      <c r="F1802" s="282" t="s">
        <v>10559</v>
      </c>
      <c r="G1802" s="282" t="s">
        <v>10560</v>
      </c>
      <c r="H1802" s="282" t="s">
        <v>10561</v>
      </c>
      <c r="I1802" s="282"/>
      <c r="J1802" s="282" t="s">
        <v>10562</v>
      </c>
    </row>
    <row r="1803" spans="1:10" x14ac:dyDescent="0.2">
      <c r="A1803" s="93" t="str">
        <f t="shared" ca="1" si="0"/>
        <v>酒商</v>
      </c>
      <c r="B1803" s="38" t="s">
        <v>10563</v>
      </c>
      <c r="C1803" s="282"/>
      <c r="D1803" s="282" t="s">
        <v>10564</v>
      </c>
      <c r="E1803" s="282"/>
      <c r="F1803" s="282" t="s">
        <v>10565</v>
      </c>
      <c r="G1803" s="282" t="s">
        <v>10566</v>
      </c>
      <c r="H1803" s="282" t="s">
        <v>10566</v>
      </c>
      <c r="I1803" s="282"/>
      <c r="J1803" s="282" t="s">
        <v>10567</v>
      </c>
    </row>
    <row r="1804" spans="1:10" x14ac:dyDescent="0.2">
      <c r="A1804" s="93" t="str">
        <f t="shared" ca="1" si="0"/>
        <v>制书工房的员工</v>
      </c>
      <c r="B1804" s="52" t="s">
        <v>10568</v>
      </c>
      <c r="C1804" s="282"/>
      <c r="D1804" s="282" t="s">
        <v>10569</v>
      </c>
      <c r="E1804" s="282"/>
      <c r="F1804" s="282" t="s">
        <v>10570</v>
      </c>
      <c r="G1804" s="282" t="s">
        <v>10571</v>
      </c>
      <c r="H1804" s="282" t="s">
        <v>10572</v>
      </c>
      <c r="I1804" s="282"/>
      <c r="J1804" s="282" t="s">
        <v>10573</v>
      </c>
    </row>
    <row r="1805" spans="1:10" x14ac:dyDescent="0.2">
      <c r="A1805" s="93" t="str">
        <f t="shared" ca="1" si="0"/>
        <v>巴罗特罗神父</v>
      </c>
      <c r="B1805" s="17" t="s">
        <v>10574</v>
      </c>
      <c r="C1805" s="282"/>
      <c r="D1805" s="282" t="s">
        <v>10575</v>
      </c>
      <c r="E1805" s="282"/>
      <c r="F1805" s="282" t="s">
        <v>10576</v>
      </c>
      <c r="G1805" s="282" t="s">
        <v>10577</v>
      </c>
      <c r="H1805" s="282" t="s">
        <v>10578</v>
      </c>
      <c r="I1805" s="282"/>
      <c r="J1805" s="282" t="s">
        <v>10579</v>
      </c>
    </row>
    <row r="1806" spans="1:10" x14ac:dyDescent="0.2">
      <c r="A1806" s="93" t="str">
        <f t="shared" ca="1" si="0"/>
        <v>唐纳文神父</v>
      </c>
      <c r="B1806" s="38" t="s">
        <v>10580</v>
      </c>
      <c r="C1806" s="282"/>
      <c r="D1806" s="282" t="s">
        <v>10581</v>
      </c>
      <c r="E1806" s="282"/>
      <c r="F1806" s="282" t="s">
        <v>10582</v>
      </c>
      <c r="G1806" s="282" t="s">
        <v>10583</v>
      </c>
      <c r="H1806" s="282" t="s">
        <v>10584</v>
      </c>
      <c r="I1806" s="282"/>
      <c r="J1806" s="282" t="s">
        <v>10585</v>
      </c>
    </row>
    <row r="1807" spans="1:10" x14ac:dyDescent="0.2">
      <c r="A1807" s="93" t="str">
        <f t="shared" ca="1" si="0"/>
        <v>蓝色舞娘</v>
      </c>
      <c r="B1807" s="58" t="s">
        <v>10586</v>
      </c>
      <c r="C1807" s="282"/>
      <c r="D1807" s="282" t="s">
        <v>10587</v>
      </c>
      <c r="E1807" s="282"/>
      <c r="F1807" s="282" t="s">
        <v>10588</v>
      </c>
      <c r="G1807" s="282" t="s">
        <v>10589</v>
      </c>
      <c r="H1807" s="282" t="s">
        <v>10590</v>
      </c>
      <c r="I1807" s="282"/>
      <c r="J1807" s="282" t="s">
        <v>10591</v>
      </c>
    </row>
    <row r="1808" spans="1:10" x14ac:dyDescent="0.2">
      <c r="A1808" s="93" t="str">
        <f t="shared" ca="1" si="0"/>
        <v>吹牛的青年</v>
      </c>
      <c r="B1808" s="38" t="s">
        <v>10592</v>
      </c>
      <c r="C1808" s="282"/>
      <c r="D1808" s="282" t="s">
        <v>10593</v>
      </c>
      <c r="E1808" s="282"/>
      <c r="F1808" s="282" t="s">
        <v>10594</v>
      </c>
      <c r="G1808" s="282" t="s">
        <v>10595</v>
      </c>
      <c r="H1808" s="282" t="s">
        <v>10595</v>
      </c>
      <c r="I1808" s="282"/>
      <c r="J1808" s="282" t="s">
        <v>10596</v>
      </c>
    </row>
    <row r="1809" spans="1:10" x14ac:dyDescent="0.2">
      <c r="A1809" s="93" t="str">
        <f t="shared" ca="1" si="0"/>
        <v>爱书的少女</v>
      </c>
      <c r="B1809" s="24" t="s">
        <v>10597</v>
      </c>
      <c r="C1809" s="282"/>
      <c r="D1809" s="282" t="s">
        <v>10598</v>
      </c>
      <c r="E1809" s="282"/>
      <c r="F1809" s="282" t="s">
        <v>10599</v>
      </c>
      <c r="G1809" s="282" t="s">
        <v>10600</v>
      </c>
      <c r="H1809" s="282" t="s">
        <v>10601</v>
      </c>
      <c r="I1809" s="282"/>
      <c r="J1809" s="282" t="s">
        <v>10602</v>
      </c>
    </row>
    <row r="1810" spans="1:10" x14ac:dyDescent="0.2">
      <c r="A1810" s="93" t="str">
        <f t="shared" ca="1" si="0"/>
        <v>制书工匠</v>
      </c>
      <c r="B1810" s="52" t="s">
        <v>10603</v>
      </c>
      <c r="C1810" s="282" t="s">
        <v>10604</v>
      </c>
      <c r="D1810" s="282" t="s">
        <v>10605</v>
      </c>
      <c r="E1810" s="282"/>
      <c r="F1810" s="282" t="s">
        <v>10606</v>
      </c>
      <c r="G1810" s="282" t="s">
        <v>10607</v>
      </c>
      <c r="H1810" s="282" t="s">
        <v>10608</v>
      </c>
      <c r="I1810" s="282"/>
      <c r="J1810" s="282" t="s">
        <v>10609</v>
      </c>
    </row>
    <row r="1811" spans="1:10" x14ac:dyDescent="0.2">
      <c r="A1811" s="93" t="str">
        <f t="shared" ca="1" si="0"/>
        <v>爱书的女孩</v>
      </c>
      <c r="B1811" s="38" t="s">
        <v>10610</v>
      </c>
      <c r="C1811" s="51" t="s">
        <v>10611</v>
      </c>
      <c r="D1811" s="282" t="s">
        <v>10612</v>
      </c>
      <c r="E1811" s="282"/>
      <c r="F1811" s="282" t="s">
        <v>10613</v>
      </c>
      <c r="G1811" s="282" t="s">
        <v>10614</v>
      </c>
      <c r="H1811" s="282" t="s">
        <v>10615</v>
      </c>
      <c r="I1811" s="282"/>
      <c r="J1811" s="282" t="s">
        <v>10616</v>
      </c>
    </row>
    <row r="1812" spans="1:10" x14ac:dyDescent="0.2">
      <c r="A1812" s="93" t="str">
        <f t="shared" ca="1" si="0"/>
        <v>少年</v>
      </c>
      <c r="B1812" s="138" t="s">
        <v>10617</v>
      </c>
      <c r="C1812" s="282" t="s">
        <v>10618</v>
      </c>
      <c r="D1812" s="282" t="s">
        <v>10619</v>
      </c>
      <c r="E1812" s="282"/>
      <c r="F1812" s="282" t="s">
        <v>10620</v>
      </c>
      <c r="G1812" s="282" t="s">
        <v>10621</v>
      </c>
      <c r="H1812" s="282" t="s">
        <v>10621</v>
      </c>
      <c r="I1812" s="282"/>
      <c r="J1812" s="282" t="s">
        <v>10621</v>
      </c>
    </row>
    <row r="1813" spans="1:10" x14ac:dyDescent="0.2">
      <c r="A1813" s="93" t="str">
        <f t="shared" ca="1" si="0"/>
        <v>少年的母亲</v>
      </c>
      <c r="B1813" s="24" t="s">
        <v>10622</v>
      </c>
      <c r="C1813" s="282"/>
      <c r="D1813" s="282" t="s">
        <v>10623</v>
      </c>
      <c r="E1813" s="282"/>
      <c r="F1813" s="282" t="s">
        <v>10624</v>
      </c>
      <c r="G1813" s="282" t="s">
        <v>10625</v>
      </c>
      <c r="H1813" s="282" t="s">
        <v>10626</v>
      </c>
      <c r="I1813" s="282"/>
      <c r="J1813" s="282" t="s">
        <v>10627</v>
      </c>
    </row>
    <row r="1814" spans="1:10" x14ac:dyDescent="0.2">
      <c r="A1814" s="93" t="str">
        <f t="shared" ca="1" si="0"/>
        <v>山贼</v>
      </c>
      <c r="B1814" s="18" t="s">
        <v>9352</v>
      </c>
      <c r="C1814" s="282"/>
      <c r="D1814" s="282" t="s">
        <v>9352</v>
      </c>
      <c r="E1814" s="282"/>
      <c r="F1814" s="282" t="s">
        <v>10628</v>
      </c>
      <c r="G1814" s="282" t="s">
        <v>9355</v>
      </c>
      <c r="H1814" s="282" t="s">
        <v>9356</v>
      </c>
      <c r="I1814" s="282"/>
      <c r="J1814" s="282"/>
    </row>
    <row r="1815" spans="1:10" x14ac:dyDescent="0.2">
      <c r="A1815" s="93" t="str">
        <f t="shared" ca="1" si="0"/>
        <v>布莱恩</v>
      </c>
      <c r="B1815" s="58" t="s">
        <v>10629</v>
      </c>
      <c r="C1815" s="282"/>
      <c r="D1815" s="282" t="s">
        <v>10630</v>
      </c>
      <c r="E1815" s="282"/>
      <c r="F1815" s="282" t="s">
        <v>10630</v>
      </c>
      <c r="G1815" s="282" t="s">
        <v>10631</v>
      </c>
      <c r="H1815" s="282" t="s">
        <v>10632</v>
      </c>
      <c r="I1815" s="282"/>
      <c r="J1815" s="282" t="s">
        <v>10633</v>
      </c>
    </row>
    <row r="1816" spans="1:10" x14ac:dyDescent="0.2">
      <c r="A1816" s="93" t="str">
        <f t="shared" ca="1" si="0"/>
        <v>孩子王</v>
      </c>
      <c r="B1816" s="17" t="s">
        <v>10634</v>
      </c>
      <c r="C1816" s="282"/>
      <c r="D1816" s="282" t="s">
        <v>10635</v>
      </c>
      <c r="E1816" s="282"/>
      <c r="F1816" s="282" t="s">
        <v>10636</v>
      </c>
      <c r="G1816" s="282" t="s">
        <v>10637</v>
      </c>
      <c r="H1816" s="282" t="s">
        <v>10637</v>
      </c>
      <c r="I1816" s="282"/>
      <c r="J1816" s="282" t="s">
        <v>10638</v>
      </c>
    </row>
    <row r="1817" spans="1:10" x14ac:dyDescent="0.2">
      <c r="A1817" s="93" t="str">
        <f t="shared" ca="1" si="0"/>
        <v>贵族拜伦 /
平民拜伦</v>
      </c>
      <c r="B1817" s="138" t="s">
        <v>10639</v>
      </c>
      <c r="C1817" s="282"/>
      <c r="D1817" s="282" t="s">
        <v>10640</v>
      </c>
      <c r="E1817" s="282"/>
      <c r="F1817" s="282" t="s">
        <v>10640</v>
      </c>
      <c r="G1817" s="282" t="s">
        <v>10641</v>
      </c>
      <c r="H1817" s="282" t="s">
        <v>10642</v>
      </c>
      <c r="I1817" s="282"/>
      <c r="J1817" s="282"/>
    </row>
    <row r="1818" spans="1:10" x14ac:dyDescent="0.2">
      <c r="A1818" s="93" t="str">
        <f t="shared" ca="1" si="0"/>
        <v>温和的女子</v>
      </c>
      <c r="B1818" s="24" t="s">
        <v>10643</v>
      </c>
      <c r="C1818" s="282"/>
      <c r="D1818" s="282" t="s">
        <v>10644</v>
      </c>
      <c r="E1818" s="282"/>
      <c r="F1818" s="282" t="s">
        <v>10645</v>
      </c>
      <c r="G1818" s="282" t="s">
        <v>10646</v>
      </c>
      <c r="H1818" s="282" t="s">
        <v>10647</v>
      </c>
      <c r="I1818" s="282"/>
      <c r="J1818" s="282" t="s">
        <v>10648</v>
      </c>
    </row>
    <row r="1819" spans="1:10" x14ac:dyDescent="0.2">
      <c r="A1819" s="93" t="str">
        <f t="shared" ca="1" si="0"/>
        <v>厨艺高超的厨师</v>
      </c>
      <c r="B1819" s="24" t="s">
        <v>10649</v>
      </c>
      <c r="C1819" s="282"/>
      <c r="D1819" s="282" t="s">
        <v>10650</v>
      </c>
      <c r="E1819" s="282"/>
      <c r="F1819" s="282" t="s">
        <v>10651</v>
      </c>
      <c r="G1819" s="282" t="s">
        <v>10652</v>
      </c>
      <c r="H1819" s="282" t="s">
        <v>10653</v>
      </c>
      <c r="I1819" s="282"/>
      <c r="J1819" s="282" t="s">
        <v>10654</v>
      </c>
    </row>
    <row r="1820" spans="1:10" x14ac:dyDescent="0.2">
      <c r="A1820" s="93" t="str">
        <f t="shared" ca="1" si="0"/>
        <v>商船船长雷欧</v>
      </c>
      <c r="B1820" s="24" t="s">
        <v>10655</v>
      </c>
      <c r="C1820" s="282"/>
      <c r="D1820" s="282" t="s">
        <v>10656</v>
      </c>
      <c r="E1820" s="282"/>
      <c r="F1820" s="282" t="s">
        <v>10657</v>
      </c>
      <c r="G1820" s="282" t="s">
        <v>10658</v>
      </c>
      <c r="H1820" s="282" t="s">
        <v>10659</v>
      </c>
      <c r="I1820" s="282"/>
      <c r="J1820" s="282" t="s">
        <v>10660</v>
      </c>
    </row>
    <row r="1821" spans="1:10" x14ac:dyDescent="0.2">
      <c r="A1821" s="93" t="str">
        <f t="shared" ca="1" si="0"/>
        <v>警备团团长</v>
      </c>
      <c r="B1821" s="52" t="s">
        <v>10661</v>
      </c>
      <c r="C1821" s="51" t="s">
        <v>10662</v>
      </c>
      <c r="D1821" s="282" t="s">
        <v>10663</v>
      </c>
      <c r="E1821" s="282"/>
      <c r="F1821" s="282" t="s">
        <v>10664</v>
      </c>
      <c r="G1821" s="282" t="s">
        <v>10665</v>
      </c>
      <c r="H1821" s="282" t="s">
        <v>10666</v>
      </c>
      <c r="I1821" s="282"/>
      <c r="J1821" s="282" t="s">
        <v>10667</v>
      </c>
    </row>
    <row r="1822" spans="1:10" x14ac:dyDescent="0.2">
      <c r="A1822" s="93" t="str">
        <f t="shared" ca="1" si="0"/>
        <v>拉尔夫副长</v>
      </c>
      <c r="B1822" s="58" t="s">
        <v>10668</v>
      </c>
      <c r="C1822" s="51" t="s">
        <v>10669</v>
      </c>
      <c r="D1822" s="282" t="s">
        <v>10670</v>
      </c>
      <c r="E1822" s="282"/>
      <c r="F1822" s="282" t="s">
        <v>10671</v>
      </c>
      <c r="G1822" s="282" t="s">
        <v>10672</v>
      </c>
      <c r="H1822" s="282" t="s">
        <v>10673</v>
      </c>
      <c r="I1822" s="282"/>
      <c r="J1822" s="282" t="s">
        <v>10674</v>
      </c>
    </row>
    <row r="1823" spans="1:10" x14ac:dyDescent="0.2">
      <c r="A1823" s="93" t="str">
        <f t="shared" ca="1" si="0"/>
        <v>卡拉邦的男子</v>
      </c>
      <c r="B1823" s="38" t="s">
        <v>10675</v>
      </c>
      <c r="C1823" s="282" t="s">
        <v>10676</v>
      </c>
      <c r="D1823" s="282" t="s">
        <v>10677</v>
      </c>
      <c r="E1823" s="282"/>
      <c r="F1823" s="282" t="s">
        <v>10678</v>
      </c>
      <c r="G1823" s="282" t="s">
        <v>10679</v>
      </c>
      <c r="H1823" s="282" t="s">
        <v>10679</v>
      </c>
      <c r="I1823" s="282"/>
      <c r="J1823" s="282" t="s">
        <v>10680</v>
      </c>
    </row>
    <row r="1824" spans="1:10" x14ac:dyDescent="0.2">
      <c r="A1824" s="93" t="str">
        <f t="shared" ca="1" si="0"/>
        <v>开朗的男子</v>
      </c>
      <c r="B1824" s="138" t="s">
        <v>10681</v>
      </c>
      <c r="C1824" s="282"/>
      <c r="D1824" s="282" t="s">
        <v>10682</v>
      </c>
      <c r="E1824" s="282"/>
      <c r="F1824" s="282" t="s">
        <v>10683</v>
      </c>
      <c r="G1824" s="282" t="s">
        <v>10684</v>
      </c>
      <c r="H1824" s="282" t="s">
        <v>10685</v>
      </c>
      <c r="I1824" s="282"/>
      <c r="J1824" s="282" t="s">
        <v>10686</v>
      </c>
    </row>
    <row r="1825" spans="1:10" x14ac:dyDescent="0.2">
      <c r="A1825" s="93" t="str">
        <f t="shared" ca="1" si="0"/>
        <v>悠闲的牧羊人</v>
      </c>
      <c r="B1825" s="24" t="s">
        <v>10687</v>
      </c>
      <c r="C1825" s="282"/>
      <c r="D1825" s="282" t="s">
        <v>10688</v>
      </c>
      <c r="E1825" s="282"/>
      <c r="F1825" s="282" t="s">
        <v>10689</v>
      </c>
      <c r="G1825" s="282" t="s">
        <v>10690</v>
      </c>
      <c r="H1825" s="282" t="s">
        <v>10691</v>
      </c>
      <c r="I1825" s="282"/>
      <c r="J1825" s="282" t="s">
        <v>10692</v>
      </c>
    </row>
    <row r="1826" spans="1:10" x14ac:dyDescent="0.2">
      <c r="A1826" s="93" t="str">
        <f t="shared" ca="1" si="0"/>
        <v>主办人赛西莉</v>
      </c>
      <c r="B1826" s="24" t="s">
        <v>10693</v>
      </c>
      <c r="C1826" s="282" t="s">
        <v>10693</v>
      </c>
      <c r="D1826" s="282" t="s">
        <v>10694</v>
      </c>
      <c r="E1826" s="282"/>
      <c r="F1826" s="282" t="s">
        <v>10693</v>
      </c>
      <c r="G1826" s="282" t="s">
        <v>10695</v>
      </c>
      <c r="H1826" s="282" t="s">
        <v>10696</v>
      </c>
      <c r="I1826" s="282"/>
      <c r="J1826" s="282" t="s">
        <v>10697</v>
      </c>
    </row>
    <row r="1827" spans="1:10" x14ac:dyDescent="0.2">
      <c r="A1827" s="93" t="str">
        <f t="shared" ca="1" si="0"/>
        <v>心胸宽阔的说书人</v>
      </c>
      <c r="B1827" s="52" t="s">
        <v>10698</v>
      </c>
      <c r="C1827" s="282"/>
      <c r="D1827" s="282" t="s">
        <v>10699</v>
      </c>
      <c r="E1827" s="282"/>
      <c r="F1827" s="282" t="s">
        <v>10700</v>
      </c>
      <c r="G1827" s="282" t="s">
        <v>10701</v>
      </c>
      <c r="H1827" s="282" t="s">
        <v>10702</v>
      </c>
      <c r="I1827" s="282"/>
      <c r="J1827" s="282" t="s">
        <v>10703</v>
      </c>
    </row>
    <row r="1828" spans="1:10" x14ac:dyDescent="0.2">
      <c r="A1828" s="93" t="str">
        <f t="shared" ca="1" si="0"/>
        <v>部族长</v>
      </c>
      <c r="B1828" s="58" t="s">
        <v>10704</v>
      </c>
      <c r="C1828" s="282"/>
      <c r="D1828" s="282" t="s">
        <v>10705</v>
      </c>
      <c r="E1828" s="282"/>
      <c r="F1828" s="282" t="s">
        <v>10706</v>
      </c>
      <c r="G1828" s="282" t="s">
        <v>10707</v>
      </c>
      <c r="H1828" s="282" t="s">
        <v>10708</v>
      </c>
      <c r="I1828" s="282"/>
      <c r="J1828" s="282"/>
    </row>
    <row r="1829" spans="1:10" x14ac:dyDescent="0.2">
      <c r="A1829" s="93" t="str">
        <f t="shared" ca="1" si="0"/>
        <v>神官</v>
      </c>
      <c r="B1829" s="138" t="s">
        <v>771</v>
      </c>
      <c r="C1829" s="282"/>
      <c r="D1829" s="282" t="s">
        <v>773</v>
      </c>
      <c r="E1829" s="282"/>
      <c r="F1829" s="282" t="s">
        <v>774</v>
      </c>
      <c r="G1829" s="282" t="s">
        <v>775</v>
      </c>
      <c r="H1829" s="282" t="s">
        <v>775</v>
      </c>
      <c r="I1829" s="282"/>
      <c r="J1829" s="282" t="s">
        <v>775</v>
      </c>
    </row>
    <row r="1830" spans="1:10" x14ac:dyDescent="0.2">
      <c r="A1830" s="93" t="str">
        <f t="shared" ca="1" si="0"/>
        <v>克里夫兰多的知识分子</v>
      </c>
      <c r="B1830" s="38" t="s">
        <v>10709</v>
      </c>
      <c r="C1830" s="282"/>
      <c r="D1830" s="282" t="s">
        <v>10710</v>
      </c>
      <c r="E1830" s="282"/>
      <c r="F1830" s="282" t="s">
        <v>10711</v>
      </c>
      <c r="G1830" s="282" t="s">
        <v>10712</v>
      </c>
      <c r="H1830" s="282" t="s">
        <v>10713</v>
      </c>
      <c r="I1830" s="282"/>
      <c r="J1830" s="282" t="s">
        <v>10714</v>
      </c>
    </row>
    <row r="1831" spans="1:10" x14ac:dyDescent="0.2">
      <c r="A1831" s="93" t="str">
        <f t="shared" ca="1" si="0"/>
        <v>车夫</v>
      </c>
      <c r="B1831" s="38" t="s">
        <v>10715</v>
      </c>
      <c r="C1831" s="282"/>
      <c r="D1831" s="282" t="s">
        <v>10716</v>
      </c>
      <c r="E1831" s="282"/>
      <c r="F1831" s="52" t="s">
        <v>10717</v>
      </c>
      <c r="G1831" s="282" t="s">
        <v>10718</v>
      </c>
      <c r="H1831" s="282" t="s">
        <v>10719</v>
      </c>
      <c r="I1831" s="282"/>
      <c r="J1831" s="282"/>
    </row>
    <row r="1832" spans="1:10" x14ac:dyDescent="0.2">
      <c r="A1832" s="93" t="str">
        <f t="shared" ca="1" si="0"/>
        <v>魔枪的孔德拉特</v>
      </c>
      <c r="B1832" s="24" t="s">
        <v>10720</v>
      </c>
      <c r="C1832" s="282"/>
      <c r="D1832" s="282" t="s">
        <v>10721</v>
      </c>
      <c r="E1832" s="282"/>
      <c r="F1832" s="282" t="s">
        <v>10722</v>
      </c>
      <c r="G1832" s="282" t="s">
        <v>10723</v>
      </c>
      <c r="H1832" s="282" t="s">
        <v>10724</v>
      </c>
      <c r="I1832" s="282"/>
      <c r="J1832" s="282" t="s">
        <v>10725</v>
      </c>
    </row>
    <row r="1833" spans="1:10" x14ac:dyDescent="0.2">
      <c r="A1833" s="93" t="str">
        <f t="shared" ca="1" si="0"/>
        <v>桀骜不驯的强者</v>
      </c>
      <c r="B1833" s="24" t="s">
        <v>10726</v>
      </c>
      <c r="C1833" s="282"/>
      <c r="D1833" s="282" t="s">
        <v>10727</v>
      </c>
      <c r="E1833" s="282"/>
      <c r="F1833" s="282" t="s">
        <v>10728</v>
      </c>
      <c r="G1833" s="282" t="s">
        <v>10729</v>
      </c>
      <c r="H1833" s="282" t="s">
        <v>10730</v>
      </c>
      <c r="I1833" s="282"/>
      <c r="J1833" s="282"/>
    </row>
    <row r="1834" spans="1:10" x14ac:dyDescent="0.2">
      <c r="A1834" s="93" t="str">
        <f t="shared" ca="1" si="0"/>
        <v>寇蒂莉亚</v>
      </c>
      <c r="B1834" s="38" t="s">
        <v>10731</v>
      </c>
      <c r="C1834" s="282" t="s">
        <v>10731</v>
      </c>
      <c r="D1834" s="282" t="s">
        <v>10732</v>
      </c>
      <c r="E1834" s="282"/>
      <c r="F1834" s="282" t="s">
        <v>10731</v>
      </c>
      <c r="G1834" s="282" t="s">
        <v>10733</v>
      </c>
      <c r="H1834" s="282" t="s">
        <v>10734</v>
      </c>
      <c r="I1834" s="282"/>
      <c r="J1834" s="282" t="s">
        <v>10735</v>
      </c>
    </row>
    <row r="1835" spans="1:10" x14ac:dyDescent="0.2">
      <c r="A1835" s="93" t="str">
        <f t="shared" ca="1" si="0"/>
        <v>健壮的养牛人</v>
      </c>
      <c r="B1835" s="52" t="s">
        <v>10736</v>
      </c>
      <c r="C1835" s="282"/>
      <c r="D1835" s="282" t="s">
        <v>10737</v>
      </c>
      <c r="E1835" s="282"/>
      <c r="F1835" s="282" t="s">
        <v>10738</v>
      </c>
      <c r="G1835" s="282" t="s">
        <v>10739</v>
      </c>
      <c r="H1835" s="282" t="s">
        <v>10740</v>
      </c>
      <c r="I1835" s="282"/>
      <c r="J1835" s="282" t="s">
        <v>10741</v>
      </c>
    </row>
    <row r="1836" spans="1:10" x14ac:dyDescent="0.2">
      <c r="A1836" s="93" t="str">
        <f t="shared" ca="1" si="0"/>
        <v>诡异的旧货商</v>
      </c>
      <c r="B1836" s="38" t="s">
        <v>10742</v>
      </c>
      <c r="C1836" s="282"/>
      <c r="D1836" s="282" t="s">
        <v>10743</v>
      </c>
      <c r="E1836" s="282"/>
      <c r="F1836" s="282" t="s">
        <v>10744</v>
      </c>
      <c r="G1836" s="282" t="s">
        <v>10745</v>
      </c>
      <c r="H1836" s="282" t="s">
        <v>10746</v>
      </c>
      <c r="I1836" s="282"/>
      <c r="J1836" s="282" t="s">
        <v>10747</v>
      </c>
    </row>
    <row r="1837" spans="1:10" x14ac:dyDescent="0.2">
      <c r="A1837" s="93" t="str">
        <f t="shared" ca="1" si="0"/>
        <v>持有勋章的醉汉</v>
      </c>
      <c r="B1837" s="24" t="s">
        <v>10748</v>
      </c>
      <c r="C1837" s="282"/>
      <c r="D1837" s="282" t="s">
        <v>10749</v>
      </c>
      <c r="E1837" s="282"/>
      <c r="F1837" s="282" t="s">
        <v>10750</v>
      </c>
      <c r="G1837" s="282" t="s">
        <v>10751</v>
      </c>
      <c r="H1837" s="282" t="s">
        <v>10752</v>
      </c>
      <c r="I1837" s="282"/>
      <c r="J1837" s="282"/>
    </row>
    <row r="1838" spans="1:10" x14ac:dyDescent="0.2">
      <c r="A1838" s="93" t="str">
        <f t="shared" ca="1" si="0"/>
        <v>持有勋章的凶暴男子</v>
      </c>
      <c r="B1838" s="38" t="s">
        <v>10753</v>
      </c>
      <c r="C1838" s="282"/>
      <c r="D1838" s="282" t="s">
        <v>10754</v>
      </c>
      <c r="E1838" s="282"/>
      <c r="F1838" s="282" t="s">
        <v>10755</v>
      </c>
      <c r="G1838" s="282" t="s">
        <v>10756</v>
      </c>
      <c r="H1838" s="282" t="s">
        <v>10757</v>
      </c>
      <c r="I1838" s="282"/>
      <c r="J1838" s="282"/>
    </row>
    <row r="1839" spans="1:10" x14ac:dyDescent="0.2">
      <c r="A1839" s="93" t="str">
        <f t="shared" ca="1" si="0"/>
        <v>持有勋章的可疑商人</v>
      </c>
      <c r="B1839" s="24" t="s">
        <v>10758</v>
      </c>
      <c r="C1839" s="282"/>
      <c r="D1839" s="282" t="s">
        <v>10759</v>
      </c>
      <c r="E1839" s="282"/>
      <c r="F1839" s="282" t="s">
        <v>10760</v>
      </c>
      <c r="G1839" s="282" t="s">
        <v>10761</v>
      </c>
      <c r="H1839" s="282" t="s">
        <v>10762</v>
      </c>
      <c r="I1839" s="282"/>
      <c r="J1839" s="282" t="s">
        <v>10763</v>
      </c>
    </row>
    <row r="1840" spans="1:10" x14ac:dyDescent="0.2">
      <c r="A1840" s="93" t="str">
        <f t="shared" ca="1" si="0"/>
        <v>神秘的神官</v>
      </c>
      <c r="B1840" s="18" t="s">
        <v>10764</v>
      </c>
      <c r="C1840" s="282"/>
      <c r="D1840" s="282" t="s">
        <v>10765</v>
      </c>
      <c r="E1840" s="282"/>
      <c r="F1840" s="282" t="s">
        <v>10766</v>
      </c>
      <c r="G1840" s="282" t="s">
        <v>10767</v>
      </c>
      <c r="H1840" s="282" t="s">
        <v>10767</v>
      </c>
      <c r="I1840" s="282"/>
      <c r="J1840" s="282"/>
    </row>
    <row r="1841" spans="1:10" x14ac:dyDescent="0.2">
      <c r="A1841" s="93" t="str">
        <f t="shared" ca="1" si="0"/>
        <v>丹</v>
      </c>
      <c r="B1841" s="24" t="s">
        <v>10768</v>
      </c>
      <c r="C1841" s="282" t="s">
        <v>10768</v>
      </c>
      <c r="D1841" s="282" t="s">
        <v>10768</v>
      </c>
      <c r="E1841" s="282"/>
      <c r="F1841" s="282" t="s">
        <v>10768</v>
      </c>
      <c r="G1841" s="282" t="s">
        <v>10769</v>
      </c>
      <c r="H1841" s="282" t="s">
        <v>10769</v>
      </c>
      <c r="I1841" s="282"/>
      <c r="J1841" s="282" t="s">
        <v>10770</v>
      </c>
    </row>
    <row r="1842" spans="1:10" x14ac:dyDescent="0.2">
      <c r="A1842" s="93" t="str">
        <f t="shared" ca="1" si="0"/>
        <v>舞娘</v>
      </c>
      <c r="B1842" s="138" t="s">
        <v>794</v>
      </c>
      <c r="C1842" s="282" t="s">
        <v>10771</v>
      </c>
      <c r="D1842" s="282" t="s">
        <v>10772</v>
      </c>
      <c r="E1842" s="282"/>
      <c r="F1842" s="282" t="s">
        <v>10773</v>
      </c>
      <c r="G1842" s="282" t="s">
        <v>798</v>
      </c>
      <c r="H1842" s="282" t="s">
        <v>799</v>
      </c>
      <c r="I1842" s="282"/>
      <c r="J1842" s="282" t="s">
        <v>800</v>
      </c>
    </row>
    <row r="1843" spans="1:10" x14ac:dyDescent="0.2">
      <c r="A1843" s="93" t="str">
        <f t="shared" ca="1" si="0"/>
        <v>丹尼尔</v>
      </c>
      <c r="B1843" s="38" t="s">
        <v>10774</v>
      </c>
      <c r="C1843" s="51" t="s">
        <v>10774</v>
      </c>
      <c r="D1843" s="282" t="s">
        <v>10774</v>
      </c>
      <c r="E1843" s="282"/>
      <c r="F1843" s="282" t="s">
        <v>10774</v>
      </c>
      <c r="G1843" s="282" t="s">
        <v>10775</v>
      </c>
      <c r="H1843" s="282" t="s">
        <v>10776</v>
      </c>
      <c r="I1843" s="282"/>
      <c r="J1843" s="282" t="s">
        <v>10777</v>
      </c>
    </row>
    <row r="1844" spans="1:10" x14ac:dyDescent="0.2">
      <c r="A1844" s="93" t="str">
        <f t="shared" ca="1" si="0"/>
        <v>温婉的老婆婆</v>
      </c>
      <c r="B1844" s="17" t="s">
        <v>10778</v>
      </c>
      <c r="C1844" s="282"/>
      <c r="D1844" s="282" t="s">
        <v>10779</v>
      </c>
      <c r="E1844" s="282"/>
      <c r="F1844" s="282" t="s">
        <v>10780</v>
      </c>
      <c r="G1844" s="282" t="s">
        <v>10781</v>
      </c>
      <c r="H1844" s="282" t="s">
        <v>10782</v>
      </c>
      <c r="I1844" s="282"/>
      <c r="J1844" s="282" t="s">
        <v>10783</v>
      </c>
    </row>
    <row r="1845" spans="1:10" x14ac:dyDescent="0.2">
      <c r="A1845" s="93" t="str">
        <f t="shared" ca="1" si="0"/>
        <v>达里尔</v>
      </c>
      <c r="B1845" s="17" t="s">
        <v>10784</v>
      </c>
      <c r="C1845" s="51" t="s">
        <v>10784</v>
      </c>
      <c r="D1845" s="282" t="s">
        <v>10784</v>
      </c>
      <c r="E1845" s="282"/>
      <c r="F1845" s="282" t="s">
        <v>10784</v>
      </c>
      <c r="G1845" s="282" t="s">
        <v>10785</v>
      </c>
      <c r="H1845" s="282" t="s">
        <v>10786</v>
      </c>
      <c r="I1845" s="282"/>
      <c r="J1845" s="282" t="s">
        <v>10787</v>
      </c>
    </row>
    <row r="1846" spans="1:10" x14ac:dyDescent="0.2">
      <c r="A1846" s="93" t="str">
        <f t="shared" ca="1" si="0"/>
        <v>醉心于研究的学者</v>
      </c>
      <c r="B1846" s="138" t="s">
        <v>10788</v>
      </c>
      <c r="C1846" s="51" t="s">
        <v>10789</v>
      </c>
      <c r="D1846" s="282" t="s">
        <v>10790</v>
      </c>
      <c r="E1846" s="282"/>
      <c r="F1846" s="282" t="s">
        <v>10791</v>
      </c>
      <c r="G1846" s="282" t="s">
        <v>10792</v>
      </c>
      <c r="H1846" s="282" t="s">
        <v>10793</v>
      </c>
      <c r="I1846" s="282"/>
      <c r="J1846" s="282" t="s">
        <v>10794</v>
      </c>
    </row>
    <row r="1847" spans="1:10" x14ac:dyDescent="0.2">
      <c r="A1847" s="93" t="str">
        <f t="shared" ca="1" si="0"/>
        <v>翻译者多明尼克</v>
      </c>
      <c r="B1847" s="52" t="s">
        <v>10795</v>
      </c>
      <c r="C1847" s="51" t="s">
        <v>10795</v>
      </c>
      <c r="D1847" s="282" t="s">
        <v>10795</v>
      </c>
      <c r="E1847" s="282"/>
      <c r="F1847" s="282" t="s">
        <v>10795</v>
      </c>
      <c r="G1847" s="282" t="s">
        <v>10796</v>
      </c>
      <c r="H1847" s="282" t="s">
        <v>10797</v>
      </c>
      <c r="I1847" s="282"/>
      <c r="J1847" s="282" t="s">
        <v>10798</v>
      </c>
    </row>
    <row r="1848" spans="1:10" x14ac:dyDescent="0.2">
      <c r="A1848" s="93" t="str">
        <f t="shared" ca="1" si="0"/>
        <v>少年的阿姨</v>
      </c>
      <c r="B1848" s="24" t="s">
        <v>10799</v>
      </c>
      <c r="C1848" s="282"/>
      <c r="D1848" s="282" t="s">
        <v>10800</v>
      </c>
      <c r="E1848" s="282"/>
      <c r="F1848" s="282" t="s">
        <v>10801</v>
      </c>
      <c r="G1848" s="282" t="s">
        <v>10802</v>
      </c>
      <c r="H1848" s="282" t="s">
        <v>10802</v>
      </c>
      <c r="I1848" s="282"/>
      <c r="J1848" s="282" t="s">
        <v>10803</v>
      </c>
    </row>
    <row r="1849" spans="1:10" x14ac:dyDescent="0.2">
      <c r="A1849" s="93" t="str">
        <f t="shared" ca="1" si="0"/>
        <v>贵族德雷文</v>
      </c>
      <c r="B1849" s="38" t="s">
        <v>10804</v>
      </c>
      <c r="C1849" s="51" t="s">
        <v>10804</v>
      </c>
      <c r="D1849" s="282" t="s">
        <v>10804</v>
      </c>
      <c r="E1849" s="282"/>
      <c r="F1849" s="282" t="s">
        <v>10804</v>
      </c>
      <c r="G1849" s="282" t="s">
        <v>10805</v>
      </c>
      <c r="H1849" s="282" t="s">
        <v>10806</v>
      </c>
      <c r="I1849" s="282"/>
      <c r="J1849" s="282" t="s">
        <v>10807</v>
      </c>
    </row>
    <row r="1850" spans="1:10" x14ac:dyDescent="0.2">
      <c r="A1850" s="93" t="str">
        <f t="shared" ca="1" si="0"/>
        <v>烂醉的保镳 /
强壮的保镳</v>
      </c>
      <c r="B1850" s="58" t="s">
        <v>10808</v>
      </c>
      <c r="C1850" s="282"/>
      <c r="D1850" s="282" t="s">
        <v>10809</v>
      </c>
      <c r="E1850" s="282"/>
      <c r="F1850" s="282" t="s">
        <v>10810</v>
      </c>
      <c r="G1850" s="282" t="s">
        <v>10811</v>
      </c>
      <c r="H1850" s="282" t="s">
        <v>10812</v>
      </c>
      <c r="I1850" s="282"/>
      <c r="J1850" s="282"/>
    </row>
    <row r="1851" spans="1:10" x14ac:dyDescent="0.2">
      <c r="A1851" s="93" t="str">
        <f t="shared" ca="1" si="0"/>
        <v>醉醺醺的士兵</v>
      </c>
      <c r="B1851" s="138" t="s">
        <v>10813</v>
      </c>
      <c r="C1851" s="282"/>
      <c r="D1851" s="282" t="s">
        <v>10814</v>
      </c>
      <c r="E1851" s="282"/>
      <c r="F1851" s="282" t="s">
        <v>10815</v>
      </c>
      <c r="G1851" s="282" t="s">
        <v>10816</v>
      </c>
      <c r="H1851" s="282" t="s">
        <v>10816</v>
      </c>
      <c r="I1851" s="282"/>
      <c r="J1851" s="282" t="s">
        <v>10817</v>
      </c>
    </row>
    <row r="1852" spans="1:10" x14ac:dyDescent="0.2">
      <c r="A1852" s="93" t="str">
        <f t="shared" ca="1" si="0"/>
        <v>寻蛋的少女 /
艾蜜莉</v>
      </c>
      <c r="B1852" s="38" t="s">
        <v>10818</v>
      </c>
      <c r="C1852" s="282" t="s">
        <v>10819</v>
      </c>
      <c r="D1852" s="282" t="s">
        <v>10820</v>
      </c>
      <c r="E1852" s="282"/>
      <c r="F1852" s="282" t="s">
        <v>10821</v>
      </c>
      <c r="G1852" s="282" t="s">
        <v>10822</v>
      </c>
      <c r="H1852" s="282" t="s">
        <v>10823</v>
      </c>
      <c r="I1852" s="282"/>
      <c r="J1852" s="282"/>
    </row>
    <row r="1853" spans="1:10" x14ac:dyDescent="0.2">
      <c r="A1853" s="93" t="str">
        <f t="shared" ca="1" si="0"/>
        <v>商店的老人</v>
      </c>
      <c r="B1853" s="52" t="s">
        <v>10824</v>
      </c>
      <c r="C1853" s="282"/>
      <c r="D1853" s="282" t="s">
        <v>10825</v>
      </c>
      <c r="E1853" s="282"/>
      <c r="F1853" s="282" t="s">
        <v>10826</v>
      </c>
      <c r="G1853" s="282" t="s">
        <v>10827</v>
      </c>
      <c r="H1853" s="282" t="s">
        <v>10827</v>
      </c>
      <c r="I1853" s="282"/>
      <c r="J1853" s="282" t="s">
        <v>10828</v>
      </c>
    </row>
    <row r="1854" spans="1:10" x14ac:dyDescent="0.2">
      <c r="A1854" s="93" t="str">
        <f t="shared" ca="1" si="0"/>
        <v>老婆婆</v>
      </c>
      <c r="B1854" s="24" t="s">
        <v>10829</v>
      </c>
      <c r="C1854" s="282"/>
      <c r="D1854" s="282" t="s">
        <v>10830</v>
      </c>
      <c r="E1854" s="282"/>
      <c r="F1854" s="282" t="s">
        <v>10831</v>
      </c>
      <c r="G1854" s="282" t="s">
        <v>10832</v>
      </c>
      <c r="H1854" s="282" t="s">
        <v>10832</v>
      </c>
      <c r="I1854" s="282"/>
      <c r="J1854" s="282" t="s">
        <v>10833</v>
      </c>
    </row>
    <row r="1855" spans="1:10" x14ac:dyDescent="0.2">
      <c r="A1855" s="93" t="str">
        <f t="shared" ca="1" si="0"/>
        <v>圣火骑士爱丽莎</v>
      </c>
      <c r="B1855" s="58" t="s">
        <v>10834</v>
      </c>
      <c r="C1855" s="51" t="s">
        <v>10834</v>
      </c>
      <c r="D1855" s="282" t="s">
        <v>10835</v>
      </c>
      <c r="E1855" s="282"/>
      <c r="F1855" s="282" t="s">
        <v>10834</v>
      </c>
      <c r="G1855" s="282" t="s">
        <v>10836</v>
      </c>
      <c r="H1855" s="282" t="s">
        <v>10837</v>
      </c>
      <c r="I1855" s="282"/>
      <c r="J1855" s="282" t="s">
        <v>10838</v>
      </c>
    </row>
    <row r="1856" spans="1:10" x14ac:dyDescent="0.2">
      <c r="A1856" s="93" t="str">
        <f t="shared" ca="1" si="0"/>
        <v>艾琳</v>
      </c>
      <c r="B1856" s="38" t="s">
        <v>10839</v>
      </c>
      <c r="C1856" s="51" t="s">
        <v>10839</v>
      </c>
      <c r="D1856" s="282" t="s">
        <v>10839</v>
      </c>
      <c r="E1856" s="282"/>
      <c r="F1856" s="282" t="s">
        <v>10839</v>
      </c>
      <c r="G1856" s="282" t="s">
        <v>10840</v>
      </c>
      <c r="H1856" s="282" t="s">
        <v>10840</v>
      </c>
      <c r="I1856" s="282"/>
      <c r="J1856" s="282" t="s">
        <v>10841</v>
      </c>
    </row>
    <row r="1857" spans="1:10" x14ac:dyDescent="0.2">
      <c r="A1857" s="93" t="str">
        <f t="shared" ca="1" si="0"/>
        <v>爱莉</v>
      </c>
      <c r="B1857" s="165" t="s">
        <v>10842</v>
      </c>
      <c r="C1857" s="51" t="s">
        <v>10842</v>
      </c>
      <c r="D1857" s="282" t="s">
        <v>10842</v>
      </c>
      <c r="E1857" s="282"/>
      <c r="F1857" s="282" t="s">
        <v>10842</v>
      </c>
      <c r="G1857" s="282" t="s">
        <v>10843</v>
      </c>
      <c r="H1857" s="282" t="s">
        <v>10844</v>
      </c>
      <c r="I1857" s="282"/>
      <c r="J1857" s="282" t="s">
        <v>10845</v>
      </c>
    </row>
    <row r="1858" spans="1:10" x14ac:dyDescent="0.2">
      <c r="A1858" s="93" t="str">
        <f t="shared" ca="1" si="0"/>
        <v>爱弥儿</v>
      </c>
      <c r="B1858" s="17" t="s">
        <v>10846</v>
      </c>
      <c r="C1858" s="51" t="s">
        <v>10846</v>
      </c>
      <c r="D1858" s="282" t="s">
        <v>10847</v>
      </c>
      <c r="E1858" s="282"/>
      <c r="F1858" s="282" t="s">
        <v>10846</v>
      </c>
      <c r="G1858" s="282" t="s">
        <v>10848</v>
      </c>
      <c r="H1858" s="282" t="s">
        <v>10849</v>
      </c>
      <c r="I1858" s="282"/>
      <c r="J1858" s="282" t="s">
        <v>10850</v>
      </c>
    </row>
    <row r="1859" spans="1:10" x14ac:dyDescent="0.2">
      <c r="A1859" s="93" t="str">
        <f t="shared" ca="1" si="0"/>
        <v>工作人员</v>
      </c>
      <c r="B1859" s="58" t="s">
        <v>10851</v>
      </c>
      <c r="C1859" s="282"/>
      <c r="D1859" s="282" t="s">
        <v>10852</v>
      </c>
      <c r="E1859" s="282"/>
      <c r="F1859" s="282" t="s">
        <v>10853</v>
      </c>
      <c r="G1859" s="282" t="s">
        <v>10854</v>
      </c>
      <c r="H1859" s="282" t="s">
        <v>10855</v>
      </c>
      <c r="I1859" s="282"/>
      <c r="J1859" s="282"/>
    </row>
    <row r="1860" spans="1:10" x14ac:dyDescent="0.2">
      <c r="A1860" s="93" t="str">
        <f t="shared" ca="1" si="0"/>
        <v>活泼的男孩</v>
      </c>
      <c r="B1860" s="24" t="s">
        <v>10856</v>
      </c>
      <c r="C1860" s="282"/>
      <c r="D1860" s="282" t="s">
        <v>10857</v>
      </c>
      <c r="E1860" s="282"/>
      <c r="F1860" s="282" t="s">
        <v>10858</v>
      </c>
      <c r="G1860" s="282" t="s">
        <v>10859</v>
      </c>
      <c r="H1860" s="282" t="s">
        <v>10860</v>
      </c>
      <c r="I1860" s="282"/>
      <c r="J1860" s="282" t="s">
        <v>10861</v>
      </c>
    </row>
    <row r="1861" spans="1:10" x14ac:dyDescent="0.2">
      <c r="A1861" s="93" t="str">
        <f t="shared" ca="1" si="0"/>
        <v>聪颖的贵族</v>
      </c>
      <c r="B1861" s="38" t="s">
        <v>10862</v>
      </c>
      <c r="C1861" s="282"/>
      <c r="D1861" s="282" t="s">
        <v>10863</v>
      </c>
      <c r="E1861" s="282"/>
      <c r="F1861" s="282" t="s">
        <v>10864</v>
      </c>
      <c r="G1861" s="282" t="s">
        <v>10865</v>
      </c>
      <c r="H1861" s="282" t="s">
        <v>10866</v>
      </c>
      <c r="I1861" s="282"/>
      <c r="J1861" s="282" t="s">
        <v>10867</v>
      </c>
    </row>
    <row r="1862" spans="1:10" x14ac:dyDescent="0.2">
      <c r="A1862" s="93" t="str">
        <f t="shared" ca="1" si="0"/>
        <v>想当随从的青年 /
青年随从</v>
      </c>
      <c r="B1862" s="24" t="s">
        <v>10868</v>
      </c>
      <c r="C1862" s="282"/>
      <c r="D1862" s="282" t="s">
        <v>10869</v>
      </c>
      <c r="E1862" s="282"/>
      <c r="F1862" s="282" t="s">
        <v>10870</v>
      </c>
      <c r="G1862" s="282" t="s">
        <v>10871</v>
      </c>
      <c r="H1862" s="282" t="s">
        <v>10872</v>
      </c>
      <c r="I1862" s="282"/>
      <c r="J1862" s="282"/>
    </row>
    <row r="1863" spans="1:10" x14ac:dyDescent="0.2">
      <c r="A1863" s="93" t="str">
        <f t="shared" ca="1" si="0"/>
        <v>商人艾连</v>
      </c>
      <c r="B1863" s="52" t="s">
        <v>10873</v>
      </c>
      <c r="C1863" s="282" t="s">
        <v>10873</v>
      </c>
      <c r="D1863" s="282" t="s">
        <v>10873</v>
      </c>
      <c r="E1863" s="282"/>
      <c r="F1863" s="282" t="s">
        <v>10873</v>
      </c>
      <c r="G1863" s="282" t="s">
        <v>10874</v>
      </c>
      <c r="H1863" s="282" t="s">
        <v>10875</v>
      </c>
      <c r="I1863" s="282"/>
      <c r="J1863" s="282" t="s">
        <v>10876</v>
      </c>
    </row>
    <row r="1864" spans="1:10" x14ac:dyDescent="0.2">
      <c r="A1864" s="93" t="str">
        <f t="shared" ca="1" si="0"/>
        <v>烈剑骑士艾尔哈特</v>
      </c>
      <c r="B1864" s="58" t="s">
        <v>9518</v>
      </c>
      <c r="C1864" s="282" t="s">
        <v>9518</v>
      </c>
      <c r="D1864" s="282" t="s">
        <v>9518</v>
      </c>
      <c r="E1864" s="282"/>
      <c r="F1864" s="282" t="s">
        <v>9518</v>
      </c>
      <c r="G1864" s="282" t="s">
        <v>10877</v>
      </c>
      <c r="H1864" s="282" t="s">
        <v>10878</v>
      </c>
      <c r="I1864" s="282"/>
      <c r="J1864" s="282" t="s">
        <v>10879</v>
      </c>
    </row>
    <row r="1865" spans="1:10" x14ac:dyDescent="0.2">
      <c r="A1865" s="93" t="str">
        <f t="shared" ca="1" si="0"/>
        <v>前贵族保镳</v>
      </c>
      <c r="B1865" s="52" t="s">
        <v>10880</v>
      </c>
      <c r="C1865" s="282"/>
      <c r="D1865" s="282" t="s">
        <v>10881</v>
      </c>
      <c r="E1865" s="282"/>
      <c r="F1865" s="282" t="s">
        <v>10882</v>
      </c>
      <c r="G1865" s="282" t="s">
        <v>10883</v>
      </c>
      <c r="H1865" s="282" t="s">
        <v>10884</v>
      </c>
      <c r="I1865" s="282"/>
      <c r="J1865" s="282" t="s">
        <v>10885</v>
      </c>
    </row>
    <row r="1866" spans="1:10" x14ac:dyDescent="0.2">
      <c r="A1866" s="93" t="str">
        <f t="shared" ca="1" si="0"/>
        <v>前贵族家仆</v>
      </c>
      <c r="B1866" s="24" t="s">
        <v>10886</v>
      </c>
      <c r="C1866" s="282"/>
      <c r="D1866" s="282" t="s">
        <v>10887</v>
      </c>
      <c r="E1866" s="282"/>
      <c r="F1866" s="282" t="s">
        <v>10888</v>
      </c>
      <c r="G1866" s="282" t="s">
        <v>10889</v>
      </c>
      <c r="H1866" s="282" t="s">
        <v>10890</v>
      </c>
      <c r="I1866" s="282"/>
      <c r="J1866" s="282" t="s">
        <v>10891</v>
      </c>
    </row>
    <row r="1867" spans="1:10" x14ac:dyDescent="0.2">
      <c r="A1867" s="93" t="str">
        <f t="shared" ca="1" si="0"/>
        <v>潦倒的佣兵</v>
      </c>
      <c r="B1867" s="17" t="s">
        <v>10892</v>
      </c>
      <c r="C1867" s="282"/>
      <c r="D1867" s="282" t="s">
        <v>10893</v>
      </c>
      <c r="E1867" s="282"/>
      <c r="F1867" s="282" t="s">
        <v>10894</v>
      </c>
      <c r="G1867" s="282" t="s">
        <v>10895</v>
      </c>
      <c r="H1867" s="282" t="s">
        <v>10896</v>
      </c>
      <c r="I1867" s="282"/>
      <c r="J1867" s="282" t="s">
        <v>10897</v>
      </c>
    </row>
    <row r="1868" spans="1:10" x14ac:dyDescent="0.2">
      <c r="A1868" s="93" t="str">
        <f t="shared" ca="1" si="0"/>
        <v>达观的老人</v>
      </c>
      <c r="B1868" s="138" t="s">
        <v>10898</v>
      </c>
      <c r="C1868" s="282"/>
      <c r="D1868" s="282" t="s">
        <v>10899</v>
      </c>
      <c r="E1868" s="282"/>
      <c r="F1868" s="282" t="s">
        <v>10900</v>
      </c>
      <c r="G1868" s="282" t="s">
        <v>10901</v>
      </c>
      <c r="H1868" s="282" t="s">
        <v>10902</v>
      </c>
      <c r="I1868" s="282"/>
      <c r="J1868" s="282" t="s">
        <v>10903</v>
      </c>
    </row>
    <row r="1869" spans="1:10" x14ac:dyDescent="0.2">
      <c r="A1869" s="93" t="str">
        <f t="shared" ca="1" si="0"/>
        <v>知识渊博的老人</v>
      </c>
      <c r="B1869" s="24" t="s">
        <v>10898</v>
      </c>
      <c r="C1869" s="282"/>
      <c r="D1869" s="282" t="s">
        <v>10899</v>
      </c>
      <c r="E1869" s="282"/>
      <c r="F1869" s="282" t="s">
        <v>10900</v>
      </c>
      <c r="G1869" s="282" t="s">
        <v>10904</v>
      </c>
      <c r="H1869" s="282" t="s">
        <v>10905</v>
      </c>
      <c r="I1869" s="282"/>
      <c r="J1869" s="282" t="s">
        <v>10906</v>
      </c>
    </row>
    <row r="1870" spans="1:10" x14ac:dyDescent="0.2">
      <c r="A1870" s="93" t="str">
        <f t="shared" ca="1" si="0"/>
        <v>艾斯塔达斯</v>
      </c>
      <c r="B1870" s="24" t="s">
        <v>10907</v>
      </c>
      <c r="C1870" s="282"/>
      <c r="D1870" s="282" t="s">
        <v>10907</v>
      </c>
      <c r="E1870" s="282"/>
      <c r="F1870" s="282" t="s">
        <v>10907</v>
      </c>
      <c r="G1870" s="282" t="s">
        <v>10908</v>
      </c>
      <c r="H1870" s="282" t="s">
        <v>10909</v>
      </c>
      <c r="I1870" s="282"/>
      <c r="J1870" s="282" t="s">
        <v>10910</v>
      </c>
    </row>
    <row r="1871" spans="1:10" x14ac:dyDescent="0.2">
      <c r="A1871" s="93" t="str">
        <f t="shared" ca="1" si="0"/>
        <v>异国的老婆婆</v>
      </c>
      <c r="B1871" s="38" t="s">
        <v>10911</v>
      </c>
      <c r="C1871" s="282"/>
      <c r="D1871" s="282" t="s">
        <v>10912</v>
      </c>
      <c r="E1871" s="282"/>
      <c r="F1871" s="282" t="s">
        <v>10913</v>
      </c>
      <c r="G1871" s="282" t="s">
        <v>10914</v>
      </c>
      <c r="H1871" s="282" t="s">
        <v>10915</v>
      </c>
      <c r="I1871" s="282"/>
      <c r="J1871" s="282" t="s">
        <v>10916</v>
      </c>
    </row>
    <row r="1872" spans="1:10" x14ac:dyDescent="0.2">
      <c r="A1872" s="93" t="str">
        <f t="shared" ca="1" si="0"/>
        <v>没存在感的青年 /
新手盗贼</v>
      </c>
      <c r="B1872" s="58" t="s">
        <v>10917</v>
      </c>
      <c r="C1872" s="282"/>
      <c r="D1872" s="282" t="s">
        <v>10918</v>
      </c>
      <c r="E1872" s="282"/>
      <c r="F1872" s="282" t="s">
        <v>10919</v>
      </c>
      <c r="G1872" s="282" t="s">
        <v>10920</v>
      </c>
      <c r="H1872" s="282" t="s">
        <v>10921</v>
      </c>
      <c r="I1872" s="282"/>
      <c r="J1872" s="282"/>
    </row>
    <row r="1873" spans="1:10" x14ac:dyDescent="0.2">
      <c r="A1873" s="93" t="str">
        <f t="shared" ca="1" si="0"/>
        <v>会自制用品的旅人</v>
      </c>
      <c r="B1873" s="24" t="s">
        <v>10922</v>
      </c>
      <c r="C1873" s="282"/>
      <c r="D1873" s="282" t="s">
        <v>10923</v>
      </c>
      <c r="E1873" s="282"/>
      <c r="F1873" s="282" t="s">
        <v>10924</v>
      </c>
      <c r="G1873" s="282" t="s">
        <v>10925</v>
      </c>
      <c r="H1873" s="282" t="s">
        <v>10926</v>
      </c>
      <c r="I1873" s="282"/>
      <c r="J1873" s="282" t="s">
        <v>10927</v>
      </c>
    </row>
    <row r="1874" spans="1:10" x14ac:dyDescent="0.2">
      <c r="A1874" s="93" t="str">
        <f t="shared" ca="1" si="0"/>
        <v>讨厌野兽的母亲</v>
      </c>
      <c r="B1874" s="24" t="s">
        <v>10928</v>
      </c>
      <c r="C1874" s="282"/>
      <c r="D1874" s="282" t="s">
        <v>10929</v>
      </c>
      <c r="E1874" s="282"/>
      <c r="F1874" s="282" t="s">
        <v>10930</v>
      </c>
      <c r="G1874" s="282" t="s">
        <v>10931</v>
      </c>
      <c r="H1874" s="282" t="s">
        <v>10932</v>
      </c>
      <c r="I1874" s="282"/>
      <c r="J1874" s="282"/>
    </row>
    <row r="1875" spans="1:10" x14ac:dyDescent="0.2">
      <c r="A1875" s="93" t="str">
        <f t="shared" ca="1" si="0"/>
        <v>渔夫的情人</v>
      </c>
      <c r="B1875" s="38" t="s">
        <v>10933</v>
      </c>
      <c r="C1875" s="282"/>
      <c r="D1875" s="282" t="s">
        <v>10934</v>
      </c>
      <c r="E1875" s="282"/>
      <c r="F1875" s="282" t="s">
        <v>10935</v>
      </c>
      <c r="G1875" s="282" t="s">
        <v>10936</v>
      </c>
      <c r="H1875" s="282" t="s">
        <v>10937</v>
      </c>
      <c r="I1875" s="282"/>
      <c r="J1875" s="282" t="s">
        <v>10938</v>
      </c>
    </row>
    <row r="1876" spans="1:10" x14ac:dyDescent="0.2">
      <c r="A1876" s="93" t="str">
        <f t="shared" ca="1" si="0"/>
        <v>鱼贩</v>
      </c>
      <c r="B1876" s="17" t="s">
        <v>10939</v>
      </c>
      <c r="C1876" s="282"/>
      <c r="D1876" s="282" t="s">
        <v>10940</v>
      </c>
      <c r="E1876" s="282"/>
      <c r="F1876" s="282" t="s">
        <v>10941</v>
      </c>
      <c r="G1876" s="282" t="s">
        <v>10942</v>
      </c>
      <c r="H1876" s="282" t="s">
        <v>10943</v>
      </c>
      <c r="I1876" s="282"/>
      <c r="J1876" s="282" t="s">
        <v>10944</v>
      </c>
    </row>
    <row r="1877" spans="1:10" x14ac:dyDescent="0.2">
      <c r="A1877" s="93" t="str">
        <f t="shared" ca="1" si="0"/>
        <v>菜鸟渔夫</v>
      </c>
      <c r="B1877" s="38" t="s">
        <v>10945</v>
      </c>
      <c r="C1877" s="282"/>
      <c r="D1877" s="282" t="s">
        <v>10946</v>
      </c>
      <c r="E1877" s="282"/>
      <c r="F1877" s="282" t="s">
        <v>10947</v>
      </c>
      <c r="G1877" s="282" t="s">
        <v>10948</v>
      </c>
      <c r="H1877" s="282" t="s">
        <v>10949</v>
      </c>
      <c r="I1877" s="282"/>
      <c r="J1877" s="282" t="s">
        <v>10950</v>
      </c>
    </row>
    <row r="1878" spans="1:10" x14ac:dyDescent="0.2">
      <c r="A1878" s="93" t="str">
        <f t="shared" ca="1" si="0"/>
        <v>年轻猎人</v>
      </c>
      <c r="B1878" s="24" t="s">
        <v>10951</v>
      </c>
      <c r="C1878" s="282"/>
      <c r="D1878" s="282" t="s">
        <v>10952</v>
      </c>
      <c r="E1878" s="282"/>
      <c r="F1878" s="282" t="s">
        <v>10953</v>
      </c>
      <c r="G1878" s="83" t="s">
        <v>10954</v>
      </c>
      <c r="H1878" s="282" t="s">
        <v>10955</v>
      </c>
      <c r="I1878" s="282"/>
      <c r="J1878" s="282" t="s">
        <v>10956</v>
      </c>
    </row>
    <row r="1879" spans="1:10" x14ac:dyDescent="0.2">
      <c r="A1879" s="93" t="str">
        <f t="shared" ca="1" si="0"/>
        <v>芙萝拉</v>
      </c>
      <c r="B1879" s="17" t="s">
        <v>10957</v>
      </c>
      <c r="C1879" s="51" t="s">
        <v>10957</v>
      </c>
      <c r="D1879" s="282" t="s">
        <v>10957</v>
      </c>
      <c r="E1879" s="282"/>
      <c r="F1879" s="282" t="s">
        <v>10957</v>
      </c>
      <c r="G1879" s="282" t="s">
        <v>10958</v>
      </c>
      <c r="H1879" s="282" t="s">
        <v>10959</v>
      </c>
      <c r="I1879" s="282"/>
      <c r="J1879" s="282" t="s">
        <v>10960</v>
      </c>
    </row>
    <row r="1880" spans="1:10" x14ac:dyDescent="0.2">
      <c r="A1880" s="93" t="str">
        <f t="shared" ca="1" si="0"/>
        <v>卖花的女子</v>
      </c>
      <c r="B1880" s="24" t="s">
        <v>10961</v>
      </c>
      <c r="C1880" s="282"/>
      <c r="D1880" s="282" t="s">
        <v>10962</v>
      </c>
      <c r="E1880" s="282"/>
      <c r="F1880" s="282" t="s">
        <v>10963</v>
      </c>
      <c r="G1880" s="282" t="s">
        <v>10964</v>
      </c>
      <c r="H1880" s="282" t="s">
        <v>10965</v>
      </c>
      <c r="I1880" s="282"/>
      <c r="J1880" s="282" t="s">
        <v>10966</v>
      </c>
    </row>
    <row r="1881" spans="1:10" x14ac:dyDescent="0.2">
      <c r="A1881" s="93" t="str">
        <f t="shared" ca="1" si="0"/>
        <v>芙琳</v>
      </c>
      <c r="B1881" s="38" t="s">
        <v>10967</v>
      </c>
      <c r="C1881" s="51" t="s">
        <v>10967</v>
      </c>
      <c r="D1881" s="282" t="s">
        <v>10967</v>
      </c>
      <c r="E1881" s="282"/>
      <c r="F1881" s="282" t="s">
        <v>10967</v>
      </c>
      <c r="G1881" s="282" t="s">
        <v>10968</v>
      </c>
      <c r="H1881" s="282" t="s">
        <v>10968</v>
      </c>
      <c r="I1881" s="282"/>
      <c r="J1881" s="282" t="s">
        <v>10969</v>
      </c>
    </row>
    <row r="1882" spans="1:10" x14ac:dyDescent="0.2">
      <c r="A1882" s="93" t="str">
        <f t="shared" ca="1" si="0"/>
        <v>前圣火骑士</v>
      </c>
      <c r="B1882" s="138" t="s">
        <v>10970</v>
      </c>
      <c r="C1882" s="282"/>
      <c r="D1882" s="282" t="s">
        <v>10971</v>
      </c>
      <c r="E1882" s="282"/>
      <c r="F1882" s="282" t="s">
        <v>10972</v>
      </c>
      <c r="G1882" s="282" t="s">
        <v>10973</v>
      </c>
      <c r="H1882" s="282" t="s">
        <v>10974</v>
      </c>
      <c r="I1882" s="282"/>
      <c r="J1882" s="282" t="s">
        <v>10975</v>
      </c>
    </row>
    <row r="1883" spans="1:10" x14ac:dyDescent="0.2">
      <c r="A1883" s="93" t="str">
        <f t="shared" ca="1" si="0"/>
        <v>前船员 /
船员</v>
      </c>
      <c r="B1883" s="38" t="s">
        <v>10976</v>
      </c>
      <c r="C1883" s="51" t="s">
        <v>10977</v>
      </c>
      <c r="D1883" s="282" t="s">
        <v>10978</v>
      </c>
      <c r="E1883" s="282"/>
      <c r="F1883" s="282" t="s">
        <v>10979</v>
      </c>
      <c r="G1883" s="282" t="s">
        <v>10980</v>
      </c>
      <c r="H1883" s="282" t="s">
        <v>10981</v>
      </c>
      <c r="I1883" s="282"/>
      <c r="J1883" s="282"/>
    </row>
    <row r="1884" spans="1:10" x14ac:dyDescent="0.2">
      <c r="A1884" s="93" t="str">
        <f t="shared" ca="1" si="0"/>
        <v>农家的女孩</v>
      </c>
      <c r="B1884" s="17" t="s">
        <v>10982</v>
      </c>
      <c r="C1884" s="282"/>
      <c r="D1884" s="282" t="s">
        <v>10983</v>
      </c>
      <c r="E1884" s="282"/>
      <c r="F1884" s="282" t="s">
        <v>10984</v>
      </c>
      <c r="G1884" s="282" t="s">
        <v>10985</v>
      </c>
      <c r="H1884" s="282" t="s">
        <v>10986</v>
      </c>
      <c r="I1884" s="282"/>
      <c r="J1884" s="282" t="s">
        <v>10987</v>
      </c>
    </row>
    <row r="1885" spans="1:10" x14ac:dyDescent="0.2">
      <c r="A1885" s="93" t="str">
        <f t="shared" ca="1" si="0"/>
        <v>雪国的农家</v>
      </c>
      <c r="B1885" s="138" t="s">
        <v>10988</v>
      </c>
      <c r="C1885" s="282"/>
      <c r="D1885" s="282" t="s">
        <v>10989</v>
      </c>
      <c r="E1885" s="282"/>
      <c r="F1885" s="282" t="s">
        <v>10990</v>
      </c>
      <c r="G1885" s="282" t="s">
        <v>10991</v>
      </c>
      <c r="H1885" s="282" t="s">
        <v>10992</v>
      </c>
      <c r="I1885" s="282"/>
      <c r="J1885" s="282" t="s">
        <v>10993</v>
      </c>
    </row>
    <row r="1886" spans="1:10" x14ac:dyDescent="0.2">
      <c r="A1886" s="93" t="str">
        <f t="shared" ca="1" si="0"/>
        <v>弗洛斯特兰多的知识分子</v>
      </c>
      <c r="B1886" s="138" t="s">
        <v>10994</v>
      </c>
      <c r="C1886" s="282"/>
      <c r="D1886" s="282" t="s">
        <v>10995</v>
      </c>
      <c r="E1886" s="282"/>
      <c r="F1886" s="282" t="s">
        <v>10996</v>
      </c>
      <c r="G1886" s="282" t="s">
        <v>10997</v>
      </c>
      <c r="H1886" s="282" t="s">
        <v>10998</v>
      </c>
      <c r="I1886" s="282"/>
      <c r="J1886" s="282" t="s">
        <v>10999</v>
      </c>
    </row>
    <row r="1887" spans="1:10" x14ac:dyDescent="0.2">
      <c r="A1887" s="93" t="str">
        <f t="shared" ca="1" si="0"/>
        <v>赌徒 /
赌赢的赌徒</v>
      </c>
      <c r="B1887" s="24" t="s">
        <v>11000</v>
      </c>
      <c r="C1887" s="282"/>
      <c r="D1887" s="282" t="s">
        <v>11001</v>
      </c>
      <c r="E1887" s="282"/>
      <c r="F1887" s="282" t="s">
        <v>11002</v>
      </c>
      <c r="G1887" s="282" t="s">
        <v>11003</v>
      </c>
      <c r="H1887" s="282" t="s">
        <v>11004</v>
      </c>
      <c r="I1887" s="282"/>
      <c r="J1887" s="282"/>
    </row>
    <row r="1888" spans="1:10" x14ac:dyDescent="0.2">
      <c r="A1888" s="93" t="str">
        <f t="shared" ca="1" si="0"/>
        <v>卡斯顿老大</v>
      </c>
      <c r="B1888" s="52" t="s">
        <v>9348</v>
      </c>
      <c r="C1888" s="282" t="s">
        <v>9348</v>
      </c>
      <c r="D1888" s="282" t="s">
        <v>9348</v>
      </c>
      <c r="E1888" s="282"/>
      <c r="F1888" s="282" t="s">
        <v>9349</v>
      </c>
      <c r="G1888" s="282" t="s">
        <v>11005</v>
      </c>
      <c r="H1888" s="282" t="s">
        <v>11006</v>
      </c>
      <c r="I1888" s="282"/>
      <c r="J1888" s="282" t="s">
        <v>11007</v>
      </c>
    </row>
    <row r="1889" spans="1:10" x14ac:dyDescent="0.2">
      <c r="A1889" s="93" t="str">
        <f t="shared" ca="1" si="0"/>
        <v>看门人</v>
      </c>
      <c r="B1889" s="24" t="s">
        <v>11008</v>
      </c>
      <c r="C1889" s="282"/>
      <c r="D1889" s="282" t="s">
        <v>11009</v>
      </c>
      <c r="E1889" s="282"/>
      <c r="F1889" s="282" t="s">
        <v>11010</v>
      </c>
      <c r="G1889" s="282" t="s">
        <v>11011</v>
      </c>
      <c r="H1889" s="282" t="s">
        <v>11012</v>
      </c>
      <c r="I1889" s="282"/>
      <c r="J1889" s="282" t="s">
        <v>11013</v>
      </c>
    </row>
    <row r="1890" spans="1:10" x14ac:dyDescent="0.2">
      <c r="A1890" s="93" t="str">
        <f t="shared" ca="1" si="0"/>
        <v>善治</v>
      </c>
      <c r="B1890" s="38" t="s">
        <v>11014</v>
      </c>
      <c r="C1890" s="51" t="s">
        <v>11014</v>
      </c>
      <c r="D1890" s="282" t="s">
        <v>11014</v>
      </c>
      <c r="E1890" s="282"/>
      <c r="F1890" s="282" t="s">
        <v>11014</v>
      </c>
      <c r="G1890" s="282" t="s">
        <v>11015</v>
      </c>
      <c r="H1890" s="282" t="s">
        <v>11015</v>
      </c>
      <c r="I1890" s="282"/>
      <c r="J1890" s="282" t="s">
        <v>11016</v>
      </c>
    </row>
    <row r="1891" spans="1:10" x14ac:dyDescent="0.2">
      <c r="A1891" s="93" t="str">
        <f t="shared" ca="1" si="0"/>
        <v>雷纳德将军</v>
      </c>
      <c r="B1891" s="58" t="s">
        <v>11017</v>
      </c>
      <c r="C1891" s="51" t="s">
        <v>11018</v>
      </c>
      <c r="D1891" s="282" t="s">
        <v>11019</v>
      </c>
      <c r="E1891" s="282"/>
      <c r="F1891" s="282" t="s">
        <v>11017</v>
      </c>
      <c r="G1891" s="282" t="s">
        <v>11020</v>
      </c>
      <c r="H1891" s="282" t="s">
        <v>11021</v>
      </c>
      <c r="I1891" s="282"/>
      <c r="J1891" s="282" t="s">
        <v>11022</v>
      </c>
    </row>
    <row r="1892" spans="1:10" x14ac:dyDescent="0.2">
      <c r="A1892" s="93" t="str">
        <f t="shared" ca="1" si="0"/>
        <v>好脾气的妻子</v>
      </c>
      <c r="B1892" s="24" t="s">
        <v>11023</v>
      </c>
      <c r="C1892" s="282"/>
      <c r="D1892" s="282" t="s">
        <v>11024</v>
      </c>
      <c r="E1892" s="282"/>
      <c r="F1892" s="282" t="s">
        <v>11025</v>
      </c>
      <c r="G1892" s="282" t="s">
        <v>11026</v>
      </c>
      <c r="H1892" s="282" t="s">
        <v>11027</v>
      </c>
      <c r="I1892" s="282"/>
      <c r="J1892" s="282" t="s">
        <v>11028</v>
      </c>
    </row>
    <row r="1893" spans="1:10" x14ac:dyDescent="0.2">
      <c r="A1893" s="93" t="str">
        <f t="shared" ca="1" si="0"/>
        <v>温厚的老人</v>
      </c>
      <c r="B1893" s="38" t="s">
        <v>11029</v>
      </c>
      <c r="C1893" s="282"/>
      <c r="D1893" s="282" t="s">
        <v>11030</v>
      </c>
      <c r="E1893" s="282"/>
      <c r="F1893" s="282" t="s">
        <v>11031</v>
      </c>
      <c r="G1893" s="282" t="s">
        <v>11032</v>
      </c>
      <c r="H1893" s="282" t="s">
        <v>11033</v>
      </c>
      <c r="I1893" s="282"/>
      <c r="J1893" s="282" t="s">
        <v>11034</v>
      </c>
    </row>
    <row r="1894" spans="1:10" x14ac:dyDescent="0.2">
      <c r="A1894" s="93" t="str">
        <f t="shared" ca="1" si="0"/>
        <v>格尔达斯</v>
      </c>
      <c r="B1894" s="17" t="s">
        <v>11035</v>
      </c>
      <c r="C1894" s="282" t="s">
        <v>11035</v>
      </c>
      <c r="D1894" s="282" t="s">
        <v>11035</v>
      </c>
      <c r="E1894" s="282"/>
      <c r="F1894" s="282" t="s">
        <v>11035</v>
      </c>
      <c r="G1894" s="282" t="s">
        <v>11036</v>
      </c>
      <c r="H1894" s="282" t="s">
        <v>11037</v>
      </c>
      <c r="I1894" s="282"/>
      <c r="J1894" s="282" t="s">
        <v>11038</v>
      </c>
    </row>
    <row r="1895" spans="1:10" x14ac:dyDescent="0.2">
      <c r="A1895" s="93" t="str">
        <f t="shared" ca="1" si="0"/>
        <v>管家吉尔</v>
      </c>
      <c r="B1895" s="38" t="s">
        <v>11039</v>
      </c>
      <c r="C1895" s="51" t="s">
        <v>11040</v>
      </c>
      <c r="D1895" s="282" t="s">
        <v>11041</v>
      </c>
      <c r="E1895" s="282"/>
      <c r="F1895" s="282" t="s">
        <v>11042</v>
      </c>
      <c r="G1895" s="282" t="s">
        <v>11043</v>
      </c>
      <c r="H1895" s="282" t="s">
        <v>11044</v>
      </c>
      <c r="I1895" s="282"/>
      <c r="J1895" s="282" t="s">
        <v>11045</v>
      </c>
    </row>
    <row r="1896" spans="1:10" x14ac:dyDescent="0.2">
      <c r="A1896" s="93" t="str">
        <f t="shared" ca="1" si="0"/>
        <v>少女</v>
      </c>
      <c r="B1896" s="138" t="s">
        <v>11046</v>
      </c>
      <c r="C1896" s="51" t="s">
        <v>11047</v>
      </c>
      <c r="D1896" s="282" t="s">
        <v>11048</v>
      </c>
      <c r="E1896" s="282"/>
      <c r="F1896" s="282" t="s">
        <v>11049</v>
      </c>
      <c r="G1896" s="282" t="s">
        <v>11050</v>
      </c>
      <c r="H1896" s="282" t="s">
        <v>11050</v>
      </c>
      <c r="I1896" s="282"/>
      <c r="J1896" s="282" t="s">
        <v>11050</v>
      </c>
    </row>
    <row r="1897" spans="1:10" x14ac:dyDescent="0.2">
      <c r="A1897" s="93" t="str">
        <f t="shared" ca="1" si="0"/>
        <v>女孩</v>
      </c>
      <c r="B1897" s="38" t="s">
        <v>11046</v>
      </c>
      <c r="C1897" s="51" t="s">
        <v>11047</v>
      </c>
      <c r="D1897" s="282" t="s">
        <v>11048</v>
      </c>
      <c r="E1897" s="282"/>
      <c r="F1897" s="282" t="s">
        <v>11049</v>
      </c>
      <c r="G1897" s="282" t="s">
        <v>11051</v>
      </c>
      <c r="H1897" s="282" t="s">
        <v>11051</v>
      </c>
      <c r="I1897" s="282"/>
      <c r="J1897" s="282" t="s">
        <v>11052</v>
      </c>
    </row>
    <row r="1898" spans="1:10" x14ac:dyDescent="0.2">
      <c r="A1898" s="93" t="str">
        <f t="shared" ca="1" si="0"/>
        <v>狗</v>
      </c>
      <c r="B1898" s="38" t="s">
        <v>11053</v>
      </c>
      <c r="C1898" s="282"/>
      <c r="D1898" s="282" t="s">
        <v>11054</v>
      </c>
      <c r="E1898" s="282"/>
      <c r="F1898" s="282" t="s">
        <v>11055</v>
      </c>
      <c r="G1898" s="282" t="s">
        <v>11056</v>
      </c>
      <c r="H1898" s="282" t="s">
        <v>11056</v>
      </c>
      <c r="I1898" s="282"/>
      <c r="J1898" s="282" t="s">
        <v>11057</v>
      </c>
    </row>
    <row r="1899" spans="1:10" x14ac:dyDescent="0.2">
      <c r="A1899" s="93" t="str">
        <f t="shared" ca="1" si="0"/>
        <v>爱说闲话的居民</v>
      </c>
      <c r="B1899" s="24" t="s">
        <v>11058</v>
      </c>
      <c r="C1899" s="282"/>
      <c r="D1899" s="282" t="s">
        <v>11059</v>
      </c>
      <c r="E1899" s="282"/>
      <c r="F1899" s="282" t="s">
        <v>11060</v>
      </c>
      <c r="G1899" s="282" t="s">
        <v>11061</v>
      </c>
      <c r="H1899" s="282" t="s">
        <v>11062</v>
      </c>
      <c r="I1899" s="282"/>
      <c r="J1899" s="282" t="s">
        <v>11063</v>
      </c>
    </row>
    <row r="1900" spans="1:10" x14ac:dyDescent="0.2">
      <c r="A1900" s="93" t="str">
        <f t="shared" ca="1" si="0"/>
        <v>孙女</v>
      </c>
      <c r="B1900" s="17" t="s">
        <v>11064</v>
      </c>
      <c r="C1900" s="51" t="s">
        <v>11065</v>
      </c>
      <c r="D1900" s="282" t="s">
        <v>11066</v>
      </c>
      <c r="E1900" s="282"/>
      <c r="F1900" s="282" t="s">
        <v>11067</v>
      </c>
      <c r="G1900" s="282" t="s">
        <v>11068</v>
      </c>
      <c r="H1900" s="282" t="s">
        <v>11069</v>
      </c>
      <c r="I1900" s="282"/>
      <c r="J1900" s="282" t="s">
        <v>11070</v>
      </c>
    </row>
    <row r="1901" spans="1:10" x14ac:dyDescent="0.2">
      <c r="A1901" s="93" t="str">
        <f t="shared" ca="1" si="0"/>
        <v>盗挖者</v>
      </c>
      <c r="B1901" s="24" t="s">
        <v>11071</v>
      </c>
      <c r="C1901" s="282"/>
      <c r="D1901" s="282" t="s">
        <v>11072</v>
      </c>
      <c r="E1901" s="282"/>
      <c r="F1901" s="282" t="s">
        <v>2416</v>
      </c>
      <c r="G1901" s="282" t="s">
        <v>11073</v>
      </c>
      <c r="H1901" s="282" t="s">
        <v>11074</v>
      </c>
      <c r="I1901" s="282"/>
      <c r="J1901" s="282"/>
    </row>
    <row r="1902" spans="1:10" x14ac:dyDescent="0.2">
      <c r="A1902" s="93" t="str">
        <f t="shared" ca="1" si="0"/>
        <v>不碎者葛利格</v>
      </c>
      <c r="B1902" s="58" t="s">
        <v>11075</v>
      </c>
      <c r="C1902" s="282"/>
      <c r="D1902" s="282" t="s">
        <v>11076</v>
      </c>
      <c r="E1902" s="282"/>
      <c r="F1902" s="282" t="s">
        <v>11077</v>
      </c>
      <c r="G1902" s="282" t="s">
        <v>11078</v>
      </c>
      <c r="H1902" s="282" t="s">
        <v>11078</v>
      </c>
      <c r="I1902" s="282"/>
      <c r="J1902" s="282" t="s">
        <v>11079</v>
      </c>
    </row>
    <row r="1903" spans="1:10" x14ac:dyDescent="0.2">
      <c r="A1903" s="93" t="str">
        <f t="shared" ca="1" si="0"/>
        <v>卫兵</v>
      </c>
      <c r="B1903" s="138" t="s">
        <v>11080</v>
      </c>
      <c r="C1903" s="51" t="s">
        <v>11081</v>
      </c>
      <c r="D1903" s="282" t="s">
        <v>11082</v>
      </c>
      <c r="E1903" s="282"/>
      <c r="F1903" s="282" t="s">
        <v>11081</v>
      </c>
      <c r="G1903" s="282" t="s">
        <v>11083</v>
      </c>
      <c r="H1903" s="282" t="s">
        <v>11084</v>
      </c>
      <c r="I1903" s="282"/>
      <c r="J1903" s="282" t="s">
        <v>11083</v>
      </c>
    </row>
    <row r="1904" spans="1:10" x14ac:dyDescent="0.2">
      <c r="A1904" s="93" t="str">
        <f t="shared" ca="1" si="0"/>
        <v>警卫</v>
      </c>
      <c r="B1904" s="38" t="s">
        <v>11080</v>
      </c>
      <c r="C1904" s="51" t="s">
        <v>11081</v>
      </c>
      <c r="D1904" s="282" t="s">
        <v>11082</v>
      </c>
      <c r="E1904" s="282"/>
      <c r="F1904" s="282" t="s">
        <v>11081</v>
      </c>
      <c r="G1904" s="282" t="s">
        <v>11085</v>
      </c>
      <c r="H1904" s="282" t="s">
        <v>11086</v>
      </c>
      <c r="I1904" s="282"/>
      <c r="J1904" s="282" t="s">
        <v>11087</v>
      </c>
    </row>
    <row r="1905" spans="1:10" x14ac:dyDescent="0.2">
      <c r="A1905" s="93" t="str">
        <f t="shared" ca="1" si="0"/>
        <v>卫兵队长</v>
      </c>
      <c r="B1905" s="38" t="s">
        <v>11088</v>
      </c>
      <c r="C1905" s="282" t="s">
        <v>10662</v>
      </c>
      <c r="D1905" s="282" t="s">
        <v>10663</v>
      </c>
      <c r="E1905" s="282"/>
      <c r="F1905" s="282" t="s">
        <v>11089</v>
      </c>
      <c r="G1905" s="282" t="s">
        <v>11090</v>
      </c>
      <c r="H1905" s="282" t="s">
        <v>11091</v>
      </c>
      <c r="I1905" s="282"/>
      <c r="J1905" s="282" t="s">
        <v>11090</v>
      </c>
    </row>
    <row r="1906" spans="1:10" x14ac:dyDescent="0.2">
      <c r="A1906" s="93" t="str">
        <f t="shared" ca="1" si="0"/>
        <v>看门狗</v>
      </c>
      <c r="B1906" s="38" t="s">
        <v>8171</v>
      </c>
      <c r="C1906" s="282" t="s">
        <v>11092</v>
      </c>
      <c r="D1906" s="282" t="s">
        <v>8173</v>
      </c>
      <c r="E1906" s="282"/>
      <c r="F1906" s="282" t="s">
        <v>11093</v>
      </c>
      <c r="G1906" s="282" t="s">
        <v>8175</v>
      </c>
      <c r="H1906" s="282" t="s">
        <v>8176</v>
      </c>
      <c r="I1906" s="282"/>
      <c r="J1906" s="282" t="s">
        <v>11094</v>
      </c>
    </row>
    <row r="1907" spans="1:10" x14ac:dyDescent="0.2">
      <c r="A1907" s="93" t="str">
        <f t="shared" ca="1" si="0"/>
        <v>守卫</v>
      </c>
      <c r="B1907" s="24" t="s">
        <v>11095</v>
      </c>
      <c r="C1907" s="51" t="s">
        <v>11081</v>
      </c>
      <c r="D1907" s="282" t="s">
        <v>11082</v>
      </c>
      <c r="E1907" s="282"/>
      <c r="F1907" s="52" t="s">
        <v>11096</v>
      </c>
      <c r="G1907" s="282" t="s">
        <v>11097</v>
      </c>
      <c r="H1907" s="282" t="s">
        <v>11098</v>
      </c>
      <c r="I1907" s="282"/>
      <c r="J1907" s="282" t="s">
        <v>11097</v>
      </c>
    </row>
    <row r="1908" spans="1:10" x14ac:dyDescent="0.2">
      <c r="A1908" s="93" t="str">
        <f t="shared" ca="1" si="0"/>
        <v>黑骑士古斯塔夫</v>
      </c>
      <c r="B1908" s="24" t="s">
        <v>11099</v>
      </c>
      <c r="C1908" s="51" t="s">
        <v>11100</v>
      </c>
      <c r="D1908" s="282" t="s">
        <v>11101</v>
      </c>
      <c r="E1908" s="282"/>
      <c r="F1908" s="282" t="s">
        <v>11102</v>
      </c>
      <c r="G1908" s="282" t="s">
        <v>11103</v>
      </c>
      <c r="H1908" s="282" t="s">
        <v>11104</v>
      </c>
      <c r="I1908" s="282"/>
      <c r="J1908" s="282" t="s">
        <v>11105</v>
      </c>
    </row>
    <row r="1909" spans="1:10" x14ac:dyDescent="0.2">
      <c r="A1909" s="93" t="str">
        <f t="shared" ca="1" si="0"/>
        <v>消瘦的商人 /
健壮的商人</v>
      </c>
      <c r="B1909" s="24" t="s">
        <v>11106</v>
      </c>
      <c r="C1909" s="282"/>
      <c r="D1909" s="282" t="s">
        <v>11107</v>
      </c>
      <c r="E1909" s="282"/>
      <c r="F1909" s="282" t="s">
        <v>11108</v>
      </c>
      <c r="G1909" s="282" t="s">
        <v>11109</v>
      </c>
      <c r="H1909" s="282" t="s">
        <v>11110</v>
      </c>
      <c r="I1909" s="282"/>
      <c r="J1909" s="282"/>
    </row>
    <row r="1910" spans="1:10" x14ac:dyDescent="0.2">
      <c r="A1910" s="93" t="str">
        <f t="shared" ca="1" si="0"/>
        <v>美丽的吟游诗人</v>
      </c>
      <c r="B1910" s="24" t="s">
        <v>11111</v>
      </c>
      <c r="C1910" s="282"/>
      <c r="D1910" s="282" t="s">
        <v>11112</v>
      </c>
      <c r="E1910" s="282"/>
      <c r="F1910" s="282" t="s">
        <v>11113</v>
      </c>
      <c r="G1910" s="282" t="s">
        <v>11114</v>
      </c>
      <c r="H1910" s="282" t="s">
        <v>11115</v>
      </c>
      <c r="I1910" s="282"/>
      <c r="J1910" s="282" t="s">
        <v>11116</v>
      </c>
    </row>
    <row r="1911" spans="1:10" x14ac:dyDescent="0.2">
      <c r="A1911" s="93" t="str">
        <f t="shared" ca="1" si="0"/>
        <v>反对势力首脑哈洛德</v>
      </c>
      <c r="B1911" s="17" t="s">
        <v>11117</v>
      </c>
      <c r="C1911" s="282" t="s">
        <v>11117</v>
      </c>
      <c r="D1911" s="282" t="s">
        <v>11117</v>
      </c>
      <c r="E1911" s="282"/>
      <c r="F1911" s="282" t="s">
        <v>11117</v>
      </c>
      <c r="G1911" s="282" t="s">
        <v>11118</v>
      </c>
      <c r="H1911" s="282" t="s">
        <v>11119</v>
      </c>
      <c r="I1911" s="282"/>
      <c r="J1911" s="282" t="s">
        <v>11120</v>
      </c>
    </row>
    <row r="1912" spans="1:10" x14ac:dyDescent="0.2">
      <c r="A1912" s="93" t="str">
        <f t="shared" ca="1" si="0"/>
        <v>哈里斯</v>
      </c>
      <c r="B1912" s="38" t="s">
        <v>11121</v>
      </c>
      <c r="C1912" s="282" t="s">
        <v>11121</v>
      </c>
      <c r="D1912" s="282" t="s">
        <v>11121</v>
      </c>
      <c r="E1912" s="282"/>
      <c r="F1912" s="282" t="s">
        <v>11121</v>
      </c>
      <c r="G1912" s="282" t="s">
        <v>11122</v>
      </c>
      <c r="H1912" s="282" t="s">
        <v>11122</v>
      </c>
      <c r="I1912" s="282"/>
      <c r="J1912" s="282" t="s">
        <v>11123</v>
      </c>
    </row>
    <row r="1913" spans="1:10" x14ac:dyDescent="0.2">
      <c r="A1913" s="93" t="str">
        <f t="shared" ca="1" si="0"/>
        <v>伊冯校长</v>
      </c>
      <c r="B1913" s="24" t="s">
        <v>11124</v>
      </c>
      <c r="C1913" s="282" t="s">
        <v>11125</v>
      </c>
      <c r="D1913" s="282" t="s">
        <v>11126</v>
      </c>
      <c r="E1913" s="282"/>
      <c r="F1913" s="282" t="s">
        <v>11127</v>
      </c>
      <c r="G1913" s="282" t="s">
        <v>11128</v>
      </c>
      <c r="H1913" s="282" t="s">
        <v>11129</v>
      </c>
      <c r="I1913" s="282"/>
      <c r="J1913" s="282"/>
    </row>
    <row r="1914" spans="1:10" x14ac:dyDescent="0.2">
      <c r="A1914" s="93" t="str">
        <f t="shared" ca="1" si="0"/>
        <v>希斯柯特</v>
      </c>
      <c r="B1914" s="38" t="s">
        <v>9376</v>
      </c>
      <c r="C1914" s="282" t="s">
        <v>9376</v>
      </c>
      <c r="D1914" s="282" t="s">
        <v>9376</v>
      </c>
      <c r="E1914" s="282"/>
      <c r="F1914" s="282" t="s">
        <v>9376</v>
      </c>
      <c r="G1914" s="282" t="s">
        <v>9377</v>
      </c>
      <c r="H1914" s="282" t="s">
        <v>9377</v>
      </c>
      <c r="I1914" s="282"/>
      <c r="J1914" s="282" t="s">
        <v>11130</v>
      </c>
    </row>
    <row r="1915" spans="1:10" x14ac:dyDescent="0.2">
      <c r="A1915" s="93" t="str">
        <f t="shared" ca="1" si="0"/>
        <v>海莲娜</v>
      </c>
      <c r="B1915" s="58" t="s">
        <v>11131</v>
      </c>
      <c r="C1915" s="282" t="s">
        <v>11131</v>
      </c>
      <c r="D1915" s="282" t="s">
        <v>11131</v>
      </c>
      <c r="E1915" s="282"/>
      <c r="F1915" s="282" t="s">
        <v>11131</v>
      </c>
      <c r="G1915" s="282" t="s">
        <v>11132</v>
      </c>
      <c r="H1915" s="282" t="s">
        <v>11133</v>
      </c>
      <c r="I1915" s="282"/>
      <c r="J1915" s="282" t="s">
        <v>11134</v>
      </c>
    </row>
    <row r="1916" spans="1:10" x14ac:dyDescent="0.2">
      <c r="A1916" s="93" t="str">
        <f t="shared" ca="1" si="0"/>
        <v>贵族史研究家</v>
      </c>
      <c r="B1916" s="24" t="s">
        <v>11135</v>
      </c>
      <c r="C1916" s="282"/>
      <c r="D1916" s="282" t="s">
        <v>11136</v>
      </c>
      <c r="E1916" s="282"/>
      <c r="F1916" s="282" t="s">
        <v>11137</v>
      </c>
      <c r="G1916" s="282" t="s">
        <v>11138</v>
      </c>
      <c r="H1916" s="282" t="s">
        <v>11139</v>
      </c>
      <c r="I1916" s="282"/>
      <c r="J1916" s="282" t="s">
        <v>11138</v>
      </c>
    </row>
    <row r="1917" spans="1:10" x14ac:dyDescent="0.2">
      <c r="A1917" s="93" t="str">
        <f t="shared" ca="1" si="0"/>
        <v>酒馆的受雇店长</v>
      </c>
      <c r="B1917" s="58" t="s">
        <v>11140</v>
      </c>
      <c r="C1917" s="282"/>
      <c r="D1917" s="282" t="s">
        <v>11141</v>
      </c>
      <c r="E1917" s="282"/>
      <c r="F1917" s="282" t="s">
        <v>11142</v>
      </c>
      <c r="G1917" s="282" t="s">
        <v>11143</v>
      </c>
      <c r="H1917" s="282" t="s">
        <v>11144</v>
      </c>
      <c r="I1917" s="282"/>
      <c r="J1917" s="282" t="s">
        <v>11145</v>
      </c>
    </row>
    <row r="1918" spans="1:10" x14ac:dyDescent="0.2">
      <c r="A1918" s="93" t="str">
        <f t="shared" ca="1" si="0"/>
        <v>直率的少年</v>
      </c>
      <c r="B1918" s="52" t="s">
        <v>11146</v>
      </c>
      <c r="C1918" s="282"/>
      <c r="D1918" s="282" t="s">
        <v>11147</v>
      </c>
      <c r="E1918" s="282"/>
      <c r="F1918" s="282" t="s">
        <v>11148</v>
      </c>
      <c r="G1918" s="282" t="s">
        <v>11149</v>
      </c>
      <c r="H1918" s="282" t="s">
        <v>11149</v>
      </c>
      <c r="I1918" s="282"/>
      <c r="J1918" s="282" t="s">
        <v>11150</v>
      </c>
    </row>
    <row r="1919" spans="1:10" x14ac:dyDescent="0.2">
      <c r="A1919" s="93" t="str">
        <f t="shared" ca="1" si="0"/>
        <v>猎人</v>
      </c>
      <c r="B1919" s="52" t="s">
        <v>815</v>
      </c>
      <c r="C1919" s="282" t="s">
        <v>816</v>
      </c>
      <c r="D1919" s="282" t="s">
        <v>817</v>
      </c>
      <c r="E1919" s="282"/>
      <c r="F1919" s="282" t="s">
        <v>818</v>
      </c>
      <c r="G1919" s="282" t="s">
        <v>819</v>
      </c>
      <c r="H1919" s="282" t="s">
        <v>820</v>
      </c>
      <c r="I1919" s="282"/>
      <c r="J1919" s="282" t="s">
        <v>821</v>
      </c>
    </row>
    <row r="1920" spans="1:10" x14ac:dyDescent="0.2">
      <c r="A1920" s="93" t="str">
        <f t="shared" ca="1" si="0"/>
        <v>猎人</v>
      </c>
      <c r="B1920" s="52" t="s">
        <v>815</v>
      </c>
      <c r="C1920" s="282" t="s">
        <v>11151</v>
      </c>
      <c r="D1920" s="282" t="s">
        <v>11152</v>
      </c>
      <c r="E1920" s="282"/>
      <c r="F1920" s="282" t="s">
        <v>11153</v>
      </c>
      <c r="G1920" s="282" t="s">
        <v>819</v>
      </c>
      <c r="H1920" s="282" t="s">
        <v>820</v>
      </c>
      <c r="I1920" s="282"/>
      <c r="J1920" s="282"/>
    </row>
    <row r="1921" spans="1:10" x14ac:dyDescent="0.2">
      <c r="A1921" s="93" t="str">
        <f t="shared" ca="1" si="0"/>
        <v>没钱的男子</v>
      </c>
      <c r="B1921" s="138" t="s">
        <v>11154</v>
      </c>
      <c r="C1921" s="282"/>
      <c r="D1921" s="282" t="s">
        <v>11155</v>
      </c>
      <c r="E1921" s="282"/>
      <c r="F1921" s="282" t="s">
        <v>11156</v>
      </c>
      <c r="G1921" s="282" t="s">
        <v>11157</v>
      </c>
      <c r="H1921" s="282" t="s">
        <v>11158</v>
      </c>
      <c r="I1921" s="282"/>
      <c r="J1921" s="282"/>
    </row>
    <row r="1922" spans="1:10" x14ac:dyDescent="0.2">
      <c r="A1922" s="93" t="str">
        <f t="shared" ca="1" si="0"/>
        <v>团长</v>
      </c>
      <c r="B1922" s="52" t="s">
        <v>11159</v>
      </c>
      <c r="C1922" s="282"/>
      <c r="D1922" s="282" t="s">
        <v>11159</v>
      </c>
      <c r="E1922" s="282"/>
      <c r="F1922" s="282" t="s">
        <v>11160</v>
      </c>
      <c r="G1922" s="282" t="s">
        <v>11161</v>
      </c>
      <c r="H1922" s="282" t="s">
        <v>11162</v>
      </c>
      <c r="I1922" s="282"/>
      <c r="J1922" s="282" t="s">
        <v>11163</v>
      </c>
    </row>
    <row r="1923" spans="1:10" x14ac:dyDescent="0.2">
      <c r="A1923" s="93" t="str">
        <f t="shared" ca="1" si="0"/>
        <v>流浪剧团团长</v>
      </c>
      <c r="B1923" s="165" t="s">
        <v>11159</v>
      </c>
      <c r="C1923" s="282"/>
      <c r="D1923" s="282" t="s">
        <v>11159</v>
      </c>
      <c r="E1923" s="282"/>
      <c r="F1923" s="282" t="s">
        <v>11160</v>
      </c>
      <c r="G1923" s="282" t="s">
        <v>11164</v>
      </c>
      <c r="H1923" s="282" t="s">
        <v>11165</v>
      </c>
      <c r="I1923" s="282"/>
      <c r="J1923" s="282"/>
    </row>
    <row r="1924" spans="1:10" x14ac:dyDescent="0.2">
      <c r="A1924" s="93" t="str">
        <f t="shared" ca="1" si="0"/>
        <v>干劲十足的主妇</v>
      </c>
      <c r="B1924" s="58" t="s">
        <v>11166</v>
      </c>
      <c r="C1924" s="282"/>
      <c r="D1924" s="282" t="s">
        <v>11167</v>
      </c>
      <c r="E1924" s="282"/>
      <c r="F1924" s="282" t="s">
        <v>11168</v>
      </c>
      <c r="G1924" s="282" t="s">
        <v>11169</v>
      </c>
      <c r="H1924" s="282" t="s">
        <v>11170</v>
      </c>
      <c r="I1924" s="282"/>
      <c r="J1924" s="282" t="s">
        <v>11171</v>
      </c>
    </row>
    <row r="1925" spans="1:10" x14ac:dyDescent="0.2">
      <c r="A1925" s="93" t="str">
        <f t="shared" ca="1" si="0"/>
        <v>不惜努力的丈夫</v>
      </c>
      <c r="B1925" s="38" t="s">
        <v>11172</v>
      </c>
      <c r="C1925" s="282"/>
      <c r="D1925" s="282" t="s">
        <v>11173</v>
      </c>
      <c r="E1925" s="282"/>
      <c r="F1925" s="282" t="s">
        <v>11174</v>
      </c>
      <c r="G1925" s="282" t="s">
        <v>11175</v>
      </c>
      <c r="H1925" s="282" t="s">
        <v>11175</v>
      </c>
      <c r="I1925" s="282"/>
      <c r="J1925" s="282" t="s">
        <v>11176</v>
      </c>
    </row>
    <row r="1926" spans="1:10" x14ac:dyDescent="0.2">
      <c r="A1926" s="93" t="str">
        <f t="shared" ca="1" si="0"/>
        <v>日记伯伯英格</v>
      </c>
      <c r="B1926" s="38" t="s">
        <v>11177</v>
      </c>
      <c r="C1926" s="282"/>
      <c r="D1926" s="282" t="s">
        <v>11178</v>
      </c>
      <c r="E1926" s="282"/>
      <c r="F1926" s="282" t="s">
        <v>11179</v>
      </c>
      <c r="G1926" s="282" t="s">
        <v>11180</v>
      </c>
      <c r="H1926" s="282" t="s">
        <v>11181</v>
      </c>
      <c r="I1926" s="282"/>
      <c r="J1926" s="282"/>
    </row>
    <row r="1927" spans="1:10" x14ac:dyDescent="0.2">
      <c r="A1927" s="93" t="str">
        <f t="shared" ca="1" si="0"/>
        <v>绞尽脑汁的发明家</v>
      </c>
      <c r="B1927" s="138" t="s">
        <v>11182</v>
      </c>
      <c r="C1927" s="282"/>
      <c r="D1927" s="282" t="s">
        <v>11183</v>
      </c>
      <c r="E1927" s="282"/>
      <c r="F1927" s="282" t="s">
        <v>11184</v>
      </c>
      <c r="G1927" s="282" t="s">
        <v>11185</v>
      </c>
      <c r="H1927" s="282" t="s">
        <v>11186</v>
      </c>
      <c r="I1927" s="282"/>
      <c r="J1927" s="282" t="s">
        <v>11187</v>
      </c>
    </row>
    <row r="1928" spans="1:10" x14ac:dyDescent="0.2">
      <c r="A1928" s="93" t="str">
        <f t="shared" ca="1" si="0"/>
        <v>受伤的侦查兵</v>
      </c>
      <c r="B1928" s="58" t="s">
        <v>11188</v>
      </c>
      <c r="C1928" s="51" t="s">
        <v>11189</v>
      </c>
      <c r="D1928" s="282" t="s">
        <v>11190</v>
      </c>
      <c r="E1928" s="282"/>
      <c r="F1928" s="282" t="s">
        <v>11191</v>
      </c>
      <c r="G1928" s="282" t="s">
        <v>11192</v>
      </c>
      <c r="H1928" s="282" t="s">
        <v>11193</v>
      </c>
      <c r="I1928" s="282"/>
      <c r="J1928" s="282" t="s">
        <v>11194</v>
      </c>
    </row>
    <row r="1929" spans="1:10" x14ac:dyDescent="0.2">
      <c r="A1929" s="93" t="str">
        <f t="shared" ca="1" si="0"/>
        <v>喜欢历史的青年</v>
      </c>
      <c r="B1929" s="52" t="s">
        <v>11195</v>
      </c>
      <c r="C1929" s="282"/>
      <c r="D1929" s="282" t="s">
        <v>11196</v>
      </c>
      <c r="E1929" s="282"/>
      <c r="F1929" s="282" t="s">
        <v>11197</v>
      </c>
      <c r="G1929" s="282" t="s">
        <v>11198</v>
      </c>
      <c r="H1929" s="282" t="s">
        <v>11199</v>
      </c>
      <c r="I1929" s="282"/>
      <c r="J1929" s="282" t="s">
        <v>11200</v>
      </c>
    </row>
    <row r="1930" spans="1:10" x14ac:dyDescent="0.2">
      <c r="A1930" s="93" t="str">
        <f t="shared" ca="1" si="0"/>
        <v>普通主妇</v>
      </c>
      <c r="B1930" s="38" t="s">
        <v>11201</v>
      </c>
      <c r="C1930" s="282"/>
      <c r="D1930" s="282" t="s">
        <v>11202</v>
      </c>
      <c r="E1930" s="282"/>
      <c r="F1930" s="282" t="s">
        <v>11203</v>
      </c>
      <c r="G1930" s="282" t="s">
        <v>11204</v>
      </c>
      <c r="H1930" s="282" t="s">
        <v>11205</v>
      </c>
      <c r="I1930" s="282"/>
      <c r="J1930" s="282" t="s">
        <v>11206</v>
      </c>
    </row>
    <row r="1931" spans="1:10" x14ac:dyDescent="0.2">
      <c r="A1931" s="93" t="str">
        <f t="shared" ca="1" si="0"/>
        <v>爱说话的商人</v>
      </c>
      <c r="B1931" s="38" t="s">
        <v>11207</v>
      </c>
      <c r="C1931" s="282"/>
      <c r="D1931" s="282" t="s">
        <v>11208</v>
      </c>
      <c r="E1931" s="282"/>
      <c r="F1931" s="282" t="s">
        <v>11209</v>
      </c>
      <c r="G1931" s="282" t="s">
        <v>11210</v>
      </c>
      <c r="H1931" s="282" t="s">
        <v>11211</v>
      </c>
      <c r="I1931" s="282"/>
      <c r="J1931" s="282" t="s">
        <v>11212</v>
      </c>
    </row>
    <row r="1932" spans="1:10" x14ac:dyDescent="0.2">
      <c r="A1932" s="93" t="str">
        <f t="shared" ca="1" si="0"/>
        <v>让</v>
      </c>
      <c r="B1932" s="24" t="s">
        <v>11213</v>
      </c>
      <c r="C1932" s="282" t="s">
        <v>11213</v>
      </c>
      <c r="D1932" s="282" t="s">
        <v>11213</v>
      </c>
      <c r="E1932" s="282"/>
      <c r="F1932" s="282" t="s">
        <v>11213</v>
      </c>
      <c r="G1932" s="282" t="s">
        <v>11214</v>
      </c>
      <c r="H1932" s="282" t="s">
        <v>11215</v>
      </c>
      <c r="I1932" s="282"/>
      <c r="J1932" s="282" t="s">
        <v>11216</v>
      </c>
    </row>
    <row r="1933" spans="1:10" x14ac:dyDescent="0.2">
      <c r="A1933" s="93" t="str">
        <f t="shared" ca="1" si="0"/>
        <v>冰冻剑士约书亚</v>
      </c>
      <c r="B1933" s="24" t="s">
        <v>11217</v>
      </c>
      <c r="C1933" s="282"/>
      <c r="D1933" s="282" t="s">
        <v>11218</v>
      </c>
      <c r="E1933" s="282"/>
      <c r="F1933" s="282" t="s">
        <v>11219</v>
      </c>
      <c r="G1933" s="282" t="s">
        <v>11220</v>
      </c>
      <c r="H1933" s="282" t="s">
        <v>11221</v>
      </c>
      <c r="I1933" s="282"/>
      <c r="J1933" s="282" t="s">
        <v>11222</v>
      </c>
    </row>
    <row r="1934" spans="1:10" x14ac:dyDescent="0.2">
      <c r="A1934" s="93" t="str">
        <f t="shared" ca="1" si="0"/>
        <v>捡东西的男子</v>
      </c>
      <c r="B1934" s="24" t="s">
        <v>11223</v>
      </c>
      <c r="C1934" s="282"/>
      <c r="D1934" s="282" t="s">
        <v>11224</v>
      </c>
      <c r="E1934" s="282"/>
      <c r="F1934" s="282" t="s">
        <v>11225</v>
      </c>
      <c r="G1934" s="282" t="s">
        <v>11226</v>
      </c>
      <c r="H1934" s="282" t="s">
        <v>11227</v>
      </c>
      <c r="I1934" s="282"/>
      <c r="J1934" s="282" t="s">
        <v>11228</v>
      </c>
    </row>
    <row r="1935" spans="1:10" x14ac:dyDescent="0.2">
      <c r="A1935" s="93" t="str">
        <f t="shared" ca="1" si="0"/>
        <v>罪人凯文</v>
      </c>
      <c r="B1935" s="58" t="s">
        <v>11229</v>
      </c>
      <c r="C1935" s="282" t="s">
        <v>11229</v>
      </c>
      <c r="D1935" s="282" t="s">
        <v>11230</v>
      </c>
      <c r="E1935" s="282"/>
      <c r="F1935" s="282" t="s">
        <v>11229</v>
      </c>
      <c r="G1935" s="282" t="s">
        <v>11231</v>
      </c>
      <c r="H1935" s="282" t="s">
        <v>11232</v>
      </c>
      <c r="I1935" s="282"/>
      <c r="J1935" s="282"/>
    </row>
    <row r="1936" spans="1:10" x14ac:dyDescent="0.2">
      <c r="A1936" s="93" t="str">
        <f t="shared" ca="1" si="0"/>
        <v>温和厚道的的祭司</v>
      </c>
      <c r="B1936" s="17" t="s">
        <v>11233</v>
      </c>
      <c r="C1936" s="282"/>
      <c r="D1936" s="282" t="s">
        <v>11234</v>
      </c>
      <c r="E1936" s="282"/>
      <c r="F1936" s="282" t="s">
        <v>11235</v>
      </c>
      <c r="G1936" s="282" t="s">
        <v>11236</v>
      </c>
      <c r="H1936" s="282" t="s">
        <v>11237</v>
      </c>
      <c r="I1936" s="282"/>
      <c r="J1936" s="282" t="s">
        <v>11238</v>
      </c>
    </row>
    <row r="1937" spans="1:10" x14ac:dyDescent="0.2">
      <c r="A1937" s="93" t="str">
        <f t="shared" ca="1" si="0"/>
        <v>笑容灿烂的农民</v>
      </c>
      <c r="B1937" s="52" t="s">
        <v>11239</v>
      </c>
      <c r="C1937" s="282"/>
      <c r="D1937" s="282" t="s">
        <v>11240</v>
      </c>
      <c r="E1937" s="282"/>
      <c r="F1937" s="282" t="s">
        <v>11241</v>
      </c>
      <c r="G1937" s="282" t="s">
        <v>11242</v>
      </c>
      <c r="H1937" s="282" t="s">
        <v>11243</v>
      </c>
      <c r="I1937" s="282"/>
      <c r="J1937" s="282" t="s">
        <v>11244</v>
      </c>
    </row>
    <row r="1938" spans="1:10" x14ac:dyDescent="0.2">
      <c r="A1938" s="93" t="str">
        <f t="shared" ca="1" si="0"/>
        <v>亲切的邻居</v>
      </c>
      <c r="B1938" s="17" t="s">
        <v>11245</v>
      </c>
      <c r="C1938" s="282"/>
      <c r="D1938" s="282" t="s">
        <v>11246</v>
      </c>
      <c r="E1938" s="282"/>
      <c r="F1938" s="282" t="s">
        <v>11247</v>
      </c>
      <c r="G1938" s="282" t="s">
        <v>11248</v>
      </c>
      <c r="H1938" s="282" t="s">
        <v>11249</v>
      </c>
      <c r="I1938" s="282"/>
      <c r="J1938" s="282" t="s">
        <v>11250</v>
      </c>
    </row>
    <row r="1939" spans="1:10" x14ac:dyDescent="0.2">
      <c r="A1939" s="93" t="str">
        <f t="shared" ca="1" si="0"/>
        <v>克林姆王</v>
      </c>
      <c r="B1939" s="58" t="s">
        <v>11251</v>
      </c>
      <c r="C1939" s="282"/>
      <c r="D1939" s="282" t="s">
        <v>11252</v>
      </c>
      <c r="E1939" s="282"/>
      <c r="F1939" s="282" t="s">
        <v>11253</v>
      </c>
      <c r="G1939" s="282" t="s">
        <v>11254</v>
      </c>
      <c r="H1939" s="282" t="s">
        <v>11254</v>
      </c>
      <c r="I1939" s="282"/>
      <c r="J1939" s="282" t="s">
        <v>11255</v>
      </c>
    </row>
    <row r="1940" spans="1:10" x14ac:dyDescent="0.2">
      <c r="A1940" s="93" t="str">
        <f t="shared" ca="1" si="0"/>
        <v>克里斯</v>
      </c>
      <c r="B1940" s="24" t="s">
        <v>11256</v>
      </c>
      <c r="C1940" s="282" t="s">
        <v>11256</v>
      </c>
      <c r="D1940" s="282" t="s">
        <v>11256</v>
      </c>
      <c r="E1940" s="282"/>
      <c r="F1940" s="282" t="s">
        <v>11256</v>
      </c>
      <c r="G1940" s="282" t="s">
        <v>11257</v>
      </c>
      <c r="H1940" s="282" t="s">
        <v>11257</v>
      </c>
      <c r="I1940" s="282"/>
      <c r="J1940" s="282"/>
    </row>
    <row r="1941" spans="1:10" x14ac:dyDescent="0.2">
      <c r="A1941" s="93" t="str">
        <f t="shared" ca="1" si="0"/>
        <v>圣火骑士</v>
      </c>
      <c r="B1941" s="138" t="s">
        <v>11258</v>
      </c>
      <c r="C1941" s="282"/>
      <c r="D1941" s="282" t="s">
        <v>11259</v>
      </c>
      <c r="E1941" s="282"/>
      <c r="F1941" s="282" t="s">
        <v>11260</v>
      </c>
      <c r="G1941" s="282" t="s">
        <v>11261</v>
      </c>
      <c r="H1941" s="282" t="s">
        <v>11262</v>
      </c>
      <c r="I1941" s="282"/>
      <c r="J1941" s="282" t="s">
        <v>11261</v>
      </c>
    </row>
    <row r="1942" spans="1:10" x14ac:dyDescent="0.2">
      <c r="A1942" s="93" t="str">
        <f t="shared" ca="1" si="0"/>
        <v>骑士的妻子</v>
      </c>
      <c r="B1942" s="58" t="s">
        <v>11263</v>
      </c>
      <c r="C1942" s="282"/>
      <c r="D1942" s="282" t="s">
        <v>11264</v>
      </c>
      <c r="E1942" s="282"/>
      <c r="F1942" s="282" t="s">
        <v>11265</v>
      </c>
      <c r="G1942" s="282" t="s">
        <v>11266</v>
      </c>
      <c r="H1942" s="282" t="s">
        <v>11267</v>
      </c>
      <c r="I1942" s="282"/>
      <c r="J1942" s="282" t="s">
        <v>11268</v>
      </c>
    </row>
    <row r="1943" spans="1:10" x14ac:dyDescent="0.2">
      <c r="A1943" s="93" t="str">
        <f t="shared" ca="1" si="0"/>
        <v>消息灵通的米罗</v>
      </c>
      <c r="B1943" s="24" t="s">
        <v>11269</v>
      </c>
      <c r="C1943" s="282" t="s">
        <v>11270</v>
      </c>
      <c r="D1943" s="282" t="s">
        <v>11271</v>
      </c>
      <c r="E1943" s="282"/>
      <c r="F1943" s="282" t="s">
        <v>11272</v>
      </c>
      <c r="G1943" s="282" t="s">
        <v>11273</v>
      </c>
      <c r="H1943" s="282" t="s">
        <v>11274</v>
      </c>
      <c r="I1943" s="282"/>
      <c r="J1943" s="282" t="s">
        <v>11275</v>
      </c>
    </row>
    <row r="1944" spans="1:10" x14ac:dyDescent="0.2">
      <c r="A1944" s="93" t="str">
        <f t="shared" ca="1" si="0"/>
        <v>博学青年的父亲</v>
      </c>
      <c r="B1944" s="58" t="s">
        <v>11276</v>
      </c>
      <c r="C1944" s="282"/>
      <c r="D1944" s="282" t="s">
        <v>11277</v>
      </c>
      <c r="E1944" s="282"/>
      <c r="F1944" s="282" t="s">
        <v>11278</v>
      </c>
      <c r="G1944" s="282" t="s">
        <v>11279</v>
      </c>
      <c r="H1944" s="282" t="s">
        <v>11280</v>
      </c>
      <c r="I1944" s="282"/>
      <c r="J1944" s="282" t="s">
        <v>11281</v>
      </c>
    </row>
    <row r="1945" spans="1:10" x14ac:dyDescent="0.2">
      <c r="A1945" s="93" t="str">
        <f t="shared" ca="1" si="0"/>
        <v>熟门熟路的旅人</v>
      </c>
      <c r="B1945" s="38" t="s">
        <v>11282</v>
      </c>
      <c r="C1945" s="282"/>
      <c r="D1945" s="282" t="s">
        <v>11283</v>
      </c>
      <c r="E1945" s="282"/>
      <c r="F1945" s="282" t="s">
        <v>11284</v>
      </c>
      <c r="G1945" s="282" t="s">
        <v>11285</v>
      </c>
      <c r="H1945" s="282" t="s">
        <v>11286</v>
      </c>
      <c r="I1945" s="282"/>
      <c r="J1945" s="282" t="s">
        <v>11287</v>
      </c>
    </row>
    <row r="1946" spans="1:10" x14ac:dyDescent="0.2">
      <c r="A1946" s="93" t="str">
        <f t="shared" ca="1" si="0"/>
        <v>工人</v>
      </c>
      <c r="B1946" s="38" t="s">
        <v>11288</v>
      </c>
      <c r="C1946" s="282"/>
      <c r="D1946" s="282" t="s">
        <v>11289</v>
      </c>
      <c r="E1946" s="282"/>
      <c r="F1946" s="282" t="s">
        <v>11290</v>
      </c>
      <c r="G1946" s="282" t="s">
        <v>11291</v>
      </c>
      <c r="H1946" s="282" t="s">
        <v>11291</v>
      </c>
      <c r="I1946" s="282"/>
      <c r="J1946" s="282" t="s">
        <v>11292</v>
      </c>
    </row>
    <row r="1947" spans="1:10" x14ac:dyDescent="0.2">
      <c r="A1947" s="93" t="str">
        <f t="shared" ca="1" si="0"/>
        <v>工人</v>
      </c>
      <c r="B1947" s="24" t="s">
        <v>11288</v>
      </c>
      <c r="C1947" s="282"/>
      <c r="D1947" s="282" t="s">
        <v>11293</v>
      </c>
      <c r="E1947" s="282"/>
      <c r="F1947" s="52" t="s">
        <v>11290</v>
      </c>
      <c r="G1947" s="282" t="s">
        <v>11291</v>
      </c>
      <c r="H1947" s="282" t="s">
        <v>11291</v>
      </c>
      <c r="I1947" s="282"/>
      <c r="J1947" s="282"/>
    </row>
    <row r="1948" spans="1:10" x14ac:dyDescent="0.2">
      <c r="A1948" s="93" t="str">
        <f t="shared" ca="1" si="0"/>
        <v>寡言的父亲</v>
      </c>
      <c r="B1948" s="24" t="s">
        <v>11294</v>
      </c>
      <c r="C1948" s="282"/>
      <c r="D1948" s="282" t="s">
        <v>11295</v>
      </c>
      <c r="E1948" s="282"/>
      <c r="F1948" s="282" t="s">
        <v>11296</v>
      </c>
      <c r="G1948" s="282" t="s">
        <v>11297</v>
      </c>
      <c r="H1948" s="282" t="s">
        <v>11298</v>
      </c>
      <c r="I1948" s="282"/>
      <c r="J1948" s="282" t="s">
        <v>11299</v>
      </c>
    </row>
    <row r="1949" spans="1:10" x14ac:dyDescent="0.2">
      <c r="A1949" s="93" t="str">
        <f t="shared" ca="1" si="0"/>
        <v>风景画画家 /
面包师</v>
      </c>
      <c r="B1949" s="17" t="s">
        <v>11300</v>
      </c>
      <c r="C1949" s="282"/>
      <c r="D1949" s="282" t="s">
        <v>11301</v>
      </c>
      <c r="E1949" s="282"/>
      <c r="F1949" s="282" t="s">
        <v>11302</v>
      </c>
      <c r="G1949" s="282" t="s">
        <v>11303</v>
      </c>
      <c r="H1949" s="282" t="s">
        <v>11304</v>
      </c>
      <c r="I1949" s="282"/>
      <c r="J1949" s="282"/>
    </row>
    <row r="1950" spans="1:10" x14ac:dyDescent="0.2">
      <c r="A1950" s="93" t="str">
        <f t="shared" ca="1" si="0"/>
        <v>拉拉</v>
      </c>
      <c r="B1950" s="38" t="s">
        <v>11305</v>
      </c>
      <c r="C1950" s="282" t="s">
        <v>11305</v>
      </c>
      <c r="D1950" s="282" t="s">
        <v>11305</v>
      </c>
      <c r="E1950" s="282"/>
      <c r="F1950" s="282" t="s">
        <v>11305</v>
      </c>
      <c r="G1950" s="282" t="s">
        <v>11306</v>
      </c>
      <c r="H1950" s="282" t="s">
        <v>11306</v>
      </c>
      <c r="I1950" s="282"/>
      <c r="J1950" s="282" t="s">
        <v>11307</v>
      </c>
    </row>
    <row r="1951" spans="1:10" x14ac:dyDescent="0.2">
      <c r="A1951" s="93" t="str">
        <f t="shared" ca="1" si="0"/>
        <v>怕麻烦的男子</v>
      </c>
      <c r="B1951" s="38" t="s">
        <v>11308</v>
      </c>
      <c r="C1951" s="282"/>
      <c r="D1951" s="282" t="s">
        <v>11309</v>
      </c>
      <c r="E1951" s="282"/>
      <c r="F1951" s="282" t="s">
        <v>11310</v>
      </c>
      <c r="G1951" s="282" t="s">
        <v>11311</v>
      </c>
      <c r="H1951" s="282" t="s">
        <v>11312</v>
      </c>
      <c r="I1951" s="282"/>
      <c r="J1951" s="282" t="s">
        <v>11313</v>
      </c>
    </row>
    <row r="1952" spans="1:10" x14ac:dyDescent="0.2">
      <c r="A1952" s="93" t="str">
        <f t="shared" ca="1" si="0"/>
        <v>卢・曼</v>
      </c>
      <c r="B1952" s="38" t="s">
        <v>11314</v>
      </c>
      <c r="C1952" s="51" t="s">
        <v>11315</v>
      </c>
      <c r="D1952" s="282" t="s">
        <v>11315</v>
      </c>
      <c r="E1952" s="282"/>
      <c r="F1952" s="282" t="s">
        <v>11315</v>
      </c>
      <c r="G1952" s="282" t="s">
        <v>11316</v>
      </c>
      <c r="H1952" s="282" t="s">
        <v>11317</v>
      </c>
      <c r="I1952" s="282"/>
      <c r="J1952" s="282"/>
    </row>
    <row r="1953" spans="1:10" x14ac:dyDescent="0.2">
      <c r="A1953" s="93" t="str">
        <f t="shared" ca="1" si="0"/>
        <v>雷欧．巴斯特拉尔？ /
假雷欧</v>
      </c>
      <c r="B1953" s="24" t="s">
        <v>11318</v>
      </c>
      <c r="C1953" s="282"/>
      <c r="D1953" s="282" t="s">
        <v>11319</v>
      </c>
      <c r="E1953" s="282"/>
      <c r="F1953" s="282" t="s">
        <v>11320</v>
      </c>
      <c r="G1953" s="282" t="s">
        <v>11321</v>
      </c>
      <c r="H1953" s="282" t="s">
        <v>11322</v>
      </c>
      <c r="I1953" s="282"/>
      <c r="J1953" s="282"/>
    </row>
    <row r="1954" spans="1:10" x14ac:dyDescent="0.2">
      <c r="A1954" s="93" t="str">
        <f t="shared" ca="1" si="0"/>
        <v>猎海兽名人</v>
      </c>
      <c r="B1954" s="38" t="s">
        <v>11323</v>
      </c>
      <c r="C1954" s="282"/>
      <c r="D1954" s="282" t="s">
        <v>11324</v>
      </c>
      <c r="E1954" s="282"/>
      <c r="F1954" s="282" t="s">
        <v>11325</v>
      </c>
      <c r="G1954" s="282" t="s">
        <v>11326</v>
      </c>
      <c r="H1954" s="282" t="s">
        <v>11327</v>
      </c>
      <c r="I1954" s="282"/>
      <c r="J1954" s="282"/>
    </row>
    <row r="1955" spans="1:10" x14ac:dyDescent="0.2">
      <c r="A1955" s="93" t="str">
        <f t="shared" ca="1" si="0"/>
        <v>莉安娜</v>
      </c>
      <c r="B1955" s="138" t="s">
        <v>11328</v>
      </c>
      <c r="C1955" s="282" t="s">
        <v>11328</v>
      </c>
      <c r="D1955" s="282" t="s">
        <v>11328</v>
      </c>
      <c r="E1955" s="282"/>
      <c r="F1955" s="282" t="s">
        <v>11328</v>
      </c>
      <c r="G1955" s="282" t="s">
        <v>11329</v>
      </c>
      <c r="H1955" s="282" t="s">
        <v>11329</v>
      </c>
      <c r="I1955" s="282"/>
      <c r="J1955" s="282" t="s">
        <v>11330</v>
      </c>
    </row>
    <row r="1956" spans="1:10" x14ac:dyDescent="0.2">
      <c r="A1956" s="93" t="str">
        <f t="shared" ca="1" si="0"/>
        <v>莉莉</v>
      </c>
      <c r="B1956" s="17" t="s">
        <v>11331</v>
      </c>
      <c r="C1956" s="282" t="s">
        <v>11331</v>
      </c>
      <c r="D1956" s="282" t="s">
        <v>11331</v>
      </c>
      <c r="E1956" s="282"/>
      <c r="F1956" s="282" t="s">
        <v>11331</v>
      </c>
      <c r="G1956" s="282" t="s">
        <v>11332</v>
      </c>
      <c r="H1956" s="282" t="s">
        <v>11332</v>
      </c>
      <c r="I1956" s="282"/>
      <c r="J1956" s="282" t="s">
        <v>11333</v>
      </c>
    </row>
    <row r="1957" spans="1:10" x14ac:dyDescent="0.2">
      <c r="A1957" s="93" t="str">
        <f t="shared" ca="1" si="0"/>
        <v>疲惫的剑斗士 /
打起精神的剑斗士</v>
      </c>
      <c r="B1957" s="24" t="s">
        <v>11334</v>
      </c>
      <c r="C1957" s="282"/>
      <c r="D1957" s="282" t="s">
        <v>11335</v>
      </c>
      <c r="E1957" s="282"/>
      <c r="F1957" s="282" t="s">
        <v>11336</v>
      </c>
      <c r="G1957" s="282" t="s">
        <v>11337</v>
      </c>
      <c r="H1957" s="282" t="s">
        <v>11338</v>
      </c>
      <c r="I1957" s="282"/>
      <c r="J1957" s="282"/>
    </row>
    <row r="1958" spans="1:10" x14ac:dyDescent="0.2">
      <c r="A1958" s="93" t="str">
        <f t="shared" ca="1" si="0"/>
        <v>等着爷爷的孙子 /
精神饱满的孙子</v>
      </c>
      <c r="B1958" s="17" t="s">
        <v>11339</v>
      </c>
      <c r="C1958" s="282"/>
      <c r="D1958" s="282" t="s">
        <v>11340</v>
      </c>
      <c r="E1958" s="282"/>
      <c r="F1958" s="282" t="s">
        <v>11341</v>
      </c>
      <c r="G1958" s="282" t="s">
        <v>11342</v>
      </c>
      <c r="H1958" s="282" t="s">
        <v>11343</v>
      </c>
      <c r="I1958" s="282"/>
      <c r="J1958" s="282"/>
    </row>
    <row r="1959" spans="1:10" x14ac:dyDescent="0.2">
      <c r="A1959" s="93" t="str">
        <f t="shared" ca="1" si="0"/>
        <v>贵族奇兰的使者</v>
      </c>
      <c r="B1959" s="24" t="s">
        <v>11344</v>
      </c>
      <c r="C1959" s="282" t="s">
        <v>11345</v>
      </c>
      <c r="D1959" s="282" t="s">
        <v>11346</v>
      </c>
      <c r="E1959" s="282"/>
      <c r="F1959" s="282" t="s">
        <v>11347</v>
      </c>
      <c r="G1959" s="282" t="s">
        <v>11348</v>
      </c>
      <c r="H1959" s="282" t="s">
        <v>11349</v>
      </c>
      <c r="I1959" s="282"/>
      <c r="J1959" s="282"/>
    </row>
    <row r="1960" spans="1:10" x14ac:dyDescent="0.2">
      <c r="A1960" s="93" t="str">
        <f t="shared" ca="1" si="0"/>
        <v>迷路的爷爷 /
活力十足的爷爷</v>
      </c>
      <c r="B1960" s="367" t="s">
        <v>11350</v>
      </c>
      <c r="C1960" s="282"/>
      <c r="D1960" s="282" t="s">
        <v>11351</v>
      </c>
      <c r="E1960" s="282"/>
      <c r="F1960" s="282" t="s">
        <v>11352</v>
      </c>
      <c r="G1960" s="282" t="s">
        <v>11353</v>
      </c>
      <c r="H1960" s="282" t="s">
        <v>11354</v>
      </c>
      <c r="I1960" s="282"/>
      <c r="J1960" s="282"/>
    </row>
    <row r="1961" spans="1:10" x14ac:dyDescent="0.2">
      <c r="A1961" s="93" t="str">
        <f t="shared" ca="1" si="0"/>
        <v>耿直的佣兵</v>
      </c>
      <c r="B1961" s="138" t="s">
        <v>11355</v>
      </c>
      <c r="C1961" s="282" t="s">
        <v>11356</v>
      </c>
      <c r="D1961" s="282" t="s">
        <v>11357</v>
      </c>
      <c r="E1961" s="282"/>
      <c r="F1961" s="282" t="s">
        <v>11358</v>
      </c>
      <c r="G1961" s="282" t="s">
        <v>11359</v>
      </c>
      <c r="H1961" s="282" t="s">
        <v>11360</v>
      </c>
      <c r="I1961" s="282"/>
      <c r="J1961" s="282" t="s">
        <v>11361</v>
      </c>
    </row>
    <row r="1962" spans="1:10" x14ac:dyDescent="0.2">
      <c r="A1962" s="93" t="str">
        <f t="shared" ca="1" si="0"/>
        <v>受到背叛的男子 /
完成复仇的男子</v>
      </c>
      <c r="B1962" s="24" t="s">
        <v>11362</v>
      </c>
      <c r="C1962" s="282"/>
      <c r="D1962" s="282" t="s">
        <v>11363</v>
      </c>
      <c r="E1962" s="282"/>
      <c r="F1962" s="282" t="s">
        <v>11364</v>
      </c>
      <c r="G1962" s="282" t="s">
        <v>11365</v>
      </c>
      <c r="H1962" s="282" t="s">
        <v>11366</v>
      </c>
      <c r="I1962" s="282"/>
      <c r="J1962" s="282"/>
    </row>
    <row r="1963" spans="1:10" x14ac:dyDescent="0.2">
      <c r="A1963" s="93" t="str">
        <f t="shared" ca="1" si="0"/>
        <v>莉布拉克</v>
      </c>
      <c r="B1963" s="38" t="s">
        <v>11367</v>
      </c>
      <c r="C1963" s="282" t="s">
        <v>11367</v>
      </c>
      <c r="D1963" s="282" t="s">
        <v>11367</v>
      </c>
      <c r="E1963" s="282"/>
      <c r="F1963" s="282" t="s">
        <v>11367</v>
      </c>
      <c r="G1963" s="282" t="s">
        <v>11368</v>
      </c>
      <c r="H1963" s="282" t="s">
        <v>11368</v>
      </c>
      <c r="I1963" s="282"/>
      <c r="J1963" s="282"/>
    </row>
    <row r="1964" spans="1:10" x14ac:dyDescent="0.2">
      <c r="A1964" s="93" t="str">
        <f t="shared" ca="1" si="0"/>
        <v>丽莎</v>
      </c>
      <c r="B1964" s="38" t="s">
        <v>11369</v>
      </c>
      <c r="C1964" s="282" t="s">
        <v>11369</v>
      </c>
      <c r="D1964" s="282" t="s">
        <v>11369</v>
      </c>
      <c r="E1964" s="282"/>
      <c r="F1964" s="282" t="s">
        <v>11369</v>
      </c>
      <c r="G1964" s="282" t="s">
        <v>11370</v>
      </c>
      <c r="H1964" s="282" t="s">
        <v>11371</v>
      </c>
      <c r="I1964" s="282"/>
      <c r="J1964" s="282" t="s">
        <v>11372</v>
      </c>
    </row>
    <row r="1965" spans="1:10" x14ac:dyDescent="0.2">
      <c r="A1965" s="93" t="str">
        <f t="shared" ca="1" si="0"/>
        <v>厨师马格</v>
      </c>
      <c r="B1965" s="17" t="s">
        <v>11373</v>
      </c>
      <c r="C1965" s="51" t="s">
        <v>11374</v>
      </c>
      <c r="D1965" s="282" t="s">
        <v>11375</v>
      </c>
      <c r="E1965" s="282"/>
      <c r="F1965" s="282" t="s">
        <v>11376</v>
      </c>
      <c r="G1965" s="282" t="s">
        <v>11377</v>
      </c>
      <c r="H1965" s="282" t="s">
        <v>11378</v>
      </c>
      <c r="I1965" s="282"/>
      <c r="J1965" s="282" t="s">
        <v>11379</v>
      </c>
    </row>
    <row r="1966" spans="1:10" x14ac:dyDescent="0.2">
      <c r="A1966" s="93" t="str">
        <f t="shared" ca="1" si="0"/>
        <v>船员马克</v>
      </c>
      <c r="B1966" s="24" t="s">
        <v>9341</v>
      </c>
      <c r="C1966" s="282" t="s">
        <v>9341</v>
      </c>
      <c r="D1966" s="282" t="s">
        <v>9341</v>
      </c>
      <c r="E1966" s="282"/>
      <c r="F1966" s="282" t="s">
        <v>9341</v>
      </c>
      <c r="G1966" s="282" t="s">
        <v>11380</v>
      </c>
      <c r="H1966" s="282" t="s">
        <v>11381</v>
      </c>
      <c r="I1966" s="282"/>
      <c r="J1966" s="282" t="s">
        <v>11382</v>
      </c>
    </row>
    <row r="1967" spans="1:10" x14ac:dyDescent="0.2">
      <c r="A1967" s="93" t="str">
        <f t="shared" ca="1" si="0"/>
        <v>玛莉娜</v>
      </c>
      <c r="B1967" s="38" t="s">
        <v>11383</v>
      </c>
      <c r="C1967" s="282" t="s">
        <v>11383</v>
      </c>
      <c r="D1967" s="282" t="s">
        <v>11383</v>
      </c>
      <c r="E1967" s="282"/>
      <c r="F1967" s="282" t="s">
        <v>11383</v>
      </c>
      <c r="G1967" s="282" t="s">
        <v>11384</v>
      </c>
      <c r="H1967" s="282" t="s">
        <v>11385</v>
      </c>
      <c r="I1967" s="282"/>
      <c r="J1967" s="282" t="s">
        <v>11386</v>
      </c>
    </row>
    <row r="1968" spans="1:10" x14ac:dyDescent="0.2">
      <c r="A1968" s="93" t="str">
        <f t="shared" ca="1" si="0"/>
        <v>玛琳</v>
      </c>
      <c r="B1968" s="38" t="s">
        <v>11387</v>
      </c>
      <c r="C1968" s="282" t="s">
        <v>11387</v>
      </c>
      <c r="D1968" s="282" t="s">
        <v>11388</v>
      </c>
      <c r="E1968" s="282"/>
      <c r="F1968" s="282" t="s">
        <v>11387</v>
      </c>
      <c r="G1968" s="282" t="s">
        <v>11389</v>
      </c>
      <c r="H1968" s="282" t="s">
        <v>11390</v>
      </c>
      <c r="I1968" s="282"/>
      <c r="J1968" s="282" t="s">
        <v>11391</v>
      </c>
    </row>
    <row r="1969" spans="1:10" x14ac:dyDescent="0.2">
      <c r="A1969" s="93" t="str">
        <f t="shared" ca="1" si="0"/>
        <v>马露夫</v>
      </c>
      <c r="B1969" s="58" t="s">
        <v>11392</v>
      </c>
      <c r="C1969" s="282" t="s">
        <v>11392</v>
      </c>
      <c r="D1969" s="282" t="s">
        <v>11392</v>
      </c>
      <c r="E1969" s="282"/>
      <c r="F1969" s="282" t="s">
        <v>11392</v>
      </c>
      <c r="G1969" s="282" t="s">
        <v>11393</v>
      </c>
      <c r="H1969" s="282" t="s">
        <v>11394</v>
      </c>
      <c r="I1969" s="282"/>
      <c r="J1969" s="282" t="s">
        <v>11395</v>
      </c>
    </row>
    <row r="1970" spans="1:10" x14ac:dyDescent="0.2">
      <c r="A1970" s="93" t="str">
        <f t="shared" ca="1" si="0"/>
        <v>能干的宝石商</v>
      </c>
      <c r="B1970" s="38" t="s">
        <v>11396</v>
      </c>
      <c r="C1970" s="282" t="s">
        <v>11397</v>
      </c>
      <c r="D1970" s="282" t="s">
        <v>11398</v>
      </c>
      <c r="E1970" s="282"/>
      <c r="F1970" s="282" t="s">
        <v>11399</v>
      </c>
      <c r="G1970" s="282" t="s">
        <v>11400</v>
      </c>
      <c r="H1970" s="282" t="s">
        <v>11401</v>
      </c>
      <c r="I1970" s="282"/>
      <c r="J1970" s="282" t="s">
        <v>11402</v>
      </c>
    </row>
    <row r="1971" spans="1:10" x14ac:dyDescent="0.2">
      <c r="A1971" s="93" t="str">
        <f t="shared" ca="1" si="0"/>
        <v>管理人的手下</v>
      </c>
      <c r="B1971" s="58" t="s">
        <v>11403</v>
      </c>
      <c r="C1971" s="282" t="s">
        <v>11404</v>
      </c>
      <c r="D1971" s="282" t="s">
        <v>11082</v>
      </c>
      <c r="E1971" s="282"/>
      <c r="F1971" s="282" t="s">
        <v>11405</v>
      </c>
      <c r="G1971" s="282" t="s">
        <v>11406</v>
      </c>
      <c r="H1971" s="282" t="s">
        <v>11406</v>
      </c>
      <c r="I1971" s="282"/>
      <c r="J1971" s="282" t="s">
        <v>11407</v>
      </c>
    </row>
    <row r="1972" spans="1:10" x14ac:dyDescent="0.2">
      <c r="A1972" s="93" t="str">
        <f t="shared" ca="1" si="0"/>
        <v>玛蒂尔达</v>
      </c>
      <c r="B1972" s="38" t="s">
        <v>11408</v>
      </c>
      <c r="C1972" s="282" t="s">
        <v>11408</v>
      </c>
      <c r="D1972" s="282" t="s">
        <v>11408</v>
      </c>
      <c r="E1972" s="282"/>
      <c r="F1972" s="282" t="s">
        <v>11408</v>
      </c>
      <c r="G1972" s="282" t="s">
        <v>11409</v>
      </c>
      <c r="H1972" s="282" t="s">
        <v>11410</v>
      </c>
      <c r="I1972" s="282"/>
      <c r="J1972" s="282" t="s">
        <v>11411</v>
      </c>
    </row>
    <row r="1973" spans="1:10" x14ac:dyDescent="0.2">
      <c r="A1973" s="93" t="str">
        <f t="shared" ca="1" si="0"/>
        <v>忧郁的青年</v>
      </c>
      <c r="B1973" s="52" t="s">
        <v>11412</v>
      </c>
      <c r="C1973" s="282"/>
      <c r="D1973" s="282" t="s">
        <v>11413</v>
      </c>
      <c r="E1973" s="282"/>
      <c r="F1973" s="282" t="s">
        <v>11414</v>
      </c>
      <c r="G1973" s="282" t="s">
        <v>11415</v>
      </c>
      <c r="H1973" s="282" t="s">
        <v>11416</v>
      </c>
      <c r="I1973" s="282"/>
      <c r="J1973" s="282" t="s">
        <v>11417</v>
      </c>
    </row>
    <row r="1974" spans="1:10" x14ac:dyDescent="0.2">
      <c r="A1974" s="93" t="str">
        <f t="shared" ca="1" si="0"/>
        <v>图书馆员梅赛德斯</v>
      </c>
      <c r="B1974" s="24" t="s">
        <v>11418</v>
      </c>
      <c r="C1974" s="282" t="s">
        <v>11418</v>
      </c>
      <c r="D1974" s="282" t="s">
        <v>11418</v>
      </c>
      <c r="E1974" s="282"/>
      <c r="F1974" s="282" t="s">
        <v>11418</v>
      </c>
      <c r="G1974" s="282" t="s">
        <v>11419</v>
      </c>
      <c r="H1974" s="282" t="s">
        <v>11420</v>
      </c>
      <c r="I1974" s="282"/>
      <c r="J1974" s="282" t="s">
        <v>11421</v>
      </c>
    </row>
    <row r="1975" spans="1:10" x14ac:dyDescent="0.2">
      <c r="A1975" s="93" t="str">
        <f t="shared" ca="1" si="0"/>
        <v>商人</v>
      </c>
      <c r="B1975" s="138" t="s">
        <v>782</v>
      </c>
      <c r="C1975" s="282" t="s">
        <v>783</v>
      </c>
      <c r="D1975" s="282" t="s">
        <v>11422</v>
      </c>
      <c r="E1975" s="282"/>
      <c r="F1975" s="282" t="s">
        <v>785</v>
      </c>
      <c r="G1975" s="282" t="s">
        <v>786</v>
      </c>
      <c r="H1975" s="282" t="s">
        <v>786</v>
      </c>
      <c r="I1975" s="282"/>
      <c r="J1975" s="282" t="s">
        <v>786</v>
      </c>
    </row>
    <row r="1976" spans="1:10" x14ac:dyDescent="0.2">
      <c r="A1976" s="93" t="str">
        <f t="shared" ca="1" si="0"/>
        <v>商会主人</v>
      </c>
      <c r="B1976" s="38" t="s">
        <v>11423</v>
      </c>
      <c r="C1976" s="282"/>
      <c r="D1976" s="282" t="s">
        <v>11424</v>
      </c>
      <c r="E1976" s="282"/>
      <c r="F1976" s="282" t="s">
        <v>11425</v>
      </c>
      <c r="G1976" s="282" t="s">
        <v>11426</v>
      </c>
      <c r="H1976" s="282" t="s">
        <v>11427</v>
      </c>
      <c r="I1976" s="282"/>
      <c r="J1976" s="282"/>
    </row>
    <row r="1977" spans="1:10" x14ac:dyDescent="0.2">
      <c r="A1977" s="93" t="str">
        <f t="shared" ca="1" si="0"/>
        <v>酒馆的老爹</v>
      </c>
      <c r="B1977" s="38" t="s">
        <v>11428</v>
      </c>
      <c r="C1977" s="282"/>
      <c r="D1977" s="282" t="s">
        <v>11429</v>
      </c>
      <c r="E1977" s="282"/>
      <c r="F1977" s="282" t="s">
        <v>11430</v>
      </c>
      <c r="G1977" s="282" t="s">
        <v>11431</v>
      </c>
      <c r="H1977" s="282" t="s">
        <v>11432</v>
      </c>
      <c r="I1977" s="282"/>
      <c r="J1977" s="282" t="s">
        <v>11433</v>
      </c>
    </row>
    <row r="1978" spans="1:10" x14ac:dyDescent="0.2">
      <c r="A1978" s="93" t="str">
        <f t="shared" ca="1" si="0"/>
        <v>梅莉儿</v>
      </c>
      <c r="B1978" s="17" t="s">
        <v>11434</v>
      </c>
      <c r="C1978" s="282" t="s">
        <v>11434</v>
      </c>
      <c r="D1978" s="282" t="s">
        <v>11435</v>
      </c>
      <c r="E1978" s="282"/>
      <c r="F1978" s="282" t="s">
        <v>11434</v>
      </c>
      <c r="G1978" s="282" t="s">
        <v>11436</v>
      </c>
      <c r="H1978" s="282" t="s">
        <v>11437</v>
      </c>
      <c r="I1978" s="282"/>
      <c r="J1978" s="282" t="s">
        <v>11438</v>
      </c>
    </row>
    <row r="1979" spans="1:10" x14ac:dyDescent="0.2">
      <c r="A1979" s="93" t="str">
        <f t="shared" ca="1" si="0"/>
        <v>梅莉儿的父亲</v>
      </c>
      <c r="B1979" s="17" t="s">
        <v>11439</v>
      </c>
      <c r="C1979" s="282" t="s">
        <v>11440</v>
      </c>
      <c r="D1979" s="282" t="s">
        <v>11441</v>
      </c>
      <c r="E1979" s="282"/>
      <c r="F1979" s="282" t="s">
        <v>11442</v>
      </c>
      <c r="G1979" s="282" t="s">
        <v>11443</v>
      </c>
      <c r="H1979" s="282" t="s">
        <v>11444</v>
      </c>
      <c r="I1979" s="282"/>
      <c r="J1979" s="282" t="s">
        <v>11445</v>
      </c>
    </row>
    <row r="1980" spans="1:10" x14ac:dyDescent="0.2">
      <c r="A1980" s="93" t="str">
        <f t="shared" ca="1" si="0"/>
        <v>梅莉儿的母亲</v>
      </c>
      <c r="B1980" s="17" t="s">
        <v>11446</v>
      </c>
      <c r="C1980" s="282" t="s">
        <v>11447</v>
      </c>
      <c r="D1980" s="282" t="s">
        <v>11448</v>
      </c>
      <c r="E1980" s="282"/>
      <c r="F1980" s="282" t="s">
        <v>11449</v>
      </c>
      <c r="G1980" s="282" t="s">
        <v>11450</v>
      </c>
      <c r="H1980" s="282" t="s">
        <v>11451</v>
      </c>
      <c r="I1980" s="282"/>
      <c r="J1980" s="282" t="s">
        <v>11452</v>
      </c>
    </row>
    <row r="1981" spans="1:10" x14ac:dyDescent="0.2">
      <c r="A1981" s="93" t="str">
        <f t="shared" ca="1" si="0"/>
        <v>佣兵米格尔</v>
      </c>
      <c r="B1981" s="17" t="s">
        <v>9531</v>
      </c>
      <c r="C1981" s="282" t="s">
        <v>9531</v>
      </c>
      <c r="D1981" s="282" t="s">
        <v>9531</v>
      </c>
      <c r="E1981" s="282"/>
      <c r="F1981" s="282" t="s">
        <v>9531</v>
      </c>
      <c r="G1981" s="282" t="s">
        <v>11453</v>
      </c>
      <c r="H1981" s="282" t="s">
        <v>11454</v>
      </c>
      <c r="I1981" s="282"/>
      <c r="J1981" s="282"/>
    </row>
    <row r="1982" spans="1:10" x14ac:dyDescent="0.2">
      <c r="A1982" s="93" t="str">
        <f t="shared" ca="1" si="0"/>
        <v>船员米克</v>
      </c>
      <c r="B1982" s="24" t="s">
        <v>9339</v>
      </c>
      <c r="C1982" s="282" t="s">
        <v>9339</v>
      </c>
      <c r="D1982" s="282" t="s">
        <v>9339</v>
      </c>
      <c r="E1982" s="282"/>
      <c r="F1982" s="282" t="s">
        <v>9339</v>
      </c>
      <c r="G1982" s="282" t="s">
        <v>11455</v>
      </c>
      <c r="H1982" s="282" t="s">
        <v>11456</v>
      </c>
      <c r="I1982" s="282"/>
      <c r="J1982" s="282" t="s">
        <v>11457</v>
      </c>
    </row>
    <row r="1983" spans="1:10" x14ac:dyDescent="0.2">
      <c r="A1983" s="93" t="str">
        <f t="shared" ca="1" si="0"/>
        <v>迈尔斯</v>
      </c>
      <c r="B1983" s="138" t="s">
        <v>11458</v>
      </c>
      <c r="C1983" s="282" t="s">
        <v>11458</v>
      </c>
      <c r="D1983" s="282" t="s">
        <v>11458</v>
      </c>
      <c r="E1983" s="282"/>
      <c r="F1983" s="282" t="s">
        <v>11458</v>
      </c>
      <c r="G1983" s="282" t="s">
        <v>11459</v>
      </c>
      <c r="H1983" s="282" t="s">
        <v>11460</v>
      </c>
      <c r="I1983" s="282"/>
      <c r="J1983" s="282" t="s">
        <v>11461</v>
      </c>
    </row>
    <row r="1984" spans="1:10" x14ac:dyDescent="0.2">
      <c r="A1984" s="93" t="str">
        <f t="shared" ca="1" si="0"/>
        <v>开采工人</v>
      </c>
      <c r="B1984" s="38" t="s">
        <v>11462</v>
      </c>
      <c r="C1984" s="282" t="s">
        <v>11463</v>
      </c>
      <c r="D1984" s="282" t="s">
        <v>11289</v>
      </c>
      <c r="E1984" s="282"/>
      <c r="F1984" s="282" t="s">
        <v>11464</v>
      </c>
      <c r="G1984" s="282" t="s">
        <v>11465</v>
      </c>
      <c r="H1984" s="282" t="s">
        <v>11466</v>
      </c>
      <c r="I1984" s="282"/>
      <c r="J1984" s="282" t="s">
        <v>11467</v>
      </c>
    </row>
    <row r="1985" spans="1:10" x14ac:dyDescent="0.2">
      <c r="A1985" s="93" t="str">
        <f t="shared" ca="1" si="0"/>
        <v>大臣</v>
      </c>
      <c r="B1985" s="58" t="s">
        <v>11468</v>
      </c>
      <c r="C1985" s="282" t="s">
        <v>11469</v>
      </c>
      <c r="D1985" s="282" t="s">
        <v>11470</v>
      </c>
      <c r="E1985" s="282"/>
      <c r="F1985" s="282" t="s">
        <v>11469</v>
      </c>
      <c r="G1985" s="282" t="s">
        <v>11471</v>
      </c>
      <c r="H1985" s="282" t="s">
        <v>11471</v>
      </c>
      <c r="I1985" s="282"/>
      <c r="J1985" s="282" t="s">
        <v>11471</v>
      </c>
    </row>
    <row r="1986" spans="1:10" x14ac:dyDescent="0.2">
      <c r="A1986" s="93" t="str">
        <f t="shared" ca="1" si="0"/>
        <v>后悔的母亲 /
高兴的母亲</v>
      </c>
      <c r="B1986" s="38" t="s">
        <v>11472</v>
      </c>
      <c r="C1986" s="282"/>
      <c r="D1986" s="282" t="s">
        <v>11473</v>
      </c>
      <c r="E1986" s="282"/>
      <c r="F1986" s="282" t="s">
        <v>11474</v>
      </c>
      <c r="G1986" s="282" t="s">
        <v>11475</v>
      </c>
      <c r="H1986" s="282" t="s">
        <v>11476</v>
      </c>
      <c r="I1986" s="282"/>
      <c r="J1986" s="282"/>
    </row>
    <row r="1987" spans="1:10" x14ac:dyDescent="0.2">
      <c r="A1987" s="93" t="str">
        <f t="shared" ca="1" si="0"/>
        <v>眯眯眼的高利贷商人</v>
      </c>
      <c r="B1987" s="138" t="s">
        <v>11477</v>
      </c>
      <c r="C1987" s="282" t="s">
        <v>11478</v>
      </c>
      <c r="D1987" s="282" t="s">
        <v>11479</v>
      </c>
      <c r="E1987" s="282"/>
      <c r="F1987" s="282" t="s">
        <v>11480</v>
      </c>
      <c r="G1987" s="282" t="s">
        <v>11481</v>
      </c>
      <c r="H1987" s="282" t="s">
        <v>11482</v>
      </c>
      <c r="I1987" s="282"/>
      <c r="J1987" s="282" t="s">
        <v>11483</v>
      </c>
    </row>
    <row r="1988" spans="1:10" x14ac:dyDescent="0.2">
      <c r="A1988" s="93" t="str">
        <f t="shared" ca="1" si="0"/>
        <v>专打魔物的剑斗士</v>
      </c>
      <c r="B1988" s="24" t="s">
        <v>11484</v>
      </c>
      <c r="C1988" s="282" t="s">
        <v>11485</v>
      </c>
      <c r="D1988" s="282" t="s">
        <v>11486</v>
      </c>
      <c r="E1988" s="282"/>
      <c r="F1988" s="282" t="s">
        <v>11487</v>
      </c>
      <c r="G1988" s="282" t="s">
        <v>11488</v>
      </c>
      <c r="H1988" s="282" t="s">
        <v>11489</v>
      </c>
      <c r="I1988" s="282"/>
      <c r="J1988" s="282" t="s">
        <v>11490</v>
      </c>
    </row>
    <row r="1989" spans="1:10" x14ac:dyDescent="0.2">
      <c r="A1989" s="93" t="str">
        <f t="shared" ca="1" si="0"/>
        <v>蒙德尔</v>
      </c>
      <c r="B1989" s="24" t="s">
        <v>11491</v>
      </c>
      <c r="C1989" s="282"/>
      <c r="D1989" s="282" t="s">
        <v>11492</v>
      </c>
      <c r="E1989" s="282"/>
      <c r="F1989" s="282" t="s">
        <v>11491</v>
      </c>
      <c r="G1989" s="282" t="s">
        <v>11493</v>
      </c>
      <c r="H1989" s="282" t="s">
        <v>11494</v>
      </c>
      <c r="I1989" s="282"/>
      <c r="J1989" s="282" t="s">
        <v>11495</v>
      </c>
    </row>
    <row r="1990" spans="1:10" x14ac:dyDescent="0.2">
      <c r="A1990" s="93" t="str">
        <f t="shared" ca="1" si="0"/>
        <v>大地主莫洛克</v>
      </c>
      <c r="B1990" s="38" t="s">
        <v>11496</v>
      </c>
      <c r="C1990" s="282" t="s">
        <v>11496</v>
      </c>
      <c r="D1990" s="282" t="s">
        <v>11496</v>
      </c>
      <c r="E1990" s="282"/>
      <c r="F1990" s="282" t="s">
        <v>11496</v>
      </c>
      <c r="G1990" s="282" t="s">
        <v>11497</v>
      </c>
      <c r="H1990" s="282" t="s">
        <v>11497</v>
      </c>
      <c r="I1990" s="282"/>
      <c r="J1990" s="282" t="s">
        <v>11498</v>
      </c>
    </row>
    <row r="1991" spans="1:10" x14ac:dyDescent="0.2">
      <c r="A1991" s="93" t="str">
        <f t="shared" ca="1" si="0"/>
        <v>母亲</v>
      </c>
      <c r="B1991" s="138" t="s">
        <v>11499</v>
      </c>
      <c r="C1991" s="282" t="s">
        <v>11500</v>
      </c>
      <c r="D1991" s="282" t="s">
        <v>11501</v>
      </c>
      <c r="E1991" s="282"/>
      <c r="F1991" s="282" t="s">
        <v>11500</v>
      </c>
      <c r="G1991" s="282" t="s">
        <v>11502</v>
      </c>
      <c r="H1991" s="282" t="s">
        <v>11503</v>
      </c>
      <c r="I1991" s="282"/>
      <c r="J1991" s="282" t="s">
        <v>11502</v>
      </c>
    </row>
    <row r="1992" spans="1:10" x14ac:dyDescent="0.2">
      <c r="A1992" s="93" t="str">
        <f t="shared" ca="1" si="0"/>
        <v>嘟嘟囔囔的老人</v>
      </c>
      <c r="B1992" s="138" t="s">
        <v>11504</v>
      </c>
      <c r="C1992" s="282"/>
      <c r="D1992" s="282" t="s">
        <v>11505</v>
      </c>
      <c r="E1992" s="282"/>
      <c r="F1992" s="282" t="s">
        <v>11506</v>
      </c>
      <c r="G1992" s="282" t="s">
        <v>11507</v>
      </c>
      <c r="H1992" s="282" t="s">
        <v>11507</v>
      </c>
      <c r="I1992" s="282"/>
      <c r="J1992" s="282" t="s">
        <v>11508</v>
      </c>
    </row>
    <row r="1993" spans="1:10" x14ac:dyDescent="0.2">
      <c r="A1993" s="93" t="str">
        <f t="shared" ca="1" si="0"/>
        <v>神秘骑士 /
塞凡提斯</v>
      </c>
      <c r="B1993" s="38" t="s">
        <v>11509</v>
      </c>
      <c r="C1993" s="282"/>
      <c r="D1993" s="282" t="s">
        <v>11510</v>
      </c>
      <c r="E1993" s="282"/>
      <c r="F1993" s="282" t="s">
        <v>11511</v>
      </c>
      <c r="G1993" s="282" t="s">
        <v>11512</v>
      </c>
      <c r="H1993" s="282" t="s">
        <v>11513</v>
      </c>
      <c r="I1993" s="282"/>
      <c r="J1993" s="282"/>
    </row>
    <row r="1994" spans="1:10" x14ac:dyDescent="0.2">
      <c r="A1994" s="93" t="str">
        <f t="shared" ca="1" si="0"/>
        <v>无名的守墓人</v>
      </c>
      <c r="B1994" s="52" t="s">
        <v>11514</v>
      </c>
      <c r="C1994" s="282"/>
      <c r="D1994" s="282" t="s">
        <v>11515</v>
      </c>
      <c r="E1994" s="282"/>
      <c r="F1994" s="282" t="s">
        <v>11516</v>
      </c>
      <c r="G1994" s="282" t="s">
        <v>11517</v>
      </c>
      <c r="H1994" s="282" t="s">
        <v>11518</v>
      </c>
      <c r="I1994" s="282"/>
      <c r="J1994" s="282"/>
    </row>
    <row r="1995" spans="1:10" x14ac:dyDescent="0.2">
      <c r="A1995" s="93" t="str">
        <f t="shared" ca="1" si="0"/>
        <v>娜塔莉亚</v>
      </c>
      <c r="B1995" s="52" t="s">
        <v>11519</v>
      </c>
      <c r="C1995" s="282" t="s">
        <v>11519</v>
      </c>
      <c r="D1995" s="282" t="s">
        <v>11519</v>
      </c>
      <c r="E1995" s="282"/>
      <c r="F1995" s="282" t="s">
        <v>11519</v>
      </c>
      <c r="G1995" s="282" t="s">
        <v>11520</v>
      </c>
      <c r="H1995" s="282" t="s">
        <v>11521</v>
      </c>
      <c r="I1995" s="282"/>
      <c r="J1995" s="282" t="s">
        <v>11522</v>
      </c>
    </row>
    <row r="1996" spans="1:10" x14ac:dyDescent="0.2">
      <c r="A1996" s="93" t="str">
        <f t="shared" ca="1" si="0"/>
        <v>内特</v>
      </c>
      <c r="B1996" s="17" t="s">
        <v>11523</v>
      </c>
      <c r="C1996" s="282" t="s">
        <v>11523</v>
      </c>
      <c r="D1996" s="282" t="s">
        <v>11523</v>
      </c>
      <c r="E1996" s="282"/>
      <c r="F1996" s="282" t="s">
        <v>11523</v>
      </c>
      <c r="G1996" s="282" t="s">
        <v>11524</v>
      </c>
      <c r="H1996" s="282" t="s">
        <v>11525</v>
      </c>
      <c r="I1996" s="282"/>
      <c r="J1996" s="282" t="s">
        <v>11526</v>
      </c>
    </row>
    <row r="1997" spans="1:10" x14ac:dyDescent="0.2">
      <c r="A1997" s="93" t="str">
        <f t="shared" ca="1" si="0"/>
        <v>贵族内森</v>
      </c>
      <c r="B1997" s="52" t="s">
        <v>11527</v>
      </c>
      <c r="C1997" s="282" t="s">
        <v>11527</v>
      </c>
      <c r="D1997" s="282" t="s">
        <v>11527</v>
      </c>
      <c r="E1997" s="282"/>
      <c r="F1997" s="282" t="s">
        <v>11527</v>
      </c>
      <c r="G1997" s="282" t="s">
        <v>11528</v>
      </c>
      <c r="H1997" s="282" t="s">
        <v>11529</v>
      </c>
      <c r="I1997" s="282"/>
      <c r="J1997" s="282" t="s">
        <v>11530</v>
      </c>
    </row>
    <row r="1998" spans="1:10" x14ac:dyDescent="0.2">
      <c r="A1998" s="93" t="str">
        <f t="shared" ca="1" si="0"/>
        <v>内森的护卫</v>
      </c>
      <c r="B1998" s="52" t="s">
        <v>11531</v>
      </c>
      <c r="C1998" s="282" t="s">
        <v>11532</v>
      </c>
      <c r="D1998" s="282" t="s">
        <v>11533</v>
      </c>
      <c r="E1998" s="282"/>
      <c r="F1998" s="282" t="s">
        <v>11534</v>
      </c>
      <c r="G1998" s="282" t="s">
        <v>11535</v>
      </c>
      <c r="H1998" s="282" t="s">
        <v>11536</v>
      </c>
      <c r="I1998" s="282"/>
      <c r="J1998" s="282" t="s">
        <v>11537</v>
      </c>
    </row>
    <row r="1999" spans="1:10" x14ac:dyDescent="0.2">
      <c r="A1999" s="93" t="str">
        <f t="shared" ca="1" si="0"/>
        <v>缠人的坏蛋</v>
      </c>
      <c r="B1999" s="58" t="s">
        <v>11538</v>
      </c>
      <c r="C1999" s="282"/>
      <c r="D1999" s="282" t="s">
        <v>11539</v>
      </c>
      <c r="E1999" s="282"/>
      <c r="F1999" s="282" t="s">
        <v>11540</v>
      </c>
      <c r="G1999" s="282" t="s">
        <v>11541</v>
      </c>
      <c r="H1999" s="282" t="s">
        <v>11542</v>
      </c>
      <c r="I1999" s="282"/>
      <c r="J1999" s="282" t="s">
        <v>11543</v>
      </c>
    </row>
    <row r="2000" spans="1:10" x14ac:dyDescent="0.2">
      <c r="A2000" s="93" t="str">
        <f t="shared" ca="1" si="0"/>
        <v>剑斗士奈德</v>
      </c>
      <c r="B2000" s="24" t="s">
        <v>11544</v>
      </c>
      <c r="C2000" s="282" t="s">
        <v>11544</v>
      </c>
      <c r="D2000" s="282" t="s">
        <v>11544</v>
      </c>
      <c r="E2000" s="282"/>
      <c r="F2000" s="282" t="s">
        <v>11544</v>
      </c>
      <c r="G2000" s="282" t="s">
        <v>11545</v>
      </c>
      <c r="H2000" s="282" t="s">
        <v>11546</v>
      </c>
      <c r="I2000" s="282"/>
      <c r="J2000" s="282" t="s">
        <v>11547</v>
      </c>
    </row>
    <row r="2001" spans="1:10" x14ac:dyDescent="0.2">
      <c r="A2001" s="93" t="str">
        <f t="shared" ca="1" si="0"/>
        <v>附近的老婆婆</v>
      </c>
      <c r="B2001" s="52" t="s">
        <v>11548</v>
      </c>
      <c r="C2001" s="51" t="s">
        <v>11549</v>
      </c>
      <c r="D2001" s="282" t="s">
        <v>11550</v>
      </c>
      <c r="E2001" s="282"/>
      <c r="F2001" s="282" t="s">
        <v>11551</v>
      </c>
      <c r="G2001" s="282" t="s">
        <v>11552</v>
      </c>
      <c r="H2001" s="282" t="s">
        <v>11552</v>
      </c>
      <c r="I2001" s="282"/>
      <c r="J2001" s="282" t="s">
        <v>11553</v>
      </c>
    </row>
    <row r="2002" spans="1:10" x14ac:dyDescent="0.2">
      <c r="A2002" s="93" t="str">
        <f t="shared" ca="1" si="0"/>
        <v>附近的老人</v>
      </c>
      <c r="B2002" s="52" t="s">
        <v>11554</v>
      </c>
      <c r="C2002" s="51" t="s">
        <v>11555</v>
      </c>
      <c r="D2002" s="282" t="s">
        <v>11556</v>
      </c>
      <c r="E2002" s="282"/>
      <c r="F2002" s="282" t="s">
        <v>11557</v>
      </c>
      <c r="G2002" s="282" t="s">
        <v>11558</v>
      </c>
      <c r="H2002" s="282" t="s">
        <v>11558</v>
      </c>
      <c r="I2002" s="282"/>
      <c r="J2002" s="282" t="s">
        <v>11559</v>
      </c>
    </row>
    <row r="2003" spans="1:10" x14ac:dyDescent="0.2">
      <c r="A2003" s="93" t="str">
        <f t="shared" ca="1" si="0"/>
        <v>妮娜</v>
      </c>
      <c r="B2003" s="17" t="s">
        <v>11560</v>
      </c>
      <c r="C2003" s="282" t="s">
        <v>11560</v>
      </c>
      <c r="D2003" s="282" t="s">
        <v>11560</v>
      </c>
      <c r="E2003" s="282"/>
      <c r="F2003" s="282" t="s">
        <v>11560</v>
      </c>
      <c r="G2003" s="282" t="s">
        <v>11561</v>
      </c>
      <c r="H2003" s="282" t="s">
        <v>11561</v>
      </c>
      <c r="I2003" s="282"/>
      <c r="J2003" s="282" t="s">
        <v>11562</v>
      </c>
    </row>
    <row r="2004" spans="1:10" x14ac:dyDescent="0.2">
      <c r="A2004" s="93" t="str">
        <f t="shared" ca="1" si="0"/>
        <v>诺雅</v>
      </c>
      <c r="B2004" s="38" t="s">
        <v>11563</v>
      </c>
      <c r="C2004" s="282" t="s">
        <v>11563</v>
      </c>
      <c r="D2004" s="282" t="s">
        <v>11563</v>
      </c>
      <c r="E2004" s="282"/>
      <c r="F2004" s="282" t="s">
        <v>11563</v>
      </c>
      <c r="G2004" s="282" t="s">
        <v>11564</v>
      </c>
      <c r="H2004" s="282" t="s">
        <v>11565</v>
      </c>
      <c r="I2004" s="282"/>
      <c r="J2004" s="282" t="s">
        <v>11566</v>
      </c>
    </row>
    <row r="2005" spans="1:10" x14ac:dyDescent="0.2">
      <c r="A2005" s="93" t="str">
        <f t="shared" ca="1" si="0"/>
        <v>诺艾尔</v>
      </c>
      <c r="B2005" s="52" t="s">
        <v>11567</v>
      </c>
      <c r="C2005" s="282" t="s">
        <v>11567</v>
      </c>
      <c r="D2005" s="282" t="s">
        <v>11567</v>
      </c>
      <c r="E2005" s="282"/>
      <c r="F2005" s="282" t="s">
        <v>11567</v>
      </c>
      <c r="G2005" s="282" t="s">
        <v>11568</v>
      </c>
      <c r="H2005" s="282" t="s">
        <v>11569</v>
      </c>
      <c r="I2005" s="282"/>
      <c r="J2005" s="282" t="s">
        <v>11570</v>
      </c>
    </row>
    <row r="2006" spans="1:10" x14ac:dyDescent="0.2">
      <c r="A2006" s="93" t="str">
        <f t="shared" ca="1" si="0"/>
        <v>做流动贩卖的猎人</v>
      </c>
      <c r="B2006" s="24" t="s">
        <v>11571</v>
      </c>
      <c r="C2006" s="282"/>
      <c r="D2006" s="282" t="s">
        <v>11572</v>
      </c>
      <c r="E2006" s="282"/>
      <c r="F2006" s="282" t="s">
        <v>11573</v>
      </c>
      <c r="G2006" s="282" t="s">
        <v>11574</v>
      </c>
      <c r="H2006" s="282" t="s">
        <v>11575</v>
      </c>
      <c r="I2006" s="282"/>
      <c r="J2006" s="282" t="s">
        <v>11576</v>
      </c>
    </row>
    <row r="2007" spans="1:10" x14ac:dyDescent="0.2">
      <c r="A2007" s="93" t="str">
        <f t="shared" ca="1" si="0"/>
        <v>不善拒绝的商人</v>
      </c>
      <c r="B2007" s="24" t="s">
        <v>11577</v>
      </c>
      <c r="C2007" s="282"/>
      <c r="D2007" s="282" t="s">
        <v>11578</v>
      </c>
      <c r="E2007" s="282"/>
      <c r="F2007" s="282" t="s">
        <v>11579</v>
      </c>
      <c r="G2007" s="282" t="s">
        <v>11580</v>
      </c>
      <c r="H2007" s="282" t="s">
        <v>11581</v>
      </c>
      <c r="I2007" s="282"/>
      <c r="J2007" s="282" t="s">
        <v>11582</v>
      </c>
    </row>
    <row r="2008" spans="1:10" x14ac:dyDescent="0.2">
      <c r="A2008" s="93" t="str">
        <f t="shared" ca="1" si="0"/>
        <v>充满疑惑的居民</v>
      </c>
      <c r="B2008" s="38" t="s">
        <v>11583</v>
      </c>
      <c r="C2008" s="282"/>
      <c r="D2008" s="282" t="s">
        <v>11584</v>
      </c>
      <c r="E2008" s="282"/>
      <c r="F2008" s="282" t="s">
        <v>11585</v>
      </c>
      <c r="G2008" s="282" t="s">
        <v>11586</v>
      </c>
      <c r="H2008" s="282" t="s">
        <v>11587</v>
      </c>
      <c r="I2008" s="282"/>
      <c r="J2008" s="282" t="s">
        <v>11588</v>
      </c>
    </row>
    <row r="2009" spans="1:10" x14ac:dyDescent="0.2">
      <c r="A2009" s="93" t="str">
        <f t="shared" ca="1" si="0"/>
        <v>死缠烂打的商人</v>
      </c>
      <c r="B2009" s="24" t="s">
        <v>11589</v>
      </c>
      <c r="C2009" s="282"/>
      <c r="D2009" s="282" t="s">
        <v>11590</v>
      </c>
      <c r="E2009" s="282"/>
      <c r="F2009" s="282" t="s">
        <v>11591</v>
      </c>
      <c r="G2009" s="282" t="s">
        <v>11592</v>
      </c>
      <c r="H2009" s="282" t="s">
        <v>11593</v>
      </c>
      <c r="I2009" s="282"/>
      <c r="J2009" s="282" t="s">
        <v>11594</v>
      </c>
    </row>
    <row r="2010" spans="1:10" x14ac:dyDescent="0.2">
      <c r="A2010" s="93" t="str">
        <f t="shared" ca="1" si="0"/>
        <v>学者奥黛特</v>
      </c>
      <c r="B2010" s="38" t="s">
        <v>11595</v>
      </c>
      <c r="C2010" s="282" t="s">
        <v>11595</v>
      </c>
      <c r="D2010" s="282" t="s">
        <v>11595</v>
      </c>
      <c r="E2010" s="282"/>
      <c r="F2010" s="282" t="s">
        <v>11595</v>
      </c>
      <c r="G2010" s="282" t="s">
        <v>11596</v>
      </c>
      <c r="H2010" s="282" t="s">
        <v>11597</v>
      </c>
      <c r="I2010" s="282"/>
      <c r="J2010" s="282"/>
    </row>
    <row r="2011" spans="1:10" x14ac:dyDescent="0.2">
      <c r="A2011" s="93" t="str">
        <f t="shared" ca="1" si="0"/>
        <v>药师欧根</v>
      </c>
      <c r="B2011" s="138" t="s">
        <v>11598</v>
      </c>
      <c r="C2011" s="282" t="s">
        <v>11598</v>
      </c>
      <c r="D2011" s="282" t="s">
        <v>11598</v>
      </c>
      <c r="E2011" s="282"/>
      <c r="F2011" s="282" t="s">
        <v>11598</v>
      </c>
      <c r="G2011" s="282" t="s">
        <v>11599</v>
      </c>
      <c r="H2011" s="282" t="s">
        <v>11600</v>
      </c>
      <c r="I2011" s="282"/>
      <c r="J2011" s="282" t="s">
        <v>11601</v>
      </c>
    </row>
    <row r="2012" spans="1:10" x14ac:dyDescent="0.2">
      <c r="A2012" s="93" t="str">
        <f t="shared" ca="1" si="0"/>
        <v>高龄贵族</v>
      </c>
      <c r="B2012" s="58" t="s">
        <v>11602</v>
      </c>
      <c r="C2012" s="282" t="s">
        <v>11603</v>
      </c>
      <c r="D2012" s="282" t="s">
        <v>11604</v>
      </c>
      <c r="E2012" s="282"/>
      <c r="F2012" s="282" t="s">
        <v>11605</v>
      </c>
      <c r="G2012" s="282" t="s">
        <v>11606</v>
      </c>
      <c r="H2012" s="282" t="s">
        <v>11607</v>
      </c>
      <c r="I2012" s="282"/>
      <c r="J2012" s="282" t="s">
        <v>11608</v>
      </c>
    </row>
    <row r="2013" spans="1:10" x14ac:dyDescent="0.2">
      <c r="A2013" s="93" t="str">
        <f t="shared" ca="1" si="0"/>
        <v>守墓的老人</v>
      </c>
      <c r="B2013" s="24" t="s">
        <v>11609</v>
      </c>
      <c r="C2013" s="282"/>
      <c r="D2013" s="282" t="s">
        <v>11610</v>
      </c>
      <c r="E2013" s="282"/>
      <c r="F2013" s="282" t="s">
        <v>11611</v>
      </c>
      <c r="G2013" s="282" t="s">
        <v>11612</v>
      </c>
      <c r="H2013" s="282" t="s">
        <v>11612</v>
      </c>
      <c r="I2013" s="282"/>
      <c r="J2013" s="282" t="s">
        <v>11613</v>
      </c>
    </row>
    <row r="2014" spans="1:10" x14ac:dyDescent="0.2">
      <c r="A2014" s="93" t="str">
        <f t="shared" ca="1" si="0"/>
        <v>老人</v>
      </c>
      <c r="B2014" s="138" t="s">
        <v>11614</v>
      </c>
      <c r="C2014" s="282" t="s">
        <v>11615</v>
      </c>
      <c r="D2014" s="282" t="s">
        <v>11616</v>
      </c>
      <c r="E2014" s="282"/>
      <c r="F2014" s="282" t="s">
        <v>11617</v>
      </c>
      <c r="G2014" s="282" t="s">
        <v>11618</v>
      </c>
      <c r="H2014" s="282" t="s">
        <v>11618</v>
      </c>
      <c r="I2014" s="282"/>
      <c r="J2014" s="282" t="s">
        <v>11618</v>
      </c>
    </row>
    <row r="2015" spans="1:10" x14ac:dyDescent="0.2">
      <c r="A2015" s="93" t="str">
        <f t="shared" ca="1" si="0"/>
        <v>老人 /
夜之瞳</v>
      </c>
      <c r="B2015" s="24" t="s">
        <v>11619</v>
      </c>
      <c r="C2015" s="282"/>
      <c r="D2015" s="282" t="s">
        <v>11620</v>
      </c>
      <c r="E2015" s="282"/>
      <c r="F2015" s="282" t="s">
        <v>11621</v>
      </c>
      <c r="G2015" s="282" t="s">
        <v>11622</v>
      </c>
      <c r="H2015" s="282" t="s">
        <v>11622</v>
      </c>
      <c r="I2015" s="282"/>
      <c r="J2015" s="282"/>
    </row>
    <row r="2016" spans="1:10" x14ac:dyDescent="0.2">
      <c r="A2016" s="93" t="str">
        <f t="shared" ca="1" si="0"/>
        <v>讲述传说的老人</v>
      </c>
      <c r="B2016" s="24" t="s">
        <v>11623</v>
      </c>
      <c r="C2016" s="282"/>
      <c r="D2016" s="282" t="s">
        <v>11624</v>
      </c>
      <c r="E2016" s="282"/>
      <c r="F2016" s="282" t="s">
        <v>11625</v>
      </c>
      <c r="G2016" s="282" t="s">
        <v>11626</v>
      </c>
      <c r="H2016" s="282" t="s">
        <v>11627</v>
      </c>
      <c r="I2016" s="282"/>
      <c r="J2016" s="282" t="s">
        <v>11628</v>
      </c>
    </row>
    <row r="2017" spans="1:10" x14ac:dyDescent="0.2">
      <c r="A2017" s="93" t="str">
        <f t="shared" ca="1" si="0"/>
        <v>商人欧尔涅欧</v>
      </c>
      <c r="B2017" s="38" t="s">
        <v>11629</v>
      </c>
      <c r="C2017" s="282" t="s">
        <v>11629</v>
      </c>
      <c r="D2017" s="282" t="s">
        <v>11630</v>
      </c>
      <c r="E2017" s="282"/>
      <c r="F2017" s="282" t="s">
        <v>11629</v>
      </c>
      <c r="G2017" s="282" t="s">
        <v>11631</v>
      </c>
      <c r="H2017" s="282" t="s">
        <v>11632</v>
      </c>
      <c r="I2017" s="282"/>
      <c r="J2017" s="282" t="s">
        <v>11633</v>
      </c>
    </row>
    <row r="2018" spans="1:10" x14ac:dyDescent="0.2">
      <c r="A2018" s="93" t="str">
        <f t="shared" ca="1" si="0"/>
        <v>佣兵奥玛尔</v>
      </c>
      <c r="B2018" s="38" t="s">
        <v>9397</v>
      </c>
      <c r="C2018" s="282" t="s">
        <v>9397</v>
      </c>
      <c r="D2018" s="282" t="s">
        <v>9397</v>
      </c>
      <c r="E2018" s="282"/>
      <c r="F2018" s="282" t="s">
        <v>9397</v>
      </c>
      <c r="G2018" s="282" t="s">
        <v>11634</v>
      </c>
      <c r="H2018" s="282" t="s">
        <v>11635</v>
      </c>
      <c r="I2018" s="282"/>
      <c r="J2018" s="282" t="s">
        <v>11636</v>
      </c>
    </row>
    <row r="2019" spans="1:10" x14ac:dyDescent="0.2">
      <c r="A2019" s="93" t="str">
        <f t="shared" ca="1" si="0"/>
        <v>车夫厄伦</v>
      </c>
      <c r="B2019" s="138" t="s">
        <v>11637</v>
      </c>
      <c r="C2019" s="282" t="s">
        <v>11637</v>
      </c>
      <c r="D2019" s="282" t="s">
        <v>11637</v>
      </c>
      <c r="E2019" s="282"/>
      <c r="F2019" s="282" t="s">
        <v>11637</v>
      </c>
      <c r="G2019" s="282" t="s">
        <v>11638</v>
      </c>
      <c r="H2019" s="282" t="s">
        <v>11639</v>
      </c>
      <c r="I2019" s="282"/>
      <c r="J2019" s="282" t="s">
        <v>11640</v>
      </c>
    </row>
    <row r="2020" spans="1:10" x14ac:dyDescent="0.2">
      <c r="A2020" s="93" t="str">
        <f t="shared" ca="1" si="0"/>
        <v>学者奥立克</v>
      </c>
      <c r="B2020" s="24" t="s">
        <v>9452</v>
      </c>
      <c r="C2020" s="282" t="s">
        <v>9452</v>
      </c>
      <c r="D2020" s="282" t="s">
        <v>9452</v>
      </c>
      <c r="E2020" s="282"/>
      <c r="F2020" s="282" t="s">
        <v>9452</v>
      </c>
      <c r="G2020" s="282" t="s">
        <v>11641</v>
      </c>
      <c r="H2020" s="282" t="s">
        <v>11642</v>
      </c>
      <c r="I2020" s="282"/>
      <c r="J2020" s="282" t="s">
        <v>11643</v>
      </c>
    </row>
    <row r="2021" spans="1:10" x14ac:dyDescent="0.2">
      <c r="A2021" s="93" t="str">
        <f t="shared" ca="1" si="0"/>
        <v>孤儿院的女子</v>
      </c>
      <c r="B2021" s="24" t="s">
        <v>11644</v>
      </c>
      <c r="C2021" s="282"/>
      <c r="D2021" s="282" t="s">
        <v>11645</v>
      </c>
      <c r="E2021" s="282"/>
      <c r="F2021" s="282" t="s">
        <v>11646</v>
      </c>
      <c r="G2021" s="282" t="s">
        <v>11647</v>
      </c>
      <c r="H2021" s="282" t="s">
        <v>11648</v>
      </c>
      <c r="I2021" s="282"/>
      <c r="J2021" s="282" t="s">
        <v>11649</v>
      </c>
    </row>
    <row r="2022" spans="1:10" x14ac:dyDescent="0.2">
      <c r="A2022" s="93" t="str">
        <f t="shared" ca="1" si="0"/>
        <v>制纸工匠</v>
      </c>
      <c r="B2022" s="52" t="s">
        <v>11650</v>
      </c>
      <c r="C2022" s="282"/>
      <c r="D2022" s="282" t="s">
        <v>11651</v>
      </c>
      <c r="E2022" s="282"/>
      <c r="F2022" s="282" t="s">
        <v>11652</v>
      </c>
      <c r="G2022" s="282" t="s">
        <v>11653</v>
      </c>
      <c r="H2022" s="282" t="s">
        <v>11654</v>
      </c>
      <c r="I2022" s="282"/>
      <c r="J2022" s="282" t="s">
        <v>11655</v>
      </c>
    </row>
    <row r="2023" spans="1:10" x14ac:dyDescent="0.2">
      <c r="A2023" s="93" t="str">
        <f t="shared" ca="1" si="0"/>
        <v>兴奋的商人</v>
      </c>
      <c r="B2023" s="38" t="s">
        <v>11656</v>
      </c>
      <c r="C2023" s="282"/>
      <c r="D2023" s="282" t="s">
        <v>11657</v>
      </c>
      <c r="E2023" s="282"/>
      <c r="F2023" s="282" t="s">
        <v>11658</v>
      </c>
      <c r="G2023" s="282" t="s">
        <v>11659</v>
      </c>
      <c r="H2023" s="282" t="s">
        <v>11660</v>
      </c>
      <c r="I2023" s="282"/>
      <c r="J2023" s="282" t="s">
        <v>11661</v>
      </c>
    </row>
    <row r="2024" spans="1:10" x14ac:dyDescent="0.2">
      <c r="A2024" s="93" t="str">
        <f t="shared" ca="1" si="0"/>
        <v>狂热的读书家</v>
      </c>
      <c r="B2024" s="24" t="s">
        <v>11662</v>
      </c>
      <c r="C2024" s="282"/>
      <c r="D2024" s="282" t="s">
        <v>11663</v>
      </c>
      <c r="E2024" s="282"/>
      <c r="F2024" s="282" t="s">
        <v>11664</v>
      </c>
      <c r="G2024" s="282" t="s">
        <v>11665</v>
      </c>
      <c r="H2024" s="282" t="s">
        <v>11666</v>
      </c>
      <c r="I2024" s="282"/>
      <c r="J2024" s="282" t="s">
        <v>11667</v>
      </c>
    </row>
    <row r="2025" spans="1:10" x14ac:dyDescent="0.2">
      <c r="A2025" s="93" t="str">
        <f t="shared" ca="1" si="0"/>
        <v>狂热的年轻人 /
狂热的探险家 /
狂热的兼职农夫</v>
      </c>
      <c r="B2025" s="17" t="s">
        <v>11668</v>
      </c>
      <c r="C2025" s="282"/>
      <c r="D2025" s="282" t="s">
        <v>11669</v>
      </c>
      <c r="E2025" s="282"/>
      <c r="F2025" s="282" t="s">
        <v>11670</v>
      </c>
      <c r="G2025" s="282" t="s">
        <v>11671</v>
      </c>
      <c r="H2025" s="282" t="s">
        <v>11672</v>
      </c>
      <c r="I2025" s="282"/>
      <c r="J2025" s="282"/>
    </row>
    <row r="2026" spans="1:10" x14ac:dyDescent="0.2">
      <c r="A2026" s="93" t="str">
        <f t="shared" ca="1" si="0"/>
        <v>差劲的父亲 /
改过自新的父亲</v>
      </c>
      <c r="B2026" s="138" t="s">
        <v>11673</v>
      </c>
      <c r="C2026" s="282"/>
      <c r="D2026" s="282" t="s">
        <v>11674</v>
      </c>
      <c r="E2026" s="282"/>
      <c r="F2026" s="282" t="s">
        <v>11675</v>
      </c>
      <c r="G2026" s="282" t="s">
        <v>11676</v>
      </c>
      <c r="H2026" s="282" t="s">
        <v>11677</v>
      </c>
      <c r="I2026" s="282"/>
      <c r="J2026" s="282"/>
    </row>
    <row r="2027" spans="1:10" x14ac:dyDescent="0.2">
      <c r="A2027" s="93" t="str">
        <f t="shared" ca="1" si="0"/>
        <v>患者</v>
      </c>
      <c r="B2027" s="38" t="s">
        <v>11678</v>
      </c>
      <c r="C2027" s="282"/>
      <c r="D2027" s="282" t="s">
        <v>11679</v>
      </c>
      <c r="E2027" s="282"/>
      <c r="F2027" s="52" t="s">
        <v>11680</v>
      </c>
      <c r="G2027" s="282" t="s">
        <v>11681</v>
      </c>
      <c r="H2027" s="282" t="s">
        <v>11681</v>
      </c>
      <c r="I2027" s="282"/>
      <c r="J2027" s="282"/>
    </row>
    <row r="2028" spans="1:10" x14ac:dyDescent="0.2">
      <c r="A2028" s="93" t="str">
        <f t="shared" ca="1" si="0"/>
        <v>有高贵气息的青年</v>
      </c>
      <c r="B2028" s="52" t="s">
        <v>11682</v>
      </c>
      <c r="C2028" s="282"/>
      <c r="D2028" s="282" t="s">
        <v>11683</v>
      </c>
      <c r="E2028" s="282"/>
      <c r="F2028" s="282" t="s">
        <v>11684</v>
      </c>
      <c r="G2028" s="282" t="s">
        <v>11685</v>
      </c>
      <c r="H2028" s="282" t="s">
        <v>11686</v>
      </c>
      <c r="I2028" s="282"/>
      <c r="J2028" s="282" t="s">
        <v>11687</v>
      </c>
    </row>
    <row r="2029" spans="1:10" x14ac:dyDescent="0.2">
      <c r="A2029" s="93" t="str">
        <f t="shared" ca="1" si="0"/>
        <v>保罗</v>
      </c>
      <c r="B2029" s="38" t="s">
        <v>11688</v>
      </c>
      <c r="C2029" s="282" t="s">
        <v>11688</v>
      </c>
      <c r="D2029" s="282" t="s">
        <v>11688</v>
      </c>
      <c r="E2029" s="282"/>
      <c r="F2029" s="282" t="s">
        <v>11688</v>
      </c>
      <c r="G2029" s="282" t="s">
        <v>11689</v>
      </c>
      <c r="H2029" s="282" t="s">
        <v>11690</v>
      </c>
      <c r="I2029" s="282"/>
      <c r="J2029" s="282" t="s">
        <v>11691</v>
      </c>
    </row>
    <row r="2030" spans="1:10" x14ac:dyDescent="0.2">
      <c r="A2030" s="93" t="str">
        <f t="shared" ca="1" si="0"/>
        <v>贫民</v>
      </c>
      <c r="B2030" s="58" t="s">
        <v>11692</v>
      </c>
      <c r="C2030" s="282" t="s">
        <v>11693</v>
      </c>
      <c r="D2030" s="282" t="s">
        <v>11694</v>
      </c>
      <c r="E2030" s="282"/>
      <c r="F2030" s="282" t="s">
        <v>11693</v>
      </c>
      <c r="G2030" s="282" t="s">
        <v>11695</v>
      </c>
      <c r="H2030" s="282" t="s">
        <v>11696</v>
      </c>
      <c r="I2030" s="282"/>
      <c r="J2030" s="282" t="s">
        <v>11691</v>
      </c>
    </row>
    <row r="2031" spans="1:10" x14ac:dyDescent="0.2">
      <c r="A2031" s="93" t="str">
        <f t="shared" ca="1" si="0"/>
        <v>贫民领袖</v>
      </c>
      <c r="B2031" s="38" t="s">
        <v>11697</v>
      </c>
      <c r="C2031" s="282"/>
      <c r="D2031" s="282" t="s">
        <v>11698</v>
      </c>
      <c r="E2031" s="282"/>
      <c r="F2031" s="282" t="s">
        <v>11699</v>
      </c>
      <c r="G2031" s="282" t="s">
        <v>11700</v>
      </c>
      <c r="H2031" s="282" t="s">
        <v>11701</v>
      </c>
      <c r="I2031" s="282"/>
      <c r="J2031" s="282" t="s">
        <v>11695</v>
      </c>
    </row>
    <row r="2032" spans="1:10" x14ac:dyDescent="0.2">
      <c r="A2032" s="93" t="str">
        <f t="shared" ca="1" si="0"/>
        <v>烦恼的少女 /
年轻女歌手 /
梦想家少女</v>
      </c>
      <c r="B2032" s="138" t="s">
        <v>11702</v>
      </c>
      <c r="C2032" s="282"/>
      <c r="D2032" s="282" t="s">
        <v>11703</v>
      </c>
      <c r="E2032" s="282"/>
      <c r="F2032" s="282" t="s">
        <v>11704</v>
      </c>
      <c r="G2032" s="282" t="s">
        <v>11705</v>
      </c>
      <c r="H2032" s="282" t="s">
        <v>11706</v>
      </c>
      <c r="I2032" s="282"/>
      <c r="J2032" s="282"/>
    </row>
    <row r="2033" spans="1:10" x14ac:dyDescent="0.2">
      <c r="A2033" s="93" t="str">
        <f t="shared" ca="1" si="0"/>
        <v>体弱多病少女的母亲</v>
      </c>
      <c r="B2033" s="58" t="s">
        <v>11707</v>
      </c>
      <c r="C2033" s="282"/>
      <c r="D2033" s="282" t="s">
        <v>11708</v>
      </c>
      <c r="E2033" s="282"/>
      <c r="F2033" s="282" t="s">
        <v>11709</v>
      </c>
      <c r="G2033" s="282" t="s">
        <v>11710</v>
      </c>
      <c r="H2033" s="282" t="s">
        <v>11711</v>
      </c>
      <c r="I2033" s="282"/>
      <c r="J2033" s="282" t="s">
        <v>11712</v>
      </c>
    </row>
    <row r="2034" spans="1:10" x14ac:dyDescent="0.2">
      <c r="A2034" s="93" t="str">
        <f t="shared" ca="1" si="0"/>
        <v>菲利浦</v>
      </c>
      <c r="B2034" s="52" t="s">
        <v>11713</v>
      </c>
      <c r="C2034" s="282" t="s">
        <v>11713</v>
      </c>
      <c r="D2034" s="282" t="s">
        <v>11713</v>
      </c>
      <c r="E2034" s="282"/>
      <c r="F2034" s="282" t="s">
        <v>11713</v>
      </c>
      <c r="G2034" s="282" t="s">
        <v>11714</v>
      </c>
      <c r="H2034" s="282" t="s">
        <v>11714</v>
      </c>
      <c r="I2034" s="282"/>
      <c r="J2034" s="282" t="s">
        <v>11715</v>
      </c>
    </row>
    <row r="2035" spans="1:10" x14ac:dyDescent="0.2">
      <c r="A2035" s="93" t="str">
        <f t="shared" ca="1" si="0"/>
        <v>菲利浦的母亲</v>
      </c>
      <c r="B2035" s="52" t="s">
        <v>11716</v>
      </c>
      <c r="C2035" s="282" t="s">
        <v>11717</v>
      </c>
      <c r="D2035" s="282" t="s">
        <v>11718</v>
      </c>
      <c r="E2035" s="282"/>
      <c r="F2035" s="282" t="s">
        <v>11719</v>
      </c>
      <c r="G2035" s="282" t="s">
        <v>11720</v>
      </c>
      <c r="H2035" s="282" t="s">
        <v>11721</v>
      </c>
      <c r="I2035" s="282"/>
      <c r="J2035" s="282" t="s">
        <v>11722</v>
      </c>
    </row>
    <row r="2036" spans="1:10" x14ac:dyDescent="0.2">
      <c r="A2036" s="93" t="str">
        <f t="shared" ca="1" si="0"/>
        <v>魁伟的行商人</v>
      </c>
      <c r="B2036" s="58" t="s">
        <v>11723</v>
      </c>
      <c r="C2036" s="282"/>
      <c r="D2036" s="282" t="s">
        <v>11724</v>
      </c>
      <c r="E2036" s="282"/>
      <c r="F2036" s="282" t="s">
        <v>11725</v>
      </c>
      <c r="G2036" s="282" t="s">
        <v>11726</v>
      </c>
      <c r="H2036" s="282" t="s">
        <v>11727</v>
      </c>
      <c r="I2036" s="282"/>
      <c r="J2036" s="282" t="s">
        <v>11728</v>
      </c>
    </row>
    <row r="2037" spans="1:10" x14ac:dyDescent="0.2">
      <c r="A2037" s="93" t="str">
        <f t="shared" ca="1" si="0"/>
        <v>傲慢的强者</v>
      </c>
      <c r="B2037" s="24" t="s">
        <v>11729</v>
      </c>
      <c r="C2037" s="282"/>
      <c r="D2037" s="282" t="s">
        <v>11730</v>
      </c>
      <c r="E2037" s="282"/>
      <c r="F2037" s="52" t="s">
        <v>11731</v>
      </c>
      <c r="G2037" s="282" t="s">
        <v>11732</v>
      </c>
      <c r="H2037" s="282" t="s">
        <v>11733</v>
      </c>
      <c r="I2037" s="282"/>
      <c r="J2037" s="282"/>
    </row>
    <row r="2038" spans="1:10" x14ac:dyDescent="0.2">
      <c r="A2038" s="93" t="str">
        <f t="shared" ca="1" si="0"/>
        <v>玛莉公主</v>
      </c>
      <c r="B2038" s="38" t="s">
        <v>11734</v>
      </c>
      <c r="C2038" s="282" t="s">
        <v>11735</v>
      </c>
      <c r="D2038" s="282" t="s">
        <v>11736</v>
      </c>
      <c r="E2038" s="282"/>
      <c r="F2038" s="282" t="s">
        <v>11737</v>
      </c>
      <c r="G2038" s="282" t="s">
        <v>11738</v>
      </c>
      <c r="H2038" s="282" t="s">
        <v>11739</v>
      </c>
      <c r="I2038" s="282"/>
      <c r="J2038" s="282" t="s">
        <v>11740</v>
      </c>
    </row>
    <row r="2039" spans="1:10" x14ac:dyDescent="0.2">
      <c r="A2039" s="93" t="str">
        <f t="shared" ca="1" si="0"/>
        <v>芭斯特</v>
      </c>
      <c r="B2039" s="17" t="s">
        <v>11741</v>
      </c>
      <c r="C2039" s="282" t="s">
        <v>11741</v>
      </c>
      <c r="D2039" s="282" t="s">
        <v>11742</v>
      </c>
      <c r="E2039" s="282"/>
      <c r="F2039" s="282" t="s">
        <v>11743</v>
      </c>
      <c r="G2039" s="282" t="s">
        <v>11744</v>
      </c>
      <c r="H2039" s="282" t="s">
        <v>11744</v>
      </c>
      <c r="I2039" s="282"/>
      <c r="J2039" s="282" t="s">
        <v>11745</v>
      </c>
    </row>
    <row r="2040" spans="1:10" x14ac:dyDescent="0.2">
      <c r="A2040" s="93" t="str">
        <f t="shared" ca="1" si="0"/>
        <v>骄傲的收藏家</v>
      </c>
      <c r="B2040" s="38" t="s">
        <v>11746</v>
      </c>
      <c r="C2040" s="282"/>
      <c r="D2040" s="282" t="s">
        <v>11747</v>
      </c>
      <c r="E2040" s="282"/>
      <c r="F2040" s="282" t="s">
        <v>11748</v>
      </c>
      <c r="G2040" s="282" t="s">
        <v>11749</v>
      </c>
      <c r="H2040" s="282" t="s">
        <v>11750</v>
      </c>
      <c r="I2040" s="282"/>
      <c r="J2040" s="282" t="s">
        <v>11751</v>
      </c>
    </row>
    <row r="2041" spans="1:10" x14ac:dyDescent="0.2">
      <c r="A2041" s="93" t="str">
        <f t="shared" ca="1" si="0"/>
        <v>讲究的商人</v>
      </c>
      <c r="B2041" s="138" t="s">
        <v>11752</v>
      </c>
      <c r="C2041" s="282"/>
      <c r="D2041" s="282" t="s">
        <v>11753</v>
      </c>
      <c r="E2041" s="282"/>
      <c r="F2041" s="282" t="s">
        <v>11754</v>
      </c>
      <c r="G2041" s="282" t="s">
        <v>11755</v>
      </c>
      <c r="H2041" s="282" t="s">
        <v>11756</v>
      </c>
      <c r="I2041" s="282"/>
      <c r="J2041" s="282" t="s">
        <v>11757</v>
      </c>
    </row>
    <row r="2042" spans="1:10" x14ac:dyDescent="0.2">
      <c r="A2042" s="93" t="str">
        <f t="shared" ca="1" si="0"/>
        <v>反对势力士兵瑞吉</v>
      </c>
      <c r="B2042" s="17" t="s">
        <v>11758</v>
      </c>
      <c r="C2042" s="282" t="s">
        <v>11758</v>
      </c>
      <c r="D2042" s="282" t="s">
        <v>11758</v>
      </c>
      <c r="E2042" s="282"/>
      <c r="F2042" s="282" t="s">
        <v>11758</v>
      </c>
      <c r="G2042" s="282" t="s">
        <v>11759</v>
      </c>
      <c r="H2042" s="282" t="s">
        <v>11760</v>
      </c>
      <c r="I2042" s="282"/>
      <c r="J2042" s="282" t="s">
        <v>11761</v>
      </c>
    </row>
    <row r="2043" spans="1:10" x14ac:dyDescent="0.2">
      <c r="A2043" s="93" t="str">
        <f t="shared" ca="1" si="0"/>
        <v>常客</v>
      </c>
      <c r="B2043" s="17" t="s">
        <v>11762</v>
      </c>
      <c r="C2043" s="282"/>
      <c r="D2043" s="282" t="s">
        <v>11763</v>
      </c>
      <c r="E2043" s="282"/>
      <c r="F2043" s="282" t="s">
        <v>11764</v>
      </c>
      <c r="G2043" s="282" t="s">
        <v>11765</v>
      </c>
      <c r="H2043" s="282" t="s">
        <v>11765</v>
      </c>
      <c r="I2043" s="282"/>
      <c r="J2043" s="282" t="s">
        <v>11766</v>
      </c>
    </row>
    <row r="2044" spans="1:10" x14ac:dyDescent="0.2">
      <c r="A2044" s="93" t="str">
        <f t="shared" ca="1" si="0"/>
        <v>残党领袖</v>
      </c>
      <c r="B2044" s="24" t="s">
        <v>11767</v>
      </c>
      <c r="C2044" s="282"/>
      <c r="D2044" s="282" t="s">
        <v>11768</v>
      </c>
      <c r="E2044" s="282"/>
      <c r="F2044" s="282" t="s">
        <v>11769</v>
      </c>
      <c r="G2044" s="282" t="s">
        <v>11770</v>
      </c>
      <c r="H2044" s="282" t="s">
        <v>11771</v>
      </c>
      <c r="I2044" s="282"/>
      <c r="J2044" s="282"/>
    </row>
    <row r="2045" spans="1:10" x14ac:dyDescent="0.2">
      <c r="A2045" s="93" t="str">
        <f t="shared" ca="1" si="0"/>
        <v>等待丈夫的女子 /
欣赏花朵的未亡人</v>
      </c>
      <c r="B2045" s="24" t="s">
        <v>11772</v>
      </c>
      <c r="C2045" s="282"/>
      <c r="D2045" s="282" t="s">
        <v>11773</v>
      </c>
      <c r="E2045" s="282"/>
      <c r="F2045" s="282" t="s">
        <v>11774</v>
      </c>
      <c r="G2045" s="282" t="s">
        <v>11775</v>
      </c>
      <c r="H2045" s="282" t="s">
        <v>11776</v>
      </c>
      <c r="I2045" s="282"/>
      <c r="J2045" s="282"/>
    </row>
    <row r="2046" spans="1:10" x14ac:dyDescent="0.2">
      <c r="A2046" s="93" t="str">
        <f t="shared" ca="1" si="0"/>
        <v>雷布洛男爵</v>
      </c>
      <c r="B2046" s="24" t="s">
        <v>11777</v>
      </c>
      <c r="C2046" s="282"/>
      <c r="D2046" s="282" t="s">
        <v>11777</v>
      </c>
      <c r="E2046" s="282"/>
      <c r="F2046" s="282" t="s">
        <v>11777</v>
      </c>
      <c r="G2046" s="282" t="s">
        <v>11778</v>
      </c>
      <c r="H2046" s="282" t="s">
        <v>11778</v>
      </c>
      <c r="I2046" s="282"/>
      <c r="J2046" s="282" t="s">
        <v>11779</v>
      </c>
    </row>
    <row r="2047" spans="1:10" x14ac:dyDescent="0.2">
      <c r="A2047" s="93" t="str">
        <f t="shared" ca="1" si="0"/>
        <v>河边的居民</v>
      </c>
      <c r="B2047" s="17" t="s">
        <v>11780</v>
      </c>
      <c r="C2047" s="282"/>
      <c r="D2047" s="282" t="s">
        <v>11781</v>
      </c>
      <c r="E2047" s="282"/>
      <c r="F2047" s="282" t="s">
        <v>11782</v>
      </c>
      <c r="G2047" s="282" t="s">
        <v>11783</v>
      </c>
      <c r="H2047" s="282" t="s">
        <v>11784</v>
      </c>
      <c r="I2047" s="282"/>
      <c r="J2047" s="282" t="s">
        <v>11785</v>
      </c>
    </row>
    <row r="2048" spans="1:10" x14ac:dyDescent="0.2">
      <c r="A2048" s="93" t="str">
        <f t="shared" ca="1" si="0"/>
        <v>流浪的学者</v>
      </c>
      <c r="B2048" s="24" t="s">
        <v>11786</v>
      </c>
      <c r="C2048" s="282"/>
      <c r="D2048" s="282" t="s">
        <v>11787</v>
      </c>
      <c r="E2048" s="282"/>
      <c r="F2048" s="282" t="s">
        <v>11788</v>
      </c>
      <c r="G2048" s="282" t="s">
        <v>11789</v>
      </c>
      <c r="H2048" s="282" t="s">
        <v>11790</v>
      </c>
      <c r="I2048" s="282"/>
      <c r="J2048" s="282" t="s">
        <v>11791</v>
      </c>
    </row>
    <row r="2049" spans="1:10" x14ac:dyDescent="0.2">
      <c r="A2049" s="93" t="str">
        <f t="shared" ca="1" si="0"/>
        <v>流氓</v>
      </c>
      <c r="B2049" s="52" t="s">
        <v>11792</v>
      </c>
      <c r="C2049" s="282"/>
      <c r="D2049" s="282" t="s">
        <v>11793</v>
      </c>
      <c r="E2049" s="282"/>
      <c r="F2049" s="282" t="s">
        <v>11794</v>
      </c>
      <c r="G2049" s="282" t="s">
        <v>2060</v>
      </c>
      <c r="H2049" s="282" t="s">
        <v>2060</v>
      </c>
      <c r="I2049" s="282"/>
      <c r="J2049" s="282" t="s">
        <v>2062</v>
      </c>
    </row>
    <row r="2050" spans="1:10" x14ac:dyDescent="0.2">
      <c r="A2050" s="93" t="str">
        <f t="shared" ca="1" si="0"/>
        <v>卑鄙的男子 /
悔改的男子</v>
      </c>
      <c r="B2050" s="17" t="s">
        <v>11795</v>
      </c>
      <c r="C2050" s="282"/>
      <c r="D2050" s="282" t="s">
        <v>11796</v>
      </c>
      <c r="E2050" s="282"/>
      <c r="F2050" s="282" t="s">
        <v>11797</v>
      </c>
      <c r="G2050" s="282" t="s">
        <v>11798</v>
      </c>
      <c r="H2050" s="282" t="s">
        <v>11798</v>
      </c>
      <c r="I2050" s="282"/>
      <c r="J2050" s="282"/>
    </row>
    <row r="2051" spans="1:10" x14ac:dyDescent="0.2">
      <c r="A2051" s="93" t="str">
        <f t="shared" ca="1" si="0"/>
        <v>流氓的小弟</v>
      </c>
      <c r="B2051" s="52" t="s">
        <v>11799</v>
      </c>
      <c r="C2051" s="282"/>
      <c r="D2051" s="282" t="s">
        <v>11800</v>
      </c>
      <c r="E2051" s="282"/>
      <c r="F2051" s="282" t="s">
        <v>11801</v>
      </c>
      <c r="G2051" s="282" t="s">
        <v>11802</v>
      </c>
      <c r="H2051" s="282" t="s">
        <v>11802</v>
      </c>
      <c r="I2051" s="282"/>
      <c r="J2051" s="282" t="s">
        <v>11803</v>
      </c>
    </row>
    <row r="2052" spans="1:10" x14ac:dyDescent="0.2">
      <c r="A2052" s="93" t="str">
        <f t="shared" ca="1" si="0"/>
        <v>爱说闲话的男子</v>
      </c>
      <c r="B2052" s="24" t="s">
        <v>11804</v>
      </c>
      <c r="C2052" s="282"/>
      <c r="D2052" s="282" t="s">
        <v>11805</v>
      </c>
      <c r="E2052" s="282"/>
      <c r="F2052" s="282" t="s">
        <v>11806</v>
      </c>
      <c r="G2052" s="282" t="s">
        <v>11807</v>
      </c>
      <c r="H2052" s="282" t="s">
        <v>11808</v>
      </c>
      <c r="I2052" s="282"/>
      <c r="J2052" s="282" t="s">
        <v>11809</v>
      </c>
    </row>
    <row r="2053" spans="1:10" x14ac:dyDescent="0.2">
      <c r="A2053" s="93" t="str">
        <f t="shared" ca="1" si="0"/>
        <v>学者拉赛尔</v>
      </c>
      <c r="B2053" s="24" t="s">
        <v>9329</v>
      </c>
      <c r="C2053" s="282" t="s">
        <v>9329</v>
      </c>
      <c r="D2053" s="282" t="s">
        <v>9329</v>
      </c>
      <c r="E2053" s="282"/>
      <c r="F2053" s="282" t="s">
        <v>9329</v>
      </c>
      <c r="G2053" s="282" t="s">
        <v>11810</v>
      </c>
      <c r="H2053" s="282" t="s">
        <v>11811</v>
      </c>
      <c r="I2053" s="282"/>
      <c r="J2053" s="282" t="s">
        <v>11812</v>
      </c>
    </row>
    <row r="2054" spans="1:10" x14ac:dyDescent="0.2">
      <c r="A2054" s="93" t="str">
        <f t="shared" ca="1" si="0"/>
        <v>隐身沙中的男子</v>
      </c>
      <c r="B2054" s="58" t="s">
        <v>11813</v>
      </c>
      <c r="C2054" s="282"/>
      <c r="D2054" s="282" t="s">
        <v>11814</v>
      </c>
      <c r="E2054" s="282"/>
      <c r="F2054" s="282" t="s">
        <v>11815</v>
      </c>
      <c r="G2054" s="282" t="s">
        <v>11816</v>
      </c>
      <c r="H2054" s="282" t="s">
        <v>11817</v>
      </c>
      <c r="I2054" s="282"/>
      <c r="J2054" s="282" t="s">
        <v>11818</v>
      </c>
    </row>
    <row r="2055" spans="1:10" x14ac:dyDescent="0.2">
      <c r="A2055" s="93" t="str">
        <f t="shared" ca="1" si="0"/>
        <v>满足的商人</v>
      </c>
      <c r="B2055" s="58" t="s">
        <v>11819</v>
      </c>
      <c r="C2055" s="282"/>
      <c r="D2055" s="282" t="s">
        <v>11820</v>
      </c>
      <c r="E2055" s="282"/>
      <c r="F2055" s="282" t="s">
        <v>11821</v>
      </c>
      <c r="G2055" s="282" t="s">
        <v>11822</v>
      </c>
      <c r="H2055" s="282" t="s">
        <v>11823</v>
      </c>
      <c r="I2055" s="282"/>
      <c r="J2055" s="282" t="s">
        <v>11824</v>
      </c>
    </row>
    <row r="2056" spans="1:10" x14ac:dyDescent="0.2">
      <c r="A2056" s="93" t="str">
        <f t="shared" ca="1" si="0"/>
        <v>学者</v>
      </c>
      <c r="B2056" s="17" t="s">
        <v>776</v>
      </c>
      <c r="C2056" s="282"/>
      <c r="D2056" s="282" t="s">
        <v>778</v>
      </c>
      <c r="E2056" s="282"/>
      <c r="F2056" s="282" t="s">
        <v>779</v>
      </c>
      <c r="G2056" s="282" t="s">
        <v>780</v>
      </c>
      <c r="H2056" s="282" t="s">
        <v>781</v>
      </c>
      <c r="I2056" s="282"/>
      <c r="J2056" s="282" t="s">
        <v>781</v>
      </c>
    </row>
    <row r="2057" spans="1:10" x14ac:dyDescent="0.2">
      <c r="A2057" s="93" t="str">
        <f t="shared" ca="1" si="0"/>
        <v>野兽调查员</v>
      </c>
      <c r="B2057" s="24" t="s">
        <v>11825</v>
      </c>
      <c r="C2057" s="282"/>
      <c r="D2057" s="282" t="s">
        <v>11826</v>
      </c>
      <c r="E2057" s="282"/>
      <c r="F2057" s="282" t="s">
        <v>11827</v>
      </c>
      <c r="G2057" s="282" t="s">
        <v>11828</v>
      </c>
      <c r="H2057" s="282" t="s">
        <v>11829</v>
      </c>
      <c r="I2057" s="282"/>
      <c r="J2057" s="282" t="s">
        <v>11830</v>
      </c>
    </row>
    <row r="2058" spans="1:10" x14ac:dyDescent="0.2">
      <c r="A2058" s="93" t="str">
        <f t="shared" ca="1" si="0"/>
        <v>博学青年</v>
      </c>
      <c r="B2058" s="58" t="s">
        <v>11831</v>
      </c>
      <c r="C2058" s="282"/>
      <c r="D2058" s="282" t="s">
        <v>11832</v>
      </c>
      <c r="E2058" s="282"/>
      <c r="F2058" s="282" t="s">
        <v>11833</v>
      </c>
      <c r="G2058" s="282" t="s">
        <v>11834</v>
      </c>
      <c r="H2058" s="282" t="s">
        <v>11835</v>
      </c>
      <c r="I2058" s="282"/>
      <c r="J2058" s="282" t="s">
        <v>11836</v>
      </c>
    </row>
    <row r="2059" spans="1:10" x14ac:dyDescent="0.2">
      <c r="A2059" s="93" t="str">
        <f t="shared" ca="1" si="0"/>
        <v>盗贼干部</v>
      </c>
      <c r="B2059" s="138" t="s">
        <v>11837</v>
      </c>
      <c r="C2059" s="282"/>
      <c r="D2059" s="282" t="s">
        <v>11838</v>
      </c>
      <c r="E2059" s="282"/>
      <c r="F2059" s="52" t="s">
        <v>11839</v>
      </c>
      <c r="G2059" s="282" t="s">
        <v>11840</v>
      </c>
      <c r="H2059" s="282" t="s">
        <v>11841</v>
      </c>
      <c r="I2059" s="282"/>
      <c r="J2059" s="282"/>
    </row>
    <row r="2060" spans="1:10" x14ac:dyDescent="0.2">
      <c r="A2060" s="93" t="str">
        <f t="shared" ca="1" si="0"/>
        <v>佣兵</v>
      </c>
      <c r="B2060" s="138" t="s">
        <v>9447</v>
      </c>
      <c r="C2060" s="282"/>
      <c r="D2060" s="282" t="s">
        <v>9448</v>
      </c>
      <c r="E2060" s="282"/>
      <c r="F2060" s="282" t="s">
        <v>9449</v>
      </c>
      <c r="G2060" s="282" t="s">
        <v>11842</v>
      </c>
      <c r="H2060" s="282" t="s">
        <v>11843</v>
      </c>
      <c r="I2060" s="282"/>
      <c r="J2060" s="282"/>
    </row>
    <row r="2061" spans="1:10" x14ac:dyDescent="0.2">
      <c r="A2061" s="93" t="str">
        <f t="shared" ca="1" si="0"/>
        <v>佣人</v>
      </c>
      <c r="B2061" s="17" t="s">
        <v>11844</v>
      </c>
      <c r="C2061" s="282"/>
      <c r="D2061" s="282" t="s">
        <v>11845</v>
      </c>
      <c r="E2061" s="282"/>
      <c r="F2061" s="282" t="s">
        <v>11846</v>
      </c>
      <c r="G2061" s="282" t="s">
        <v>11847</v>
      </c>
      <c r="H2061" s="282" t="s">
        <v>11848</v>
      </c>
      <c r="I2061" s="282"/>
      <c r="J2061" s="282" t="s">
        <v>11849</v>
      </c>
    </row>
    <row r="2062" spans="1:10" x14ac:dyDescent="0.2">
      <c r="A2062" s="93" t="str">
        <f t="shared" ca="1" si="0"/>
        <v>眼神凶恶的高利贷钱庄</v>
      </c>
      <c r="B2062" s="24" t="s">
        <v>11850</v>
      </c>
      <c r="C2062" s="282"/>
      <c r="D2062" s="282" t="s">
        <v>11851</v>
      </c>
      <c r="E2062" s="282"/>
      <c r="F2062" s="282" t="s">
        <v>11852</v>
      </c>
      <c r="G2062" s="282" t="s">
        <v>11853</v>
      </c>
      <c r="H2062" s="282" t="s">
        <v>11854</v>
      </c>
      <c r="I2062" s="282"/>
      <c r="J2062" s="282" t="s">
        <v>11855</v>
      </c>
    </row>
    <row r="2063" spans="1:10" x14ac:dyDescent="0.2">
      <c r="A2063" s="93" t="str">
        <f t="shared" ca="1" si="0"/>
        <v>船长</v>
      </c>
      <c r="B2063" s="38" t="s">
        <v>11856</v>
      </c>
      <c r="C2063" s="282" t="s">
        <v>11857</v>
      </c>
      <c r="D2063" s="282" t="s">
        <v>11858</v>
      </c>
      <c r="E2063" s="282"/>
      <c r="F2063" s="282" t="s">
        <v>11859</v>
      </c>
      <c r="G2063" s="282" t="s">
        <v>11860</v>
      </c>
      <c r="H2063" s="282" t="s">
        <v>11861</v>
      </c>
      <c r="I2063" s="282"/>
      <c r="J2063" s="282" t="s">
        <v>11860</v>
      </c>
    </row>
    <row r="2064" spans="1:10" x14ac:dyDescent="0.2">
      <c r="A2064" s="93" t="str">
        <f t="shared" ca="1" si="0"/>
        <v>怕冷的居民</v>
      </c>
      <c r="B2064" s="138" t="s">
        <v>11862</v>
      </c>
      <c r="C2064" s="282"/>
      <c r="D2064" s="282" t="s">
        <v>11863</v>
      </c>
      <c r="E2064" s="282"/>
      <c r="F2064" s="282" t="s">
        <v>11864</v>
      </c>
      <c r="G2064" s="282" t="s">
        <v>11865</v>
      </c>
      <c r="H2064" s="282" t="s">
        <v>11865</v>
      </c>
      <c r="I2064" s="282"/>
      <c r="J2064" s="282" t="s">
        <v>11866</v>
      </c>
    </row>
    <row r="2065" spans="1:10" x14ac:dyDescent="0.2">
      <c r="A2065" s="93" t="str">
        <f t="shared" ca="1" si="0"/>
        <v>体弱多病的少女</v>
      </c>
      <c r="B2065" s="58" t="s">
        <v>11867</v>
      </c>
      <c r="C2065" s="282"/>
      <c r="D2065" s="282" t="s">
        <v>11868</v>
      </c>
      <c r="E2065" s="282"/>
      <c r="F2065" s="282" t="s">
        <v>11869</v>
      </c>
      <c r="G2065" s="83" t="s">
        <v>11870</v>
      </c>
      <c r="H2065" s="282" t="s">
        <v>11871</v>
      </c>
      <c r="I2065" s="282"/>
      <c r="J2065" s="282" t="s">
        <v>11872</v>
      </c>
    </row>
    <row r="2066" spans="1:10" x14ac:dyDescent="0.2">
      <c r="A2066" s="93" t="str">
        <f t="shared" ca="1" si="0"/>
        <v>Sickly Woman</v>
      </c>
      <c r="B2066" s="24" t="s">
        <v>11873</v>
      </c>
      <c r="C2066" s="282"/>
      <c r="D2066" s="282" t="s">
        <v>11874</v>
      </c>
      <c r="E2066" s="282"/>
      <c r="F2066" s="282" t="s">
        <v>11875</v>
      </c>
      <c r="G2066" s="282" t="s">
        <v>11876</v>
      </c>
      <c r="H2066" s="282"/>
      <c r="I2066" s="282"/>
      <c r="J2066" s="282"/>
    </row>
    <row r="2067" spans="1:10" x14ac:dyDescent="0.2">
      <c r="A2067" s="93" t="str">
        <f t="shared" ca="1" si="0"/>
        <v>婀娜的农民</v>
      </c>
      <c r="B2067" s="24" t="s">
        <v>11877</v>
      </c>
      <c r="C2067" s="282"/>
      <c r="D2067" s="282" t="s">
        <v>11878</v>
      </c>
      <c r="E2067" s="282"/>
      <c r="F2067" s="282" t="s">
        <v>11879</v>
      </c>
      <c r="G2067" s="282" t="s">
        <v>11880</v>
      </c>
      <c r="H2067" s="282" t="s">
        <v>11881</v>
      </c>
      <c r="I2067" s="282"/>
      <c r="J2067" s="282" t="s">
        <v>11882</v>
      </c>
    </row>
    <row r="2068" spans="1:10" x14ac:dyDescent="0.2">
      <c r="A2068" s="93" t="str">
        <f t="shared" ca="1" si="0"/>
        <v>窃笑的居民</v>
      </c>
      <c r="B2068" s="24" t="s">
        <v>11883</v>
      </c>
      <c r="C2068" s="282"/>
      <c r="D2068" s="282" t="s">
        <v>11884</v>
      </c>
      <c r="E2068" s="282"/>
      <c r="F2068" s="282" t="s">
        <v>11885</v>
      </c>
      <c r="G2068" s="282" t="s">
        <v>11886</v>
      </c>
      <c r="H2068" s="282" t="s">
        <v>11887</v>
      </c>
      <c r="I2068" s="282"/>
      <c r="J2068" s="282" t="s">
        <v>11888</v>
      </c>
    </row>
    <row r="2069" spans="1:10" x14ac:dyDescent="0.2">
      <c r="A2069" s="93" t="str">
        <f t="shared" ca="1" si="0"/>
        <v>士兵</v>
      </c>
      <c r="B2069" s="17" t="s">
        <v>11889</v>
      </c>
      <c r="C2069" s="282" t="s">
        <v>11890</v>
      </c>
      <c r="D2069" s="282" t="s">
        <v>11891</v>
      </c>
      <c r="E2069" s="282"/>
      <c r="F2069" s="282" t="s">
        <v>11892</v>
      </c>
      <c r="G2069" s="282" t="s">
        <v>11893</v>
      </c>
      <c r="H2069" s="282" t="s">
        <v>11893</v>
      </c>
      <c r="I2069" s="282"/>
      <c r="J2069" s="282" t="s">
        <v>11894</v>
      </c>
    </row>
    <row r="2070" spans="1:10" x14ac:dyDescent="0.2">
      <c r="A2070" s="93" t="str">
        <f t="shared" ca="1" si="0"/>
        <v>观众</v>
      </c>
      <c r="B2070" s="24" t="s">
        <v>11895</v>
      </c>
      <c r="C2070" s="282" t="s">
        <v>11896</v>
      </c>
      <c r="D2070" s="282" t="s">
        <v>11897</v>
      </c>
      <c r="E2070" s="282"/>
      <c r="F2070" s="282" t="s">
        <v>11898</v>
      </c>
      <c r="G2070" s="282" t="s">
        <v>11899</v>
      </c>
      <c r="H2070" s="282" t="s">
        <v>11900</v>
      </c>
      <c r="I2070" s="282"/>
      <c r="J2070" s="282" t="s">
        <v>11901</v>
      </c>
    </row>
    <row r="2071" spans="1:10" x14ac:dyDescent="0.2">
      <c r="A2071" s="93" t="str">
        <f t="shared" ca="1" si="0"/>
        <v>观众</v>
      </c>
      <c r="B2071" s="24" t="s">
        <v>11895</v>
      </c>
      <c r="C2071" s="282" t="s">
        <v>11902</v>
      </c>
      <c r="D2071" s="282" t="s">
        <v>11903</v>
      </c>
      <c r="E2071" s="282"/>
      <c r="F2071" s="282" t="s">
        <v>11898</v>
      </c>
      <c r="G2071" s="282" t="s">
        <v>11899</v>
      </c>
      <c r="H2071" s="282" t="s">
        <v>11900</v>
      </c>
      <c r="I2071" s="282"/>
      <c r="J2071" s="282" t="s">
        <v>11901</v>
      </c>
    </row>
    <row r="2072" spans="1:10" x14ac:dyDescent="0.2">
      <c r="A2072" s="93" t="str">
        <f t="shared" ca="1" si="0"/>
        <v>精神抖擞的少女</v>
      </c>
      <c r="B2072" s="24" t="s">
        <v>11904</v>
      </c>
      <c r="C2072" s="282"/>
      <c r="D2072" s="282" t="s">
        <v>11905</v>
      </c>
      <c r="E2072" s="282"/>
      <c r="F2072" s="52" t="s">
        <v>11906</v>
      </c>
      <c r="G2072" s="282" t="s">
        <v>11907</v>
      </c>
      <c r="H2072" s="282" t="s">
        <v>11908</v>
      </c>
      <c r="I2072" s="282"/>
      <c r="J2072" s="282" t="s">
        <v>11909</v>
      </c>
    </row>
    <row r="2073" spans="1:10" x14ac:dyDescent="0.2">
      <c r="A2073" s="93" t="str">
        <f t="shared" ca="1" si="0"/>
        <v>大道具负责人</v>
      </c>
      <c r="B2073" s="52" t="s">
        <v>11910</v>
      </c>
      <c r="C2073" s="282"/>
      <c r="D2073" s="282" t="s">
        <v>11911</v>
      </c>
      <c r="E2073" s="282"/>
      <c r="F2073" s="282" t="s">
        <v>11912</v>
      </c>
      <c r="G2073" s="282" t="s">
        <v>11913</v>
      </c>
      <c r="H2073" s="282" t="s">
        <v>11914</v>
      </c>
      <c r="I2073" s="282"/>
      <c r="J2073" s="282" t="s">
        <v>11915</v>
      </c>
    </row>
    <row r="2074" spans="1:10" x14ac:dyDescent="0.2">
      <c r="A2074" s="93" t="str">
        <f t="shared" ca="1" si="0"/>
        <v>死心眼儿的士兵</v>
      </c>
      <c r="B2074" s="58" t="s">
        <v>11916</v>
      </c>
      <c r="C2074" s="282"/>
      <c r="D2074" s="282" t="s">
        <v>11917</v>
      </c>
      <c r="E2074" s="282"/>
      <c r="F2074" s="282" t="s">
        <v>11918</v>
      </c>
      <c r="G2074" s="282" t="s">
        <v>11919</v>
      </c>
      <c r="H2074" s="282" t="s">
        <v>11920</v>
      </c>
      <c r="I2074" s="282"/>
      <c r="J2074" s="282" t="s">
        <v>11921</v>
      </c>
    </row>
    <row r="2075" spans="1:10" x14ac:dyDescent="0.2">
      <c r="A2075" s="93" t="str">
        <f t="shared" ca="1" si="0"/>
        <v>明星舞娘</v>
      </c>
      <c r="B2075" s="58" t="s">
        <v>11922</v>
      </c>
      <c r="C2075" s="282"/>
      <c r="D2075" s="282" t="s">
        <v>11923</v>
      </c>
      <c r="E2075" s="282"/>
      <c r="F2075" s="282" t="s">
        <v>11924</v>
      </c>
      <c r="G2075" s="282" t="s">
        <v>11925</v>
      </c>
      <c r="H2075" s="282" t="s">
        <v>11926</v>
      </c>
      <c r="I2075" s="282"/>
      <c r="J2075" s="282" t="s">
        <v>11927</v>
      </c>
    </row>
    <row r="2076" spans="1:10" x14ac:dyDescent="0.2">
      <c r="A2076" s="93" t="str">
        <f t="shared" ca="1" si="0"/>
        <v>双眼发光的少年</v>
      </c>
      <c r="B2076" s="24" t="s">
        <v>11928</v>
      </c>
      <c r="C2076" s="282"/>
      <c r="D2076" s="282" t="s">
        <v>11929</v>
      </c>
      <c r="E2076" s="282"/>
      <c r="F2076" s="282" t="s">
        <v>11930</v>
      </c>
      <c r="G2076" s="282" t="s">
        <v>11931</v>
      </c>
      <c r="H2076" s="282" t="s">
        <v>11932</v>
      </c>
      <c r="I2076" s="282"/>
      <c r="J2076" s="282" t="s">
        <v>11933</v>
      </c>
    </row>
    <row r="2077" spans="1:10" x14ac:dyDescent="0.2">
      <c r="A2077" s="93" t="str">
        <f t="shared" ca="1" si="0"/>
        <v>认真的卫兵</v>
      </c>
      <c r="B2077" s="38" t="s">
        <v>11934</v>
      </c>
      <c r="C2077" s="282"/>
      <c r="D2077" s="282" t="s">
        <v>11935</v>
      </c>
      <c r="E2077" s="282"/>
      <c r="F2077" s="282" t="s">
        <v>11936</v>
      </c>
      <c r="G2077" s="282" t="s">
        <v>11937</v>
      </c>
      <c r="H2077" s="282" t="s">
        <v>11938</v>
      </c>
      <c r="I2077" s="282"/>
      <c r="J2077" s="282" t="s">
        <v>11939</v>
      </c>
    </row>
    <row r="2078" spans="1:10" x14ac:dyDescent="0.2">
      <c r="A2078" s="93" t="str">
        <f t="shared" ca="1" si="0"/>
        <v>表情严峻的骑士 /
表情平静的骑士</v>
      </c>
      <c r="B2078" s="58" t="s">
        <v>11940</v>
      </c>
      <c r="C2078" s="282"/>
      <c r="D2078" s="282" t="s">
        <v>11941</v>
      </c>
      <c r="E2078" s="282"/>
      <c r="F2078" s="282" t="s">
        <v>11942</v>
      </c>
      <c r="G2078" s="282" t="s">
        <v>11943</v>
      </c>
      <c r="H2078" s="282" t="s">
        <v>11944</v>
      </c>
      <c r="I2078" s="282"/>
      <c r="J2078" s="282"/>
    </row>
    <row r="2079" spans="1:10" x14ac:dyDescent="0.2">
      <c r="A2079" s="93" t="str">
        <f t="shared" ca="1" si="0"/>
        <v>石匠</v>
      </c>
      <c r="B2079" s="38" t="s">
        <v>11945</v>
      </c>
      <c r="C2079" s="282"/>
      <c r="D2079" s="282" t="s">
        <v>11946</v>
      </c>
      <c r="E2079" s="282"/>
      <c r="F2079" s="282" t="s">
        <v>11947</v>
      </c>
      <c r="G2079" s="282" t="s">
        <v>11948</v>
      </c>
      <c r="H2079" s="282" t="s">
        <v>11948</v>
      </c>
      <c r="I2079" s="282"/>
      <c r="J2079" s="282" t="s">
        <v>11949</v>
      </c>
    </row>
    <row r="2080" spans="1:10" x14ac:dyDescent="0.2">
      <c r="A2080" s="93" t="str">
        <f t="shared" ca="1" si="0"/>
        <v>无路可退的商人 /
向前迈进的商人</v>
      </c>
      <c r="B2080" s="38" t="s">
        <v>11950</v>
      </c>
      <c r="C2080" s="282"/>
      <c r="D2080" s="282" t="s">
        <v>11951</v>
      </c>
      <c r="E2080" s="282"/>
      <c r="F2080" s="282" t="s">
        <v>11952</v>
      </c>
      <c r="G2080" s="282" t="s">
        <v>11953</v>
      </c>
      <c r="H2080" s="282" t="s">
        <v>11954</v>
      </c>
      <c r="I2080" s="282"/>
      <c r="J2080" s="282"/>
    </row>
    <row r="2081" spans="1:10" x14ac:dyDescent="0.2">
      <c r="A2081" s="93" t="str">
        <f t="shared" ca="1" si="0"/>
        <v>顽固的老婆婆</v>
      </c>
      <c r="B2081" s="17" t="s">
        <v>11955</v>
      </c>
      <c r="C2081" s="282"/>
      <c r="D2081" s="282" t="s">
        <v>11956</v>
      </c>
      <c r="E2081" s="282"/>
      <c r="F2081" s="282" t="s">
        <v>11957</v>
      </c>
      <c r="G2081" s="282" t="s">
        <v>11958</v>
      </c>
      <c r="H2081" s="282" t="s">
        <v>11959</v>
      </c>
      <c r="I2081" s="282"/>
      <c r="J2081" s="282" t="s">
        <v>11960</v>
      </c>
    </row>
    <row r="2082" spans="1:10" x14ac:dyDescent="0.2">
      <c r="A2082" s="93" t="str">
        <f t="shared" ca="1" si="0"/>
        <v>沙漠的商人</v>
      </c>
      <c r="B2082" s="24" t="s">
        <v>11961</v>
      </c>
      <c r="C2082" s="282"/>
      <c r="D2082" s="282" t="s">
        <v>11962</v>
      </c>
      <c r="E2082" s="282"/>
      <c r="F2082" s="282" t="s">
        <v>11963</v>
      </c>
      <c r="G2082" s="282" t="s">
        <v>11964</v>
      </c>
      <c r="H2082" s="282" t="s">
        <v>11964</v>
      </c>
      <c r="I2082" s="282"/>
      <c r="J2082" s="282"/>
    </row>
    <row r="2083" spans="1:10" x14ac:dyDescent="0.2">
      <c r="A2083" s="93" t="str">
        <f t="shared" ca="1" si="0"/>
        <v>占卜师苏珊娜</v>
      </c>
      <c r="B2083" s="138" t="s">
        <v>11965</v>
      </c>
      <c r="C2083" s="282" t="s">
        <v>11965</v>
      </c>
      <c r="D2083" s="282" t="s">
        <v>11965</v>
      </c>
      <c r="E2083" s="282"/>
      <c r="F2083" s="282" t="s">
        <v>11965</v>
      </c>
      <c r="G2083" s="282" t="s">
        <v>11966</v>
      </c>
      <c r="H2083" s="282" t="s">
        <v>11967</v>
      </c>
      <c r="I2083" s="282"/>
      <c r="J2083" s="282" t="s">
        <v>11968</v>
      </c>
    </row>
    <row r="2084" spans="1:10" x14ac:dyDescent="0.2">
      <c r="A2084" s="93" t="str">
        <f t="shared" ca="1" si="0"/>
        <v>嗜甜如命的人</v>
      </c>
      <c r="B2084" s="58" t="s">
        <v>11969</v>
      </c>
      <c r="C2084" s="282"/>
      <c r="D2084" s="282" t="s">
        <v>11970</v>
      </c>
      <c r="E2084" s="282"/>
      <c r="F2084" s="282" t="s">
        <v>11971</v>
      </c>
      <c r="G2084" s="282" t="s">
        <v>11972</v>
      </c>
      <c r="H2084" s="282" t="s">
        <v>11972</v>
      </c>
      <c r="I2084" s="282"/>
      <c r="J2084" s="282" t="s">
        <v>11973</v>
      </c>
    </row>
    <row r="2085" spans="1:10" x14ac:dyDescent="0.2">
      <c r="A2085" s="93" t="str">
        <f t="shared" ca="1" si="0"/>
        <v>剑士尤里</v>
      </c>
      <c r="B2085" s="58" t="s">
        <v>11974</v>
      </c>
      <c r="C2085" s="282"/>
      <c r="D2085" s="282" t="s">
        <v>11975</v>
      </c>
      <c r="E2085" s="282"/>
      <c r="F2085" s="282" t="s">
        <v>11976</v>
      </c>
      <c r="G2085" s="282" t="s">
        <v>11977</v>
      </c>
      <c r="H2085" s="282" t="s">
        <v>11978</v>
      </c>
      <c r="I2085" s="282"/>
      <c r="J2085" s="282" t="s">
        <v>11979</v>
      </c>
    </row>
    <row r="2086" spans="1:10" x14ac:dyDescent="0.2">
      <c r="A2086" s="93" t="str">
        <f t="shared" ca="1" si="0"/>
        <v>酒保</v>
      </c>
      <c r="B2086" s="58" t="s">
        <v>11980</v>
      </c>
      <c r="C2086" s="282"/>
      <c r="D2086" s="282" t="s">
        <v>11141</v>
      </c>
      <c r="E2086" s="282"/>
      <c r="F2086" s="282" t="s">
        <v>11981</v>
      </c>
      <c r="G2086" s="282" t="s">
        <v>11982</v>
      </c>
      <c r="H2086" s="282" t="s">
        <v>11982</v>
      </c>
      <c r="I2086" s="282"/>
      <c r="J2086" s="282"/>
    </row>
    <row r="2087" spans="1:10" x14ac:dyDescent="0.2">
      <c r="A2087" s="93" t="str">
        <f t="shared" ca="1" si="0"/>
        <v>酒馆的客人</v>
      </c>
      <c r="B2087" s="138" t="s">
        <v>11983</v>
      </c>
      <c r="C2087" s="282" t="s">
        <v>11984</v>
      </c>
      <c r="D2087" s="282" t="s">
        <v>11985</v>
      </c>
      <c r="E2087" s="282"/>
      <c r="F2087" s="282" t="s">
        <v>11986</v>
      </c>
      <c r="G2087" s="282" t="s">
        <v>11987</v>
      </c>
      <c r="H2087" s="282" t="s">
        <v>11988</v>
      </c>
      <c r="I2087" s="282"/>
      <c r="J2087" s="282" t="s">
        <v>11989</v>
      </c>
    </row>
    <row r="2088" spans="1:10" x14ac:dyDescent="0.2">
      <c r="A2088" s="93" t="str">
        <f t="shared" ca="1" si="0"/>
        <v>酒馆的客人 /
酒馆的老板</v>
      </c>
      <c r="B2088" s="58" t="s">
        <v>11990</v>
      </c>
      <c r="C2088" s="282"/>
      <c r="D2088" s="282" t="s">
        <v>11991</v>
      </c>
      <c r="E2088" s="282"/>
      <c r="F2088" s="282" t="s">
        <v>11992</v>
      </c>
      <c r="G2088" s="282" t="s">
        <v>11993</v>
      </c>
      <c r="H2088" s="282" t="s">
        <v>11994</v>
      </c>
      <c r="I2088" s="282"/>
      <c r="J2088" s="282"/>
    </row>
    <row r="2089" spans="1:10" x14ac:dyDescent="0.2">
      <c r="A2089" s="93" t="str">
        <f t="shared" ca="1" si="0"/>
        <v>酒馆的老板</v>
      </c>
      <c r="B2089" s="38" t="s">
        <v>11995</v>
      </c>
      <c r="C2089" s="282" t="s">
        <v>11996</v>
      </c>
      <c r="D2089" s="282" t="s">
        <v>11997</v>
      </c>
      <c r="E2089" s="282"/>
      <c r="F2089" s="282" t="s">
        <v>11998</v>
      </c>
      <c r="G2089" s="282" t="s">
        <v>11999</v>
      </c>
      <c r="H2089" s="282" t="s">
        <v>12000</v>
      </c>
      <c r="I2089" s="282"/>
      <c r="J2089" s="282" t="s">
        <v>12001</v>
      </c>
    </row>
    <row r="2090" spans="1:10" x14ac:dyDescent="0.2">
      <c r="A2090" s="93" t="str">
        <f t="shared" ca="1" si="0"/>
        <v>招牌女招待</v>
      </c>
      <c r="B2090" s="38" t="s">
        <v>12002</v>
      </c>
      <c r="C2090" s="282"/>
      <c r="D2090" s="282" t="s">
        <v>12003</v>
      </c>
      <c r="E2090" s="282"/>
      <c r="F2090" s="282" t="s">
        <v>12004</v>
      </c>
      <c r="G2090" s="282" t="s">
        <v>12005</v>
      </c>
      <c r="H2090" s="282" t="s">
        <v>12006</v>
      </c>
      <c r="I2090" s="282"/>
      <c r="J2090" s="282" t="s">
        <v>12007</v>
      </c>
    </row>
    <row r="2091" spans="1:10" x14ac:dyDescent="0.2">
      <c r="A2091" s="93" t="str">
        <f t="shared" ca="1" si="0"/>
        <v>蛋名人</v>
      </c>
      <c r="B2091" s="38" t="s">
        <v>12008</v>
      </c>
      <c r="C2091" s="282"/>
      <c r="D2091" s="282" t="s">
        <v>12009</v>
      </c>
      <c r="E2091" s="282"/>
      <c r="F2091" s="282" t="s">
        <v>12010</v>
      </c>
      <c r="G2091" s="282" t="s">
        <v>12011</v>
      </c>
      <c r="H2091" s="282" t="s">
        <v>12011</v>
      </c>
      <c r="I2091" s="282"/>
      <c r="J2091" s="282" t="s">
        <v>12012</v>
      </c>
    </row>
    <row r="2092" spans="1:10" x14ac:dyDescent="0.2">
      <c r="A2092" s="93" t="str">
        <f t="shared" ca="1" si="0"/>
        <v>戴红帽子的男子</v>
      </c>
      <c r="B2092" s="17" t="s">
        <v>12013</v>
      </c>
      <c r="C2092" s="282"/>
      <c r="D2092" s="282" t="s">
        <v>12014</v>
      </c>
      <c r="E2092" s="282"/>
      <c r="F2092" s="282" t="s">
        <v>12015</v>
      </c>
      <c r="G2092" s="282" t="s">
        <v>12016</v>
      </c>
      <c r="H2092" s="282" t="s">
        <v>12017</v>
      </c>
      <c r="I2092" s="282"/>
      <c r="J2092" s="282" t="s">
        <v>12018</v>
      </c>
    </row>
    <row r="2093" spans="1:10" x14ac:dyDescent="0.2">
      <c r="A2093" s="93" t="str">
        <f t="shared" ca="1" si="0"/>
        <v>剧场管理人</v>
      </c>
      <c r="B2093" s="52" t="s">
        <v>12019</v>
      </c>
      <c r="C2093" s="282"/>
      <c r="D2093" s="282" t="s">
        <v>12020</v>
      </c>
      <c r="E2093" s="282"/>
      <c r="F2093" s="52" t="s">
        <v>12021</v>
      </c>
      <c r="G2093" s="282" t="s">
        <v>12022</v>
      </c>
      <c r="H2093" s="282" t="s">
        <v>12023</v>
      </c>
      <c r="I2093" s="282"/>
      <c r="J2093" s="282" t="s">
        <v>12024</v>
      </c>
    </row>
    <row r="2094" spans="1:10" x14ac:dyDescent="0.2">
      <c r="A2094" s="93" t="str">
        <f t="shared" ca="1" si="0"/>
        <v>提拉奇亚</v>
      </c>
      <c r="B2094" s="24" t="s">
        <v>12025</v>
      </c>
      <c r="C2094" s="282" t="s">
        <v>12025</v>
      </c>
      <c r="D2094" s="282" t="s">
        <v>12025</v>
      </c>
      <c r="E2094" s="282"/>
      <c r="F2094" s="282" t="s">
        <v>12025</v>
      </c>
      <c r="G2094" s="282" t="s">
        <v>12026</v>
      </c>
      <c r="H2094" s="282" t="s">
        <v>12027</v>
      </c>
      <c r="I2094" s="282"/>
      <c r="J2094" s="282" t="s">
        <v>12028</v>
      </c>
    </row>
    <row r="2095" spans="1:10" x14ac:dyDescent="0.2">
      <c r="A2095" s="93" t="str">
        <f t="shared" ca="1" si="0"/>
        <v>泰蕾兹</v>
      </c>
      <c r="B2095" s="24" t="s">
        <v>12029</v>
      </c>
      <c r="C2095" s="282" t="s">
        <v>12029</v>
      </c>
      <c r="D2095" s="282" t="s">
        <v>12030</v>
      </c>
      <c r="E2095" s="282"/>
      <c r="F2095" s="282" t="s">
        <v>12029</v>
      </c>
      <c r="G2095" s="282" t="s">
        <v>12031</v>
      </c>
      <c r="H2095" s="282" t="s">
        <v>12032</v>
      </c>
      <c r="I2095" s="282"/>
      <c r="J2095" s="282" t="s">
        <v>12033</v>
      </c>
    </row>
    <row r="2096" spans="1:10" x14ac:dyDescent="0.2">
      <c r="A2096" s="93" t="str">
        <f t="shared" ca="1" si="0"/>
        <v>盗贼</v>
      </c>
      <c r="B2096" s="138" t="s">
        <v>808</v>
      </c>
      <c r="C2096" s="282" t="s">
        <v>809</v>
      </c>
      <c r="D2096" s="282" t="s">
        <v>810</v>
      </c>
      <c r="E2096" s="282"/>
      <c r="F2096" s="282" t="s">
        <v>811</v>
      </c>
      <c r="G2096" s="282" t="s">
        <v>812</v>
      </c>
      <c r="H2096" s="282" t="s">
        <v>813</v>
      </c>
      <c r="I2096" s="282"/>
      <c r="J2096" s="282"/>
    </row>
    <row r="2097" spans="1:10" x14ac:dyDescent="0.2">
      <c r="A2097" s="93" t="str">
        <f t="shared" ca="1" si="0"/>
        <v>小老虎</v>
      </c>
      <c r="B2097" s="24" t="s">
        <v>12034</v>
      </c>
      <c r="C2097" s="282" t="s">
        <v>12035</v>
      </c>
      <c r="D2097" s="282" t="s">
        <v>12036</v>
      </c>
      <c r="E2097" s="282"/>
      <c r="F2097" s="282" t="s">
        <v>12037</v>
      </c>
      <c r="G2097" s="282" t="s">
        <v>12038</v>
      </c>
      <c r="H2097" s="282" t="s">
        <v>12038</v>
      </c>
      <c r="I2097" s="282"/>
      <c r="J2097" s="282" t="s">
        <v>12039</v>
      </c>
    </row>
    <row r="2098" spans="1:10" x14ac:dyDescent="0.2">
      <c r="A2098" s="93" t="str">
        <f t="shared" ca="1" si="0"/>
        <v>提姆</v>
      </c>
      <c r="B2098" s="17" t="s">
        <v>12040</v>
      </c>
      <c r="C2098" s="282" t="s">
        <v>12040</v>
      </c>
      <c r="D2098" s="282" t="s">
        <v>12040</v>
      </c>
      <c r="E2098" s="282"/>
      <c r="F2098" s="282" t="s">
        <v>12040</v>
      </c>
      <c r="G2098" s="282" t="s">
        <v>12041</v>
      </c>
      <c r="H2098" s="282" t="s">
        <v>12041</v>
      </c>
      <c r="I2098" s="282"/>
      <c r="J2098" s="282" t="s">
        <v>12042</v>
      </c>
    </row>
    <row r="2099" spans="1:10" x14ac:dyDescent="0.2">
      <c r="A2099" s="93" t="str">
        <f t="shared" ca="1" si="0"/>
        <v>托比亚斯</v>
      </c>
      <c r="B2099" s="52" t="s">
        <v>12043</v>
      </c>
      <c r="C2099" s="282" t="s">
        <v>12043</v>
      </c>
      <c r="D2099" s="282" t="s">
        <v>12043</v>
      </c>
      <c r="E2099" s="282"/>
      <c r="F2099" s="282" t="s">
        <v>12044</v>
      </c>
      <c r="G2099" s="282" t="s">
        <v>12045</v>
      </c>
      <c r="H2099" s="282" t="s">
        <v>12046</v>
      </c>
      <c r="I2099" s="282"/>
      <c r="J2099" s="282" t="s">
        <v>12047</v>
      </c>
    </row>
    <row r="2100" spans="1:10" x14ac:dyDescent="0.2">
      <c r="A2100" s="93" t="str">
        <f t="shared" ca="1" si="0"/>
        <v>汤尼</v>
      </c>
      <c r="B2100" s="38" t="s">
        <v>12048</v>
      </c>
      <c r="C2100" s="282" t="s">
        <v>12048</v>
      </c>
      <c r="D2100" s="282" t="s">
        <v>12048</v>
      </c>
      <c r="E2100" s="282"/>
      <c r="F2100" s="282" t="s">
        <v>12048</v>
      </c>
      <c r="G2100" s="282" t="s">
        <v>12049</v>
      </c>
      <c r="H2100" s="282" t="s">
        <v>12050</v>
      </c>
      <c r="I2100" s="282"/>
      <c r="J2100" s="282" t="s">
        <v>12051</v>
      </c>
    </row>
    <row r="2101" spans="1:10" x14ac:dyDescent="0.2">
      <c r="A2101" s="93" t="str">
        <f t="shared" ca="1" si="0"/>
        <v>汤尼的母亲</v>
      </c>
      <c r="B2101" s="38" t="s">
        <v>12052</v>
      </c>
      <c r="C2101" s="282" t="s">
        <v>12053</v>
      </c>
      <c r="D2101" s="282" t="s">
        <v>12054</v>
      </c>
      <c r="E2101" s="282"/>
      <c r="F2101" s="282" t="s">
        <v>12055</v>
      </c>
      <c r="G2101" s="282" t="s">
        <v>12056</v>
      </c>
      <c r="H2101" s="282" t="s">
        <v>12057</v>
      </c>
      <c r="I2101" s="282"/>
      <c r="J2101" s="282" t="s">
        <v>12058</v>
      </c>
    </row>
    <row r="2102" spans="1:10" x14ac:dyDescent="0.2">
      <c r="A2102" s="93" t="str">
        <f t="shared" ca="1" si="0"/>
        <v>市民</v>
      </c>
      <c r="B2102" s="138" t="s">
        <v>12059</v>
      </c>
      <c r="C2102" s="282"/>
      <c r="D2102" s="282" t="s">
        <v>12060</v>
      </c>
      <c r="E2102" s="282"/>
      <c r="F2102" s="282" t="s">
        <v>12061</v>
      </c>
      <c r="G2102" s="282" t="s">
        <v>12062</v>
      </c>
      <c r="H2102" s="282" t="s">
        <v>12062</v>
      </c>
      <c r="I2102" s="282"/>
      <c r="J2102" s="282" t="s">
        <v>12063</v>
      </c>
    </row>
    <row r="2103" spans="1:10" x14ac:dyDescent="0.2">
      <c r="A2103" s="93" t="str">
        <f t="shared" ca="1" si="0"/>
        <v>市民</v>
      </c>
      <c r="B2103" s="138" t="s">
        <v>12059</v>
      </c>
      <c r="C2103" s="282"/>
      <c r="D2103" s="282" t="s">
        <v>12060</v>
      </c>
      <c r="E2103" s="282"/>
      <c r="F2103" s="282" t="s">
        <v>12061</v>
      </c>
      <c r="G2103" s="282" t="s">
        <v>12062</v>
      </c>
      <c r="H2103" s="282" t="s">
        <v>12062</v>
      </c>
      <c r="I2103" s="282"/>
      <c r="J2103" s="282" t="s">
        <v>12064</v>
      </c>
    </row>
    <row r="2104" spans="1:10" x14ac:dyDescent="0.2">
      <c r="A2104" s="93" t="str">
        <f t="shared" ca="1" si="0"/>
        <v>旅人</v>
      </c>
      <c r="B2104" s="138" t="s">
        <v>12065</v>
      </c>
      <c r="C2104" s="282" t="s">
        <v>12066</v>
      </c>
      <c r="D2104" s="282" t="s">
        <v>12067</v>
      </c>
      <c r="E2104" s="282"/>
      <c r="F2104" s="282" t="s">
        <v>12068</v>
      </c>
      <c r="G2104" s="282" t="s">
        <v>12069</v>
      </c>
      <c r="H2104" s="282" t="s">
        <v>12069</v>
      </c>
      <c r="I2104" s="282"/>
      <c r="J2104" s="282" t="s">
        <v>12069</v>
      </c>
    </row>
    <row r="2105" spans="1:10" x14ac:dyDescent="0.2">
      <c r="A2105" s="93" t="str">
        <f t="shared" ca="1" si="0"/>
        <v>流浪的旅人</v>
      </c>
      <c r="B2105" s="138" t="s">
        <v>12065</v>
      </c>
      <c r="C2105" s="282" t="s">
        <v>12066</v>
      </c>
      <c r="D2105" s="282" t="s">
        <v>12067</v>
      </c>
      <c r="E2105" s="282"/>
      <c r="F2105" s="282" t="s">
        <v>12068</v>
      </c>
      <c r="G2105" s="282" t="s">
        <v>12070</v>
      </c>
      <c r="H2105" s="282" t="s">
        <v>12070</v>
      </c>
      <c r="I2105" s="282"/>
      <c r="J2105" s="282"/>
    </row>
    <row r="2106" spans="1:10" x14ac:dyDescent="0.2">
      <c r="A2106" s="93" t="str">
        <f t="shared" ca="1" si="0"/>
        <v>旅行作家</v>
      </c>
      <c r="B2106" s="138" t="s">
        <v>12071</v>
      </c>
      <c r="C2106" s="282"/>
      <c r="D2106" s="282" t="s">
        <v>12072</v>
      </c>
      <c r="E2106" s="282"/>
      <c r="F2106" s="282" t="s">
        <v>12073</v>
      </c>
      <c r="G2106" s="282" t="s">
        <v>12074</v>
      </c>
      <c r="H2106" s="282" t="s">
        <v>12074</v>
      </c>
      <c r="I2106" s="282"/>
      <c r="J2106" s="282" t="s">
        <v>12075</v>
      </c>
    </row>
    <row r="2107" spans="1:10" x14ac:dyDescent="0.2">
      <c r="A2107" s="93" t="str">
        <f t="shared" ca="1" si="0"/>
        <v>行商人</v>
      </c>
      <c r="B2107" s="38" t="s">
        <v>12076</v>
      </c>
      <c r="C2107" s="282" t="s">
        <v>12077</v>
      </c>
      <c r="D2107" s="282" t="s">
        <v>12078</v>
      </c>
      <c r="E2107" s="282"/>
      <c r="F2107" s="282" t="s">
        <v>12079</v>
      </c>
      <c r="G2107" s="282" t="s">
        <v>12080</v>
      </c>
      <c r="H2107" s="282" t="s">
        <v>12080</v>
      </c>
      <c r="I2107" s="282"/>
      <c r="J2107" s="282" t="s">
        <v>12080</v>
      </c>
    </row>
    <row r="2108" spans="1:10" x14ac:dyDescent="0.2">
      <c r="A2108" s="93" t="str">
        <f t="shared" ca="1" si="0"/>
        <v>流动商人</v>
      </c>
      <c r="B2108" s="368" t="s">
        <v>12076</v>
      </c>
      <c r="C2108" s="282" t="s">
        <v>12077</v>
      </c>
      <c r="D2108" s="282" t="s">
        <v>12078</v>
      </c>
      <c r="E2108" s="282"/>
      <c r="F2108" s="282" t="s">
        <v>12079</v>
      </c>
      <c r="G2108" s="282" t="s">
        <v>12081</v>
      </c>
      <c r="H2108" s="282" t="s">
        <v>12082</v>
      </c>
      <c r="I2108" s="282"/>
      <c r="J2108" s="282" t="s">
        <v>12083</v>
      </c>
    </row>
    <row r="2109" spans="1:10" x14ac:dyDescent="0.2">
      <c r="A2109" s="93" t="str">
        <f t="shared" ca="1" si="0"/>
        <v>发抖的行商人</v>
      </c>
      <c r="B2109" s="24" t="s">
        <v>12084</v>
      </c>
      <c r="C2109" s="282"/>
      <c r="D2109" s="282" t="s">
        <v>12085</v>
      </c>
      <c r="E2109" s="282"/>
      <c r="F2109" s="282" t="s">
        <v>12086</v>
      </c>
      <c r="G2109" s="282" t="s">
        <v>12087</v>
      </c>
      <c r="H2109" s="282" t="s">
        <v>12088</v>
      </c>
      <c r="I2109" s="282"/>
      <c r="J2109" s="282" t="s">
        <v>12089</v>
      </c>
    </row>
    <row r="2110" spans="1:10" x14ac:dyDescent="0.2">
      <c r="A2110" s="93" t="str">
        <f t="shared" ca="1" si="0"/>
        <v>烦恼的行商人</v>
      </c>
      <c r="B2110" s="38" t="s">
        <v>12090</v>
      </c>
      <c r="C2110" s="282"/>
      <c r="D2110" s="282" t="s">
        <v>12091</v>
      </c>
      <c r="E2110" s="282"/>
      <c r="F2110" s="282" t="s">
        <v>12092</v>
      </c>
      <c r="G2110" s="282" t="s">
        <v>12093</v>
      </c>
      <c r="H2110" s="282" t="s">
        <v>12094</v>
      </c>
      <c r="I2110" s="282"/>
      <c r="J2110" s="282" t="s">
        <v>12095</v>
      </c>
    </row>
    <row r="2111" spans="1:10" x14ac:dyDescent="0.2">
      <c r="A2111" s="93" t="str">
        <f t="shared" ca="1" si="0"/>
        <v>苦笑的村民</v>
      </c>
      <c r="B2111" s="24" t="s">
        <v>12096</v>
      </c>
      <c r="C2111" s="282"/>
      <c r="D2111" s="282" t="s">
        <v>12097</v>
      </c>
      <c r="E2111" s="282"/>
      <c r="F2111" s="282" t="s">
        <v>12098</v>
      </c>
      <c r="G2111" s="282" t="s">
        <v>12099</v>
      </c>
      <c r="H2111" s="282" t="s">
        <v>12099</v>
      </c>
      <c r="I2111" s="282"/>
      <c r="J2111" s="282" t="s">
        <v>12100</v>
      </c>
    </row>
    <row r="2112" spans="1:10" x14ac:dyDescent="0.2">
      <c r="A2112" s="93" t="str">
        <f t="shared" ca="1" si="0"/>
        <v>信仰深厚的男子</v>
      </c>
      <c r="B2112" s="52" t="s">
        <v>12101</v>
      </c>
      <c r="C2112" s="282"/>
      <c r="D2112" s="282" t="s">
        <v>12102</v>
      </c>
      <c r="E2112" s="282"/>
      <c r="F2112" s="282" t="s">
        <v>12103</v>
      </c>
      <c r="G2112" s="282" t="s">
        <v>12104</v>
      </c>
      <c r="H2112" s="282" t="s">
        <v>12104</v>
      </c>
      <c r="I2112" s="282"/>
      <c r="J2112" s="282" t="s">
        <v>12105</v>
      </c>
    </row>
    <row r="2113" spans="1:10" x14ac:dyDescent="0.2">
      <c r="A2113" s="93" t="str">
        <f t="shared" ca="1" si="0"/>
        <v>形迹可疑的男子</v>
      </c>
      <c r="B2113" s="17" t="s">
        <v>12106</v>
      </c>
      <c r="C2113" s="282"/>
      <c r="D2113" s="282" t="s">
        <v>12107</v>
      </c>
      <c r="E2113" s="282"/>
      <c r="F2113" s="52" t="s">
        <v>12108</v>
      </c>
      <c r="G2113" s="282" t="s">
        <v>12109</v>
      </c>
      <c r="H2113" s="282" t="s">
        <v>12110</v>
      </c>
      <c r="I2113" s="282"/>
      <c r="J2113" s="282" t="s">
        <v>12111</v>
      </c>
    </row>
    <row r="2114" spans="1:10" x14ac:dyDescent="0.2">
      <c r="A2114" s="93" t="str">
        <f t="shared" ca="1" si="0"/>
        <v>剧场向导</v>
      </c>
      <c r="B2114" s="52" t="s">
        <v>12112</v>
      </c>
      <c r="C2114" s="282"/>
      <c r="D2114" s="282" t="s">
        <v>12113</v>
      </c>
      <c r="E2114" s="282"/>
      <c r="F2114" s="282" t="s">
        <v>12114</v>
      </c>
      <c r="G2114" s="282" t="s">
        <v>12115</v>
      </c>
      <c r="H2114" s="282" t="s">
        <v>12116</v>
      </c>
      <c r="I2114" s="282"/>
      <c r="J2114" s="282" t="s">
        <v>12117</v>
      </c>
    </row>
    <row r="2115" spans="1:10" x14ac:dyDescent="0.2">
      <c r="A2115" s="93" t="str">
        <f t="shared" ca="1" si="0"/>
        <v>药师凡妮莎</v>
      </c>
      <c r="B2115" s="38" t="s">
        <v>12118</v>
      </c>
      <c r="C2115" s="282" t="s">
        <v>12118</v>
      </c>
      <c r="D2115" s="282" t="s">
        <v>12118</v>
      </c>
      <c r="E2115" s="282"/>
      <c r="F2115" s="282" t="s">
        <v>12118</v>
      </c>
      <c r="G2115" s="282" t="s">
        <v>12119</v>
      </c>
      <c r="H2115" s="282" t="s">
        <v>12120</v>
      </c>
      <c r="I2115" s="282"/>
      <c r="J2115" s="282"/>
    </row>
    <row r="2116" spans="1:10" x14ac:dyDescent="0.2">
      <c r="A2116" s="93" t="str">
        <f t="shared" ca="1" si="0"/>
        <v>老练的盗贼</v>
      </c>
      <c r="B2116" s="38" t="s">
        <v>12121</v>
      </c>
      <c r="C2116" s="282"/>
      <c r="D2116" s="282" t="s">
        <v>12122</v>
      </c>
      <c r="E2116" s="282"/>
      <c r="F2116" s="282" t="s">
        <v>12123</v>
      </c>
      <c r="G2116" s="282" t="s">
        <v>12124</v>
      </c>
      <c r="H2116" s="282" t="s">
        <v>12125</v>
      </c>
      <c r="I2116" s="282"/>
      <c r="J2116" s="282" t="s">
        <v>12126</v>
      </c>
    </row>
    <row r="2117" spans="1:10" x14ac:dyDescent="0.2">
      <c r="A2117" s="93" t="str">
        <f t="shared" ca="1" si="0"/>
        <v>铁腕的佣兵</v>
      </c>
      <c r="B2117" s="138" t="s">
        <v>12127</v>
      </c>
      <c r="C2117" s="51" t="s">
        <v>12128</v>
      </c>
      <c r="D2117" s="282" t="s">
        <v>12129</v>
      </c>
      <c r="E2117" s="282"/>
      <c r="F2117" s="282" t="s">
        <v>12128</v>
      </c>
      <c r="G2117" s="282" t="s">
        <v>12130</v>
      </c>
      <c r="H2117" s="282" t="s">
        <v>12131</v>
      </c>
      <c r="I2117" s="282"/>
      <c r="J2117" s="282" t="s">
        <v>12132</v>
      </c>
    </row>
    <row r="2118" spans="1:10" x14ac:dyDescent="0.2">
      <c r="A2118" s="93" t="str">
        <f t="shared" ca="1" si="0"/>
        <v>海盗杀手维克托里诺</v>
      </c>
      <c r="B2118" s="24" t="s">
        <v>12133</v>
      </c>
      <c r="C2118" s="282"/>
      <c r="D2118" s="282" t="s">
        <v>12134</v>
      </c>
      <c r="E2118" s="282"/>
      <c r="F2118" s="282" t="s">
        <v>12135</v>
      </c>
      <c r="G2118" s="282" t="s">
        <v>12136</v>
      </c>
      <c r="H2118" s="282" t="s">
        <v>12137</v>
      </c>
      <c r="I2118" s="282"/>
      <c r="J2118" s="282" t="s">
        <v>12138</v>
      </c>
    </row>
    <row r="2119" spans="1:10" x14ac:dyDescent="0.2">
      <c r="A2119" s="93" t="str">
        <f t="shared" ca="1" si="0"/>
        <v>村长</v>
      </c>
      <c r="B2119" s="52" t="s">
        <v>12139</v>
      </c>
      <c r="C2119" s="282"/>
      <c r="D2119" s="282" t="s">
        <v>12140</v>
      </c>
      <c r="E2119" s="282"/>
      <c r="F2119" s="282" t="s">
        <v>12141</v>
      </c>
      <c r="G2119" s="282" t="s">
        <v>12142</v>
      </c>
      <c r="H2119" s="282" t="s">
        <v>12143</v>
      </c>
      <c r="I2119" s="282"/>
      <c r="J2119" s="282" t="s">
        <v>12142</v>
      </c>
    </row>
    <row r="2120" spans="1:10" x14ac:dyDescent="0.2">
      <c r="A2120" s="93" t="str">
        <f t="shared" ca="1" si="0"/>
        <v>村民</v>
      </c>
      <c r="B2120" s="138" t="s">
        <v>12144</v>
      </c>
      <c r="C2120" s="282"/>
      <c r="D2120" s="282" t="s">
        <v>12060</v>
      </c>
      <c r="E2120" s="282"/>
      <c r="F2120" s="52" t="s">
        <v>12061</v>
      </c>
      <c r="G2120" s="282" t="s">
        <v>12145</v>
      </c>
      <c r="H2120" s="282" t="s">
        <v>12145</v>
      </c>
      <c r="I2120" s="282"/>
      <c r="J2120" s="282" t="s">
        <v>12064</v>
      </c>
    </row>
    <row r="2121" spans="1:10" x14ac:dyDescent="0.2">
      <c r="A2121" s="93" t="str">
        <f t="shared" ca="1" si="0"/>
        <v>狂剑瓦雷斯</v>
      </c>
      <c r="B2121" s="38" t="s">
        <v>12146</v>
      </c>
      <c r="C2121" s="282"/>
      <c r="D2121" s="282" t="s">
        <v>12147</v>
      </c>
      <c r="E2121" s="282"/>
      <c r="F2121" s="282" t="s">
        <v>12148</v>
      </c>
      <c r="G2121" s="282" t="s">
        <v>12149</v>
      </c>
      <c r="H2121" s="282" t="s">
        <v>12150</v>
      </c>
      <c r="I2121" s="282"/>
      <c r="J2121" s="282" t="s">
        <v>12151</v>
      </c>
    </row>
    <row r="2122" spans="1:10" x14ac:dyDescent="0.2">
      <c r="A2122" s="93" t="str">
        <f t="shared" ca="1" si="0"/>
        <v>随风起舞的吟游诗人</v>
      </c>
      <c r="B2122" s="52" t="s">
        <v>12152</v>
      </c>
      <c r="C2122" s="282"/>
      <c r="D2122" s="282" t="s">
        <v>12153</v>
      </c>
      <c r="E2122" s="282"/>
      <c r="F2122" s="282" t="s">
        <v>12154</v>
      </c>
      <c r="G2122" s="282" t="s">
        <v>12155</v>
      </c>
      <c r="H2122" s="282" t="s">
        <v>12156</v>
      </c>
      <c r="I2122" s="282"/>
      <c r="J2122" s="282" t="s">
        <v>12157</v>
      </c>
    </row>
    <row r="2123" spans="1:10" x14ac:dyDescent="0.2">
      <c r="A2123" s="93" t="str">
        <f t="shared" ca="1" si="0"/>
        <v>警备团员</v>
      </c>
      <c r="B2123" s="52" t="s">
        <v>12158</v>
      </c>
      <c r="C2123" s="282"/>
      <c r="D2123" s="282" t="s">
        <v>11082</v>
      </c>
      <c r="E2123" s="282"/>
      <c r="F2123" s="282" t="s">
        <v>12159</v>
      </c>
      <c r="G2123" s="282" t="s">
        <v>12160</v>
      </c>
      <c r="H2123" s="282" t="s">
        <v>12161</v>
      </c>
      <c r="I2123" s="282"/>
      <c r="J2123" s="282" t="s">
        <v>12162</v>
      </c>
    </row>
    <row r="2124" spans="1:10" x14ac:dyDescent="0.2">
      <c r="A2124" s="93" t="str">
        <f t="shared" ca="1" si="0"/>
        <v>四处游历的少女 /
莉亚 /
葛罗莉亚</v>
      </c>
      <c r="B2124" s="58" t="s">
        <v>12163</v>
      </c>
      <c r="C2124" s="282"/>
      <c r="D2124" s="282" t="s">
        <v>12164</v>
      </c>
      <c r="E2124" s="282"/>
      <c r="F2124" s="282" t="s">
        <v>12165</v>
      </c>
      <c r="G2124" s="282" t="s">
        <v>12166</v>
      </c>
      <c r="H2124" s="282" t="s">
        <v>12167</v>
      </c>
      <c r="I2124" s="282"/>
      <c r="J2124" s="282"/>
    </row>
    <row r="2125" spans="1:10" x14ac:dyDescent="0.2">
      <c r="A2125" s="93" t="str">
        <f t="shared" ca="1" si="0"/>
        <v>富商</v>
      </c>
      <c r="B2125" s="38" t="s">
        <v>12168</v>
      </c>
      <c r="C2125" s="282"/>
      <c r="D2125" s="282" t="s">
        <v>12169</v>
      </c>
      <c r="E2125" s="282"/>
      <c r="F2125" s="282" t="s">
        <v>12170</v>
      </c>
      <c r="G2125" s="282" t="s">
        <v>12171</v>
      </c>
      <c r="H2125" s="282" t="s">
        <v>12171</v>
      </c>
      <c r="I2125" s="282"/>
      <c r="J2125" s="282"/>
    </row>
    <row r="2126" spans="1:10" x14ac:dyDescent="0.2">
      <c r="A2126" s="93" t="str">
        <f t="shared" ca="1" si="0"/>
        <v>港口的盗贼</v>
      </c>
      <c r="B2126" s="38" t="s">
        <v>12172</v>
      </c>
      <c r="C2126" s="282"/>
      <c r="D2126" s="282" t="s">
        <v>12173</v>
      </c>
      <c r="E2126" s="282"/>
      <c r="F2126" s="282" t="s">
        <v>12174</v>
      </c>
      <c r="G2126" s="282" t="s">
        <v>12175</v>
      </c>
      <c r="H2126" s="282" t="s">
        <v>12176</v>
      </c>
      <c r="I2126" s="282"/>
      <c r="J2126" s="282" t="s">
        <v>12177</v>
      </c>
    </row>
    <row r="2127" spans="1:10" x14ac:dyDescent="0.2">
      <c r="A2127" s="93" t="str">
        <f t="shared" ca="1" si="0"/>
        <v>单纯的女孩</v>
      </c>
      <c r="B2127" s="24" t="s">
        <v>12178</v>
      </c>
      <c r="C2127" s="51" t="s">
        <v>12179</v>
      </c>
      <c r="D2127" s="282" t="s">
        <v>12180</v>
      </c>
      <c r="E2127" s="282"/>
      <c r="F2127" s="282" t="s">
        <v>12181</v>
      </c>
      <c r="G2127" s="282" t="s">
        <v>12182</v>
      </c>
      <c r="H2127" s="282" t="s">
        <v>12183</v>
      </c>
      <c r="I2127" s="282"/>
      <c r="J2127" s="282" t="s">
        <v>12184</v>
      </c>
    </row>
    <row r="2128" spans="1:10" x14ac:dyDescent="0.2">
      <c r="A2128" s="93" t="str">
        <f t="shared" ca="1" si="0"/>
        <v>目击的女子</v>
      </c>
      <c r="B2128" s="138" t="s">
        <v>12185</v>
      </c>
      <c r="C2128" s="282" t="s">
        <v>12186</v>
      </c>
      <c r="D2128" s="282" t="s">
        <v>12187</v>
      </c>
      <c r="E2128" s="282"/>
      <c r="F2128" s="282" t="s">
        <v>12188</v>
      </c>
      <c r="G2128" s="282" t="s">
        <v>12189</v>
      </c>
      <c r="H2128" s="282" t="s">
        <v>12190</v>
      </c>
      <c r="I2128" s="282"/>
      <c r="J2128" s="282"/>
    </row>
    <row r="2129" spans="1:10" x14ac:dyDescent="0.2">
      <c r="A2129" s="93" t="str">
        <f t="shared" ca="1" si="0"/>
        <v>来自卡拉戈沙的女子</v>
      </c>
      <c r="B2129" s="38" t="s">
        <v>12191</v>
      </c>
      <c r="C2129" s="282" t="s">
        <v>12192</v>
      </c>
      <c r="D2129" s="282" t="s">
        <v>12193</v>
      </c>
      <c r="E2129" s="282"/>
      <c r="F2129" s="282" t="s">
        <v>12194</v>
      </c>
      <c r="G2129" s="282" t="s">
        <v>12195</v>
      </c>
      <c r="H2129" s="282" t="s">
        <v>12196</v>
      </c>
      <c r="I2129" s="282"/>
      <c r="J2129" s="282" t="s">
        <v>12197</v>
      </c>
    </row>
    <row r="2130" spans="1:10" x14ac:dyDescent="0.2">
      <c r="A2130" s="93" t="str">
        <f t="shared" ca="1" si="0"/>
        <v>伍多兰多的知识份子</v>
      </c>
      <c r="B2130" s="24" t="s">
        <v>12198</v>
      </c>
      <c r="C2130" s="282"/>
      <c r="D2130" s="282" t="s">
        <v>12199</v>
      </c>
      <c r="E2130" s="282"/>
      <c r="F2130" s="282" t="s">
        <v>12200</v>
      </c>
      <c r="G2130" s="282" t="s">
        <v>12201</v>
      </c>
      <c r="H2130" s="282" t="s">
        <v>12202</v>
      </c>
      <c r="I2130" s="282"/>
      <c r="J2130" s="282" t="s">
        <v>12203</v>
      </c>
    </row>
    <row r="2131" spans="1:10" x14ac:dyDescent="0.2">
      <c r="A2131" s="93" t="str">
        <f t="shared" ca="1" si="0"/>
        <v>爱担心的男子</v>
      </c>
      <c r="B2131" s="17" t="s">
        <v>12204</v>
      </c>
      <c r="C2131" s="282"/>
      <c r="D2131" s="282" t="s">
        <v>12205</v>
      </c>
      <c r="E2131" s="282"/>
      <c r="F2131" s="282" t="s">
        <v>12206</v>
      </c>
      <c r="G2131" s="282" t="s">
        <v>2228</v>
      </c>
      <c r="H2131" s="282" t="s">
        <v>2229</v>
      </c>
      <c r="I2131" s="282"/>
      <c r="J2131" s="282" t="s">
        <v>2230</v>
      </c>
    </row>
    <row r="2132" spans="1:10" x14ac:dyDescent="0.2">
      <c r="A2132" s="93" t="str">
        <f t="shared" ca="1" si="0"/>
        <v>年轻的士兵</v>
      </c>
      <c r="B2132" s="58" t="s">
        <v>12207</v>
      </c>
      <c r="C2132" s="282" t="s">
        <v>12208</v>
      </c>
      <c r="D2132" s="282" t="s">
        <v>12209</v>
      </c>
      <c r="E2132" s="282"/>
      <c r="F2132" s="282" t="s">
        <v>12210</v>
      </c>
      <c r="G2132" s="282" t="s">
        <v>12211</v>
      </c>
      <c r="H2132" s="282" t="s">
        <v>12212</v>
      </c>
      <c r="I2132" s="282"/>
      <c r="J2132" s="282" t="s">
        <v>12213</v>
      </c>
    </row>
    <row r="2133" spans="1:10" x14ac:dyDescent="0.2">
      <c r="A2133" s="93" t="str">
        <f t="shared" ca="1" si="0"/>
        <v>青年的母亲</v>
      </c>
      <c r="B2133" s="24" t="s">
        <v>12214</v>
      </c>
      <c r="C2133" s="282"/>
      <c r="D2133" s="282" t="s">
        <v>12215</v>
      </c>
      <c r="E2133" s="282"/>
      <c r="F2133" s="282" t="s">
        <v>12216</v>
      </c>
      <c r="G2133" s="282" t="s">
        <v>12217</v>
      </c>
      <c r="H2133" s="282" t="s">
        <v>12218</v>
      </c>
      <c r="I2133" s="282"/>
      <c r="J2133" s="282" t="s">
        <v>12219</v>
      </c>
    </row>
    <row r="2134" spans="1:10" x14ac:dyDescent="0.2">
      <c r="A2134" s="93" t="str">
        <f t="shared" ca="1" si="0"/>
        <v>闪达</v>
      </c>
      <c r="B2134" s="24" t="s">
        <v>12220</v>
      </c>
      <c r="C2134" s="282" t="s">
        <v>12220</v>
      </c>
      <c r="D2134" s="282" t="s">
        <v>12220</v>
      </c>
      <c r="E2134" s="282"/>
      <c r="F2134" s="282" t="s">
        <v>12220</v>
      </c>
      <c r="G2134" s="282" t="s">
        <v>12221</v>
      </c>
      <c r="H2134" s="282" t="s">
        <v>12222</v>
      </c>
      <c r="I2134" s="282"/>
      <c r="J2134" s="282" t="s">
        <v>12223</v>
      </c>
    </row>
    <row r="2135" spans="1:10" x14ac:dyDescent="0.2">
      <c r="A2135" s="93" t="str">
        <f t="shared" ca="1" si="0"/>
        <v>药师杰夫</v>
      </c>
      <c r="B2135" s="17" t="s">
        <v>12224</v>
      </c>
      <c r="C2135" s="282" t="s">
        <v>12224</v>
      </c>
      <c r="D2135" s="282" t="s">
        <v>12224</v>
      </c>
      <c r="E2135" s="282"/>
      <c r="F2135" s="282" t="s">
        <v>12224</v>
      </c>
      <c r="G2135" s="282" t="s">
        <v>12225</v>
      </c>
      <c r="H2135" s="282" t="s">
        <v>12226</v>
      </c>
      <c r="I2135" s="282"/>
      <c r="J2135" s="282" t="s">
        <v>12227</v>
      </c>
    </row>
    <row r="2136" spans="1:10" x14ac:dyDescent="0.2">
      <c r="A2136" s="344" t="str">
        <f t="shared" ca="1" si="0"/>
        <v>拿手技能</v>
      </c>
      <c r="B2136" s="344" t="s">
        <v>12228</v>
      </c>
      <c r="C2136" s="280"/>
      <c r="D2136" s="280" t="s">
        <v>728</v>
      </c>
      <c r="E2136" s="280"/>
      <c r="F2136" s="280"/>
      <c r="G2136" s="280" t="s">
        <v>12229</v>
      </c>
      <c r="H2136" s="280" t="s">
        <v>12230</v>
      </c>
      <c r="I2136" s="280"/>
      <c r="J2136" s="280"/>
    </row>
    <row r="2137" spans="1:10" x14ac:dyDescent="0.2">
      <c r="A2137" s="93" t="str">
        <f t="shared" ca="1" si="0"/>
        <v>战斗</v>
      </c>
      <c r="B2137" s="52" t="s">
        <v>9732</v>
      </c>
      <c r="C2137" s="282" t="s">
        <v>9733</v>
      </c>
      <c r="D2137" s="282" t="s">
        <v>9734</v>
      </c>
      <c r="E2137" s="282"/>
      <c r="F2137" s="282" t="s">
        <v>9735</v>
      </c>
      <c r="G2137" s="282" t="s">
        <v>9736</v>
      </c>
      <c r="H2137" s="282" t="s">
        <v>9737</v>
      </c>
      <c r="I2137" s="282"/>
      <c r="J2137" s="282" t="s">
        <v>12231</v>
      </c>
    </row>
    <row r="2138" spans="1:10" x14ac:dyDescent="0.2">
      <c r="A2138" s="93" t="str">
        <f t="shared" ca="1" si="0"/>
        <v>阿里的面包</v>
      </c>
      <c r="B2138" s="52" t="s">
        <v>12232</v>
      </c>
      <c r="C2138" s="282"/>
      <c r="D2138" s="282" t="s">
        <v>12233</v>
      </c>
      <c r="E2138" s="282"/>
      <c r="F2138" s="282" t="s">
        <v>12234</v>
      </c>
      <c r="G2138" s="282" t="s">
        <v>4219</v>
      </c>
      <c r="H2138" s="282" t="s">
        <v>4220</v>
      </c>
      <c r="I2138" s="282"/>
      <c r="J2138" s="282"/>
    </row>
    <row r="2139" spans="1:10" x14ac:dyDescent="0.2">
      <c r="A2139" s="93" t="str">
        <f t="shared" ca="1" si="0"/>
        <v>五月雨箭</v>
      </c>
      <c r="B2139" s="52" t="s">
        <v>1250</v>
      </c>
      <c r="C2139" s="282"/>
      <c r="D2139" s="282" t="s">
        <v>1252</v>
      </c>
      <c r="E2139" s="282"/>
      <c r="F2139" s="282" t="s">
        <v>1220</v>
      </c>
      <c r="G2139" s="282" t="s">
        <v>1221</v>
      </c>
      <c r="H2139" s="282" t="s">
        <v>1221</v>
      </c>
      <c r="I2139" s="282"/>
      <c r="J2139" s="282"/>
    </row>
    <row r="2140" spans="1:10" x14ac:dyDescent="0.2">
      <c r="A2140" s="93" t="str">
        <f t="shared" ca="1" si="0"/>
        <v>攻击架式</v>
      </c>
      <c r="B2140" s="52" t="s">
        <v>12235</v>
      </c>
      <c r="C2140" s="282"/>
      <c r="D2140" s="282" t="s">
        <v>12236</v>
      </c>
      <c r="E2140" s="282"/>
      <c r="F2140" s="282" t="s">
        <v>12237</v>
      </c>
      <c r="G2140" s="282" t="s">
        <v>12238</v>
      </c>
      <c r="H2140" s="282" t="s">
        <v>12239</v>
      </c>
      <c r="I2140" s="282"/>
      <c r="J2140" s="282"/>
    </row>
    <row r="2141" spans="1:10" x14ac:dyDescent="0.2">
      <c r="A2141" s="93" t="str">
        <f t="shared" ca="1" si="0"/>
        <v>睡眠治疗药</v>
      </c>
      <c r="B2141" s="52" t="s">
        <v>12240</v>
      </c>
      <c r="C2141" s="282" t="s">
        <v>12241</v>
      </c>
      <c r="D2141" s="282" t="s">
        <v>12242</v>
      </c>
      <c r="E2141" s="282"/>
      <c r="F2141" s="282" t="s">
        <v>12243</v>
      </c>
      <c r="G2141" s="282" t="s">
        <v>12244</v>
      </c>
      <c r="H2141" s="282" t="s">
        <v>12245</v>
      </c>
      <c r="I2141" s="282"/>
      <c r="J2141" s="282"/>
    </row>
    <row r="2142" spans="1:10" x14ac:dyDescent="0.2">
      <c r="A2142" s="93" t="str">
        <f t="shared" ca="1" si="0"/>
        <v>游戏内为空白</v>
      </c>
      <c r="B2142" s="52" t="s">
        <v>12246</v>
      </c>
      <c r="C2142" s="282"/>
      <c r="D2142" s="282" t="s">
        <v>12247</v>
      </c>
      <c r="E2142" s="282"/>
      <c r="F2142" s="282" t="s">
        <v>12248</v>
      </c>
      <c r="G2142" s="282" t="s">
        <v>12249</v>
      </c>
      <c r="H2142" s="282" t="s">
        <v>12250</v>
      </c>
      <c r="I2142" s="282"/>
      <c r="J2142" s="282"/>
    </row>
    <row r="2143" spans="1:10" x14ac:dyDescent="0.2">
      <c r="A2143" s="93" t="str">
        <f t="shared" ca="1" si="0"/>
        <v>混乱药</v>
      </c>
      <c r="B2143" s="52" t="s">
        <v>12251</v>
      </c>
      <c r="C2143" s="282"/>
      <c r="D2143" s="282" t="s">
        <v>12252</v>
      </c>
      <c r="E2143" s="282"/>
      <c r="F2143" s="282" t="s">
        <v>12253</v>
      </c>
      <c r="G2143" s="282" t="s">
        <v>12254</v>
      </c>
      <c r="H2143" s="282" t="s">
        <v>12255</v>
      </c>
      <c r="I2143" s="282"/>
      <c r="J2143" s="282"/>
    </row>
    <row r="2144" spans="1:10" x14ac:dyDescent="0.2">
      <c r="A2144" s="93" t="str">
        <f t="shared" ca="1" si="0"/>
        <v>混乱之粉</v>
      </c>
      <c r="B2144" s="52" t="s">
        <v>12256</v>
      </c>
      <c r="C2144" s="282"/>
      <c r="D2144" s="282" t="s">
        <v>12257</v>
      </c>
      <c r="E2144" s="282"/>
      <c r="F2144" s="282" t="s">
        <v>12258</v>
      </c>
      <c r="G2144" s="282" t="s">
        <v>12259</v>
      </c>
      <c r="H2144" s="282" t="s">
        <v>12260</v>
      </c>
      <c r="I2144" s="282"/>
      <c r="J2144" s="282"/>
    </row>
    <row r="2145" spans="1:10" x14ac:dyDescent="0.2">
      <c r="A2145" s="93" t="str">
        <f t="shared" ca="1" si="0"/>
        <v>暗黑魔法</v>
      </c>
      <c r="B2145" s="52" t="s">
        <v>12261</v>
      </c>
      <c r="C2145" s="282"/>
      <c r="D2145" s="282" t="s">
        <v>12262</v>
      </c>
      <c r="E2145" s="282"/>
      <c r="F2145" s="282" t="s">
        <v>12263</v>
      </c>
      <c r="G2145" s="282" t="s">
        <v>12264</v>
      </c>
      <c r="H2145" s="282" t="s">
        <v>12264</v>
      </c>
      <c r="I2145" s="282"/>
      <c r="J2145" s="282"/>
    </row>
    <row r="2146" spans="1:10" x14ac:dyDescent="0.2">
      <c r="A2146" s="93" t="str">
        <f t="shared" ca="1" si="0"/>
        <v>失明之矢</v>
      </c>
      <c r="B2146" s="52" t="s">
        <v>12265</v>
      </c>
      <c r="C2146" s="282"/>
      <c r="D2146" s="282" t="s">
        <v>12266</v>
      </c>
      <c r="E2146" s="282"/>
      <c r="F2146" s="282" t="s">
        <v>12267</v>
      </c>
      <c r="G2146" s="282" t="s">
        <v>12268</v>
      </c>
      <c r="H2146" s="282" t="s">
        <v>12268</v>
      </c>
      <c r="I2146" s="282"/>
      <c r="J2146" s="282"/>
    </row>
    <row r="2147" spans="1:10" x14ac:dyDescent="0.2">
      <c r="A2147" s="93" t="str">
        <f t="shared" ca="1" si="0"/>
        <v>暗暗药</v>
      </c>
      <c r="B2147" s="52" t="s">
        <v>12269</v>
      </c>
      <c r="C2147" s="282"/>
      <c r="D2147" s="282" t="s">
        <v>12270</v>
      </c>
      <c r="E2147" s="282"/>
      <c r="F2147" s="282" t="s">
        <v>12271</v>
      </c>
      <c r="G2147" s="282" t="s">
        <v>12272</v>
      </c>
      <c r="H2147" s="282" t="s">
        <v>12273</v>
      </c>
      <c r="I2147" s="282"/>
      <c r="J2147" s="282"/>
    </row>
    <row r="2148" spans="1:10" x14ac:dyDescent="0.2">
      <c r="A2148" s="93" t="str">
        <f t="shared" ca="1" si="0"/>
        <v>失明猛击</v>
      </c>
      <c r="B2148" s="52" t="s">
        <v>12274</v>
      </c>
      <c r="C2148" s="282"/>
      <c r="D2148" s="282" t="s">
        <v>12275</v>
      </c>
      <c r="E2148" s="282"/>
      <c r="F2148" s="282" t="s">
        <v>12276</v>
      </c>
      <c r="G2148" s="282" t="s">
        <v>12277</v>
      </c>
      <c r="H2148" s="282" t="s">
        <v>12278</v>
      </c>
      <c r="I2148" s="282"/>
      <c r="J2148" s="282"/>
    </row>
    <row r="2149" spans="1:10" x14ac:dyDescent="0.2">
      <c r="A2149" s="93" t="str">
        <f t="shared" ca="1" si="0"/>
        <v>起开</v>
      </c>
      <c r="B2149" s="52" t="s">
        <v>12279</v>
      </c>
      <c r="C2149" s="282"/>
      <c r="D2149" s="282" t="s">
        <v>12280</v>
      </c>
      <c r="E2149" s="282"/>
      <c r="F2149" s="52" t="s">
        <v>12281</v>
      </c>
      <c r="G2149" s="282" t="s">
        <v>12282</v>
      </c>
      <c r="H2149" s="282" t="s">
        <v>12283</v>
      </c>
      <c r="I2149" s="282"/>
      <c r="J2149" s="282"/>
    </row>
    <row r="2150" spans="1:10" x14ac:dyDescent="0.2">
      <c r="A2150" s="93" t="str">
        <f t="shared" ca="1" si="0"/>
        <v>丢空瓶</v>
      </c>
      <c r="B2150" s="52" t="s">
        <v>12284</v>
      </c>
      <c r="C2150" s="282"/>
      <c r="D2150" s="282" t="s">
        <v>12285</v>
      </c>
      <c r="E2150" s="282"/>
      <c r="F2150" s="282" t="s">
        <v>12286</v>
      </c>
      <c r="G2150" s="282" t="s">
        <v>12287</v>
      </c>
      <c r="H2150" s="282" t="s">
        <v>12288</v>
      </c>
      <c r="I2150" s="282"/>
      <c r="J2150" s="282"/>
    </row>
    <row r="2151" spans="1:10" x14ac:dyDescent="0.2">
      <c r="A2151" s="93" t="str">
        <f t="shared" ca="1" si="0"/>
        <v>投掷花束</v>
      </c>
      <c r="B2151" s="52" t="s">
        <v>12289</v>
      </c>
      <c r="C2151" s="282"/>
      <c r="D2151" s="282" t="s">
        <v>12290</v>
      </c>
      <c r="E2151" s="282"/>
      <c r="F2151" s="282" t="s">
        <v>12291</v>
      </c>
      <c r="G2151" s="282" t="s">
        <v>12292</v>
      </c>
      <c r="H2151" s="282" t="s">
        <v>12293</v>
      </c>
      <c r="I2151" s="282"/>
      <c r="J2151" s="282"/>
    </row>
    <row r="2152" spans="1:10" x14ac:dyDescent="0.2">
      <c r="A2152" s="93" t="str">
        <f t="shared" ca="1" si="0"/>
        <v>脑天击</v>
      </c>
      <c r="B2152" s="52" t="s">
        <v>12294</v>
      </c>
      <c r="C2152" s="282"/>
      <c r="D2152" s="282" t="s">
        <v>12295</v>
      </c>
      <c r="E2152" s="282"/>
      <c r="F2152" s="282" t="s">
        <v>12296</v>
      </c>
      <c r="G2152" s="282" t="s">
        <v>12297</v>
      </c>
      <c r="H2152" s="282" t="s">
        <v>12298</v>
      </c>
      <c r="I2152" s="282"/>
      <c r="J2152" s="282"/>
    </row>
    <row r="2153" spans="1:10" x14ac:dyDescent="0.2">
      <c r="A2153" s="93" t="str">
        <f t="shared" ca="1" si="0"/>
        <v>连续投掷笔</v>
      </c>
      <c r="B2153" s="52" t="s">
        <v>12299</v>
      </c>
      <c r="C2153" s="282"/>
      <c r="D2153" s="282" t="s">
        <v>12300</v>
      </c>
      <c r="E2153" s="282"/>
      <c r="F2153" s="282" t="s">
        <v>12301</v>
      </c>
      <c r="G2153" s="282" t="s">
        <v>12302</v>
      </c>
      <c r="H2153" s="282" t="s">
        <v>12303</v>
      </c>
      <c r="I2153" s="282"/>
      <c r="J2153" s="282"/>
    </row>
    <row r="2154" spans="1:10" x14ac:dyDescent="0.2">
      <c r="A2154" s="93" t="str">
        <f t="shared" ca="1" si="0"/>
        <v>王者的铁锤</v>
      </c>
      <c r="B2154" s="52" t="s">
        <v>12304</v>
      </c>
      <c r="C2154" s="282"/>
      <c r="D2154" s="282" t="s">
        <v>12305</v>
      </c>
      <c r="E2154" s="282"/>
      <c r="F2154" s="282" t="s">
        <v>12306</v>
      </c>
      <c r="G2154" s="282" t="s">
        <v>12307</v>
      </c>
      <c r="H2154" s="282" t="s">
        <v>12308</v>
      </c>
      <c r="I2154" s="282"/>
      <c r="J2154" s="282"/>
    </row>
    <row r="2155" spans="1:10" x14ac:dyDescent="0.2">
      <c r="A2155" s="93" t="str">
        <f t="shared" ca="1" si="0"/>
        <v>支援</v>
      </c>
      <c r="B2155" s="52" t="s">
        <v>12309</v>
      </c>
      <c r="C2155" s="282"/>
      <c r="D2155" s="282" t="s">
        <v>12310</v>
      </c>
      <c r="E2155" s="282"/>
      <c r="F2155" s="52" t="s">
        <v>12311</v>
      </c>
      <c r="G2155" s="282" t="s">
        <v>12312</v>
      </c>
      <c r="H2155" s="282" t="s">
        <v>12312</v>
      </c>
      <c r="I2155" s="282"/>
      <c r="J2155" s="282"/>
    </row>
    <row r="2156" spans="1:10" x14ac:dyDescent="0.2">
      <c r="A2156" s="93" t="str">
        <f t="shared" ca="1" si="0"/>
        <v>一刀两断</v>
      </c>
      <c r="B2156" s="52" t="s">
        <v>12313</v>
      </c>
      <c r="C2156" s="282"/>
      <c r="D2156" s="282" t="s">
        <v>12314</v>
      </c>
      <c r="E2156" s="282"/>
      <c r="F2156" s="282" t="s">
        <v>12315</v>
      </c>
      <c r="G2156" s="282" t="s">
        <v>12316</v>
      </c>
      <c r="H2156" s="282" t="s">
        <v>12317</v>
      </c>
      <c r="I2156" s="282"/>
      <c r="J2156" s="282"/>
    </row>
    <row r="2157" spans="1:10" x14ac:dyDescent="0.2">
      <c r="A2157" s="93" t="str">
        <f t="shared" ca="1" si="0"/>
        <v>拳骨</v>
      </c>
      <c r="B2157" s="52" t="s">
        <v>12318</v>
      </c>
      <c r="C2157" s="282"/>
      <c r="D2157" s="282" t="s">
        <v>12319</v>
      </c>
      <c r="E2157" s="282"/>
      <c r="F2157" s="52" t="s">
        <v>12320</v>
      </c>
      <c r="G2157" s="282" t="s">
        <v>12321</v>
      </c>
      <c r="H2157" s="282" t="s">
        <v>12321</v>
      </c>
      <c r="I2157" s="282"/>
      <c r="J2157" s="282"/>
    </row>
    <row r="2158" spans="1:10" x14ac:dyDescent="0.2">
      <c r="A2158" s="93" t="str">
        <f t="shared" ca="1" si="0"/>
        <v>调和「炸裂爆药」</v>
      </c>
      <c r="B2158" s="52" t="s">
        <v>12322</v>
      </c>
      <c r="C2158" s="282"/>
      <c r="D2158" s="282" t="s">
        <v>12323</v>
      </c>
      <c r="E2158" s="282"/>
      <c r="F2158" s="282" t="s">
        <v>12324</v>
      </c>
      <c r="G2158" s="282" t="s">
        <v>12325</v>
      </c>
      <c r="H2158" s="282" t="s">
        <v>12326</v>
      </c>
      <c r="I2158" s="282"/>
      <c r="J2158" s="282"/>
    </row>
    <row r="2159" spans="1:10" x14ac:dyDescent="0.2">
      <c r="A2159" s="93" t="str">
        <f t="shared" ca="1" si="0"/>
        <v>【调和】全部恢复药</v>
      </c>
      <c r="B2159" s="52" t="s">
        <v>12327</v>
      </c>
      <c r="C2159" s="282"/>
      <c r="D2159" s="282" t="s">
        <v>12328</v>
      </c>
      <c r="E2159" s="282"/>
      <c r="F2159" s="282" t="s">
        <v>12329</v>
      </c>
      <c r="G2159" s="282" t="s">
        <v>12330</v>
      </c>
      <c r="H2159" s="282" t="s">
        <v>12331</v>
      </c>
      <c r="I2159" s="282"/>
      <c r="J2159" s="282"/>
    </row>
    <row r="2160" spans="1:10" x14ac:dyDescent="0.2">
      <c r="A2160" s="93" t="str">
        <f t="shared" ca="1" si="0"/>
        <v>【调和】毒药</v>
      </c>
      <c r="B2160" s="52" t="s">
        <v>12332</v>
      </c>
      <c r="C2160" s="282"/>
      <c r="D2160" s="282" t="s">
        <v>12333</v>
      </c>
      <c r="E2160" s="282"/>
      <c r="F2160" s="282" t="s">
        <v>12334</v>
      </c>
      <c r="G2160" s="282" t="s">
        <v>12335</v>
      </c>
      <c r="H2160" s="282" t="s">
        <v>12336</v>
      </c>
      <c r="I2160" s="282"/>
      <c r="J2160" s="282"/>
    </row>
    <row r="2161" spans="1:10" x14ac:dyDescent="0.2">
      <c r="A2161" s="93" t="str">
        <f t="shared" ca="1" si="0"/>
        <v>调和「猛毒药」</v>
      </c>
      <c r="B2161" s="52" t="s">
        <v>12332</v>
      </c>
      <c r="C2161" s="282"/>
      <c r="D2161" s="282" t="s">
        <v>12333</v>
      </c>
      <c r="E2161" s="282"/>
      <c r="F2161" s="282" t="s">
        <v>12334</v>
      </c>
      <c r="G2161" s="282" t="s">
        <v>12337</v>
      </c>
      <c r="H2161" s="282" t="s">
        <v>12338</v>
      </c>
      <c r="I2161" s="282"/>
      <c r="J2161" s="282"/>
    </row>
    <row r="2162" spans="1:10" x14ac:dyDescent="0.2">
      <c r="A2162" s="93" t="str">
        <f t="shared" ca="1" si="0"/>
        <v>调和「睡眠药」</v>
      </c>
      <c r="B2162" s="52" t="s">
        <v>12339</v>
      </c>
      <c r="C2162" s="282"/>
      <c r="D2162" s="282" t="s">
        <v>12340</v>
      </c>
      <c r="E2162" s="282"/>
      <c r="F2162" s="52" t="s">
        <v>12341</v>
      </c>
      <c r="G2162" s="282" t="s">
        <v>12342</v>
      </c>
      <c r="H2162" s="282" t="s">
        <v>12343</v>
      </c>
      <c r="I2162" s="282"/>
      <c r="J2162" s="282"/>
    </row>
    <row r="2163" spans="1:10" x14ac:dyDescent="0.2">
      <c r="A2163" s="93" t="str">
        <f t="shared" ca="1" si="0"/>
        <v>调和「增强药」</v>
      </c>
      <c r="B2163" s="52" t="s">
        <v>12344</v>
      </c>
      <c r="C2163" s="282"/>
      <c r="D2163" s="282" t="s">
        <v>12345</v>
      </c>
      <c r="E2163" s="282"/>
      <c r="F2163" s="52" t="s">
        <v>12346</v>
      </c>
      <c r="G2163" s="282" t="s">
        <v>12347</v>
      </c>
      <c r="H2163" s="282" t="s">
        <v>12348</v>
      </c>
      <c r="I2163" s="282"/>
      <c r="J2163" s="282"/>
    </row>
    <row r="2164" spans="1:10" x14ac:dyDescent="0.2">
      <c r="A2164" s="93" t="str">
        <f t="shared" ca="1" si="0"/>
        <v>【调和】冰冻</v>
      </c>
      <c r="B2164" s="52" t="s">
        <v>12349</v>
      </c>
      <c r="C2164" s="282"/>
      <c r="D2164" s="282" t="s">
        <v>12350</v>
      </c>
      <c r="E2164" s="282"/>
      <c r="F2164" s="52" t="s">
        <v>12351</v>
      </c>
      <c r="G2164" s="282" t="s">
        <v>12352</v>
      </c>
      <c r="H2164" s="282" t="s">
        <v>12353</v>
      </c>
      <c r="I2164" s="282"/>
      <c r="J2164" s="282"/>
    </row>
    <row r="2165" spans="1:10" x14ac:dyDescent="0.2">
      <c r="A2165" s="93" t="str">
        <f t="shared" ca="1" si="0"/>
        <v>暴击提升</v>
      </c>
      <c r="B2165" s="52" t="s">
        <v>12354</v>
      </c>
      <c r="C2165" s="282"/>
      <c r="D2165" s="282" t="s">
        <v>12355</v>
      </c>
      <c r="E2165" s="282"/>
      <c r="F2165" s="282" t="s">
        <v>12356</v>
      </c>
      <c r="G2165" s="282" t="s">
        <v>12357</v>
      </c>
      <c r="H2165" s="282" t="s">
        <v>12358</v>
      </c>
      <c r="I2165" s="282"/>
      <c r="J2165" s="282"/>
    </row>
    <row r="2166" spans="1:10" x14ac:dyDescent="0.2">
      <c r="A2166" s="93" t="str">
        <f t="shared" ca="1" si="0"/>
        <v>十字斩</v>
      </c>
      <c r="B2166" s="52" t="s">
        <v>1039</v>
      </c>
      <c r="C2166" s="282"/>
      <c r="D2166" s="282" t="s">
        <v>1041</v>
      </c>
      <c r="E2166" s="282"/>
      <c r="F2166" s="282" t="s">
        <v>12359</v>
      </c>
      <c r="G2166" s="282" t="s">
        <v>1043</v>
      </c>
      <c r="H2166" s="282" t="s">
        <v>1044</v>
      </c>
      <c r="I2166" s="282"/>
      <c r="J2166" s="282"/>
    </row>
    <row r="2167" spans="1:10" x14ac:dyDescent="0.2">
      <c r="A2167" s="93" t="str">
        <f t="shared" ca="1" si="0"/>
        <v>粉碎</v>
      </c>
      <c r="B2167" s="52" t="s">
        <v>12360</v>
      </c>
      <c r="C2167" s="282"/>
      <c r="D2167" s="282" t="s">
        <v>12361</v>
      </c>
      <c r="E2167" s="282"/>
      <c r="F2167" s="282" t="s">
        <v>12362</v>
      </c>
      <c r="G2167" s="282" t="s">
        <v>12363</v>
      </c>
      <c r="H2167" s="282" t="s">
        <v>12363</v>
      </c>
      <c r="I2167" s="282"/>
      <c r="J2167" s="282"/>
    </row>
    <row r="2168" spans="1:10" x14ac:dyDescent="0.2">
      <c r="A2168" s="93" t="str">
        <f t="shared" ca="1" si="0"/>
        <v>暗暗治疗药</v>
      </c>
      <c r="B2168" s="52" t="s">
        <v>12364</v>
      </c>
      <c r="C2168" s="282"/>
      <c r="D2168" s="282" t="s">
        <v>12365</v>
      </c>
      <c r="E2168" s="282"/>
      <c r="F2168" s="282" t="s">
        <v>12366</v>
      </c>
      <c r="G2168" s="282" t="s">
        <v>12367</v>
      </c>
      <c r="H2168" s="282" t="s">
        <v>12368</v>
      </c>
      <c r="I2168" s="282"/>
      <c r="J2168" s="282"/>
    </row>
    <row r="2169" spans="1:10" x14ac:dyDescent="0.2">
      <c r="A2169" s="93" t="str">
        <f t="shared" ca="1" si="0"/>
        <v>毒治疗药</v>
      </c>
      <c r="B2169" s="52" t="s">
        <v>12369</v>
      </c>
      <c r="C2169" s="282"/>
      <c r="D2169" s="282" t="s">
        <v>12370</v>
      </c>
      <c r="E2169" s="282"/>
      <c r="F2169" s="282" t="s">
        <v>12371</v>
      </c>
      <c r="G2169" s="282" t="s">
        <v>12372</v>
      </c>
      <c r="H2169" s="282" t="s">
        <v>12373</v>
      </c>
      <c r="I2169" s="282"/>
      <c r="J2169" s="282"/>
    </row>
    <row r="2170" spans="1:10" x14ac:dyDescent="0.2">
      <c r="A2170" s="93" t="str">
        <f t="shared" ca="1" si="0"/>
        <v>沉默治疗药</v>
      </c>
      <c r="B2170" s="52" t="s">
        <v>12374</v>
      </c>
      <c r="C2170" s="282"/>
      <c r="D2170" s="282" t="s">
        <v>12375</v>
      </c>
      <c r="E2170" s="282"/>
      <c r="F2170" s="282" t="s">
        <v>12376</v>
      </c>
      <c r="G2170" s="282" t="s">
        <v>12377</v>
      </c>
      <c r="H2170" s="282" t="s">
        <v>12378</v>
      </c>
      <c r="I2170" s="282"/>
      <c r="J2170" s="282"/>
    </row>
    <row r="2171" spans="1:10" x14ac:dyDescent="0.2">
      <c r="A2171" s="93" t="str">
        <f t="shared" ca="1" si="0"/>
        <v>连掷短剑</v>
      </c>
      <c r="B2171" s="52" t="s">
        <v>12379</v>
      </c>
      <c r="C2171" s="282"/>
      <c r="D2171" s="282" t="s">
        <v>12380</v>
      </c>
      <c r="E2171" s="282"/>
      <c r="F2171" s="282" t="s">
        <v>12381</v>
      </c>
      <c r="G2171" s="282" t="s">
        <v>12382</v>
      </c>
      <c r="H2171" s="282" t="s">
        <v>12383</v>
      </c>
      <c r="I2171" s="282"/>
      <c r="J2171" s="282"/>
    </row>
    <row r="2172" spans="1:10" x14ac:dyDescent="0.2">
      <c r="A2172" s="93" t="str">
        <f t="shared" ca="1" si="0"/>
        <v>技能的气息</v>
      </c>
      <c r="B2172" s="52" t="s">
        <v>12384</v>
      </c>
      <c r="C2172" s="282"/>
      <c r="D2172" s="282" t="s">
        <v>12385</v>
      </c>
      <c r="E2172" s="282"/>
      <c r="F2172" s="282" t="s">
        <v>12386</v>
      </c>
      <c r="G2172" s="282" t="s">
        <v>12387</v>
      </c>
      <c r="H2172" s="282" t="s">
        <v>12388</v>
      </c>
      <c r="I2172" s="282"/>
      <c r="J2172" s="282"/>
    </row>
    <row r="2173" spans="1:10" x14ac:dyDescent="0.2">
      <c r="A2173" s="93" t="str">
        <f t="shared" ca="1" si="0"/>
        <v>防御力下降</v>
      </c>
      <c r="B2173" s="52" t="s">
        <v>12389</v>
      </c>
      <c r="C2173" s="282"/>
      <c r="D2173" s="282" t="s">
        <v>12390</v>
      </c>
      <c r="E2173" s="282"/>
      <c r="F2173" s="282" t="s">
        <v>12391</v>
      </c>
      <c r="G2173" s="282" t="s">
        <v>12392</v>
      </c>
      <c r="H2173" s="282" t="s">
        <v>12393</v>
      </c>
      <c r="I2173" s="282"/>
      <c r="J2173" s="282"/>
    </row>
    <row r="2174" spans="1:10" x14ac:dyDescent="0.2">
      <c r="A2174" s="93" t="str">
        <f t="shared" ca="1" si="0"/>
        <v>防御架式</v>
      </c>
      <c r="B2174" s="52" t="s">
        <v>12394</v>
      </c>
      <c r="C2174" s="282"/>
      <c r="D2174" s="282" t="s">
        <v>12395</v>
      </c>
      <c r="E2174" s="282"/>
      <c r="F2174" s="282" t="s">
        <v>12396</v>
      </c>
      <c r="G2174" s="282" t="s">
        <v>12397</v>
      </c>
      <c r="H2174" s="282" t="s">
        <v>12398</v>
      </c>
      <c r="I2174" s="282"/>
      <c r="J2174" s="282"/>
    </row>
    <row r="2175" spans="1:10" x14ac:dyDescent="0.2">
      <c r="A2175" s="93" t="str">
        <f t="shared" ca="1" si="0"/>
        <v>魔剑</v>
      </c>
      <c r="B2175" s="52" t="s">
        <v>12399</v>
      </c>
      <c r="C2175" s="282"/>
      <c r="D2175" s="282" t="s">
        <v>12400</v>
      </c>
      <c r="E2175" s="282"/>
      <c r="F2175" s="282" t="s">
        <v>12401</v>
      </c>
      <c r="G2175" s="282" t="s">
        <v>12402</v>
      </c>
      <c r="H2175" s="282" t="s">
        <v>12403</v>
      </c>
      <c r="I2175" s="282"/>
      <c r="J2175" s="282"/>
    </row>
    <row r="2176" spans="1:10" x14ac:dyDescent="0.2">
      <c r="A2176" s="93" t="str">
        <f t="shared" ca="1" si="0"/>
        <v>二连扫</v>
      </c>
      <c r="B2176" s="52" t="s">
        <v>12404</v>
      </c>
      <c r="C2176" s="282"/>
      <c r="D2176" s="282" t="s">
        <v>12405</v>
      </c>
      <c r="E2176" s="282"/>
      <c r="F2176" s="282" t="s">
        <v>12406</v>
      </c>
      <c r="G2176" s="282" t="s">
        <v>12407</v>
      </c>
      <c r="H2176" s="282" t="s">
        <v>12408</v>
      </c>
      <c r="I2176" s="282"/>
      <c r="J2176" s="282"/>
    </row>
    <row r="2177" spans="1:10" x14ac:dyDescent="0.2">
      <c r="A2177" s="93" t="str">
        <f t="shared" ca="1" si="0"/>
        <v>醉剑</v>
      </c>
      <c r="B2177" s="52" t="s">
        <v>12409</v>
      </c>
      <c r="C2177" s="282"/>
      <c r="D2177" s="282" t="s">
        <v>12410</v>
      </c>
      <c r="E2177" s="282"/>
      <c r="F2177" s="282" t="s">
        <v>12411</v>
      </c>
      <c r="G2177" s="282" t="s">
        <v>12412</v>
      </c>
      <c r="H2177" s="282" t="s">
        <v>12413</v>
      </c>
      <c r="I2177" s="282"/>
      <c r="J2177" s="282"/>
    </row>
    <row r="2178" spans="1:10" x14ac:dyDescent="0.2">
      <c r="A2178" s="93" t="str">
        <f t="shared" ca="1" si="0"/>
        <v>撒上小麦粉</v>
      </c>
      <c r="B2178" s="52" t="s">
        <v>12414</v>
      </c>
      <c r="C2178" s="282"/>
      <c r="D2178" s="282" t="s">
        <v>12415</v>
      </c>
      <c r="E2178" s="282"/>
      <c r="F2178" s="282" t="s">
        <v>12416</v>
      </c>
      <c r="G2178" s="282" t="s">
        <v>12417</v>
      </c>
      <c r="H2178" s="282" t="s">
        <v>12418</v>
      </c>
      <c r="I2178" s="282"/>
      <c r="J2178" s="282"/>
    </row>
    <row r="2179" spans="1:10" x14ac:dyDescent="0.2">
      <c r="A2179" s="93" t="str">
        <f t="shared" ca="1" si="0"/>
        <v>激励</v>
      </c>
      <c r="B2179" s="52" t="s">
        <v>12419</v>
      </c>
      <c r="C2179" s="282"/>
      <c r="D2179" s="282" t="s">
        <v>12420</v>
      </c>
      <c r="E2179" s="282"/>
      <c r="F2179" s="52" t="s">
        <v>12421</v>
      </c>
      <c r="G2179" s="282" t="s">
        <v>12422</v>
      </c>
      <c r="H2179" s="282" t="s">
        <v>12423</v>
      </c>
      <c r="I2179" s="282"/>
      <c r="J2179" s="282"/>
    </row>
    <row r="2180" spans="1:10" x14ac:dyDescent="0.2">
      <c r="A2180" s="93" t="str">
        <f t="shared" ca="1" si="0"/>
        <v>南国的调味料</v>
      </c>
      <c r="B2180" s="52" t="s">
        <v>12424</v>
      </c>
      <c r="C2180" s="282" t="s">
        <v>12425</v>
      </c>
      <c r="D2180" s="282" t="s">
        <v>12426</v>
      </c>
      <c r="E2180" s="282"/>
      <c r="F2180" s="282" t="s">
        <v>12427</v>
      </c>
      <c r="G2180" s="282" t="s">
        <v>12428</v>
      </c>
      <c r="H2180" s="282" t="s">
        <v>12429</v>
      </c>
      <c r="I2180" s="282"/>
      <c r="J2180" s="282"/>
    </row>
    <row r="2181" spans="1:10" x14ac:dyDescent="0.2">
      <c r="A2181" s="93" t="str">
        <f t="shared" ca="1" si="0"/>
        <v>要害突刺</v>
      </c>
      <c r="B2181" s="52" t="s">
        <v>12430</v>
      </c>
      <c r="C2181" s="282"/>
      <c r="D2181" s="282" t="s">
        <v>12431</v>
      </c>
      <c r="E2181" s="282"/>
      <c r="F2181" s="282" t="s">
        <v>12432</v>
      </c>
      <c r="G2181" s="282" t="s">
        <v>12433</v>
      </c>
      <c r="H2181" s="282" t="s">
        <v>12433</v>
      </c>
      <c r="I2181" s="282"/>
      <c r="J2181" s="282"/>
    </row>
    <row r="2182" spans="1:10" x14ac:dyDescent="0.2">
      <c r="A2182" s="93" t="str">
        <f t="shared" ca="1" si="0"/>
        <v>要害突刺</v>
      </c>
      <c r="B2182" s="52" t="s">
        <v>12430</v>
      </c>
      <c r="C2182" s="282"/>
      <c r="D2182" s="282" t="s">
        <v>12431</v>
      </c>
      <c r="E2182" s="282"/>
      <c r="F2182" s="282" t="s">
        <v>12432</v>
      </c>
      <c r="G2182" s="282" t="s">
        <v>12433</v>
      </c>
      <c r="H2182" s="282" t="s">
        <v>12433</v>
      </c>
      <c r="I2182" s="282"/>
      <c r="J2182" s="282"/>
    </row>
    <row r="2183" spans="1:10" x14ac:dyDescent="0.2">
      <c r="A2183" s="93" t="str">
        <f t="shared" ca="1" si="0"/>
        <v>恐吓</v>
      </c>
      <c r="B2183" s="52" t="s">
        <v>12434</v>
      </c>
      <c r="C2183" s="282"/>
      <c r="D2183" s="282" t="s">
        <v>1948</v>
      </c>
      <c r="E2183" s="282"/>
      <c r="F2183" s="52" t="s">
        <v>12435</v>
      </c>
      <c r="G2183" s="282" t="s">
        <v>12436</v>
      </c>
      <c r="H2183" s="282" t="s">
        <v>12437</v>
      </c>
      <c r="I2183" s="282"/>
      <c r="J2183" s="282"/>
    </row>
    <row r="2184" spans="1:10" x14ac:dyDescent="0.2">
      <c r="A2184" s="93" t="str">
        <f t="shared" ca="1" si="0"/>
        <v>大火焰魔法</v>
      </c>
      <c r="B2184" s="52" t="s">
        <v>932</v>
      </c>
      <c r="C2184" s="282"/>
      <c r="D2184" s="282" t="s">
        <v>934</v>
      </c>
      <c r="E2184" s="282"/>
      <c r="F2184" s="282" t="s">
        <v>935</v>
      </c>
      <c r="G2184" s="282" t="s">
        <v>936</v>
      </c>
      <c r="H2184" s="282" t="s">
        <v>936</v>
      </c>
      <c r="I2184" s="282"/>
      <c r="J2184" s="282"/>
    </row>
    <row r="2185" spans="1:10" x14ac:dyDescent="0.2">
      <c r="A2185" s="93" t="str">
        <f t="shared" ca="1" si="0"/>
        <v>火焰魔法</v>
      </c>
      <c r="B2185" s="52" t="s">
        <v>906</v>
      </c>
      <c r="C2185" s="282"/>
      <c r="D2185" s="282" t="s">
        <v>908</v>
      </c>
      <c r="E2185" s="282"/>
      <c r="F2185" s="282" t="s">
        <v>909</v>
      </c>
      <c r="G2185" s="282" t="s">
        <v>910</v>
      </c>
      <c r="H2185" s="282" t="s">
        <v>910</v>
      </c>
      <c r="I2185" s="282"/>
      <c r="J2185" s="282"/>
    </row>
    <row r="2186" spans="1:10" x14ac:dyDescent="0.2">
      <c r="A2186" s="93" t="str">
        <f t="shared" ca="1" si="0"/>
        <v>加酒点燃</v>
      </c>
      <c r="B2186" s="52" t="s">
        <v>12438</v>
      </c>
      <c r="C2186" s="282"/>
      <c r="D2186" s="282" t="s">
        <v>12439</v>
      </c>
      <c r="E2186" s="282"/>
      <c r="F2186" s="282" t="s">
        <v>12440</v>
      </c>
      <c r="G2186" s="282" t="s">
        <v>12441</v>
      </c>
      <c r="H2186" s="282" t="s">
        <v>12442</v>
      </c>
      <c r="I2186" s="282"/>
      <c r="J2186" s="282"/>
    </row>
    <row r="2187" spans="1:10" x14ac:dyDescent="0.2">
      <c r="A2187" s="93" t="str">
        <f t="shared" ca="1" si="0"/>
        <v>乱射</v>
      </c>
      <c r="B2187" s="52" t="s">
        <v>12443</v>
      </c>
      <c r="C2187" s="282"/>
      <c r="D2187" s="282" t="s">
        <v>12444</v>
      </c>
      <c r="E2187" s="282"/>
      <c r="F2187" s="282" t="s">
        <v>12445</v>
      </c>
      <c r="G2187" s="282" t="s">
        <v>12446</v>
      </c>
      <c r="H2187" s="282" t="s">
        <v>12447</v>
      </c>
      <c r="I2187" s="282"/>
      <c r="J2187" s="282"/>
    </row>
    <row r="2188" spans="1:10" x14ac:dyDescent="0.2">
      <c r="A2188" s="93" t="str">
        <f t="shared" ca="1" si="0"/>
        <v>精神统一</v>
      </c>
      <c r="B2188" s="52" t="s">
        <v>12448</v>
      </c>
      <c r="C2188" s="282"/>
      <c r="D2188" s="282" t="s">
        <v>12449</v>
      </c>
      <c r="E2188" s="282"/>
      <c r="F2188" s="282" t="s">
        <v>12450</v>
      </c>
      <c r="G2188" s="282" t="s">
        <v>12451</v>
      </c>
      <c r="H2188" s="282" t="s">
        <v>12452</v>
      </c>
      <c r="I2188" s="282"/>
      <c r="J2188" s="282"/>
    </row>
    <row r="2189" spans="1:10" x14ac:dyDescent="0.2">
      <c r="A2189" s="93" t="str">
        <f t="shared" ca="1" si="0"/>
        <v>鼓动技能</v>
      </c>
      <c r="B2189" s="52" t="s">
        <v>12453</v>
      </c>
      <c r="C2189" s="282"/>
      <c r="D2189" s="282" t="s">
        <v>12454</v>
      </c>
      <c r="E2189" s="282"/>
      <c r="F2189" s="282" t="s">
        <v>12455</v>
      </c>
      <c r="G2189" s="282" t="s">
        <v>12456</v>
      </c>
      <c r="H2189" s="282" t="s">
        <v>12457</v>
      </c>
      <c r="I2189" s="282"/>
      <c r="J2189" s="282"/>
    </row>
    <row r="2190" spans="1:10" x14ac:dyDescent="0.2">
      <c r="A2190" s="93" t="str">
        <f t="shared" ca="1" si="0"/>
        <v>刚出炉的面包</v>
      </c>
      <c r="B2190" s="52" t="s">
        <v>12458</v>
      </c>
      <c r="C2190" s="282"/>
      <c r="D2190" s="282" t="s">
        <v>12459</v>
      </c>
      <c r="E2190" s="282"/>
      <c r="F2190" s="282" t="s">
        <v>12460</v>
      </c>
      <c r="G2190" s="282" t="s">
        <v>12461</v>
      </c>
      <c r="H2190" s="282" t="s">
        <v>12462</v>
      </c>
      <c r="I2190" s="282"/>
      <c r="J2190" s="282"/>
    </row>
    <row r="2191" spans="1:10" x14ac:dyDescent="0.2">
      <c r="A2191" s="93" t="str">
        <f t="shared" ca="1" si="0"/>
        <v>全部下降</v>
      </c>
      <c r="B2191" s="52" t="s">
        <v>12463</v>
      </c>
      <c r="C2191" s="282"/>
      <c r="D2191" s="282" t="s">
        <v>12464</v>
      </c>
      <c r="E2191" s="282"/>
      <c r="F2191" s="282" t="s">
        <v>12465</v>
      </c>
      <c r="G2191" s="282" t="s">
        <v>12466</v>
      </c>
      <c r="H2191" s="282" t="s">
        <v>12466</v>
      </c>
      <c r="I2191" s="282"/>
      <c r="J2191" s="282"/>
    </row>
    <row r="2192" spans="1:10" x14ac:dyDescent="0.2">
      <c r="A2192" s="93" t="str">
        <f t="shared" ca="1" si="0"/>
        <v>恢复全体ＨＰ的特大技能</v>
      </c>
      <c r="B2192" s="52" t="s">
        <v>12467</v>
      </c>
      <c r="C2192" s="282"/>
      <c r="D2192" s="282" t="s">
        <v>12468</v>
      </c>
      <c r="E2192" s="282"/>
      <c r="F2192" s="282" t="s">
        <v>12469</v>
      </c>
      <c r="G2192" s="282" t="s">
        <v>12470</v>
      </c>
      <c r="H2192" s="282" t="s">
        <v>12471</v>
      </c>
      <c r="I2192" s="282"/>
      <c r="J2192" s="282"/>
    </row>
    <row r="2193" spans="1:10" x14ac:dyDescent="0.2">
      <c r="A2193" s="93" t="str">
        <f t="shared" ca="1" si="0"/>
        <v>全力斩击</v>
      </c>
      <c r="B2193" s="52" t="s">
        <v>12472</v>
      </c>
      <c r="C2193" s="282"/>
      <c r="D2193" s="282" t="s">
        <v>12473</v>
      </c>
      <c r="E2193" s="282"/>
      <c r="F2193" s="282" t="s">
        <v>12474</v>
      </c>
      <c r="G2193" s="282" t="s">
        <v>12475</v>
      </c>
      <c r="H2193" s="282" t="s">
        <v>12476</v>
      </c>
      <c r="I2193" s="282"/>
      <c r="J2193" s="282"/>
    </row>
    <row r="2194" spans="1:10" x14ac:dyDescent="0.2">
      <c r="A2194" s="93" t="str">
        <f t="shared" ca="1" si="0"/>
        <v>疗愈的摇篮</v>
      </c>
      <c r="B2194" s="52" t="s">
        <v>12477</v>
      </c>
      <c r="C2194" s="282"/>
      <c r="D2194" s="282" t="s">
        <v>12478</v>
      </c>
      <c r="E2194" s="282"/>
      <c r="F2194" s="282" t="s">
        <v>12479</v>
      </c>
      <c r="G2194" s="282" t="s">
        <v>12480</v>
      </c>
      <c r="H2194" s="282" t="s">
        <v>12481</v>
      </c>
      <c r="I2194" s="282"/>
      <c r="J2194" s="282"/>
    </row>
    <row r="2195" spans="1:10" x14ac:dyDescent="0.2">
      <c r="A2195" s="93" t="str">
        <f t="shared" ca="1" si="0"/>
        <v>特大冰冻魔法</v>
      </c>
      <c r="B2195" s="52" t="s">
        <v>1432</v>
      </c>
      <c r="C2195" s="282"/>
      <c r="D2195" s="282" t="s">
        <v>1433</v>
      </c>
      <c r="E2195" s="282"/>
      <c r="F2195" s="282" t="s">
        <v>1433</v>
      </c>
      <c r="G2195" s="282" t="s">
        <v>1434</v>
      </c>
      <c r="H2195" s="282" t="s">
        <v>1435</v>
      </c>
      <c r="I2195" s="282"/>
      <c r="J2195" s="282"/>
    </row>
    <row r="2196" spans="1:10" x14ac:dyDescent="0.2">
      <c r="A2196" s="93" t="str">
        <f t="shared" ca="1" si="0"/>
        <v>全力投掷酒</v>
      </c>
      <c r="B2196" s="52" t="s">
        <v>12482</v>
      </c>
      <c r="C2196" s="282"/>
      <c r="D2196" s="282" t="s">
        <v>12483</v>
      </c>
      <c r="E2196" s="282"/>
      <c r="F2196" s="52" t="s">
        <v>12484</v>
      </c>
      <c r="G2196" s="282" t="s">
        <v>12485</v>
      </c>
      <c r="H2196" s="282" t="s">
        <v>12486</v>
      </c>
      <c r="I2196" s="282"/>
      <c r="J2196" s="282"/>
    </row>
    <row r="2197" spans="1:10" x14ac:dyDescent="0.2">
      <c r="A2197" s="93" t="str">
        <f t="shared" ca="1" si="0"/>
        <v>斩首</v>
      </c>
      <c r="B2197" s="52" t="s">
        <v>12487</v>
      </c>
      <c r="C2197" s="282"/>
      <c r="D2197" s="282" t="s">
        <v>12487</v>
      </c>
      <c r="E2197" s="282"/>
      <c r="F2197" s="282" t="s">
        <v>12488</v>
      </c>
      <c r="G2197" s="282" t="s">
        <v>12489</v>
      </c>
      <c r="H2197" s="282" t="s">
        <v>12490</v>
      </c>
      <c r="I2197" s="282"/>
      <c r="J2197" s="282"/>
    </row>
    <row r="2198" spans="1:10" x14ac:dyDescent="0.2">
      <c r="A2198" s="93" t="str">
        <f t="shared" ca="1" si="0"/>
        <v>重拳</v>
      </c>
      <c r="B2198" s="52" t="s">
        <v>12491</v>
      </c>
      <c r="C2198" s="282"/>
      <c r="D2198" s="282" t="s">
        <v>12492</v>
      </c>
      <c r="E2198" s="282"/>
      <c r="F2198" s="282" t="s">
        <v>12493</v>
      </c>
      <c r="G2198" s="282" t="s">
        <v>12494</v>
      </c>
      <c r="H2198" s="282" t="s">
        <v>12494</v>
      </c>
      <c r="I2198" s="282"/>
      <c r="J2198" s="282"/>
    </row>
    <row r="2199" spans="1:10" x14ac:dyDescent="0.2">
      <c r="A2199" s="93" t="str">
        <f t="shared" ca="1" si="0"/>
        <v>恢复ＨＰ的葡萄</v>
      </c>
      <c r="B2199" s="52" t="s">
        <v>3491</v>
      </c>
      <c r="C2199" s="282" t="s">
        <v>3492</v>
      </c>
      <c r="D2199" s="282" t="s">
        <v>3493</v>
      </c>
      <c r="E2199" s="282"/>
      <c r="F2199" s="282" t="s">
        <v>3494</v>
      </c>
      <c r="G2199" s="282" t="s">
        <v>3495</v>
      </c>
      <c r="H2199" s="282" t="s">
        <v>12495</v>
      </c>
      <c r="I2199" s="282"/>
      <c r="J2199" s="282"/>
    </row>
    <row r="2200" spans="1:10" x14ac:dyDescent="0.2">
      <c r="A2200" s="93" t="str">
        <f t="shared" ca="1" si="0"/>
        <v>恢复ＨＰ的葡萄（大）</v>
      </c>
      <c r="B2200" s="52" t="s">
        <v>3498</v>
      </c>
      <c r="C2200" s="282" t="s">
        <v>3499</v>
      </c>
      <c r="D2200" s="282" t="s">
        <v>3500</v>
      </c>
      <c r="E2200" s="282"/>
      <c r="F2200" s="282" t="s">
        <v>3501</v>
      </c>
      <c r="G2200" s="282" t="s">
        <v>3502</v>
      </c>
      <c r="H2200" s="282" t="s">
        <v>12496</v>
      </c>
      <c r="I2200" s="282"/>
      <c r="J2200" s="282"/>
    </row>
    <row r="2201" spans="1:10" x14ac:dyDescent="0.2">
      <c r="A2201" s="93" t="str">
        <f t="shared" ca="1" si="0"/>
        <v>恢复全体ＨＰ的技能</v>
      </c>
      <c r="B2201" s="52" t="s">
        <v>12497</v>
      </c>
      <c r="C2201" s="282"/>
      <c r="D2201" s="282" t="s">
        <v>12498</v>
      </c>
      <c r="E2201" s="282"/>
      <c r="F2201" s="282" t="s">
        <v>12499</v>
      </c>
      <c r="G2201" s="282" t="s">
        <v>12500</v>
      </c>
      <c r="H2201" s="282" t="s">
        <v>12501</v>
      </c>
      <c r="I2201" s="282"/>
      <c r="J2201" s="282"/>
    </row>
    <row r="2202" spans="1:10" x14ac:dyDescent="0.2">
      <c r="A2202" s="93" t="str">
        <f t="shared" ca="1" si="0"/>
        <v>激励</v>
      </c>
      <c r="B2202" s="52" t="s">
        <v>12502</v>
      </c>
      <c r="C2202" s="282"/>
      <c r="D2202" s="282" t="s">
        <v>12503</v>
      </c>
      <c r="E2202" s="282"/>
      <c r="F2202" s="282" t="s">
        <v>12504</v>
      </c>
      <c r="G2202" s="282" t="s">
        <v>12422</v>
      </c>
      <c r="H2202" s="282" t="s">
        <v>12423</v>
      </c>
      <c r="I2202" s="282"/>
      <c r="J2202" s="282"/>
    </row>
    <row r="2203" spans="1:10" x14ac:dyDescent="0.2">
      <c r="A2203" s="93" t="str">
        <f t="shared" ca="1" si="0"/>
        <v>高速推进</v>
      </c>
      <c r="B2203" s="52" t="s">
        <v>12505</v>
      </c>
      <c r="C2203" s="282"/>
      <c r="D2203" s="282" t="s">
        <v>12506</v>
      </c>
      <c r="E2203" s="282"/>
      <c r="F2203" s="282" t="s">
        <v>12507</v>
      </c>
      <c r="G2203" s="282" t="s">
        <v>12508</v>
      </c>
      <c r="H2203" s="282" t="s">
        <v>12509</v>
      </c>
      <c r="I2203" s="282"/>
      <c r="J2203" s="282"/>
    </row>
    <row r="2204" spans="1:10" x14ac:dyDescent="0.2">
      <c r="A2204" s="93" t="str">
        <f t="shared" ca="1" si="0"/>
        <v>高速推进</v>
      </c>
      <c r="B2204" s="52" t="s">
        <v>12505</v>
      </c>
      <c r="C2204" s="282"/>
      <c r="D2204" s="282" t="s">
        <v>12506</v>
      </c>
      <c r="E2204" s="282"/>
      <c r="F2204" s="282" t="s">
        <v>12507</v>
      </c>
      <c r="G2204" s="282" t="s">
        <v>12508</v>
      </c>
      <c r="H2204" s="282" t="s">
        <v>12509</v>
      </c>
      <c r="I2204" s="282"/>
      <c r="J2204" s="282"/>
    </row>
    <row r="2205" spans="1:10" x14ac:dyDescent="0.2">
      <c r="A2205" s="93" t="str">
        <f t="shared" ca="1" si="0"/>
        <v>全力投掷日记</v>
      </c>
      <c r="B2205" s="52" t="s">
        <v>12510</v>
      </c>
      <c r="C2205" s="282"/>
      <c r="D2205" s="282" t="s">
        <v>12511</v>
      </c>
      <c r="E2205" s="282"/>
      <c r="F2205" s="52" t="s">
        <v>12512</v>
      </c>
      <c r="G2205" s="282" t="s">
        <v>12513</v>
      </c>
      <c r="H2205" s="282" t="s">
        <v>12514</v>
      </c>
      <c r="I2205" s="282"/>
      <c r="J2205" s="282"/>
    </row>
    <row r="2206" spans="1:10" x14ac:dyDescent="0.2">
      <c r="A2206" s="93" t="str">
        <f t="shared" ca="1" si="0"/>
        <v>嗯！</v>
      </c>
      <c r="B2206" s="52" t="s">
        <v>12515</v>
      </c>
      <c r="C2206" s="282" t="s">
        <v>12515</v>
      </c>
      <c r="D2206" s="282" t="s">
        <v>12515</v>
      </c>
      <c r="E2206" s="282"/>
      <c r="F2206" s="282" t="s">
        <v>12516</v>
      </c>
      <c r="G2206" s="282" t="s">
        <v>12517</v>
      </c>
      <c r="H2206" s="282" t="s">
        <v>12517</v>
      </c>
      <c r="I2206" s="282"/>
      <c r="J2206" s="282"/>
    </row>
    <row r="2207" spans="1:10" x14ac:dyDescent="0.2">
      <c r="A2207" s="93" t="str">
        <f t="shared" ca="1" si="0"/>
        <v>嗯！嗯！</v>
      </c>
      <c r="B2207" s="52" t="s">
        <v>12518</v>
      </c>
      <c r="C2207" s="282" t="s">
        <v>12518</v>
      </c>
      <c r="D2207" s="282" t="s">
        <v>12518</v>
      </c>
      <c r="E2207" s="282"/>
      <c r="F2207" s="282" t="s">
        <v>12519</v>
      </c>
      <c r="G2207" s="282" t="s">
        <v>12520</v>
      </c>
      <c r="H2207" s="282" t="s">
        <v>12520</v>
      </c>
      <c r="I2207" s="282"/>
      <c r="J2207" s="282"/>
    </row>
    <row r="2208" spans="1:10" x14ac:dyDescent="0.2">
      <c r="A2208" s="93" t="str">
        <f t="shared" ca="1" si="0"/>
        <v>嗯！嗯！嗯！</v>
      </c>
      <c r="B2208" s="52" t="s">
        <v>12521</v>
      </c>
      <c r="C2208" s="282" t="s">
        <v>12521</v>
      </c>
      <c r="D2208" s="282" t="s">
        <v>12521</v>
      </c>
      <c r="E2208" s="282"/>
      <c r="F2208" s="282" t="s">
        <v>12522</v>
      </c>
      <c r="G2208" s="282" t="s">
        <v>12523</v>
      </c>
      <c r="H2208" s="282" t="s">
        <v>12523</v>
      </c>
      <c r="I2208" s="282"/>
      <c r="J2208" s="282"/>
    </row>
    <row r="2209" spans="1:10" x14ac:dyDescent="0.2">
      <c r="A2209" s="93" t="str">
        <f t="shared" ca="1" si="0"/>
        <v>大冰冻魔法</v>
      </c>
      <c r="B2209" s="52" t="s">
        <v>12524</v>
      </c>
      <c r="C2209" s="282"/>
      <c r="D2209" s="282" t="s">
        <v>12525</v>
      </c>
      <c r="E2209" s="282"/>
      <c r="F2209" s="282" t="s">
        <v>12526</v>
      </c>
      <c r="G2209" s="282" t="s">
        <v>941</v>
      </c>
      <c r="H2209" s="282" t="s">
        <v>942</v>
      </c>
      <c r="I2209" s="282"/>
      <c r="J2209" s="282"/>
    </row>
    <row r="2210" spans="1:10" x14ac:dyDescent="0.2">
      <c r="A2210" s="93" t="str">
        <f t="shared" ca="1" si="0"/>
        <v>冰冻魔法</v>
      </c>
      <c r="B2210" s="52" t="s">
        <v>912</v>
      </c>
      <c r="C2210" s="282" t="s">
        <v>12527</v>
      </c>
      <c r="D2210" s="282" t="s">
        <v>914</v>
      </c>
      <c r="E2210" s="282"/>
      <c r="F2210" s="282" t="s">
        <v>915</v>
      </c>
      <c r="G2210" s="346" t="s">
        <v>916</v>
      </c>
      <c r="H2210" s="282" t="s">
        <v>917</v>
      </c>
      <c r="I2210" s="282"/>
      <c r="J2210" s="282"/>
    </row>
    <row r="2211" spans="1:10" x14ac:dyDescent="0.2">
      <c r="A2211" s="93" t="str">
        <f t="shared" ca="1" si="0"/>
        <v>特大火焰魔法</v>
      </c>
      <c r="B2211" s="52" t="s">
        <v>1428</v>
      </c>
      <c r="C2211" s="282"/>
      <c r="D2211" s="282" t="s">
        <v>1429</v>
      </c>
      <c r="E2211" s="282"/>
      <c r="F2211" s="282" t="s">
        <v>1429</v>
      </c>
      <c r="G2211" s="282" t="s">
        <v>1430</v>
      </c>
      <c r="H2211" s="282" t="s">
        <v>1430</v>
      </c>
      <c r="I2211" s="282"/>
      <c r="J2211" s="282"/>
    </row>
    <row r="2212" spans="1:10" x14ac:dyDescent="0.2">
      <c r="A2212" s="93" t="str">
        <f t="shared" ca="1" si="0"/>
        <v>攻击力提升</v>
      </c>
      <c r="B2212" s="52" t="s">
        <v>12528</v>
      </c>
      <c r="C2212" s="282"/>
      <c r="D2212" s="282" t="s">
        <v>12529</v>
      </c>
      <c r="E2212" s="282"/>
      <c r="F2212" s="282" t="s">
        <v>12530</v>
      </c>
      <c r="G2212" s="282" t="s">
        <v>12531</v>
      </c>
      <c r="H2212" s="282" t="s">
        <v>12532</v>
      </c>
      <c r="I2212" s="282"/>
      <c r="J2212" s="282"/>
    </row>
    <row r="2213" spans="1:10" x14ac:dyDescent="0.2">
      <c r="A2213" s="93" t="str">
        <f t="shared" ca="1" si="0"/>
        <v>防御力下降</v>
      </c>
      <c r="B2213" s="52" t="s">
        <v>12533</v>
      </c>
      <c r="C2213" s="282"/>
      <c r="D2213" s="282" t="s">
        <v>12534</v>
      </c>
      <c r="E2213" s="282"/>
      <c r="F2213" s="282" t="s">
        <v>12535</v>
      </c>
      <c r="G2213" s="282" t="s">
        <v>12392</v>
      </c>
      <c r="H2213" s="282" t="s">
        <v>12393</v>
      </c>
      <c r="I2213" s="282"/>
      <c r="J2213" s="282"/>
    </row>
    <row r="2214" spans="1:10" x14ac:dyDescent="0.2">
      <c r="A2214" s="93" t="str">
        <f t="shared" ca="1" si="0"/>
        <v>攻击力下降</v>
      </c>
      <c r="B2214" s="52" t="s">
        <v>12536</v>
      </c>
      <c r="C2214" s="282"/>
      <c r="D2214" s="282" t="s">
        <v>12537</v>
      </c>
      <c r="E2214" s="282"/>
      <c r="F2214" s="282" t="s">
        <v>12538</v>
      </c>
      <c r="G2214" s="282" t="s">
        <v>12539</v>
      </c>
      <c r="H2214" s="282" t="s">
        <v>12540</v>
      </c>
      <c r="I2214" s="282"/>
      <c r="J2214" s="282"/>
    </row>
    <row r="2215" spans="1:10" x14ac:dyDescent="0.2">
      <c r="A2215" s="93" t="str">
        <f t="shared" ca="1" si="0"/>
        <v>恢复ＳＰ的李子</v>
      </c>
      <c r="B2215" s="52" t="s">
        <v>3512</v>
      </c>
      <c r="C2215" s="282"/>
      <c r="D2215" s="282" t="s">
        <v>3514</v>
      </c>
      <c r="E2215" s="282"/>
      <c r="F2215" s="282" t="s">
        <v>3515</v>
      </c>
      <c r="G2215" s="282" t="s">
        <v>3516</v>
      </c>
      <c r="H2215" s="282" t="s">
        <v>12541</v>
      </c>
      <c r="I2215" s="282"/>
      <c r="J2215" s="282"/>
    </row>
    <row r="2216" spans="1:10" x14ac:dyDescent="0.2">
      <c r="A2216" s="93" t="str">
        <f t="shared" ca="1" si="0"/>
        <v>脚踢</v>
      </c>
      <c r="B2216" s="52" t="s">
        <v>12542</v>
      </c>
      <c r="C2216" s="282"/>
      <c r="D2216" s="282" t="s">
        <v>12543</v>
      </c>
      <c r="E2216" s="282"/>
      <c r="F2216" s="282" t="s">
        <v>12544</v>
      </c>
      <c r="G2216" s="282" t="s">
        <v>12545</v>
      </c>
      <c r="H2216" s="282" t="s">
        <v>12546</v>
      </c>
      <c r="I2216" s="282"/>
      <c r="J2216" s="282"/>
    </row>
    <row r="2217" spans="1:10" x14ac:dyDescent="0.2">
      <c r="A2217" s="93" t="str">
        <f t="shared" ca="1" si="0"/>
        <v>雷击魔法</v>
      </c>
      <c r="B2217" s="52" t="s">
        <v>919</v>
      </c>
      <c r="C2217" s="282"/>
      <c r="D2217" s="282" t="s">
        <v>921</v>
      </c>
      <c r="E2217" s="282"/>
      <c r="F2217" s="282" t="s">
        <v>12547</v>
      </c>
      <c r="G2217" s="282" t="s">
        <v>923</v>
      </c>
      <c r="H2217" s="282" t="s">
        <v>924</v>
      </c>
      <c r="I2217" s="282"/>
      <c r="J2217" s="282"/>
    </row>
    <row r="2218" spans="1:10" x14ac:dyDescent="0.2">
      <c r="A2218" s="93" t="str">
        <f t="shared" ca="1" si="0"/>
        <v>大雷击魔法</v>
      </c>
      <c r="B2218" s="52" t="s">
        <v>12548</v>
      </c>
      <c r="C2218" s="282"/>
      <c r="D2218" s="282" t="s">
        <v>12549</v>
      </c>
      <c r="E2218" s="282"/>
      <c r="F2218" s="282" t="s">
        <v>12550</v>
      </c>
      <c r="G2218" s="282" t="s">
        <v>948</v>
      </c>
      <c r="H2218" s="282" t="s">
        <v>949</v>
      </c>
      <c r="I2218" s="282"/>
      <c r="J2218" s="282"/>
    </row>
    <row r="2219" spans="1:10" x14ac:dyDescent="0.2">
      <c r="A2219" s="93" t="str">
        <f t="shared" ca="1" si="0"/>
        <v>疾风二连突刺</v>
      </c>
      <c r="B2219" s="52" t="s">
        <v>12551</v>
      </c>
      <c r="C2219" s="282"/>
      <c r="D2219" s="282" t="s">
        <v>12552</v>
      </c>
      <c r="E2219" s="282"/>
      <c r="F2219" s="52" t="s">
        <v>12553</v>
      </c>
      <c r="G2219" s="282" t="s">
        <v>12554</v>
      </c>
      <c r="H2219" s="282" t="s">
        <v>12555</v>
      </c>
      <c r="I2219" s="282"/>
      <c r="J2219" s="282"/>
    </row>
    <row r="2220" spans="1:10" x14ac:dyDescent="0.2">
      <c r="A2220" s="93" t="str">
        <f t="shared" ca="1" si="0"/>
        <v>光明魔法</v>
      </c>
      <c r="B2220" s="52" t="s">
        <v>875</v>
      </c>
      <c r="C2220" s="282"/>
      <c r="D2220" s="282" t="s">
        <v>875</v>
      </c>
      <c r="E2220" s="282"/>
      <c r="F2220" s="282" t="s">
        <v>877</v>
      </c>
      <c r="G2220" s="282" t="s">
        <v>878</v>
      </c>
      <c r="H2220" s="282" t="s">
        <v>878</v>
      </c>
      <c r="I2220" s="282"/>
      <c r="J2220" s="282"/>
    </row>
    <row r="2221" spans="1:10" x14ac:dyDescent="0.2">
      <c r="A2221" s="93" t="str">
        <f t="shared" ca="1" si="0"/>
        <v>特大光明魔法</v>
      </c>
      <c r="B2221" s="52" t="s">
        <v>1446</v>
      </c>
      <c r="C2221" s="282"/>
      <c r="D2221" s="282" t="s">
        <v>1446</v>
      </c>
      <c r="E2221" s="282"/>
      <c r="F2221" s="282" t="s">
        <v>1447</v>
      </c>
      <c r="G2221" s="282" t="s">
        <v>1448</v>
      </c>
      <c r="H2221" s="282" t="s">
        <v>1448</v>
      </c>
      <c r="I2221" s="282"/>
      <c r="J2221" s="282"/>
    </row>
    <row r="2222" spans="1:10" x14ac:dyDescent="0.2">
      <c r="A2222" s="93" t="str">
        <f t="shared" ca="1" si="0"/>
        <v>投掷肥料</v>
      </c>
      <c r="B2222" s="52" t="s">
        <v>12556</v>
      </c>
      <c r="C2222" s="282"/>
      <c r="D2222" s="282" t="s">
        <v>12557</v>
      </c>
      <c r="E2222" s="282"/>
      <c r="F2222" s="282" t="s">
        <v>12558</v>
      </c>
      <c r="G2222" s="282" t="s">
        <v>12559</v>
      </c>
      <c r="H2222" s="282" t="s">
        <v>12560</v>
      </c>
      <c r="I2222" s="282"/>
      <c r="J2222" s="282"/>
    </row>
    <row r="2223" spans="1:10" x14ac:dyDescent="0.2">
      <c r="A2223" s="93" t="str">
        <f t="shared" ca="1" si="0"/>
        <v>投掷肥料</v>
      </c>
      <c r="B2223" s="52" t="s">
        <v>12556</v>
      </c>
      <c r="C2223" s="282"/>
      <c r="D2223" s="282" t="s">
        <v>12557</v>
      </c>
      <c r="E2223" s="282"/>
      <c r="F2223" s="282" t="s">
        <v>12558</v>
      </c>
      <c r="G2223" s="282" t="s">
        <v>12559</v>
      </c>
      <c r="H2223" s="282" t="s">
        <v>12560</v>
      </c>
      <c r="I2223" s="282"/>
      <c r="J2223" s="282"/>
    </row>
    <row r="2224" spans="1:10" x14ac:dyDescent="0.2">
      <c r="A2224" s="93" t="str">
        <f t="shared" ca="1" si="0"/>
        <v>精神提升</v>
      </c>
      <c r="B2224" s="52" t="s">
        <v>12561</v>
      </c>
      <c r="C2224" s="282"/>
      <c r="D2224" s="282" t="s">
        <v>12562</v>
      </c>
      <c r="E2224" s="282"/>
      <c r="F2224" s="282" t="s">
        <v>12563</v>
      </c>
      <c r="G2224" s="282" t="s">
        <v>10060</v>
      </c>
      <c r="H2224" s="282" t="s">
        <v>10060</v>
      </c>
      <c r="I2224" s="282"/>
      <c r="J2224" s="282"/>
    </row>
    <row r="2225" spans="1:10" x14ac:dyDescent="0.2">
      <c r="A2225" s="93" t="str">
        <f t="shared" ca="1" si="0"/>
        <v>精神下降</v>
      </c>
      <c r="B2225" s="52" t="s">
        <v>12564</v>
      </c>
      <c r="C2225" s="282"/>
      <c r="D2225" s="282" t="s">
        <v>12565</v>
      </c>
      <c r="E2225" s="282"/>
      <c r="F2225" s="282" t="s">
        <v>12566</v>
      </c>
      <c r="G2225" s="282" t="s">
        <v>12567</v>
      </c>
      <c r="H2225" s="282" t="s">
        <v>12567</v>
      </c>
      <c r="I2225" s="282"/>
      <c r="J2225" s="282"/>
    </row>
    <row r="2226" spans="1:10" x14ac:dyDescent="0.2">
      <c r="A2226" s="93" t="str">
        <f t="shared" ca="1" si="0"/>
        <v>强击</v>
      </c>
      <c r="B2226" s="52" t="s">
        <v>12568</v>
      </c>
      <c r="C2226" s="282"/>
      <c r="D2226" s="282" t="s">
        <v>12569</v>
      </c>
      <c r="E2226" s="282"/>
      <c r="F2226" s="282" t="s">
        <v>12570</v>
      </c>
      <c r="G2226" s="282" t="s">
        <v>12571</v>
      </c>
      <c r="H2226" s="282" t="s">
        <v>12572</v>
      </c>
      <c r="I2226" s="282"/>
      <c r="J2226" s="282"/>
    </row>
    <row r="2227" spans="1:10" x14ac:dyDescent="0.2">
      <c r="A2227" s="93" t="str">
        <f t="shared" ca="1" si="0"/>
        <v>极击</v>
      </c>
      <c r="B2227" s="52" t="s">
        <v>12568</v>
      </c>
      <c r="C2227" s="282"/>
      <c r="D2227" s="282" t="s">
        <v>12569</v>
      </c>
      <c r="E2227" s="282"/>
      <c r="F2227" s="282" t="s">
        <v>12570</v>
      </c>
      <c r="G2227" s="282" t="s">
        <v>12573</v>
      </c>
      <c r="H2227" s="282" t="s">
        <v>12574</v>
      </c>
      <c r="I2227" s="282"/>
      <c r="J2227" s="282"/>
    </row>
    <row r="2228" spans="1:10" x14ac:dyDescent="0.2">
      <c r="A2228" s="93" t="str">
        <f t="shared" ca="1" si="0"/>
        <v>能量拳</v>
      </c>
      <c r="B2228" s="52" t="s">
        <v>12568</v>
      </c>
      <c r="C2228" s="282"/>
      <c r="D2228" s="282" t="s">
        <v>12569</v>
      </c>
      <c r="E2228" s="282"/>
      <c r="F2228" s="282" t="s">
        <v>12570</v>
      </c>
      <c r="G2228" s="282" t="s">
        <v>12575</v>
      </c>
      <c r="H2228" s="282" t="s">
        <v>12575</v>
      </c>
      <c r="I2228" s="282"/>
      <c r="J2228" s="282"/>
    </row>
    <row r="2229" spans="1:10" x14ac:dyDescent="0.2">
      <c r="A2229" s="93" t="str">
        <f t="shared" ca="1" si="0"/>
        <v>波动拳</v>
      </c>
      <c r="B2229" s="52" t="s">
        <v>12568</v>
      </c>
      <c r="C2229" s="282"/>
      <c r="D2229" s="282" t="s">
        <v>12569</v>
      </c>
      <c r="E2229" s="282"/>
      <c r="F2229" s="282" t="s">
        <v>12570</v>
      </c>
      <c r="G2229" s="83" t="s">
        <v>12576</v>
      </c>
      <c r="H2229" s="282" t="s">
        <v>12577</v>
      </c>
      <c r="I2229" s="282"/>
      <c r="J2229" s="282"/>
    </row>
    <row r="2230" spans="1:10" x14ac:dyDescent="0.2">
      <c r="A2230" s="93" t="str">
        <f t="shared" ca="1" si="0"/>
        <v>恢复全体ＨＰ的大技能</v>
      </c>
      <c r="B2230" s="52" t="s">
        <v>12578</v>
      </c>
      <c r="C2230" s="282"/>
      <c r="D2230" s="282" t="s">
        <v>12579</v>
      </c>
      <c r="E2230" s="282"/>
      <c r="F2230" s="282" t="s">
        <v>12580</v>
      </c>
      <c r="G2230" s="282" t="s">
        <v>12581</v>
      </c>
      <c r="H2230" s="282" t="s">
        <v>12582</v>
      </c>
      <c r="I2230" s="282"/>
      <c r="J2230" s="282"/>
    </row>
    <row r="2231" spans="1:10" x14ac:dyDescent="0.2">
      <c r="A2231" s="93" t="str">
        <f t="shared" ca="1" si="0"/>
        <v>臭气</v>
      </c>
      <c r="B2231" s="52" t="s">
        <v>12583</v>
      </c>
      <c r="C2231" s="282"/>
      <c r="D2231" s="282" t="s">
        <v>12584</v>
      </c>
      <c r="E2231" s="282"/>
      <c r="F2231" s="282" t="s">
        <v>12585</v>
      </c>
      <c r="G2231" s="282" t="s">
        <v>12586</v>
      </c>
      <c r="H2231" s="282" t="s">
        <v>12587</v>
      </c>
      <c r="I2231" s="282"/>
      <c r="J2231" s="282"/>
    </row>
    <row r="2232" spans="1:10" x14ac:dyDescent="0.2">
      <c r="A2232" s="93" t="str">
        <f t="shared" ca="1" si="0"/>
        <v>攻击力下降</v>
      </c>
      <c r="B2232" s="52" t="s">
        <v>12588</v>
      </c>
      <c r="C2232" s="282"/>
      <c r="D2232" s="282" t="s">
        <v>12589</v>
      </c>
      <c r="E2232" s="282"/>
      <c r="F2232" s="282" t="s">
        <v>12590</v>
      </c>
      <c r="G2232" s="282" t="s">
        <v>12539</v>
      </c>
      <c r="H2232" s="282" t="s">
        <v>12540</v>
      </c>
      <c r="I2232" s="282"/>
      <c r="J2232" s="282"/>
    </row>
    <row r="2233" spans="1:10" x14ac:dyDescent="0.2">
      <c r="A2233" s="93" t="str">
        <f t="shared" ca="1" si="0"/>
        <v>直劈而下</v>
      </c>
      <c r="B2233" s="52" t="s">
        <v>12591</v>
      </c>
      <c r="C2233" s="282"/>
      <c r="D2233" s="282" t="s">
        <v>12592</v>
      </c>
      <c r="E2233" s="282"/>
      <c r="F2233" s="282" t="s">
        <v>12593</v>
      </c>
      <c r="G2233" s="282" t="s">
        <v>12594</v>
      </c>
      <c r="H2233" s="282" t="s">
        <v>12594</v>
      </c>
      <c r="I2233" s="282"/>
      <c r="J2233" s="282"/>
    </row>
    <row r="2234" spans="1:10" x14ac:dyDescent="0.2">
      <c r="A2234" s="93" t="str">
        <f t="shared" ca="1" si="0"/>
        <v>投掷面具</v>
      </c>
      <c r="B2234" s="52" t="s">
        <v>12595</v>
      </c>
      <c r="C2234" s="282"/>
      <c r="D2234" s="282" t="s">
        <v>12596</v>
      </c>
      <c r="E2234" s="282"/>
      <c r="F2234" s="52" t="s">
        <v>12597</v>
      </c>
      <c r="G2234" s="282" t="s">
        <v>12598</v>
      </c>
      <c r="H2234" s="282" t="s">
        <v>12599</v>
      </c>
      <c r="I2234" s="282"/>
      <c r="J2234" s="282"/>
    </row>
    <row r="2235" spans="1:10" x14ac:dyDescent="0.2">
      <c r="A2235" s="93" t="str">
        <f t="shared" ca="1" si="0"/>
        <v>万能药</v>
      </c>
      <c r="B2235" s="52" t="s">
        <v>12600</v>
      </c>
      <c r="C2235" s="282" t="s">
        <v>12600</v>
      </c>
      <c r="D2235" s="282" t="s">
        <v>12601</v>
      </c>
      <c r="E2235" s="282"/>
      <c r="F2235" s="282" t="s">
        <v>12600</v>
      </c>
      <c r="G2235" s="282" t="s">
        <v>12602</v>
      </c>
      <c r="H2235" s="282" t="s">
        <v>12603</v>
      </c>
      <c r="I2235" s="282"/>
      <c r="J2235" s="282"/>
    </row>
    <row r="2236" spans="1:10" x14ac:dyDescent="0.2">
      <c r="A2236" s="93" t="str">
        <f t="shared" ca="1" si="0"/>
        <v>恐慌之矢</v>
      </c>
      <c r="B2236" s="52" t="s">
        <v>12604</v>
      </c>
      <c r="C2236" s="282"/>
      <c r="D2236" s="282" t="s">
        <v>12605</v>
      </c>
      <c r="E2236" s="282"/>
      <c r="F2236" s="282" t="s">
        <v>12606</v>
      </c>
      <c r="G2236" s="282" t="s">
        <v>12607</v>
      </c>
      <c r="H2236" s="282" t="s">
        <v>12607</v>
      </c>
      <c r="I2236" s="282"/>
      <c r="J2236" s="282"/>
    </row>
    <row r="2237" spans="1:10" x14ac:dyDescent="0.2">
      <c r="A2237" s="93" t="str">
        <f t="shared" ca="1" si="0"/>
        <v>恐慌猛击</v>
      </c>
      <c r="B2237" s="52" t="s">
        <v>12608</v>
      </c>
      <c r="C2237" s="282"/>
      <c r="D2237" s="282" t="s">
        <v>12609</v>
      </c>
      <c r="E2237" s="282"/>
      <c r="F2237" s="282" t="s">
        <v>12610</v>
      </c>
      <c r="G2237" s="282" t="s">
        <v>12611</v>
      </c>
      <c r="H2237" s="282" t="s">
        <v>12612</v>
      </c>
      <c r="I2237" s="282"/>
      <c r="J2237" s="282"/>
    </row>
    <row r="2238" spans="1:10" x14ac:dyDescent="0.2">
      <c r="A2238" s="93" t="str">
        <f t="shared" ca="1" si="0"/>
        <v>无双突刺</v>
      </c>
      <c r="B2238" s="52" t="s">
        <v>12613</v>
      </c>
      <c r="C2238" s="282"/>
      <c r="D2238" s="282" t="s">
        <v>12614</v>
      </c>
      <c r="E2238" s="282"/>
      <c r="F2238" s="282" t="s">
        <v>12615</v>
      </c>
      <c r="G2238" s="282" t="s">
        <v>12616</v>
      </c>
      <c r="H2238" s="282" t="s">
        <v>12617</v>
      </c>
      <c r="I2238" s="282"/>
      <c r="J2238" s="282"/>
    </row>
    <row r="2239" spans="1:10" x14ac:dyDescent="0.2">
      <c r="A2239" s="93" t="str">
        <f t="shared" ca="1" si="0"/>
        <v>物理提升</v>
      </c>
      <c r="B2239" s="52" t="s">
        <v>10104</v>
      </c>
      <c r="C2239" s="282"/>
      <c r="D2239" s="282" t="s">
        <v>10105</v>
      </c>
      <c r="E2239" s="282"/>
      <c r="F2239" s="282" t="s">
        <v>10106</v>
      </c>
      <c r="G2239" s="282" t="s">
        <v>10107</v>
      </c>
      <c r="H2239" s="282" t="s">
        <v>10107</v>
      </c>
      <c r="I2239" s="282"/>
      <c r="J2239" s="282"/>
    </row>
    <row r="2240" spans="1:10" x14ac:dyDescent="0.2">
      <c r="A2240" s="93" t="str">
        <f t="shared" ca="1" si="0"/>
        <v>物理下降</v>
      </c>
      <c r="B2240" s="52" t="s">
        <v>12618</v>
      </c>
      <c r="C2240" s="282"/>
      <c r="D2240" s="282" t="s">
        <v>12619</v>
      </c>
      <c r="E2240" s="282"/>
      <c r="F2240" s="52" t="s">
        <v>12620</v>
      </c>
      <c r="G2240" s="282" t="s">
        <v>12621</v>
      </c>
      <c r="H2240" s="282" t="s">
        <v>12621</v>
      </c>
      <c r="I2240" s="282"/>
      <c r="J2240" s="282"/>
    </row>
    <row r="2241" spans="1:10" x14ac:dyDescent="0.2">
      <c r="A2241" s="93" t="str">
        <f t="shared" ca="1" si="0"/>
        <v>海盗杀手之重击</v>
      </c>
      <c r="B2241" s="52" t="s">
        <v>12622</v>
      </c>
      <c r="C2241" s="282"/>
      <c r="D2241" s="282" t="s">
        <v>12623</v>
      </c>
      <c r="E2241" s="282"/>
      <c r="F2241" s="282" t="s">
        <v>12624</v>
      </c>
      <c r="G2241" s="282" t="s">
        <v>12625</v>
      </c>
      <c r="H2241" s="282" t="s">
        <v>12626</v>
      </c>
      <c r="I2241" s="282"/>
      <c r="J2241" s="282"/>
    </row>
    <row r="2242" spans="1:10" x14ac:dyDescent="0.2">
      <c r="A2242" s="93" t="str">
        <f t="shared" ca="1" si="0"/>
        <v>精准射击</v>
      </c>
      <c r="B2242" s="52" t="s">
        <v>12627</v>
      </c>
      <c r="C2242" s="282"/>
      <c r="D2242" s="282" t="s">
        <v>12628</v>
      </c>
      <c r="E2242" s="282"/>
      <c r="F2242" s="282" t="s">
        <v>12629</v>
      </c>
      <c r="G2242" s="282" t="s">
        <v>12630</v>
      </c>
      <c r="H2242" s="282" t="s">
        <v>12631</v>
      </c>
      <c r="I2242" s="282"/>
      <c r="J2242" s="282"/>
    </row>
    <row r="2243" spans="1:10" x14ac:dyDescent="0.2">
      <c r="A2243" s="93" t="str">
        <f t="shared" ca="1" si="0"/>
        <v>毒药</v>
      </c>
      <c r="B2243" s="52" t="s">
        <v>12632</v>
      </c>
      <c r="C2243" s="282"/>
      <c r="D2243" s="282" t="s">
        <v>12632</v>
      </c>
      <c r="E2243" s="282"/>
      <c r="F2243" s="282" t="s">
        <v>12633</v>
      </c>
      <c r="G2243" s="282" t="s">
        <v>12634</v>
      </c>
      <c r="H2243" s="282" t="s">
        <v>12635</v>
      </c>
      <c r="I2243" s="282"/>
      <c r="J2243" s="282"/>
    </row>
    <row r="2244" spans="1:10" x14ac:dyDescent="0.2">
      <c r="A2244" s="93" t="str">
        <f t="shared" ca="1" si="0"/>
        <v>剧毒之矢</v>
      </c>
      <c r="B2244" s="52" t="s">
        <v>12636</v>
      </c>
      <c r="C2244" s="282"/>
      <c r="D2244" s="282" t="s">
        <v>12637</v>
      </c>
      <c r="E2244" s="282"/>
      <c r="F2244" s="282" t="s">
        <v>12638</v>
      </c>
      <c r="G2244" s="282" t="s">
        <v>12639</v>
      </c>
      <c r="H2244" s="282" t="s">
        <v>12640</v>
      </c>
      <c r="I2244" s="282"/>
      <c r="J2244" s="282"/>
    </row>
    <row r="2245" spans="1:10" x14ac:dyDescent="0.2">
      <c r="A2245" s="93" t="str">
        <f t="shared" ca="1" si="0"/>
        <v>毒粉</v>
      </c>
      <c r="B2245" s="52" t="s">
        <v>12641</v>
      </c>
      <c r="C2245" s="282"/>
      <c r="D2245" s="282" t="s">
        <v>12642</v>
      </c>
      <c r="E2245" s="282"/>
      <c r="F2245" s="52" t="s">
        <v>12643</v>
      </c>
      <c r="G2245" s="282" t="s">
        <v>12644</v>
      </c>
      <c r="H2245" s="282" t="s">
        <v>12644</v>
      </c>
      <c r="I2245" s="282"/>
      <c r="J2245" s="282"/>
    </row>
    <row r="2246" spans="1:10" x14ac:dyDescent="0.2">
      <c r="A2246" s="93" t="str">
        <f t="shared" ca="1" si="0"/>
        <v>剧毒猛击</v>
      </c>
      <c r="B2246" s="52" t="s">
        <v>12645</v>
      </c>
      <c r="C2246" s="282"/>
      <c r="D2246" s="282" t="s">
        <v>12646</v>
      </c>
      <c r="E2246" s="282"/>
      <c r="F2246" s="282" t="s">
        <v>12647</v>
      </c>
      <c r="G2246" s="282" t="s">
        <v>12648</v>
      </c>
      <c r="H2246" s="282" t="s">
        <v>12649</v>
      </c>
      <c r="I2246" s="282"/>
      <c r="J2246" s="282"/>
    </row>
    <row r="2247" spans="1:10" x14ac:dyDescent="0.2">
      <c r="A2247" s="93" t="str">
        <f t="shared" ca="1" si="0"/>
        <v>剧毒猛击</v>
      </c>
      <c r="B2247" s="52" t="s">
        <v>12645</v>
      </c>
      <c r="C2247" s="282"/>
      <c r="D2247" s="282" t="s">
        <v>12646</v>
      </c>
      <c r="E2247" s="282"/>
      <c r="F2247" s="282" t="s">
        <v>12647</v>
      </c>
      <c r="G2247" s="282" t="s">
        <v>12648</v>
      </c>
      <c r="H2247" s="282" t="s">
        <v>12649</v>
      </c>
      <c r="I2247" s="282"/>
      <c r="J2247" s="282"/>
    </row>
    <row r="2248" spans="1:10" x14ac:dyDescent="0.2">
      <c r="A2248" s="93" t="str">
        <f t="shared" ca="1" si="0"/>
        <v>祈祷</v>
      </c>
      <c r="B2248" s="52" t="s">
        <v>12650</v>
      </c>
      <c r="C2248" s="282"/>
      <c r="D2248" s="282" t="s">
        <v>12651</v>
      </c>
      <c r="E2248" s="282"/>
      <c r="F2248" s="282" t="s">
        <v>12652</v>
      </c>
      <c r="G2248" s="282" t="s">
        <v>12653</v>
      </c>
      <c r="H2248" s="282" t="s">
        <v>12654</v>
      </c>
      <c r="I2248" s="282"/>
      <c r="J2248" s="282"/>
    </row>
    <row r="2249" spans="1:10" x14ac:dyDescent="0.2">
      <c r="A2249" s="93" t="str">
        <f t="shared" ca="1" si="0"/>
        <v>恋爱的前奏曲</v>
      </c>
      <c r="B2249" s="52" t="s">
        <v>12655</v>
      </c>
      <c r="C2249" s="282"/>
      <c r="D2249" s="282" t="s">
        <v>12656</v>
      </c>
      <c r="E2249" s="282"/>
      <c r="F2249" s="52" t="s">
        <v>12657</v>
      </c>
      <c r="G2249" s="282" t="s">
        <v>12658</v>
      </c>
      <c r="H2249" s="282" t="s">
        <v>12659</v>
      </c>
      <c r="I2249" s="282"/>
      <c r="J2249" s="282"/>
    </row>
    <row r="2250" spans="1:10" x14ac:dyDescent="0.2">
      <c r="A2250" s="93" t="str">
        <f t="shared" ca="1" si="0"/>
        <v>殴打</v>
      </c>
      <c r="B2250" s="52" t="s">
        <v>12660</v>
      </c>
      <c r="C2250" s="282"/>
      <c r="D2250" s="282" t="s">
        <v>12661</v>
      </c>
      <c r="E2250" s="282"/>
      <c r="F2250" s="282" t="s">
        <v>12662</v>
      </c>
      <c r="G2250" s="282" t="s">
        <v>12663</v>
      </c>
      <c r="H2250" s="282" t="s">
        <v>12664</v>
      </c>
      <c r="I2250" s="282"/>
      <c r="J2250" s="282"/>
    </row>
    <row r="2251" spans="1:10" x14ac:dyDescent="0.2">
      <c r="A2251" s="93" t="str">
        <f t="shared" ca="1" si="0"/>
        <v>殴打</v>
      </c>
      <c r="B2251" s="52" t="s">
        <v>12660</v>
      </c>
      <c r="C2251" s="282"/>
      <c r="D2251" s="282" t="s">
        <v>12661</v>
      </c>
      <c r="E2251" s="282"/>
      <c r="F2251" s="282" t="s">
        <v>12662</v>
      </c>
      <c r="G2251" s="282" t="s">
        <v>12663</v>
      </c>
      <c r="H2251" s="282" t="s">
        <v>12664</v>
      </c>
      <c r="I2251" s="282"/>
      <c r="J2251" s="282"/>
    </row>
    <row r="2252" spans="1:10" x14ac:dyDescent="0.2">
      <c r="A2252" s="93" t="str">
        <f t="shared" ca="1" si="0"/>
        <v>殴打</v>
      </c>
      <c r="B2252" s="52" t="s">
        <v>12665</v>
      </c>
      <c r="C2252" s="282"/>
      <c r="D2252" s="282" t="s">
        <v>12666</v>
      </c>
      <c r="E2252" s="282"/>
      <c r="F2252" s="52" t="s">
        <v>12667</v>
      </c>
      <c r="G2252" s="282" t="s">
        <v>12663</v>
      </c>
      <c r="H2252" s="282" t="s">
        <v>12664</v>
      </c>
      <c r="I2252" s="282"/>
      <c r="J2252" s="282"/>
    </row>
    <row r="2253" spans="1:10" x14ac:dyDescent="0.2">
      <c r="A2253" s="93" t="str">
        <f t="shared" ca="1" si="0"/>
        <v>盛满的什么东西</v>
      </c>
      <c r="B2253" s="52" t="s">
        <v>12668</v>
      </c>
      <c r="C2253" s="282"/>
      <c r="D2253" s="282" t="s">
        <v>12669</v>
      </c>
      <c r="E2253" s="282"/>
      <c r="F2253" s="282" t="s">
        <v>12670</v>
      </c>
      <c r="G2253" s="282" t="s">
        <v>12671</v>
      </c>
      <c r="H2253" s="282" t="s">
        <v>12672</v>
      </c>
      <c r="I2253" s="282"/>
      <c r="J2253" s="282"/>
    </row>
    <row r="2254" spans="1:10" x14ac:dyDescent="0.2">
      <c r="A2254" s="93" t="str">
        <f t="shared" ca="1" si="0"/>
        <v>投掷抹布</v>
      </c>
      <c r="B2254" s="52" t="s">
        <v>12673</v>
      </c>
      <c r="C2254" s="282"/>
      <c r="D2254" s="282" t="s">
        <v>12674</v>
      </c>
      <c r="E2254" s="282"/>
      <c r="F2254" s="282" t="s">
        <v>12675</v>
      </c>
      <c r="G2254" s="282" t="s">
        <v>12676</v>
      </c>
      <c r="H2254" s="282" t="s">
        <v>12677</v>
      </c>
      <c r="I2254" s="282"/>
      <c r="J2254" s="282"/>
    </row>
    <row r="2255" spans="1:10" x14ac:dyDescent="0.2">
      <c r="A2255" s="93" t="str">
        <f t="shared" ca="1" si="0"/>
        <v>一分熟</v>
      </c>
      <c r="B2255" s="52" t="s">
        <v>12678</v>
      </c>
      <c r="C2255" s="282"/>
      <c r="D2255" s="282" t="s">
        <v>12679</v>
      </c>
      <c r="E2255" s="282"/>
      <c r="F2255" s="52" t="s">
        <v>12680</v>
      </c>
      <c r="G2255" s="83" t="s">
        <v>12681</v>
      </c>
      <c r="H2255" s="282" t="s">
        <v>12681</v>
      </c>
      <c r="I2255" s="282"/>
      <c r="J2255" s="282"/>
    </row>
    <row r="2256" spans="1:10" x14ac:dyDescent="0.2">
      <c r="A2256" s="93" t="str">
        <f t="shared" ca="1" si="0"/>
        <v>连续斩</v>
      </c>
      <c r="B2256" s="52" t="s">
        <v>12682</v>
      </c>
      <c r="C2256" s="282"/>
      <c r="D2256" s="282" t="s">
        <v>12683</v>
      </c>
      <c r="E2256" s="282"/>
      <c r="F2256" s="282" t="s">
        <v>12684</v>
      </c>
      <c r="G2256" s="83" t="s">
        <v>12685</v>
      </c>
      <c r="H2256" s="282" t="s">
        <v>12686</v>
      </c>
      <c r="I2256" s="282"/>
      <c r="J2256" s="282"/>
    </row>
    <row r="2257" spans="1:10" x14ac:dyDescent="0.2">
      <c r="A2257" s="93" t="str">
        <f t="shared" ca="1" si="0"/>
        <v>连环突刺</v>
      </c>
      <c r="B2257" s="52" t="s">
        <v>12682</v>
      </c>
      <c r="C2257" s="282"/>
      <c r="D2257" s="282" t="s">
        <v>12683</v>
      </c>
      <c r="E2257" s="282"/>
      <c r="F2257" s="282" t="s">
        <v>12684</v>
      </c>
      <c r="G2257" s="282" t="s">
        <v>12687</v>
      </c>
      <c r="H2257" s="282" t="s">
        <v>12688</v>
      </c>
      <c r="I2257" s="282"/>
      <c r="J2257" s="282"/>
    </row>
    <row r="2258" spans="1:10" x14ac:dyDescent="0.2">
      <c r="A2258" s="93" t="str">
        <f t="shared" ca="1" si="0"/>
        <v>ＨＰ疗愈</v>
      </c>
      <c r="B2258" s="52" t="s">
        <v>10138</v>
      </c>
      <c r="C2258" s="282"/>
      <c r="D2258" s="282" t="s">
        <v>10139</v>
      </c>
      <c r="E2258" s="282"/>
      <c r="F2258" s="282" t="s">
        <v>10140</v>
      </c>
      <c r="G2258" s="83" t="s">
        <v>12689</v>
      </c>
      <c r="H2258" s="282" t="s">
        <v>12690</v>
      </c>
      <c r="I2258" s="282"/>
      <c r="J2258" s="282"/>
    </row>
    <row r="2259" spans="1:10" x14ac:dyDescent="0.2">
      <c r="A2259" s="93" t="str">
        <f t="shared" ca="1" si="0"/>
        <v>爱的狂想曲</v>
      </c>
      <c r="B2259" s="52" t="s">
        <v>12691</v>
      </c>
      <c r="C2259" s="282"/>
      <c r="D2259" s="282" t="s">
        <v>12692</v>
      </c>
      <c r="E2259" s="282"/>
      <c r="F2259" s="282" t="s">
        <v>12693</v>
      </c>
      <c r="G2259" s="282" t="s">
        <v>12694</v>
      </c>
      <c r="H2259" s="282" t="s">
        <v>12695</v>
      </c>
      <c r="I2259" s="282"/>
      <c r="J2259" s="282"/>
    </row>
    <row r="2260" spans="1:10" x14ac:dyDescent="0.2">
      <c r="A2260" s="93" t="str">
        <f t="shared" ca="1" si="0"/>
        <v>投掷沙</v>
      </c>
      <c r="B2260" s="52" t="s">
        <v>12696</v>
      </c>
      <c r="C2260" s="282"/>
      <c r="D2260" s="282" t="s">
        <v>12697</v>
      </c>
      <c r="E2260" s="282"/>
      <c r="F2260" s="52" t="s">
        <v>12698</v>
      </c>
      <c r="G2260" s="282" t="s">
        <v>12699</v>
      </c>
      <c r="H2260" s="282" t="s">
        <v>12700</v>
      </c>
      <c r="I2260" s="282"/>
      <c r="J2260" s="282"/>
    </row>
    <row r="2261" spans="1:10" x14ac:dyDescent="0.2">
      <c r="A2261" s="93" t="str">
        <f t="shared" ca="1" si="0"/>
        <v>连掷雕刻刀</v>
      </c>
      <c r="B2261" s="52" t="s">
        <v>12701</v>
      </c>
      <c r="C2261" s="282"/>
      <c r="D2261" s="282" t="s">
        <v>12702</v>
      </c>
      <c r="E2261" s="282"/>
      <c r="F2261" s="282" t="s">
        <v>12703</v>
      </c>
      <c r="G2261" s="282" t="s">
        <v>12704</v>
      </c>
      <c r="H2261" s="282" t="s">
        <v>12705</v>
      </c>
      <c r="I2261" s="282"/>
      <c r="J2261" s="282"/>
    </row>
    <row r="2262" spans="1:10" x14ac:dyDescent="0.2">
      <c r="A2262" s="93" t="str">
        <f t="shared" ca="1" si="0"/>
        <v>可疑的什么东西</v>
      </c>
      <c r="B2262" s="52" t="s">
        <v>12706</v>
      </c>
      <c r="C2262" s="282"/>
      <c r="D2262" s="282" t="s">
        <v>12707</v>
      </c>
      <c r="E2262" s="282"/>
      <c r="F2262" s="282" t="s">
        <v>12708</v>
      </c>
      <c r="G2262" s="282" t="s">
        <v>12709</v>
      </c>
      <c r="H2262" s="282" t="s">
        <v>12710</v>
      </c>
      <c r="I2262" s="282"/>
      <c r="J2262" s="282"/>
    </row>
    <row r="2263" spans="1:10" x14ac:dyDescent="0.2">
      <c r="A2263" s="93" t="str">
        <f t="shared" ca="1" si="0"/>
        <v>研磨</v>
      </c>
      <c r="B2263" s="52" t="s">
        <v>12711</v>
      </c>
      <c r="C2263" s="282"/>
      <c r="D2263" s="282" t="s">
        <v>12712</v>
      </c>
      <c r="E2263" s="282"/>
      <c r="F2263" s="282" t="s">
        <v>12713</v>
      </c>
      <c r="G2263" s="282" t="s">
        <v>12714</v>
      </c>
      <c r="H2263" s="282" t="s">
        <v>12714</v>
      </c>
      <c r="I2263" s="282"/>
      <c r="J2263" s="282"/>
    </row>
    <row r="2264" spans="1:10" x14ac:dyDescent="0.2">
      <c r="A2264" s="93" t="str">
        <f t="shared" ca="1" si="0"/>
        <v>七零八落斩</v>
      </c>
      <c r="B2264" s="52" t="s">
        <v>12715</v>
      </c>
      <c r="C2264" s="282"/>
      <c r="D2264" s="282" t="s">
        <v>12716</v>
      </c>
      <c r="E2264" s="282"/>
      <c r="F2264" s="282" t="s">
        <v>12717</v>
      </c>
      <c r="G2264" s="282" t="s">
        <v>12718</v>
      </c>
      <c r="H2264" s="282" t="s">
        <v>12719</v>
      </c>
      <c r="I2264" s="282"/>
      <c r="J2264" s="282"/>
    </row>
    <row r="2265" spans="1:10" x14ac:dyDescent="0.2">
      <c r="A2265" s="93" t="str">
        <f t="shared" ca="1" si="0"/>
        <v>猛击</v>
      </c>
      <c r="B2265" s="52" t="s">
        <v>10183</v>
      </c>
      <c r="C2265" s="282"/>
      <c r="D2265" s="282" t="s">
        <v>10185</v>
      </c>
      <c r="E2265" s="282"/>
      <c r="F2265" s="282" t="s">
        <v>10186</v>
      </c>
      <c r="G2265" s="282" t="s">
        <v>12720</v>
      </c>
      <c r="H2265" s="282" t="s">
        <v>12721</v>
      </c>
      <c r="I2265" s="282"/>
      <c r="J2265" s="282"/>
    </row>
    <row r="2266" spans="1:10" x14ac:dyDescent="0.2">
      <c r="A2266" s="93" t="str">
        <f t="shared" ca="1" si="0"/>
        <v>睡眠药</v>
      </c>
      <c r="B2266" s="52" t="s">
        <v>6599</v>
      </c>
      <c r="C2266" s="282"/>
      <c r="D2266" s="282" t="s">
        <v>12722</v>
      </c>
      <c r="E2266" s="282"/>
      <c r="F2266" s="282" t="s">
        <v>6602</v>
      </c>
      <c r="G2266" s="282" t="s">
        <v>12723</v>
      </c>
      <c r="H2266" s="282" t="s">
        <v>12724</v>
      </c>
      <c r="I2266" s="282"/>
      <c r="J2266" s="282"/>
    </row>
    <row r="2267" spans="1:10" x14ac:dyDescent="0.2">
      <c r="A2267" s="93" t="str">
        <f t="shared" ca="1" si="0"/>
        <v>斩击</v>
      </c>
      <c r="B2267" s="52" t="s">
        <v>12725</v>
      </c>
      <c r="C2267" s="282"/>
      <c r="D2267" s="282" t="s">
        <v>12726</v>
      </c>
      <c r="E2267" s="282"/>
      <c r="F2267" s="282" t="s">
        <v>12727</v>
      </c>
      <c r="G2267" s="282" t="s">
        <v>12728</v>
      </c>
      <c r="H2267" s="282" t="s">
        <v>12729</v>
      </c>
      <c r="I2267" s="282"/>
      <c r="J2267" s="282"/>
    </row>
    <row r="2268" spans="1:10" x14ac:dyDescent="0.2">
      <c r="A2268" s="93" t="str">
        <f t="shared" ca="1" si="0"/>
        <v>切块</v>
      </c>
      <c r="B2268" s="52" t="s">
        <v>12730</v>
      </c>
      <c r="C2268" s="282"/>
      <c r="D2268" s="282" t="s">
        <v>12731</v>
      </c>
      <c r="E2268" s="282"/>
      <c r="F2268" s="52" t="s">
        <v>9812</v>
      </c>
      <c r="G2268" s="282" t="s">
        <v>12732</v>
      </c>
      <c r="H2268" s="282" t="s">
        <v>12733</v>
      </c>
      <c r="I2268" s="282"/>
      <c r="J2268" s="282"/>
    </row>
    <row r="2269" spans="1:10" x14ac:dyDescent="0.2">
      <c r="A2269" s="93" t="str">
        <f t="shared" ca="1" si="0"/>
        <v>速度下降</v>
      </c>
      <c r="B2269" s="52" t="s">
        <v>12734</v>
      </c>
      <c r="C2269" s="282"/>
      <c r="D2269" s="282" t="s">
        <v>12735</v>
      </c>
      <c r="E2269" s="282"/>
      <c r="F2269" s="282" t="s">
        <v>12736</v>
      </c>
      <c r="G2269" s="282" t="s">
        <v>12737</v>
      </c>
      <c r="H2269" s="282" t="s">
        <v>12737</v>
      </c>
      <c r="I2269" s="282"/>
      <c r="J2269" s="282"/>
    </row>
    <row r="2270" spans="1:10" x14ac:dyDescent="0.2">
      <c r="A2270" s="93" t="str">
        <f t="shared" ca="1" si="0"/>
        <v>睡眠之矢</v>
      </c>
      <c r="B2270" s="52" t="s">
        <v>12738</v>
      </c>
      <c r="C2270" s="282"/>
      <c r="D2270" s="282" t="s">
        <v>12739</v>
      </c>
      <c r="E2270" s="282"/>
      <c r="F2270" s="282" t="s">
        <v>12740</v>
      </c>
      <c r="G2270" s="282" t="s">
        <v>12741</v>
      </c>
      <c r="H2270" s="282" t="s">
        <v>12741</v>
      </c>
      <c r="I2270" s="282"/>
      <c r="J2270" s="282"/>
    </row>
    <row r="2271" spans="1:10" x14ac:dyDescent="0.2">
      <c r="A2271" s="93" t="str">
        <f t="shared" ca="1" si="0"/>
        <v>睡眠猛击</v>
      </c>
      <c r="B2271" s="52" t="s">
        <v>12742</v>
      </c>
      <c r="C2271" s="282"/>
      <c r="D2271" s="282" t="s">
        <v>12743</v>
      </c>
      <c r="E2271" s="282"/>
      <c r="F2271" s="282" t="s">
        <v>12744</v>
      </c>
      <c r="G2271" s="282" t="s">
        <v>12745</v>
      </c>
      <c r="H2271" s="282" t="s">
        <v>12746</v>
      </c>
      <c r="I2271" s="282"/>
      <c r="J2271" s="282"/>
    </row>
    <row r="2272" spans="1:10" x14ac:dyDescent="0.2">
      <c r="A2272" s="93" t="str">
        <f t="shared" ca="1" si="0"/>
        <v>速度提升</v>
      </c>
      <c r="B2272" s="52" t="s">
        <v>12747</v>
      </c>
      <c r="C2272" s="282"/>
      <c r="D2272" s="282" t="s">
        <v>12748</v>
      </c>
      <c r="E2272" s="282"/>
      <c r="F2272" s="282" t="s">
        <v>12749</v>
      </c>
      <c r="G2272" s="282" t="s">
        <v>12750</v>
      </c>
      <c r="H2272" s="282" t="s">
        <v>12750</v>
      </c>
      <c r="I2272" s="282"/>
      <c r="J2272" s="282"/>
    </row>
    <row r="2273" spans="1:10" x14ac:dyDescent="0.2">
      <c r="A2273" s="93" t="str">
        <f t="shared" ca="1" si="0"/>
        <v>活力之舞</v>
      </c>
      <c r="B2273" s="52" t="s">
        <v>12751</v>
      </c>
      <c r="C2273" s="282"/>
      <c r="D2273" s="282" t="s">
        <v>12752</v>
      </c>
      <c r="E2273" s="282"/>
      <c r="F2273" s="282" t="s">
        <v>12753</v>
      </c>
      <c r="G2273" s="282" t="s">
        <v>12754</v>
      </c>
      <c r="H2273" s="282" t="s">
        <v>12754</v>
      </c>
      <c r="I2273" s="282"/>
      <c r="J2273" s="282"/>
    </row>
    <row r="2274" spans="1:10" x14ac:dyDescent="0.2">
      <c r="A2274" s="93" t="str">
        <f t="shared" ca="1" si="0"/>
        <v>突刺</v>
      </c>
      <c r="B2274" s="52" t="s">
        <v>10232</v>
      </c>
      <c r="C2274" s="282"/>
      <c r="D2274" s="282" t="s">
        <v>10234</v>
      </c>
      <c r="E2274" s="282"/>
      <c r="F2274" s="282" t="s">
        <v>10235</v>
      </c>
      <c r="G2274" s="282" t="s">
        <v>12755</v>
      </c>
      <c r="H2274" s="282" t="s">
        <v>12755</v>
      </c>
      <c r="I2274" s="282"/>
      <c r="J2274" s="282"/>
    </row>
    <row r="2275" spans="1:10" x14ac:dyDescent="0.2">
      <c r="A2275" s="93" t="str">
        <f t="shared" ca="1" si="0"/>
        <v>防御力提升</v>
      </c>
      <c r="B2275" s="52" t="s">
        <v>10236</v>
      </c>
      <c r="C2275" s="282"/>
      <c r="D2275" s="282" t="s">
        <v>12756</v>
      </c>
      <c r="E2275" s="282"/>
      <c r="F2275" s="282" t="s">
        <v>10238</v>
      </c>
      <c r="G2275" s="282" t="s">
        <v>10239</v>
      </c>
      <c r="H2275" s="282" t="s">
        <v>10240</v>
      </c>
      <c r="I2275" s="282"/>
      <c r="J2275" s="282"/>
    </row>
    <row r="2276" spans="1:10" x14ac:dyDescent="0.2">
      <c r="A2276" s="93" t="str">
        <f t="shared" ca="1" si="0"/>
        <v>一闪</v>
      </c>
      <c r="B2276" s="52" t="s">
        <v>12757</v>
      </c>
      <c r="C2276" s="282"/>
      <c r="D2276" s="282" t="s">
        <v>12758</v>
      </c>
      <c r="E2276" s="282"/>
      <c r="F2276" s="282" t="s">
        <v>12759</v>
      </c>
      <c r="G2276" s="282" t="s">
        <v>12760</v>
      </c>
      <c r="H2276" s="282" t="s">
        <v>12761</v>
      </c>
      <c r="I2276" s="282"/>
      <c r="J2276" s="282"/>
    </row>
    <row r="2277" spans="1:10" x14ac:dyDescent="0.2">
      <c r="A2277" s="93" t="str">
        <f t="shared" ca="1" si="0"/>
        <v>卷起龙卷风</v>
      </c>
      <c r="B2277" s="52" t="s">
        <v>12762</v>
      </c>
      <c r="C2277" s="282"/>
      <c r="D2277" s="282" t="s">
        <v>12763</v>
      </c>
      <c r="E2277" s="282"/>
      <c r="F2277" s="282" t="s">
        <v>12764</v>
      </c>
      <c r="G2277" s="282" t="s">
        <v>12765</v>
      </c>
      <c r="H2277" s="282" t="s">
        <v>12766</v>
      </c>
      <c r="I2277" s="282"/>
      <c r="J2277" s="282"/>
    </row>
    <row r="2278" spans="1:10" x14ac:dyDescent="0.2">
      <c r="A2278" s="93" t="str">
        <f t="shared" ca="1" si="0"/>
        <v>横扫</v>
      </c>
      <c r="B2278" s="52" t="s">
        <v>12767</v>
      </c>
      <c r="C2278" s="282"/>
      <c r="D2278" s="282" t="s">
        <v>12768</v>
      </c>
      <c r="E2278" s="282"/>
      <c r="F2278" s="282" t="s">
        <v>12769</v>
      </c>
      <c r="G2278" s="282" t="s">
        <v>12770</v>
      </c>
      <c r="H2278" s="282" t="s">
        <v>12771</v>
      </c>
      <c r="I2278" s="282"/>
      <c r="J2278" s="282"/>
    </row>
    <row r="2279" spans="1:10" x14ac:dyDescent="0.2">
      <c r="A2279" s="93" t="str">
        <f t="shared" ca="1" si="0"/>
        <v>乱斩</v>
      </c>
      <c r="B2279" s="52" t="s">
        <v>12772</v>
      </c>
      <c r="C2279" s="282"/>
      <c r="D2279" s="282" t="s">
        <v>12773</v>
      </c>
      <c r="E2279" s="282"/>
      <c r="F2279" s="282" t="s">
        <v>12774</v>
      </c>
      <c r="G2279" s="282" t="s">
        <v>12775</v>
      </c>
      <c r="H2279" s="282" t="s">
        <v>12776</v>
      </c>
      <c r="I2279" s="282"/>
      <c r="J2279" s="282"/>
    </row>
    <row r="2280" spans="1:10" x14ac:dyDescent="0.2">
      <c r="A2280" s="93" t="str">
        <f t="shared" ca="1" si="0"/>
        <v>特大暗黑魔法</v>
      </c>
      <c r="B2280" s="52" t="s">
        <v>1449</v>
      </c>
      <c r="C2280" s="282"/>
      <c r="D2280" s="282" t="s">
        <v>1450</v>
      </c>
      <c r="E2280" s="282"/>
      <c r="F2280" s="282" t="s">
        <v>1450</v>
      </c>
      <c r="G2280" s="282" t="s">
        <v>1452</v>
      </c>
      <c r="H2280" s="282" t="s">
        <v>1452</v>
      </c>
      <c r="I2280" s="282"/>
      <c r="J2280" s="282"/>
    </row>
    <row r="2281" spans="1:10" x14ac:dyDescent="0.2">
      <c r="A2281" s="93" t="str">
        <f t="shared" ca="1" si="0"/>
        <v>投掷教科书</v>
      </c>
      <c r="B2281" s="52" t="s">
        <v>12777</v>
      </c>
      <c r="C2281" s="282"/>
      <c r="D2281" s="282" t="s">
        <v>12778</v>
      </c>
      <c r="E2281" s="282"/>
      <c r="F2281" s="52" t="s">
        <v>12779</v>
      </c>
      <c r="G2281" s="282" t="s">
        <v>12780</v>
      </c>
      <c r="H2281" s="282" t="s">
        <v>12781</v>
      </c>
      <c r="I2281" s="282"/>
      <c r="J2281" s="282"/>
    </row>
    <row r="2282" spans="1:10" x14ac:dyDescent="0.2">
      <c r="A2282" s="93" t="str">
        <f t="shared" ca="1" si="0"/>
        <v>乱挥</v>
      </c>
      <c r="B2282" s="52" t="s">
        <v>12782</v>
      </c>
      <c r="C2282" s="282"/>
      <c r="D2282" s="282" t="s">
        <v>12783</v>
      </c>
      <c r="E2282" s="282"/>
      <c r="F2282" s="282" t="s">
        <v>12784</v>
      </c>
      <c r="G2282" s="282" t="s">
        <v>12785</v>
      </c>
      <c r="H2282" s="282" t="s">
        <v>12786</v>
      </c>
      <c r="I2282" s="282"/>
      <c r="J2282" s="282"/>
    </row>
    <row r="2283" spans="1:10" x14ac:dyDescent="0.2">
      <c r="A2283" s="93" t="str">
        <f t="shared" ca="1" si="0"/>
        <v>乱挥</v>
      </c>
      <c r="B2283" s="52" t="s">
        <v>12782</v>
      </c>
      <c r="C2283" s="282"/>
      <c r="D2283" s="282" t="s">
        <v>12783</v>
      </c>
      <c r="E2283" s="282"/>
      <c r="F2283" s="282" t="s">
        <v>12784</v>
      </c>
      <c r="G2283" s="282" t="s">
        <v>12785</v>
      </c>
      <c r="H2283" s="282" t="s">
        <v>12786</v>
      </c>
      <c r="I2283" s="282"/>
      <c r="J2283" s="282"/>
    </row>
    <row r="2284" spans="1:10" x14ac:dyDescent="0.2">
      <c r="A2284" s="93" t="str">
        <f t="shared" ca="1" si="0"/>
        <v>全力投掷书本</v>
      </c>
      <c r="B2284" s="52" t="s">
        <v>12787</v>
      </c>
      <c r="C2284" s="282"/>
      <c r="D2284" s="282" t="s">
        <v>12788</v>
      </c>
      <c r="E2284" s="282"/>
      <c r="F2284" s="282" t="s">
        <v>12789</v>
      </c>
      <c r="G2284" s="282" t="s">
        <v>12790</v>
      </c>
      <c r="H2284" s="282" t="s">
        <v>12791</v>
      </c>
      <c r="I2284" s="282"/>
      <c r="J2284" s="282"/>
    </row>
    <row r="2285" spans="1:10" x14ac:dyDescent="0.2">
      <c r="A2285" s="93" t="str">
        <f t="shared" ca="1" si="0"/>
        <v>投掷书本</v>
      </c>
      <c r="B2285" s="52" t="s">
        <v>12792</v>
      </c>
      <c r="C2285" s="282"/>
      <c r="D2285" s="282" t="s">
        <v>12793</v>
      </c>
      <c r="E2285" s="282"/>
      <c r="F2285" s="282" t="s">
        <v>12794</v>
      </c>
      <c r="G2285" s="282" t="s">
        <v>12795</v>
      </c>
      <c r="H2285" s="282" t="s">
        <v>12796</v>
      </c>
      <c r="I2285" s="282"/>
      <c r="J2285" s="282"/>
    </row>
    <row r="2286" spans="1:10" x14ac:dyDescent="0.2">
      <c r="A2286" s="93" t="str">
        <f t="shared" ca="1" si="0"/>
        <v>特大雷击魔法</v>
      </c>
      <c r="B2286" s="52" t="s">
        <v>1437</v>
      </c>
      <c r="C2286" s="282"/>
      <c r="D2286" s="282" t="s">
        <v>1438</v>
      </c>
      <c r="E2286" s="282"/>
      <c r="F2286" s="282" t="s">
        <v>1438</v>
      </c>
      <c r="G2286" s="282" t="s">
        <v>1439</v>
      </c>
      <c r="H2286" s="282" t="s">
        <v>1440</v>
      </c>
      <c r="I2286" s="282"/>
      <c r="J2286" s="282"/>
    </row>
    <row r="2287" spans="1:10" x14ac:dyDescent="0.2">
      <c r="A2287" s="93" t="str">
        <f t="shared" ca="1" si="0"/>
        <v>因为受伤无法动弹。</v>
      </c>
      <c r="B2287" s="52" t="s">
        <v>12797</v>
      </c>
      <c r="C2287" s="282"/>
      <c r="D2287" s="282" t="s">
        <v>12798</v>
      </c>
      <c r="E2287" s="282"/>
      <c r="F2287" s="282" t="s">
        <v>12799</v>
      </c>
      <c r="G2287" s="282" t="s">
        <v>12800</v>
      </c>
      <c r="H2287" s="282" t="s">
        <v>12801</v>
      </c>
      <c r="I2287" s="282"/>
      <c r="J2287" s="282"/>
    </row>
    <row r="2288" spans="1:10" x14ac:dyDescent="0.2">
      <c r="A2288" s="93" t="str">
        <f t="shared" ca="1" si="0"/>
        <v>投掷日记</v>
      </c>
      <c r="B2288" s="52" t="s">
        <v>12802</v>
      </c>
      <c r="C2288" s="282"/>
      <c r="D2288" s="282" t="s">
        <v>12803</v>
      </c>
      <c r="E2288" s="282"/>
      <c r="F2288" s="52" t="s">
        <v>12804</v>
      </c>
      <c r="G2288" s="282" t="s">
        <v>12805</v>
      </c>
      <c r="H2288" s="282" t="s">
        <v>12806</v>
      </c>
      <c r="I2288" s="282"/>
      <c r="J2288" s="282"/>
    </row>
    <row r="2289" spans="1:10" x14ac:dyDescent="0.2">
      <c r="A2289" s="93" t="str">
        <f t="shared" ca="1" si="0"/>
        <v>３连斩</v>
      </c>
      <c r="B2289" s="52" t="s">
        <v>12807</v>
      </c>
      <c r="C2289" s="282"/>
      <c r="D2289" s="282" t="s">
        <v>12808</v>
      </c>
      <c r="E2289" s="282"/>
      <c r="F2289" s="282" t="s">
        <v>12809</v>
      </c>
      <c r="G2289" s="282" t="s">
        <v>12810</v>
      </c>
      <c r="H2289" s="282" t="s">
        <v>12811</v>
      </c>
      <c r="I2289" s="282"/>
      <c r="J2289" s="282"/>
    </row>
    <row r="2290" spans="1:10" x14ac:dyDescent="0.2">
      <c r="A2290" s="93" t="str">
        <f t="shared" ca="1" si="0"/>
        <v>痛苦的练习曲</v>
      </c>
      <c r="B2290" s="52" t="s">
        <v>12812</v>
      </c>
      <c r="C2290" s="282"/>
      <c r="D2290" s="282" t="s">
        <v>12813</v>
      </c>
      <c r="E2290" s="282"/>
      <c r="F2290" s="282" t="s">
        <v>12814</v>
      </c>
      <c r="G2290" s="282" t="s">
        <v>12815</v>
      </c>
      <c r="H2290" s="282" t="s">
        <v>12816</v>
      </c>
      <c r="I2290" s="282"/>
      <c r="J2290" s="282"/>
    </row>
    <row r="2291" spans="1:10" x14ac:dyDescent="0.2">
      <c r="A2291" s="93" t="str">
        <f t="shared" ca="1" si="0"/>
        <v>特大疾风魔法</v>
      </c>
      <c r="B2291" s="52" t="s">
        <v>1442</v>
      </c>
      <c r="C2291" s="282"/>
      <c r="D2291" s="282" t="s">
        <v>1443</v>
      </c>
      <c r="E2291" s="282"/>
      <c r="F2291" s="282" t="s">
        <v>1443</v>
      </c>
      <c r="G2291" s="282" t="s">
        <v>12817</v>
      </c>
      <c r="H2291" s="282" t="s">
        <v>12818</v>
      </c>
      <c r="I2291" s="282"/>
      <c r="J2291" s="282"/>
    </row>
    <row r="2292" spans="1:10" x14ac:dyDescent="0.2">
      <c r="A2292" s="93" t="str">
        <f t="shared" ca="1" si="0"/>
        <v>全熟</v>
      </c>
      <c r="B2292" s="52" t="s">
        <v>12819</v>
      </c>
      <c r="C2292" s="282"/>
      <c r="D2292" s="282" t="s">
        <v>12820</v>
      </c>
      <c r="E2292" s="282"/>
      <c r="F2292" s="282" t="s">
        <v>12821</v>
      </c>
      <c r="G2292" s="282" t="s">
        <v>12822</v>
      </c>
      <c r="H2292" s="282" t="s">
        <v>12822</v>
      </c>
      <c r="I2292" s="282"/>
      <c r="J2292" s="282"/>
    </row>
    <row r="2293" spans="1:10" x14ac:dyDescent="0.2">
      <c r="A2293" s="93" t="str">
        <f t="shared" ca="1" si="0"/>
        <v>神风５连突刺</v>
      </c>
      <c r="B2293" s="52" t="s">
        <v>12823</v>
      </c>
      <c r="C2293" s="282"/>
      <c r="D2293" s="282" t="s">
        <v>12824</v>
      </c>
      <c r="E2293" s="282"/>
      <c r="F2293" s="282" t="s">
        <v>12825</v>
      </c>
      <c r="G2293" s="282" t="s">
        <v>12826</v>
      </c>
      <c r="H2293" s="282" t="s">
        <v>12827</v>
      </c>
      <c r="I2293" s="282"/>
      <c r="J2293" s="282"/>
    </row>
    <row r="2294" spans="1:10" x14ac:dyDescent="0.2">
      <c r="A2294" s="93" t="str">
        <f t="shared" ca="1" si="0"/>
        <v>疾风魔法</v>
      </c>
      <c r="B2294" s="52" t="s">
        <v>12828</v>
      </c>
      <c r="C2294" s="282"/>
      <c r="D2294" s="282" t="s">
        <v>12829</v>
      </c>
      <c r="E2294" s="282"/>
      <c r="F2294" s="52" t="s">
        <v>12830</v>
      </c>
      <c r="G2294" s="282" t="s">
        <v>12831</v>
      </c>
      <c r="H2294" s="282" t="s">
        <v>12832</v>
      </c>
      <c r="I2294" s="282"/>
      <c r="J2294" s="282"/>
    </row>
    <row r="2295" spans="1:10" x14ac:dyDescent="0.2">
      <c r="A2295" s="93" t="str">
        <f t="shared" ca="1" si="0"/>
        <v>圣职者的哲学</v>
      </c>
      <c r="B2295" s="52" t="s">
        <v>12833</v>
      </c>
      <c r="C2295" s="282"/>
      <c r="D2295" s="282" t="s">
        <v>12834</v>
      </c>
      <c r="E2295" s="282"/>
      <c r="F2295" s="282" t="s">
        <v>12835</v>
      </c>
      <c r="G2295" s="282" t="s">
        <v>12836</v>
      </c>
      <c r="H2295" s="282" t="s">
        <v>12837</v>
      </c>
      <c r="I2295" s="282"/>
      <c r="J2295" s="282"/>
    </row>
    <row r="2296" spans="1:10" x14ac:dyDescent="0.2">
      <c r="A2296" s="79" t="str">
        <f t="shared" ca="1" si="0"/>
        <v>能力值</v>
      </c>
      <c r="B2296" s="79" t="s">
        <v>12838</v>
      </c>
      <c r="C2296" s="252" t="s">
        <v>12839</v>
      </c>
      <c r="D2296" s="252" t="s">
        <v>12840</v>
      </c>
      <c r="E2296" s="252"/>
      <c r="F2296" s="252"/>
      <c r="G2296" s="252" t="s">
        <v>12841</v>
      </c>
      <c r="H2296" s="252" t="s">
        <v>12841</v>
      </c>
      <c r="I2296" s="252"/>
      <c r="J2296" s="252" t="s">
        <v>12842</v>
      </c>
    </row>
    <row r="2297" spans="1:10" x14ac:dyDescent="0.2">
      <c r="A2297" s="93" t="str">
        <f t="shared" ca="1" si="0"/>
        <v>等级</v>
      </c>
      <c r="B2297" s="53" t="s">
        <v>12843</v>
      </c>
      <c r="C2297" s="282" t="s">
        <v>12843</v>
      </c>
      <c r="D2297" s="282" t="s">
        <v>12844</v>
      </c>
      <c r="E2297" s="282"/>
      <c r="F2297" s="282" t="s">
        <v>12845</v>
      </c>
      <c r="G2297" s="282" t="s">
        <v>12846</v>
      </c>
      <c r="H2297" s="282" t="s">
        <v>12847</v>
      </c>
      <c r="I2297" s="282"/>
      <c r="J2297" s="282" t="s">
        <v>513</v>
      </c>
    </row>
    <row r="2298" spans="1:10" x14ac:dyDescent="0.2">
      <c r="A2298" s="93" t="str">
        <f t="shared" ca="1" si="0"/>
        <v>最大ＨＰ</v>
      </c>
      <c r="B2298" s="53" t="s">
        <v>12848</v>
      </c>
      <c r="C2298" s="282" t="s">
        <v>12849</v>
      </c>
      <c r="D2298" s="282" t="s">
        <v>12849</v>
      </c>
      <c r="E2298" s="282"/>
      <c r="F2298" s="282" t="s">
        <v>12850</v>
      </c>
      <c r="G2298" s="282" t="s">
        <v>12851</v>
      </c>
      <c r="H2298" s="282" t="s">
        <v>12851</v>
      </c>
      <c r="I2298" s="282"/>
      <c r="J2298" s="282" t="s">
        <v>12851</v>
      </c>
    </row>
    <row r="2299" spans="1:10" x14ac:dyDescent="0.2">
      <c r="A2299" s="93" t="str">
        <f t="shared" ca="1" si="0"/>
        <v>最大ＳＰ</v>
      </c>
      <c r="B2299" s="53" t="s">
        <v>12852</v>
      </c>
      <c r="C2299" s="282" t="s">
        <v>12853</v>
      </c>
      <c r="D2299" s="282" t="s">
        <v>12854</v>
      </c>
      <c r="E2299" s="282"/>
      <c r="F2299" s="282" t="s">
        <v>12855</v>
      </c>
      <c r="G2299" s="282" t="s">
        <v>12856</v>
      </c>
      <c r="H2299" s="282" t="s">
        <v>12856</v>
      </c>
      <c r="I2299" s="282"/>
      <c r="J2299" s="282" t="s">
        <v>12856</v>
      </c>
    </row>
    <row r="2300" spans="1:10" x14ac:dyDescent="0.2">
      <c r="A2300" s="93" t="str">
        <f t="shared" ca="1" si="0"/>
        <v>物理攻击力</v>
      </c>
      <c r="B2300" s="53" t="s">
        <v>12857</v>
      </c>
      <c r="C2300" s="282" t="s">
        <v>12858</v>
      </c>
      <c r="D2300" s="282" t="s">
        <v>12859</v>
      </c>
      <c r="E2300" s="282"/>
      <c r="F2300" s="282" t="s">
        <v>12860</v>
      </c>
      <c r="G2300" s="282" t="s">
        <v>12861</v>
      </c>
      <c r="H2300" s="282" t="s">
        <v>12862</v>
      </c>
      <c r="I2300" s="282"/>
      <c r="J2300" s="282" t="s">
        <v>12863</v>
      </c>
    </row>
    <row r="2301" spans="1:10" x14ac:dyDescent="0.2">
      <c r="A2301" s="93" t="str">
        <f t="shared" ca="1" si="0"/>
        <v>属性攻击力</v>
      </c>
      <c r="B2301" s="53" t="s">
        <v>12864</v>
      </c>
      <c r="C2301" s="282" t="s">
        <v>12865</v>
      </c>
      <c r="D2301" s="282" t="s">
        <v>12866</v>
      </c>
      <c r="E2301" s="282"/>
      <c r="F2301" s="282" t="s">
        <v>12867</v>
      </c>
      <c r="G2301" s="282" t="s">
        <v>12868</v>
      </c>
      <c r="H2301" s="282" t="s">
        <v>12869</v>
      </c>
      <c r="I2301" s="282"/>
      <c r="J2301" s="282" t="s">
        <v>12870</v>
      </c>
    </row>
    <row r="2302" spans="1:10" x14ac:dyDescent="0.2">
      <c r="A2302" s="93" t="str">
        <f t="shared" ca="1" si="0"/>
        <v>物理防御力</v>
      </c>
      <c r="B2302" s="53" t="s">
        <v>12871</v>
      </c>
      <c r="C2302" s="282" t="s">
        <v>12872</v>
      </c>
      <c r="D2302" s="282" t="s">
        <v>12873</v>
      </c>
      <c r="E2302" s="282"/>
      <c r="F2302" s="282" t="s">
        <v>12874</v>
      </c>
      <c r="G2302" s="282" t="s">
        <v>12875</v>
      </c>
      <c r="H2302" s="282" t="s">
        <v>12876</v>
      </c>
      <c r="I2302" s="282"/>
      <c r="J2302" s="282" t="s">
        <v>12876</v>
      </c>
    </row>
    <row r="2303" spans="1:10" x14ac:dyDescent="0.2">
      <c r="A2303" s="93" t="str">
        <f t="shared" ca="1" si="0"/>
        <v>属性防御力</v>
      </c>
      <c r="B2303" s="53" t="s">
        <v>12877</v>
      </c>
      <c r="C2303" s="282" t="s">
        <v>12878</v>
      </c>
      <c r="D2303" s="282" t="s">
        <v>12879</v>
      </c>
      <c r="E2303" s="282"/>
      <c r="F2303" s="282" t="s">
        <v>12880</v>
      </c>
      <c r="G2303" s="282" t="s">
        <v>12881</v>
      </c>
      <c r="H2303" s="282" t="s">
        <v>12882</v>
      </c>
      <c r="I2303" s="282"/>
      <c r="J2303" s="282" t="s">
        <v>12882</v>
      </c>
    </row>
    <row r="2304" spans="1:10" x14ac:dyDescent="0.2">
      <c r="A2304" s="93" t="str">
        <f t="shared" ca="1" si="0"/>
        <v>命中</v>
      </c>
      <c r="B2304" s="53" t="s">
        <v>12883</v>
      </c>
      <c r="C2304" s="282" t="s">
        <v>12884</v>
      </c>
      <c r="D2304" s="282" t="s">
        <v>12885</v>
      </c>
      <c r="E2304" s="282"/>
      <c r="F2304" s="282" t="s">
        <v>12886</v>
      </c>
      <c r="G2304" s="282" t="s">
        <v>12887</v>
      </c>
      <c r="H2304" s="282" t="s">
        <v>12887</v>
      </c>
      <c r="I2304" s="282"/>
      <c r="J2304" s="282" t="s">
        <v>12887</v>
      </c>
    </row>
    <row r="2305" spans="1:10" x14ac:dyDescent="0.2">
      <c r="A2305" s="93" t="str">
        <f t="shared" ca="1" si="0"/>
        <v>行动速度</v>
      </c>
      <c r="B2305" s="53" t="s">
        <v>12888</v>
      </c>
      <c r="C2305" s="282" t="s">
        <v>12889</v>
      </c>
      <c r="D2305" s="282" t="s">
        <v>12890</v>
      </c>
      <c r="E2305" s="282"/>
      <c r="F2305" s="282" t="s">
        <v>12891</v>
      </c>
      <c r="G2305" s="282" t="s">
        <v>12892</v>
      </c>
      <c r="H2305" s="282" t="s">
        <v>12893</v>
      </c>
      <c r="I2305" s="282"/>
      <c r="J2305" s="282" t="s">
        <v>12892</v>
      </c>
    </row>
    <row r="2306" spans="1:10" x14ac:dyDescent="0.2">
      <c r="A2306" s="93" t="str">
        <f t="shared" ca="1" si="0"/>
        <v>暴击</v>
      </c>
      <c r="B2306" s="53" t="s">
        <v>12894</v>
      </c>
      <c r="C2306" s="282" t="s">
        <v>12895</v>
      </c>
      <c r="D2306" s="282" t="s">
        <v>12896</v>
      </c>
      <c r="E2306" s="282"/>
      <c r="F2306" s="282" t="s">
        <v>12897</v>
      </c>
      <c r="G2306" s="282" t="s">
        <v>12898</v>
      </c>
      <c r="H2306" s="282" t="s">
        <v>12899</v>
      </c>
      <c r="I2306" s="282"/>
      <c r="J2306" s="282" t="s">
        <v>12900</v>
      </c>
    </row>
    <row r="2307" spans="1:10" x14ac:dyDescent="0.2">
      <c r="A2307" s="93" t="str">
        <f t="shared" ca="1" si="0"/>
        <v>回避</v>
      </c>
      <c r="B2307" s="53" t="s">
        <v>12901</v>
      </c>
      <c r="C2307" s="348" t="s">
        <v>12902</v>
      </c>
      <c r="D2307" s="282" t="s">
        <v>12903</v>
      </c>
      <c r="E2307" s="282"/>
      <c r="F2307" s="282" t="s">
        <v>12904</v>
      </c>
      <c r="G2307" s="282" t="s">
        <v>12905</v>
      </c>
      <c r="H2307" s="282" t="s">
        <v>12906</v>
      </c>
      <c r="I2307" s="282"/>
      <c r="J2307" s="282" t="s">
        <v>12906</v>
      </c>
    </row>
    <row r="2308" spans="1:10" x14ac:dyDescent="0.2">
      <c r="A2308" s="93"/>
      <c r="B2308" s="53"/>
      <c r="C2308" s="282"/>
      <c r="D2308" s="282"/>
      <c r="E2308" s="282"/>
      <c r="F2308" s="282"/>
      <c r="G2308" s="282"/>
      <c r="H2308" s="282"/>
      <c r="I2308" s="282"/>
      <c r="J2308" s="282"/>
    </row>
    <row r="2309" spans="1:10" x14ac:dyDescent="0.2">
      <c r="A2309" s="93"/>
      <c r="B2309" s="53"/>
      <c r="C2309" s="282"/>
      <c r="D2309" s="282"/>
      <c r="E2309" s="282"/>
      <c r="F2309" s="282"/>
      <c r="G2309" s="282">
        <f>COUNTIF(G5:G2307,"")-1</f>
        <v>0</v>
      </c>
      <c r="H2309" s="282"/>
      <c r="I2309" s="282"/>
      <c r="J2309" s="282"/>
    </row>
    <row r="2310" spans="1:10" x14ac:dyDescent="0.2">
      <c r="A2310" s="93"/>
      <c r="B2310" s="53"/>
      <c r="C2310" s="282"/>
      <c r="D2310" s="282"/>
      <c r="E2310" s="282"/>
      <c r="F2310" s="282"/>
      <c r="G2310" s="369"/>
      <c r="H2310" s="282"/>
      <c r="I2310" s="282"/>
      <c r="J2310" s="282"/>
    </row>
    <row r="2311" spans="1:10" x14ac:dyDescent="0.2">
      <c r="A2311" s="93"/>
      <c r="B2311" s="53"/>
      <c r="C2311" s="282"/>
      <c r="D2311" s="282"/>
      <c r="E2311" s="282"/>
      <c r="F2311" s="282"/>
      <c r="G2311" s="369"/>
      <c r="H2311" s="282"/>
      <c r="I2311" s="282"/>
      <c r="J2311" s="282"/>
    </row>
    <row r="2312" spans="1:10" x14ac:dyDescent="0.2">
      <c r="A2312" s="93"/>
      <c r="B2312" s="53"/>
      <c r="C2312" s="282"/>
      <c r="D2312" s="282"/>
      <c r="E2312" s="282"/>
      <c r="F2312" s="282"/>
      <c r="G2312" s="369"/>
      <c r="H2312" s="282"/>
      <c r="I2312" s="282"/>
      <c r="J2312" s="282"/>
    </row>
    <row r="2313" spans="1:10" x14ac:dyDescent="0.2">
      <c r="A2313" s="93"/>
      <c r="B2313" s="53"/>
      <c r="C2313" s="282"/>
      <c r="D2313" s="282"/>
      <c r="E2313" s="282"/>
      <c r="F2313" s="282"/>
      <c r="G2313" s="369"/>
      <c r="H2313" s="282"/>
      <c r="I2313" s="282"/>
      <c r="J2313" s="282"/>
    </row>
  </sheetData>
  <mergeCells count="1">
    <mergeCell ref="A1:J1"/>
  </mergeCells>
  <phoneticPr fontId="6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R511"/>
  <sheetViews>
    <sheetView workbookViewId="0">
      <pane ySplit="2" topLeftCell="A366" activePane="bottomLeft" state="frozen"/>
      <selection pane="bottomLeft" activeCell="N379" sqref="N379:O379"/>
    </sheetView>
  </sheetViews>
  <sheetFormatPr defaultColWidth="12.5703125" defaultRowHeight="15.75" customHeight="1" x14ac:dyDescent="0.2"/>
  <cols>
    <col min="1" max="1" width="2.5703125" customWidth="1"/>
    <col min="2" max="2" width="5.140625" customWidth="1"/>
    <col min="3" max="3" width="25.140625" customWidth="1"/>
    <col min="4" max="9" width="2.5703125" customWidth="1"/>
    <col min="10" max="10" width="10.140625" customWidth="1"/>
    <col min="11" max="11" width="15.140625" customWidth="1"/>
    <col min="12" max="12" width="3.28515625" customWidth="1"/>
    <col min="13" max="13" width="2.5703125" customWidth="1"/>
    <col min="14" max="14" width="4.42578125" customWidth="1"/>
    <col min="15" max="15" width="27" customWidth="1"/>
    <col min="16" max="16" width="31.42578125" customWidth="1"/>
    <col min="17" max="17" width="56.42578125" customWidth="1"/>
    <col min="18" max="18" width="33.85546875" customWidth="1"/>
  </cols>
  <sheetData>
    <row r="1" spans="1:18" x14ac:dyDescent="0.2">
      <c r="A1" s="509" t="s">
        <v>0</v>
      </c>
      <c r="B1" s="510"/>
      <c r="C1" s="69" t="s">
        <v>39</v>
      </c>
      <c r="D1" s="511" t="s">
        <v>40</v>
      </c>
      <c r="E1" s="512"/>
      <c r="F1" s="512"/>
      <c r="G1" s="512"/>
      <c r="H1" s="512"/>
      <c r="I1" s="512"/>
      <c r="J1" s="513"/>
      <c r="K1" s="514" t="s">
        <v>41</v>
      </c>
      <c r="L1" s="515"/>
      <c r="M1" s="515"/>
      <c r="N1" s="516"/>
      <c r="O1" s="70"/>
      <c r="P1" s="71"/>
      <c r="Q1" s="72"/>
      <c r="R1" s="73"/>
    </row>
    <row r="2" spans="1:18" x14ac:dyDescent="0.2">
      <c r="A2" s="74"/>
      <c r="B2" s="74"/>
      <c r="C2" s="75" t="s">
        <v>42</v>
      </c>
      <c r="D2" s="76"/>
      <c r="E2" s="517" t="str">
        <f ca="1">语言!$A$10</f>
        <v>弱点</v>
      </c>
      <c r="F2" s="515"/>
      <c r="G2" s="515"/>
      <c r="H2" s="515"/>
      <c r="I2" s="516"/>
      <c r="J2" s="517" t="str">
        <f ca="1">语言!$A$50&amp;" / "&amp;语言!$A$13</f>
        <v>偷取 / 掉落物</v>
      </c>
      <c r="K2" s="516"/>
      <c r="L2" s="517" t="str">
        <f ca="1">语言!$A$1629</f>
        <v>Summon Beast</v>
      </c>
      <c r="M2" s="515"/>
      <c r="N2" s="515"/>
      <c r="O2" s="516"/>
      <c r="P2" s="518" t="str">
        <f ca="1">语言!$A$322</f>
        <v>地点</v>
      </c>
      <c r="Q2" s="516"/>
      <c r="R2" s="77"/>
    </row>
    <row r="3" spans="1:18" x14ac:dyDescent="0.2">
      <c r="A3" s="78"/>
      <c r="B3" s="78"/>
      <c r="C3" s="78"/>
      <c r="D3" s="79"/>
      <c r="E3" s="79"/>
      <c r="F3" s="79"/>
      <c r="G3" s="79"/>
      <c r="H3" s="79"/>
      <c r="I3" s="79"/>
      <c r="J3" s="519"/>
      <c r="K3" s="371"/>
      <c r="L3" s="79"/>
      <c r="M3" s="79"/>
      <c r="N3" s="519"/>
      <c r="O3" s="371"/>
      <c r="P3" s="80"/>
      <c r="Q3" s="80"/>
      <c r="R3" s="81"/>
    </row>
    <row r="4" spans="1:18" x14ac:dyDescent="0.2">
      <c r="A4" s="520" t="str">
        <f ca="1">语言!$A$1150</f>
        <v>怪物</v>
      </c>
      <c r="B4" s="371"/>
      <c r="C4" s="371"/>
      <c r="D4" s="521" t="s">
        <v>43</v>
      </c>
      <c r="E4" s="371"/>
      <c r="F4" s="371"/>
      <c r="G4" s="371"/>
      <c r="H4" s="371"/>
      <c r="I4" s="371"/>
      <c r="J4" s="371"/>
      <c r="K4" s="371"/>
      <c r="L4" s="371"/>
      <c r="M4" s="371"/>
      <c r="N4" s="371"/>
      <c r="O4" s="371"/>
      <c r="P4" s="371"/>
      <c r="Q4" s="371"/>
      <c r="R4" s="81"/>
    </row>
    <row r="5" spans="1:18" x14ac:dyDescent="0.2">
      <c r="A5" s="82"/>
      <c r="B5" s="53" t="b">
        <f>OR(清单!B65, 清单!B111, 清单!B117, 清单!B138)</f>
        <v>0</v>
      </c>
      <c r="C5" s="53" t="str">
        <f ca="1">语言!A1151</f>
        <v>冰冻的盔甲</v>
      </c>
      <c r="D5" s="83">
        <v>5</v>
      </c>
      <c r="E5" s="84"/>
      <c r="F5" s="84"/>
      <c r="G5" s="84"/>
      <c r="H5" s="84"/>
      <c r="I5" s="85"/>
      <c r="J5" s="499" t="str">
        <f ca="1">道具!C$12</f>
        <v>ＨＰ／ＳＰ恢复的果酱</v>
      </c>
      <c r="K5" s="371"/>
      <c r="L5" s="85" t="s">
        <v>44</v>
      </c>
      <c r="M5" s="84"/>
      <c r="N5" s="499" t="str">
        <f ca="1">Summon!$C$17</f>
        <v>大破甲斩（全体）</v>
      </c>
      <c r="O5" s="371"/>
      <c r="P5" s="506" t="str">
        <f ca="1">语言!A$335&amp;" (35), "&amp;语言!A$342&amp;" (45), "&amp;语言!A$343&amp;" (45), "&amp;语言!A$344&amp;" (46)"</f>
        <v>巨王灵庙 (35), 南诺斯利奇雪道 (45), 冰龙口 (45), 废教会地下 (46)</v>
      </c>
      <c r="Q5" s="371"/>
      <c r="R5" s="86"/>
    </row>
    <row r="6" spans="1:18" x14ac:dyDescent="0.2">
      <c r="A6" s="82"/>
      <c r="B6" s="53" t="b">
        <f>清单!B156</f>
        <v>0</v>
      </c>
      <c r="C6" s="53" t="str">
        <f ca="1">语言!A1152</f>
        <v>断指蚁</v>
      </c>
      <c r="D6" s="85">
        <v>1</v>
      </c>
      <c r="E6" s="84"/>
      <c r="F6" s="84"/>
      <c r="G6" s="84"/>
      <c r="H6" s="85"/>
      <c r="I6" s="85"/>
      <c r="J6" s="499" t="str">
        <f ca="1">道具!C$537</f>
        <v>毒利米树之叶</v>
      </c>
      <c r="K6" s="371"/>
      <c r="L6" s="85" t="s">
        <v>45</v>
      </c>
      <c r="M6" s="84"/>
      <c r="N6" s="499" t="str">
        <f ca="1">Summon!$C$24</f>
        <v>突进</v>
      </c>
      <c r="O6" s="371"/>
      <c r="P6" s="506" t="str">
        <f ca="1">语言!A$350&amp;" (1-4-7-11), "&amp;语言!A$351&amp;" (1-4-7-11)"</f>
        <v>东阿特拉斯达姆平原 (1-4-7-11), 北阿特拉斯达姆平原 (1-4-7-11)</v>
      </c>
      <c r="Q6" s="371"/>
      <c r="R6" s="86"/>
    </row>
    <row r="7" spans="1:18" x14ac:dyDescent="0.2">
      <c r="A7" s="82"/>
      <c r="B7" s="53" t="b">
        <f>OR(清单!B23,清单!B37)</f>
        <v>0</v>
      </c>
      <c r="C7" s="53" t="str">
        <f ca="1">语言!A1153</f>
        <v>白蝙蝠异种</v>
      </c>
      <c r="D7" s="85">
        <v>3</v>
      </c>
      <c r="E7" s="84"/>
      <c r="F7" s="84"/>
      <c r="G7" s="84"/>
      <c r="H7" s="84"/>
      <c r="I7" s="85"/>
      <c r="J7" s="499" t="str">
        <f ca="1">道具!C$544</f>
        <v>神秘之花</v>
      </c>
      <c r="K7" s="371"/>
      <c r="L7" s="85" t="s">
        <v>46</v>
      </c>
      <c r="M7" s="84"/>
      <c r="N7" s="499" t="str">
        <f ca="1">Summon!$C$48</f>
        <v>睡眠之牙</v>
      </c>
      <c r="O7" s="371"/>
      <c r="P7" s="506" t="str">
        <f ca="1">语言!A$330&amp;" (25), "&amp;语言!A$332&amp;" (7-11)"</f>
        <v>冰之洞窟 (25), 原初洞窟 (7-11)</v>
      </c>
      <c r="Q7" s="371"/>
      <c r="R7" s="86"/>
    </row>
    <row r="8" spans="1:18" x14ac:dyDescent="0.2">
      <c r="A8" s="82"/>
      <c r="B8" s="53" t="b">
        <f>OR(清单!B174, 清单!B461, 清单!B844)</f>
        <v>0</v>
      </c>
      <c r="C8" s="53" t="str">
        <f ca="1">语言!A1154</f>
        <v>行走骷髅</v>
      </c>
      <c r="D8" s="85">
        <v>2</v>
      </c>
      <c r="E8" s="84"/>
      <c r="F8" s="84"/>
      <c r="G8" s="84"/>
      <c r="H8" s="85"/>
      <c r="I8" s="85"/>
      <c r="J8" s="499" t="str">
        <f ca="1">道具!C$3</f>
        <v>ＨＰ恢复的葡萄</v>
      </c>
      <c r="K8" s="371"/>
      <c r="L8" s="85" t="s">
        <v>46</v>
      </c>
      <c r="M8" s="84"/>
      <c r="N8" s="499" t="str">
        <f ca="1">Summon!$C$14</f>
        <v>抓击（全体）</v>
      </c>
      <c r="O8" s="371"/>
      <c r="P8" s="506" t="str">
        <f ca="1">语言!A$353&amp;" (1-4-7-11), "&amp;语言!A$392&amp;" (15) "&amp;语言!A$445&amp;" (30)"</f>
        <v>地下研究室 (1-4-7-11), 无垢巢穴 (15) 边境河岸 (30)</v>
      </c>
      <c r="Q8" s="371"/>
      <c r="R8" s="86"/>
    </row>
    <row r="9" spans="1:18" x14ac:dyDescent="0.2">
      <c r="A9" s="82"/>
      <c r="B9" s="53" t="b">
        <f>OR(清单!B264, 清单!B575, 清单!B580, 清单!B593, 清单!B909, 清单!B1209)</f>
        <v>0</v>
      </c>
      <c r="C9" s="53" t="str">
        <f ca="1">语言!A1155</f>
        <v>腐朽的盔甲</v>
      </c>
      <c r="D9" s="85">
        <v>6</v>
      </c>
      <c r="E9" s="84"/>
      <c r="F9" s="84"/>
      <c r="G9" s="84"/>
      <c r="H9" s="84"/>
      <c r="I9" s="85"/>
      <c r="J9" s="499" t="str">
        <f ca="1">道具!C$12</f>
        <v>ＨＰ／ＳＰ恢复的果酱</v>
      </c>
      <c r="K9" s="371"/>
      <c r="L9" s="85" t="s">
        <v>44</v>
      </c>
      <c r="M9" s="84"/>
      <c r="N9" s="499" t="str">
        <f ca="1">Summon!$C$13</f>
        <v>无敌剑击</v>
      </c>
      <c r="O9" s="371"/>
      <c r="P9" s="506" t="str">
        <f ca="1">语言!A$363&amp;" (50), "&amp;语言!A$406&amp;" (45), "&amp;语言!A$407&amp;" (55), "&amp;语言!A$408&amp;" (50), "&amp;语言!A$453&amp;" (50), "&amp;语言!A$494&amp;" (50)"</f>
        <v>占星师的祠堂 (50), 西艾巴霍多山道 (45), 艾巴霍多地下坑道遗迹 (55), 魔剑士的祠堂 (50), 豪武匠的祠堂 (50), 魔大公的祠堂 (50)</v>
      </c>
      <c r="Q9" s="371"/>
      <c r="R9" s="86"/>
    </row>
    <row r="10" spans="1:18" x14ac:dyDescent="0.2">
      <c r="A10" s="82"/>
      <c r="B10" s="53" t="b">
        <f>OR(清单!B191, 清单!B644)</f>
        <v>0</v>
      </c>
      <c r="C10" s="53" t="str">
        <f ca="1">语言!A1156</f>
        <v>断指蚁异种</v>
      </c>
      <c r="D10" s="85">
        <v>3</v>
      </c>
      <c r="E10" s="84"/>
      <c r="F10" s="84"/>
      <c r="G10" s="85"/>
      <c r="H10" s="85"/>
      <c r="I10" s="85"/>
      <c r="J10" s="499" t="str">
        <f ca="1">道具!C$537</f>
        <v>毒利米树之叶</v>
      </c>
      <c r="K10" s="371"/>
      <c r="L10" s="85" t="s">
        <v>46</v>
      </c>
      <c r="M10" s="84"/>
      <c r="N10" s="499" t="str">
        <f ca="1">Summon!$C$24</f>
        <v>突进</v>
      </c>
      <c r="O10" s="371"/>
      <c r="P10" s="506" t="str">
        <f ca="1">语言!A$356&amp;" (17-20-23-26), "&amp;语言!A$418&amp;" (20)"</f>
        <v>西诺布尔寇德平原 (17-20-23-26), 砂笛洞窟 (20)</v>
      </c>
      <c r="Q10" s="371"/>
      <c r="R10" s="86"/>
    </row>
    <row r="11" spans="1:18" x14ac:dyDescent="0.2">
      <c r="A11" s="82"/>
      <c r="B11" s="53" t="b">
        <f>OR(清单!B984, 清单!B1003)</f>
        <v>0</v>
      </c>
      <c r="C11" s="53" t="str">
        <f ca="1">语言!A1157</f>
        <v>盔甲蜥蜴</v>
      </c>
      <c r="D11" s="85">
        <v>4</v>
      </c>
      <c r="E11" s="84"/>
      <c r="F11" s="84"/>
      <c r="G11" s="84"/>
      <c r="H11" s="85"/>
      <c r="I11" s="85"/>
      <c r="J11" s="499" t="str">
        <f ca="1">道具!C$538</f>
        <v>睡眠花之叶</v>
      </c>
      <c r="K11" s="371"/>
      <c r="L11" s="85" t="s">
        <v>47</v>
      </c>
      <c r="M11" s="85"/>
      <c r="N11" s="499" t="str">
        <f ca="1">Summon!$C$167</f>
        <v>反击姿势</v>
      </c>
      <c r="O11" s="371"/>
      <c r="P11" s="506" t="str">
        <f ca="1">语言!A$466&amp;" (17-20-25-28), "&amp;语言!A$468&amp;" (17)"</f>
        <v>南库欧利克雷斯特崖道 (17-20-25-28), 通往莫洛克的宅邸的道路 (17)</v>
      </c>
      <c r="Q11" s="371"/>
      <c r="R11" s="86"/>
    </row>
    <row r="12" spans="1:18" x14ac:dyDescent="0.2">
      <c r="A12" s="82"/>
      <c r="B12" s="53" t="b">
        <f>清单!B634</f>
        <v>0</v>
      </c>
      <c r="C12" s="53" t="str">
        <f ca="1">语言!A1158</f>
        <v>咬噬蚁</v>
      </c>
      <c r="D12" s="85">
        <v>1</v>
      </c>
      <c r="E12" s="84"/>
      <c r="F12" s="84"/>
      <c r="G12" s="84"/>
      <c r="H12" s="85"/>
      <c r="I12" s="85"/>
      <c r="J12" s="499" t="str">
        <f ca="1">道具!C$541</f>
        <v>李子树液</v>
      </c>
      <c r="K12" s="371"/>
      <c r="L12" s="85" t="s">
        <v>45</v>
      </c>
      <c r="M12" s="84"/>
      <c r="N12" s="499" t="str">
        <f ca="1">Summon!$C$42</f>
        <v>咬噬</v>
      </c>
      <c r="O12" s="371"/>
      <c r="P12" s="506" t="str">
        <f ca="1">语言!A$416&amp;" (1-4-7-11), "&amp;语言!A$417&amp;" (1-4-7-11)"</f>
        <v>南桑谢德沙道 (1-4-7-11), 东桑谢德沙道 (1-4-7-11)</v>
      </c>
      <c r="Q12" s="371"/>
      <c r="R12" s="86"/>
    </row>
    <row r="13" spans="1:18" x14ac:dyDescent="0.2">
      <c r="A13" s="82"/>
      <c r="B13" s="53" t="b">
        <f>OR(清单!B87, 清单!B956)</f>
        <v>0</v>
      </c>
      <c r="C13" s="53" t="str">
        <f ca="1">语言!A1159</f>
        <v>高地乌鸦</v>
      </c>
      <c r="D13" s="85">
        <v>1</v>
      </c>
      <c r="E13" s="84"/>
      <c r="F13" s="84"/>
      <c r="G13" s="84"/>
      <c r="H13" s="84"/>
      <c r="I13" s="85"/>
      <c r="J13" s="499" t="str">
        <f ca="1">道具!C$539</f>
        <v>混乱多之叶</v>
      </c>
      <c r="K13" s="371"/>
      <c r="L13" s="85" t="s">
        <v>46</v>
      </c>
      <c r="M13" s="84"/>
      <c r="N13" s="499" t="str">
        <f ca="1">Summon!$C$130</f>
        <v>暗黑</v>
      </c>
      <c r="O13" s="371"/>
      <c r="P13" s="506" t="str">
        <f ca="1">语言!A$337&amp;" (21), "&amp;语言!A$462&amp;" (20)"</f>
        <v>通往黑曜馆的密道 (21), 鸟葬洞窟 (20)</v>
      </c>
      <c r="Q13" s="371"/>
      <c r="R13" s="86"/>
    </row>
    <row r="14" spans="1:18" x14ac:dyDescent="0.2">
      <c r="A14" s="82"/>
      <c r="B14" s="53" t="b">
        <f>清单!B656</f>
        <v>0</v>
      </c>
      <c r="C14" s="53" t="str">
        <f ca="1">语言!A1160</f>
        <v>杀手虫</v>
      </c>
      <c r="D14" s="85">
        <v>1</v>
      </c>
      <c r="E14" s="84"/>
      <c r="F14" s="84"/>
      <c r="G14" s="84"/>
      <c r="H14" s="85"/>
      <c r="I14" s="85"/>
      <c r="J14" s="499" t="str">
        <f ca="1">道具!C$542</f>
        <v>石榴树液</v>
      </c>
      <c r="K14" s="371"/>
      <c r="L14" s="85" t="s">
        <v>48</v>
      </c>
      <c r="M14" s="84"/>
      <c r="N14" s="499" t="str">
        <f ca="1">Summon!$C$24</f>
        <v>突进</v>
      </c>
      <c r="O14" s="371"/>
      <c r="P14" s="506" t="str">
        <f ca="1">语言!A$419&amp;" (1-4-7-11)"</f>
        <v>桑谢德地下道 (1-4-7-11)</v>
      </c>
      <c r="Q14" s="371"/>
      <c r="R14" s="86"/>
    </row>
    <row r="15" spans="1:18" x14ac:dyDescent="0.2">
      <c r="A15" s="82"/>
      <c r="B15" s="53" t="b">
        <f>清单!B94</f>
        <v>0</v>
      </c>
      <c r="C15" s="53" t="str">
        <f ca="1">语言!A1161</f>
        <v>大雪蘑菇</v>
      </c>
      <c r="D15" s="85">
        <v>1</v>
      </c>
      <c r="E15" s="84"/>
      <c r="F15" s="84"/>
      <c r="G15" s="84"/>
      <c r="H15" s="85"/>
      <c r="I15" s="85"/>
      <c r="J15" s="499" t="str">
        <f ca="1">道具!C$22</f>
        <v>睡眠治疗药草</v>
      </c>
      <c r="K15" s="371"/>
      <c r="L15" s="85" t="s">
        <v>46</v>
      </c>
      <c r="M15" s="85"/>
      <c r="N15" s="499" t="str">
        <f ca="1">Summon!$C$136</f>
        <v>ＨＰ治疗（大）</v>
      </c>
      <c r="O15" s="371"/>
      <c r="P15" s="506" t="str">
        <f ca="1">语言!A$339&amp;" (38)"</f>
        <v>白色森林 (38)</v>
      </c>
      <c r="Q15" s="371"/>
      <c r="R15" s="86"/>
    </row>
    <row r="16" spans="1:18" x14ac:dyDescent="0.2">
      <c r="A16" s="82"/>
      <c r="B16" s="53" t="b">
        <f>OR(清单!B349, 清单!B382)</f>
        <v>0</v>
      </c>
      <c r="C16" s="53" t="str">
        <f ca="1">语言!A1162</f>
        <v>蓝苔海胆</v>
      </c>
      <c r="D16" s="85">
        <v>1</v>
      </c>
      <c r="E16" s="84"/>
      <c r="F16" s="84"/>
      <c r="G16" s="84"/>
      <c r="H16" s="85"/>
      <c r="I16" s="85"/>
      <c r="J16" s="499" t="str">
        <f ca="1">道具!C$14</f>
        <v>复活的橄榄</v>
      </c>
      <c r="K16" s="371"/>
      <c r="L16" s="85" t="s">
        <v>46</v>
      </c>
      <c r="M16" s="85"/>
      <c r="N16" s="499" t="str">
        <f ca="1">Summon!$C$162</f>
        <v>物理提升</v>
      </c>
      <c r="O16" s="371"/>
      <c r="P16" s="506" t="str">
        <f ca="1">语言!A$377&amp;" (35), "&amp;语言!A$380&amp;" (33)"</f>
        <v>噬船海穴 (35), 通往海边洞窟的道路 (33)</v>
      </c>
      <c r="Q16" s="371"/>
      <c r="R16" s="86"/>
    </row>
    <row r="17" spans="1:18" x14ac:dyDescent="0.2">
      <c r="A17" s="82"/>
      <c r="B17" s="53" t="b">
        <f>OR(清单!B131, 清单!B139, 清单!B199, 清单!B415, 清单!B581, 清单!B845, 清单!B1201)</f>
        <v>0</v>
      </c>
      <c r="C17" s="53" t="str">
        <f ca="1">语言!A1163</f>
        <v>山贼骷髅</v>
      </c>
      <c r="D17" s="85">
        <v>2</v>
      </c>
      <c r="E17" s="84"/>
      <c r="F17" s="84"/>
      <c r="G17" s="84"/>
      <c r="H17" s="84"/>
      <c r="I17" s="85"/>
      <c r="J17" s="499" t="str">
        <f ca="1">道具!C$96</f>
        <v>装了破烂儿的小袋子</v>
      </c>
      <c r="K17" s="371"/>
      <c r="L17" s="85" t="s">
        <v>47</v>
      </c>
      <c r="M17" s="84"/>
      <c r="N17" s="499" t="str">
        <f ca="1">Summon!$C$14</f>
        <v>抓击（全体）</v>
      </c>
      <c r="O17" s="371"/>
      <c r="P17" s="506" t="str">
        <f ca="1">语言!A$344&amp;" (45-46), "&amp;语言!A$357&amp;" (25), "&amp;语言!A$386&amp;" (50), "&amp;语言!A$407&amp;" (55), "&amp;语言!A$445&amp;" (30), "&amp;语言!A$493&amp;" (45), "</f>
        <v xml:space="preserve">废教会地下 (45-46), 虚无的王座 (25), 腐王入江口 (50), 艾巴霍多地下坑道遗迹 (55), 边境河岸 (30), 失落的遗迹 (45), </v>
      </c>
      <c r="Q17" s="371"/>
      <c r="R17" s="86"/>
    </row>
    <row r="18" spans="1:18" x14ac:dyDescent="0.2">
      <c r="A18" s="82"/>
      <c r="B18" s="53" t="b">
        <f>清单!B373</f>
        <v>0</v>
      </c>
      <c r="C18" s="53" t="str">
        <f ca="1">语言!A1164</f>
        <v>蓝苔蝙蝠</v>
      </c>
      <c r="D18" s="85">
        <v>1</v>
      </c>
      <c r="E18" s="84"/>
      <c r="F18" s="84"/>
      <c r="G18" s="84"/>
      <c r="H18" s="84"/>
      <c r="I18" s="85"/>
      <c r="J18" s="499" t="str">
        <f ca="1">道具!C$544</f>
        <v>神秘之花</v>
      </c>
      <c r="K18" s="371"/>
      <c r="L18" s="85" t="s">
        <v>46</v>
      </c>
      <c r="M18" s="85"/>
      <c r="N18" s="499" t="str">
        <f ca="1">Summon!$C$148</f>
        <v>睡眠波（全体）</v>
      </c>
      <c r="O18" s="371"/>
      <c r="P18" s="506" t="str">
        <f ca="1">语言!A$379&amp;" (24)"</f>
        <v>青碧洞窟 (24)</v>
      </c>
      <c r="Q18" s="371"/>
      <c r="R18" s="86"/>
    </row>
    <row r="19" spans="1:18" x14ac:dyDescent="0.2">
      <c r="A19" s="82"/>
      <c r="B19" s="53" t="b">
        <f>清单!B374</f>
        <v>0</v>
      </c>
      <c r="C19" s="53" t="str">
        <f ca="1">语言!A1165</f>
        <v>蓝苔蟹</v>
      </c>
      <c r="D19" s="85">
        <v>3</v>
      </c>
      <c r="E19" s="84"/>
      <c r="F19" s="84"/>
      <c r="G19" s="84"/>
      <c r="H19" s="85"/>
      <c r="I19" s="85"/>
      <c r="J19" s="499" t="str">
        <f ca="1">道具!C$539</f>
        <v>混乱多之叶</v>
      </c>
      <c r="K19" s="371"/>
      <c r="L19" s="85" t="s">
        <v>49</v>
      </c>
      <c r="M19" s="85"/>
      <c r="N19" s="499" t="str">
        <f ca="1">Summon!$C$145</f>
        <v>剧毒之雾（全体）</v>
      </c>
      <c r="O19" s="371"/>
      <c r="P19" s="506" t="str">
        <f ca="1">语言!A$379&amp;" (24)"</f>
        <v>青碧洞窟 (24)</v>
      </c>
      <c r="Q19" s="371"/>
      <c r="R19" s="86"/>
    </row>
    <row r="20" spans="1:18" x14ac:dyDescent="0.2">
      <c r="A20" s="82"/>
      <c r="B20" s="53" t="b">
        <f>清单!B375</f>
        <v>0</v>
      </c>
      <c r="C20" s="53" t="str">
        <f ca="1">语言!A1166</f>
        <v>蓝苔龟</v>
      </c>
      <c r="D20" s="85">
        <v>4</v>
      </c>
      <c r="E20" s="84"/>
      <c r="F20" s="84"/>
      <c r="G20" s="84"/>
      <c r="H20" s="85"/>
      <c r="I20" s="85"/>
      <c r="J20" s="499" t="str">
        <f ca="1">道具!C$543</f>
        <v>橄榄花</v>
      </c>
      <c r="K20" s="371"/>
      <c r="L20" s="85" t="s">
        <v>50</v>
      </c>
      <c r="M20" s="84"/>
      <c r="N20" s="499" t="str">
        <f ca="1">Summon!$C$113</f>
        <v>恐光电光（全体）</v>
      </c>
      <c r="O20" s="371"/>
      <c r="P20" s="506" t="str">
        <f ca="1">语言!A$379&amp;" (24)"</f>
        <v>青碧洞窟 (24)</v>
      </c>
      <c r="Q20" s="371"/>
      <c r="R20" s="86"/>
    </row>
    <row r="21" spans="1:18" x14ac:dyDescent="0.2">
      <c r="A21" s="82"/>
      <c r="B21" s="53" t="b">
        <f>清单!B388</f>
        <v>0</v>
      </c>
      <c r="C21" s="53" t="str">
        <f ca="1">语言!A1167</f>
        <v>黑炎教信徒 I</v>
      </c>
      <c r="D21" s="85">
        <v>3</v>
      </c>
      <c r="E21" s="84"/>
      <c r="F21" s="84"/>
      <c r="G21" s="84"/>
      <c r="H21" s="84"/>
      <c r="I21" s="85"/>
      <c r="J21" s="499" t="str">
        <f ca="1">道具!C$111</f>
        <v>魔物香水</v>
      </c>
      <c r="K21" s="371"/>
      <c r="L21" s="499" t="str">
        <f ca="1">语言!$A$1630</f>
        <v>无法捕获</v>
      </c>
      <c r="M21" s="371"/>
      <c r="N21" s="371"/>
      <c r="O21" s="371"/>
      <c r="P21" s="506" t="str">
        <f ca="1">语言!A$381&amp;" (38)"</f>
        <v>海边洞窟 (38)</v>
      </c>
      <c r="Q21" s="371"/>
      <c r="R21" s="86"/>
    </row>
    <row r="22" spans="1:18" x14ac:dyDescent="0.2">
      <c r="A22" s="82"/>
      <c r="B22" s="53" t="b">
        <f>清单!B389</f>
        <v>0</v>
      </c>
      <c r="C22" s="53" t="str">
        <f ca="1">语言!A1168</f>
        <v>黑炎教信徒 II</v>
      </c>
      <c r="D22" s="85">
        <v>4</v>
      </c>
      <c r="E22" s="84"/>
      <c r="F22" s="84"/>
      <c r="G22" s="84"/>
      <c r="H22" s="84"/>
      <c r="I22" s="85"/>
      <c r="J22" s="499" t="str">
        <f ca="1">道具!C$111</f>
        <v>魔物香水</v>
      </c>
      <c r="K22" s="371"/>
      <c r="L22" s="499" t="str">
        <f ca="1">语言!$A$1630</f>
        <v>无法捕获</v>
      </c>
      <c r="M22" s="371"/>
      <c r="N22" s="371"/>
      <c r="O22" s="371"/>
      <c r="P22" s="506" t="str">
        <f ca="1">语言!A$381&amp;" (38)"</f>
        <v>海边洞窟 (38)</v>
      </c>
      <c r="Q22" s="371"/>
      <c r="R22" s="86"/>
    </row>
    <row r="23" spans="1:18" x14ac:dyDescent="0.2">
      <c r="A23" s="82"/>
      <c r="B23" s="53" t="b">
        <f>OR(清单!B176, 清单!B326, 清单!B491, 清单!B659, 清单!B820)</f>
        <v>0</v>
      </c>
      <c r="C23" s="53" t="str">
        <f ca="1">语言!A1169</f>
        <v>黑蝙蝠</v>
      </c>
      <c r="D23" s="85">
        <v>1</v>
      </c>
      <c r="E23" s="84"/>
      <c r="F23" s="84"/>
      <c r="G23" s="84"/>
      <c r="H23" s="84"/>
      <c r="I23" s="85"/>
      <c r="J23" s="499" t="str">
        <f ca="1">道具!C$544</f>
        <v>神秘之花</v>
      </c>
      <c r="K23" s="371"/>
      <c r="L23" s="85" t="s">
        <v>48</v>
      </c>
      <c r="M23" s="84"/>
      <c r="N23" s="499" t="str">
        <f ca="1">Summon!$C$42</f>
        <v>咬噬</v>
      </c>
      <c r="O23" s="371"/>
      <c r="P23" s="506" t="str">
        <f ca="1">语言!A$353&amp;" (1-4-7), "&amp;语言!A$371&amp;" (1-4-7-11), "&amp;语言!A$394&amp;" (1-4-7-11), "&amp;语言!A$419&amp;" (1-4-7-11), "&amp;语言!A$440&amp;" (1-4-7-11),"</f>
        <v>地下研究室 (1-4-7), 麦亚洞窟 (1-4-7-11), 山贼大本营 (1-4-7-11), 桑谢德地下道 (1-4-7-11), 里欧洞窟 (1-4-7-11),</v>
      </c>
      <c r="Q23" s="371"/>
      <c r="R23" s="86"/>
    </row>
    <row r="24" spans="1:18" x14ac:dyDescent="0.2">
      <c r="A24" s="82"/>
      <c r="B24" s="53" t="b">
        <f>OR(清单!B1139, 清单!B1193)</f>
        <v>0</v>
      </c>
      <c r="C24" s="53" t="str">
        <f ca="1">语言!A1170</f>
        <v>黑咆哮者</v>
      </c>
      <c r="D24" s="85">
        <v>1</v>
      </c>
      <c r="E24" s="84"/>
      <c r="F24" s="84"/>
      <c r="G24" s="84"/>
      <c r="H24" s="85"/>
      <c r="I24" s="85"/>
      <c r="J24" s="499" t="str">
        <f ca="1">道具!C$542</f>
        <v>石榴树液</v>
      </c>
      <c r="K24" s="371"/>
      <c r="L24" s="85" t="s">
        <v>50</v>
      </c>
      <c r="M24" s="84"/>
      <c r="N24" s="499" t="str">
        <f ca="1">Summon!$C$119</f>
        <v>睡眠之风</v>
      </c>
      <c r="O24" s="371"/>
      <c r="P24" s="506" t="str">
        <f ca="1">语言!A$488&amp;" (48), "&amp;语言!A$492&amp;" (45)"</f>
        <v>不归之森 (48), 东达斯克瓦罗森道 (45)</v>
      </c>
      <c r="Q24" s="371"/>
      <c r="R24" s="86"/>
    </row>
    <row r="25" spans="1:18" x14ac:dyDescent="0.2">
      <c r="A25" s="82"/>
      <c r="B25" s="53" t="b">
        <f>OR(清单!B311, 清单!B350, 清单!B407, 清单!B428, 清单!B436)</f>
        <v>0</v>
      </c>
      <c r="C25" s="53" t="str">
        <f ca="1">语言!A1171</f>
        <v>黑剪蟹</v>
      </c>
      <c r="D25" s="85">
        <v>2</v>
      </c>
      <c r="E25" s="84"/>
      <c r="F25" s="84"/>
      <c r="G25" s="84"/>
      <c r="H25" s="85"/>
      <c r="I25" s="85"/>
      <c r="J25" s="499" t="str">
        <f ca="1">道具!C$544</f>
        <v>神秘之花</v>
      </c>
      <c r="K25" s="371"/>
      <c r="L25" s="85" t="s">
        <v>51</v>
      </c>
      <c r="M25" s="84"/>
      <c r="N25" s="499" t="str">
        <f ca="1">Summon!$C$102</f>
        <v>剧毒之冰</v>
      </c>
      <c r="O25" s="371"/>
      <c r="P25" s="506" t="str">
        <f ca="1">语言!A$369&amp;" (45), "&amp;语言!A$377&amp;" (35), "&amp;语言!A$385&amp;" (45), "&amp;语言!A$387&amp;" (45-46)"</f>
        <v>波隐岩窟 (45), 噬船海穴 (35), 西格兰波特海道 (45), 格兰波特地下水道 (45-46)</v>
      </c>
      <c r="Q25" s="371"/>
      <c r="R25" s="86"/>
    </row>
    <row r="26" spans="1:18" x14ac:dyDescent="0.2">
      <c r="A26" s="82"/>
      <c r="B26" s="53" t="b">
        <f>清单!B557</f>
        <v>0</v>
      </c>
      <c r="C26" s="53" t="str">
        <f ca="1">语言!A1172</f>
        <v>古代遗物（兽）・赤型</v>
      </c>
      <c r="D26" s="85">
        <v>3</v>
      </c>
      <c r="E26" s="84"/>
      <c r="F26" s="84"/>
      <c r="G26" s="84"/>
      <c r="H26" s="84"/>
      <c r="I26" s="85"/>
      <c r="J26" s="499" t="str">
        <f ca="1">道具!C$10</f>
        <v>ＢＰ恢复的石榴（大）</v>
      </c>
      <c r="K26" s="371"/>
      <c r="L26" s="85" t="s">
        <v>46</v>
      </c>
      <c r="M26" s="84"/>
      <c r="N26" s="499" t="str">
        <f ca="1">Summon!$C$95</f>
        <v>业火</v>
      </c>
      <c r="O26" s="371"/>
      <c r="P26" s="506" t="str">
        <f ca="1">语言!A$403&amp;" (40)"</f>
        <v>伊冯的老家 (40)</v>
      </c>
      <c r="Q26" s="371"/>
      <c r="R26" s="86"/>
    </row>
    <row r="27" spans="1:18" x14ac:dyDescent="0.2">
      <c r="A27" s="82"/>
      <c r="B27" s="53" t="b">
        <f>清单!B1231</f>
        <v>0</v>
      </c>
      <c r="C27" s="53" t="str">
        <f ca="1">语言!A1173</f>
        <v>古代遗物・赤兵</v>
      </c>
      <c r="D27" s="85">
        <v>9</v>
      </c>
      <c r="E27" s="84"/>
      <c r="F27" s="84"/>
      <c r="G27" s="84"/>
      <c r="H27" s="84"/>
      <c r="I27" s="85"/>
      <c r="J27" s="499" t="str">
        <f ca="1">道具!C$8</f>
        <v>ＳＰ全体恢复的李子</v>
      </c>
      <c r="K27" s="371"/>
      <c r="L27" s="85" t="s">
        <v>47</v>
      </c>
      <c r="M27" s="84"/>
      <c r="N27" s="499" t="str">
        <f ca="1">Summon!$C$62</f>
        <v>守护之斧</v>
      </c>
      <c r="O27" s="371"/>
      <c r="P27" s="506" t="str">
        <f ca="1">语言!A$495&amp;" (46)"</f>
        <v>古代的遗迹 (46)</v>
      </c>
      <c r="Q27" s="371"/>
      <c r="R27" s="86"/>
    </row>
    <row r="28" spans="1:18" x14ac:dyDescent="0.2">
      <c r="A28" s="82"/>
      <c r="B28" s="53" t="b">
        <f>OR(清单!B687, 清单!B807, 清单!B817)</f>
        <v>0</v>
      </c>
      <c r="C28" s="53" t="str">
        <f ca="1">语言!A1174</f>
        <v>红蛇异种</v>
      </c>
      <c r="D28" s="85">
        <v>2</v>
      </c>
      <c r="E28" s="84"/>
      <c r="F28" s="84"/>
      <c r="G28" s="84"/>
      <c r="H28" s="84"/>
      <c r="I28" s="85"/>
      <c r="J28" s="499" t="str">
        <f ca="1">道具!C$537</f>
        <v>毒利米树之叶</v>
      </c>
      <c r="K28" s="371"/>
      <c r="L28" s="85" t="s">
        <v>46</v>
      </c>
      <c r="M28" s="84"/>
      <c r="N28" s="499" t="str">
        <f ca="1">Summon!$C$95</f>
        <v>业火</v>
      </c>
      <c r="O28" s="371"/>
      <c r="P28" s="506" t="str">
        <f ca="1">语言!A$423&amp;" (40), "&amp;语言!A$438&amp;" (20), "&amp;语言!A$440&amp;" (7-11)"</f>
        <v>流沙洞窟 (40), 双子瀑布 (20), 里欧洞窟 (7-11)</v>
      </c>
      <c r="Q28" s="371"/>
      <c r="R28" s="86"/>
    </row>
    <row r="29" spans="1:18" x14ac:dyDescent="0.2">
      <c r="A29" s="82"/>
      <c r="B29" s="53" t="b">
        <f>清单!B190</f>
        <v>0</v>
      </c>
      <c r="C29" s="53" t="str">
        <f ca="1">语言!A1175</f>
        <v>血腥猛牛</v>
      </c>
      <c r="D29" s="85">
        <v>2</v>
      </c>
      <c r="E29" s="84"/>
      <c r="F29" s="84"/>
      <c r="G29" s="85"/>
      <c r="H29" s="85"/>
      <c r="I29" s="85"/>
      <c r="J29" s="499" t="str">
        <f ca="1">道具!C$14</f>
        <v>复活的橄榄</v>
      </c>
      <c r="K29" s="371"/>
      <c r="L29" s="85" t="s">
        <v>47</v>
      </c>
      <c r="M29" s="84"/>
      <c r="N29" s="499" t="str">
        <f ca="1">Summon!$C$26</f>
        <v>连续鬼突进（全体）</v>
      </c>
      <c r="O29" s="371"/>
      <c r="P29" s="506" t="str">
        <f ca="1">语言!A$356&amp;" (23-26)"</f>
        <v>西诺布尔寇德平原 (23-26)</v>
      </c>
      <c r="Q29" s="371"/>
      <c r="R29" s="86"/>
    </row>
    <row r="30" spans="1:18" x14ac:dyDescent="0.2">
      <c r="A30" s="82"/>
      <c r="B30" s="53" t="b">
        <f>OR(清单!B1038, 清单!B1056)</f>
        <v>0</v>
      </c>
      <c r="C30" s="53" t="str">
        <f ca="1">语言!A1176</f>
        <v>红猛角犀牛</v>
      </c>
      <c r="D30" s="85">
        <v>6</v>
      </c>
      <c r="E30" s="84"/>
      <c r="F30" s="84"/>
      <c r="G30" s="84"/>
      <c r="H30" s="84"/>
      <c r="I30" s="85"/>
      <c r="J30" s="499" t="str">
        <f ca="1">道具!C$14</f>
        <v>复活的橄榄</v>
      </c>
      <c r="K30" s="371"/>
      <c r="L30" s="85" t="s">
        <v>51</v>
      </c>
      <c r="M30" s="84"/>
      <c r="N30" s="499" t="str">
        <f ca="1">Summon!$C$24</f>
        <v>突进</v>
      </c>
      <c r="O30" s="371"/>
      <c r="P30" s="506" t="str">
        <f ca="1">语言!A$472&amp;" (45), "&amp;语言!A$474&amp;" (45)"</f>
        <v>南欧亚威尔崖道 (45), 通往卢贝之森的道路 (45)</v>
      </c>
      <c r="Q30" s="371"/>
      <c r="R30" s="86"/>
    </row>
    <row r="31" spans="1:18" x14ac:dyDescent="0.2">
      <c r="A31" s="82"/>
      <c r="B31" s="53" t="b">
        <f>清单!B890</f>
        <v>0</v>
      </c>
      <c r="C31" s="53" t="str">
        <f ca="1">语言!A1177</f>
        <v>蓝猛牛</v>
      </c>
      <c r="D31" s="85">
        <v>1</v>
      </c>
      <c r="E31" s="84"/>
      <c r="F31" s="84"/>
      <c r="G31" s="85"/>
      <c r="H31" s="85"/>
      <c r="I31" s="85"/>
      <c r="J31" s="499" t="str">
        <f ca="1">道具!C$14</f>
        <v>复活的橄榄</v>
      </c>
      <c r="K31" s="371"/>
      <c r="L31" s="85" t="s">
        <v>51</v>
      </c>
      <c r="M31" s="84"/>
      <c r="N31" s="499" t="str">
        <f ca="1">Summon!$C$26</f>
        <v>连续鬼突进（全体）</v>
      </c>
      <c r="O31" s="371"/>
      <c r="P31" s="506" t="str">
        <f ca="1">语言!A$451&amp;" (45)"</f>
        <v>北利维福德川道 (45)</v>
      </c>
      <c r="Q31" s="371"/>
      <c r="R31" s="86"/>
    </row>
    <row r="32" spans="1:18" x14ac:dyDescent="0.2">
      <c r="A32" s="82"/>
      <c r="B32" s="53" t="b">
        <f>清单!B208</f>
        <v>0</v>
      </c>
      <c r="C32" s="53" t="str">
        <f ca="1">语言!A1178</f>
        <v>保镖 I</v>
      </c>
      <c r="D32" s="85">
        <v>3</v>
      </c>
      <c r="E32" s="84"/>
      <c r="F32" s="84"/>
      <c r="G32" s="84"/>
      <c r="H32" s="85"/>
      <c r="I32" s="85"/>
      <c r="J32" s="499" t="str">
        <f ca="1">道具!C$95</f>
        <v>钱包</v>
      </c>
      <c r="K32" s="371"/>
      <c r="L32" s="499" t="str">
        <f ca="1">语言!$A$1630</f>
        <v>无法捕获</v>
      </c>
      <c r="M32" s="371"/>
      <c r="N32" s="371"/>
      <c r="O32" s="371"/>
      <c r="P32" s="506" t="str">
        <f ca="1">语言!A$358&amp;" (22)"</f>
        <v>奥立克的宅邸 (22)</v>
      </c>
      <c r="Q32" s="371"/>
      <c r="R32" s="86"/>
    </row>
    <row r="33" spans="1:18" x14ac:dyDescent="0.2">
      <c r="A33" s="82"/>
      <c r="B33" s="53" t="b">
        <f>清单!B209</f>
        <v>0</v>
      </c>
      <c r="C33" s="53" t="str">
        <f ca="1">语言!A1179</f>
        <v>保镖 II</v>
      </c>
      <c r="D33" s="85">
        <v>2</v>
      </c>
      <c r="E33" s="84"/>
      <c r="F33" s="84"/>
      <c r="G33" s="84"/>
      <c r="H33" s="85"/>
      <c r="I33" s="85"/>
      <c r="J33" s="499" t="str">
        <f ca="1">道具!C$95</f>
        <v>钱包</v>
      </c>
      <c r="K33" s="371"/>
      <c r="L33" s="499" t="str">
        <f ca="1">语言!$A$1630</f>
        <v>无法捕获</v>
      </c>
      <c r="M33" s="371"/>
      <c r="N33" s="371"/>
      <c r="O33" s="371"/>
      <c r="P33" s="506" t="str">
        <f ca="1">语言!A$358&amp;" (22)"</f>
        <v>奥立克的宅邸 (22)</v>
      </c>
      <c r="Q33" s="371"/>
      <c r="R33" s="86"/>
    </row>
    <row r="34" spans="1:18" x14ac:dyDescent="0.2">
      <c r="A34" s="82"/>
      <c r="B34" s="53" t="b">
        <f>OR(清单!B705, 清单!B757, 清单!B992)</f>
        <v>0</v>
      </c>
      <c r="C34" s="53" t="str">
        <f ca="1">语言!A1180</f>
        <v>战士骷髅异种</v>
      </c>
      <c r="D34" s="85">
        <v>1</v>
      </c>
      <c r="E34" s="84"/>
      <c r="F34" s="84"/>
      <c r="G34" s="84"/>
      <c r="H34" s="84"/>
      <c r="I34" s="85"/>
      <c r="J34" s="499" t="str">
        <f ca="1">道具!C$16</f>
        <v>复活的橄榄（大）</v>
      </c>
      <c r="K34" s="371"/>
      <c r="L34" s="85" t="s">
        <v>49</v>
      </c>
      <c r="M34" s="84"/>
      <c r="N34" s="499" t="str">
        <f ca="1">Summon!$C$14</f>
        <v>抓击（全体）</v>
      </c>
      <c r="O34" s="371"/>
      <c r="P34" s="506" t="str">
        <f ca="1">语言!A$425&amp;" (36), "&amp;语言!A$431&amp;" (50), "&amp;语言!A$467&amp;" (30)"</f>
        <v>黑市 (36), 马尔沙利姆地下墓地 (50), 腐朽的开采所 (30)</v>
      </c>
      <c r="Q34" s="371"/>
      <c r="R34" s="86"/>
    </row>
    <row r="35" spans="1:18" x14ac:dyDescent="0.2">
      <c r="A35" s="82"/>
      <c r="B35" s="53" t="b">
        <f>清单!B485</f>
        <v>0</v>
      </c>
      <c r="C35" s="53" t="str">
        <f ca="1">语言!A1181</f>
        <v>山贼 I</v>
      </c>
      <c r="D35" s="85">
        <v>1</v>
      </c>
      <c r="E35" s="84"/>
      <c r="F35" s="84"/>
      <c r="G35" s="84"/>
      <c r="H35" s="84"/>
      <c r="I35" s="85"/>
      <c r="J35" s="499" t="str">
        <f ca="1">道具!C$94</f>
        <v>空空的钱包</v>
      </c>
      <c r="K35" s="371"/>
      <c r="L35" s="499" t="str">
        <f ca="1">语言!$A$1630</f>
        <v>无法捕获</v>
      </c>
      <c r="M35" s="371"/>
      <c r="N35" s="371"/>
      <c r="O35" s="371"/>
      <c r="P35" s="506" t="str">
        <f ca="1">语言!A$394&amp;" (1-4-7-11)"</f>
        <v>山贼大本营 (1-4-7-11)</v>
      </c>
      <c r="Q35" s="371"/>
      <c r="R35" s="87" t="s">
        <v>52</v>
      </c>
    </row>
    <row r="36" spans="1:18" x14ac:dyDescent="0.2">
      <c r="A36" s="82"/>
      <c r="B36" s="53" t="b">
        <f>清单!B486</f>
        <v>0</v>
      </c>
      <c r="C36" s="53" t="str">
        <f ca="1">语言!A1182</f>
        <v>山贼 II</v>
      </c>
      <c r="D36" s="85">
        <v>2</v>
      </c>
      <c r="E36" s="84"/>
      <c r="F36" s="84"/>
      <c r="G36" s="84"/>
      <c r="H36" s="84"/>
      <c r="I36" s="85"/>
      <c r="J36" s="499" t="str">
        <f ca="1">道具!C$94</f>
        <v>空空的钱包</v>
      </c>
      <c r="K36" s="371"/>
      <c r="L36" s="499" t="str">
        <f ca="1">语言!$A$1630</f>
        <v>无法捕获</v>
      </c>
      <c r="M36" s="371"/>
      <c r="N36" s="371"/>
      <c r="O36" s="371"/>
      <c r="P36" s="506" t="str">
        <f ca="1">语言!A$394&amp;" (1-4-7-11)"</f>
        <v>山贼大本营 (1-4-7-11)</v>
      </c>
      <c r="Q36" s="371"/>
      <c r="R36" s="87" t="s">
        <v>52</v>
      </c>
    </row>
    <row r="37" spans="1:18" x14ac:dyDescent="0.2">
      <c r="A37" s="82"/>
      <c r="B37" s="53" t="b">
        <f>清单!B487</f>
        <v>0</v>
      </c>
      <c r="C37" s="53" t="str">
        <f ca="1">语言!A1183</f>
        <v>山贼 III</v>
      </c>
      <c r="D37" s="85">
        <v>3</v>
      </c>
      <c r="E37" s="84"/>
      <c r="F37" s="84"/>
      <c r="G37" s="84"/>
      <c r="H37" s="84"/>
      <c r="I37" s="85"/>
      <c r="J37" s="499" t="str">
        <f ca="1">道具!C$94</f>
        <v>空空的钱包</v>
      </c>
      <c r="K37" s="371"/>
      <c r="L37" s="499" t="str">
        <f ca="1">语言!$A$1630</f>
        <v>无法捕获</v>
      </c>
      <c r="M37" s="371"/>
      <c r="N37" s="371"/>
      <c r="O37" s="371"/>
      <c r="P37" s="506" t="str">
        <f ca="1">语言!A$394&amp;" (7-11)"</f>
        <v>山贼大本营 (7-11)</v>
      </c>
      <c r="Q37" s="371"/>
      <c r="R37" s="86"/>
    </row>
    <row r="38" spans="1:18" x14ac:dyDescent="0.2">
      <c r="A38" s="82"/>
      <c r="B38" s="53" t="b">
        <f>OR(清单!B582, 清单!B772, 清单!B846)</f>
        <v>0</v>
      </c>
      <c r="C38" s="53" t="str">
        <f ca="1">语言!A1184</f>
        <v>山贼骷髅异种</v>
      </c>
      <c r="D38" s="85">
        <v>1</v>
      </c>
      <c r="E38" s="84"/>
      <c r="F38" s="84"/>
      <c r="G38" s="84"/>
      <c r="H38" s="84"/>
      <c r="I38" s="85"/>
      <c r="J38" s="499" t="str">
        <f ca="1">道具!C$23</f>
        <v>恐怖治疗药草</v>
      </c>
      <c r="K38" s="371"/>
      <c r="L38" s="85" t="s">
        <v>51</v>
      </c>
      <c r="M38" s="84"/>
      <c r="N38" s="499" t="str">
        <f ca="1">Summon!$C$4</f>
        <v>抓击</v>
      </c>
      <c r="O38" s="371"/>
      <c r="P38" s="506" t="str">
        <f ca="1">语言!A$407&amp;" (55), "&amp;语言!A$433&amp;" (45), "&amp;语言!A$445&amp;" (30)"</f>
        <v>艾巴霍多地下坑道遗迹 (55), 灰色沙丘遗迹 (45), 边境河岸 (30)</v>
      </c>
      <c r="Q38" s="371"/>
      <c r="R38" s="86"/>
    </row>
    <row r="39" spans="1:18" x14ac:dyDescent="0.2">
      <c r="A39" s="82"/>
      <c r="B39" s="53" t="b">
        <f>OR(清单!B129, 清单!B135)</f>
        <v>0</v>
      </c>
      <c r="C39" s="53" t="str">
        <f ca="1">语言!A1185</f>
        <v>盗贼团干部 I</v>
      </c>
      <c r="D39" s="85">
        <v>2</v>
      </c>
      <c r="E39" s="84"/>
      <c r="F39" s="84"/>
      <c r="G39" s="84"/>
      <c r="H39" s="84"/>
      <c r="I39" s="85"/>
      <c r="J39" s="499" t="str">
        <f ca="1">道具!C$5</f>
        <v>ＨＰ全体恢复的葡萄</v>
      </c>
      <c r="K39" s="371"/>
      <c r="L39" s="499" t="str">
        <f ca="1">语言!$A$1630</f>
        <v>无法捕获</v>
      </c>
      <c r="M39" s="371"/>
      <c r="N39" s="371"/>
      <c r="O39" s="371"/>
      <c r="P39" s="506" t="str">
        <f ca="1">语言!A$344&amp;" (45-46)"</f>
        <v>废教会地下 (45-46)</v>
      </c>
      <c r="Q39" s="371"/>
      <c r="R39" s="86"/>
    </row>
    <row r="40" spans="1:18" x14ac:dyDescent="0.2">
      <c r="A40" s="82"/>
      <c r="B40" s="53" t="b">
        <f>OR(清单!B130, 清单!B136)</f>
        <v>0</v>
      </c>
      <c r="C40" s="53" t="str">
        <f ca="1">语言!A1186</f>
        <v>盗贼团干部 II</v>
      </c>
      <c r="D40" s="85">
        <v>1</v>
      </c>
      <c r="E40" s="84"/>
      <c r="F40" s="84"/>
      <c r="G40" s="84"/>
      <c r="H40" s="84"/>
      <c r="I40" s="85"/>
      <c r="J40" s="499" t="str">
        <f ca="1">道具!C$7</f>
        <v>ＳＰ恢复的李子（大）</v>
      </c>
      <c r="K40" s="371"/>
      <c r="L40" s="499" t="str">
        <f ca="1">语言!$A$1630</f>
        <v>无法捕获</v>
      </c>
      <c r="M40" s="371"/>
      <c r="N40" s="371"/>
      <c r="O40" s="371"/>
      <c r="P40" s="506" t="str">
        <f ca="1">语言!A$344&amp;" (45-46)"</f>
        <v>废教会地下 (45-46)</v>
      </c>
      <c r="Q40" s="371"/>
      <c r="R40" s="86"/>
    </row>
    <row r="41" spans="1:18" x14ac:dyDescent="0.2">
      <c r="A41" s="82"/>
      <c r="B41" s="53" t="b">
        <f>清单!B137</f>
        <v>0</v>
      </c>
      <c r="C41" s="53" t="str">
        <f ca="1">语言!A1187</f>
        <v>盗贼团干部 III</v>
      </c>
      <c r="D41" s="85">
        <v>4</v>
      </c>
      <c r="E41" s="84"/>
      <c r="F41" s="84"/>
      <c r="G41" s="84"/>
      <c r="H41" s="85"/>
      <c r="I41" s="85"/>
      <c r="J41" s="499" t="str">
        <f ca="1">道具!C$12</f>
        <v>ＨＰ／ＳＰ恢复的果酱</v>
      </c>
      <c r="K41" s="371"/>
      <c r="L41" s="499" t="str">
        <f ca="1">语言!$A$1630</f>
        <v>无法捕获</v>
      </c>
      <c r="M41" s="371"/>
      <c r="N41" s="371"/>
      <c r="O41" s="371"/>
      <c r="P41" s="506" t="str">
        <f ca="1">语言!A$344&amp;" (46)"</f>
        <v>废教会地下 (46)</v>
      </c>
      <c r="Q41" s="371"/>
      <c r="R41" s="86"/>
    </row>
    <row r="42" spans="1:18" x14ac:dyDescent="0.2">
      <c r="A42" s="82"/>
      <c r="B42" s="53" t="b">
        <f>清单!B340</f>
        <v>0</v>
      </c>
      <c r="C42" s="45" t="str">
        <f ca="1">语言!A1188</f>
        <v>海盗（曲剑） I</v>
      </c>
      <c r="D42" s="85">
        <v>2</v>
      </c>
      <c r="E42" s="84"/>
      <c r="F42" s="84"/>
      <c r="G42" s="85"/>
      <c r="H42" s="85"/>
      <c r="I42" s="85"/>
      <c r="J42" s="499" t="str">
        <f ca="1">道具!C$94</f>
        <v>空空的钱包</v>
      </c>
      <c r="K42" s="371"/>
      <c r="L42" s="499" t="str">
        <f ca="1">语言!$A$1630</f>
        <v>无法捕获</v>
      </c>
      <c r="M42" s="371"/>
      <c r="N42" s="371"/>
      <c r="O42" s="371"/>
      <c r="P42" s="506" t="str">
        <f ca="1">语言!A$375&amp;" (23-26-31), "&amp;语言!A$376&amp;" (23-26-31)"</f>
        <v>月隐海道 (23-26-31), 西葛鲁德修亚海道 (23-26-31)</v>
      </c>
      <c r="Q42" s="371"/>
      <c r="R42" s="87" t="s">
        <v>53</v>
      </c>
    </row>
    <row r="43" spans="1:18" x14ac:dyDescent="0.2">
      <c r="A43" s="82"/>
      <c r="B43" s="53" t="b">
        <f>清单!B341</f>
        <v>0</v>
      </c>
      <c r="C43" s="53" t="str">
        <f ca="1">语言!A1189</f>
        <v>海盗（曲剑） II</v>
      </c>
      <c r="D43" s="85">
        <v>3</v>
      </c>
      <c r="E43" s="84"/>
      <c r="F43" s="84"/>
      <c r="G43" s="85"/>
      <c r="H43" s="85"/>
      <c r="I43" s="85"/>
      <c r="J43" s="499" t="str">
        <f ca="1">道具!C$94</f>
        <v>空空的钱包</v>
      </c>
      <c r="K43" s="371"/>
      <c r="L43" s="499" t="str">
        <f ca="1">语言!$A$1630</f>
        <v>无法捕获</v>
      </c>
      <c r="M43" s="371"/>
      <c r="N43" s="371"/>
      <c r="O43" s="371"/>
      <c r="P43" s="506" t="str">
        <f ca="1">语言!A$375&amp;" (23-26-31-34), "&amp;语言!A$376&amp;" (23-26-31-34)"</f>
        <v>月隐海道 (23-26-31-34), 西葛鲁德修亚海道 (23-26-31-34)</v>
      </c>
      <c r="Q43" s="371"/>
      <c r="R43" s="86"/>
    </row>
    <row r="44" spans="1:18" x14ac:dyDescent="0.2">
      <c r="A44" s="82"/>
      <c r="B44" s="53" t="b">
        <f>清单!B370</f>
        <v>0</v>
      </c>
      <c r="C44" s="53" t="str">
        <f ca="1">语言!A1190</f>
        <v>海盗（曲剑） III</v>
      </c>
      <c r="D44" s="85">
        <v>2</v>
      </c>
      <c r="E44" s="84"/>
      <c r="F44" s="84"/>
      <c r="G44" s="84"/>
      <c r="H44" s="84"/>
      <c r="I44" s="85"/>
      <c r="J44" s="499" t="str">
        <f ca="1">道具!C$95</f>
        <v>钱包</v>
      </c>
      <c r="K44" s="371"/>
      <c r="L44" s="499" t="str">
        <f ca="1">语言!$A$1630</f>
        <v>无法捕获</v>
      </c>
      <c r="M44" s="371"/>
      <c r="N44" s="371"/>
      <c r="O44" s="371"/>
      <c r="P44" s="506" t="str">
        <f ca="1">语言!A$379&amp;" (24)"</f>
        <v>青碧洞窟 (24)</v>
      </c>
      <c r="Q44" s="371"/>
      <c r="R44" s="86"/>
    </row>
    <row r="45" spans="1:18" x14ac:dyDescent="0.2">
      <c r="A45" s="82"/>
      <c r="B45" s="53" t="b">
        <f>清单!B371</f>
        <v>0</v>
      </c>
      <c r="C45" s="53" t="str">
        <f ca="1">语言!A1191</f>
        <v>海盗（曲剑） IV</v>
      </c>
      <c r="D45" s="85">
        <v>3</v>
      </c>
      <c r="E45" s="84"/>
      <c r="F45" s="84"/>
      <c r="G45" s="84"/>
      <c r="H45" s="84"/>
      <c r="I45" s="85"/>
      <c r="J45" s="499" t="str">
        <f ca="1">道具!C$95</f>
        <v>钱包</v>
      </c>
      <c r="K45" s="371"/>
      <c r="L45" s="499" t="str">
        <f ca="1">语言!$A$1630</f>
        <v>无法捕获</v>
      </c>
      <c r="M45" s="371"/>
      <c r="N45" s="371"/>
      <c r="O45" s="371"/>
      <c r="P45" s="506" t="str">
        <f ca="1">语言!A$379&amp;" (24)"</f>
        <v>青碧洞窟 (24)</v>
      </c>
      <c r="Q45" s="371"/>
      <c r="R45" s="86"/>
    </row>
    <row r="46" spans="1:18" x14ac:dyDescent="0.2">
      <c r="A46" s="82"/>
      <c r="B46" s="53" t="b">
        <f>OR(清单!B313, 清单!B351, 清单!B847, 清单!B1177)</f>
        <v>0</v>
      </c>
      <c r="C46" s="53" t="str">
        <f ca="1">语言!A1192</f>
        <v>海盗骷髅</v>
      </c>
      <c r="D46" s="85">
        <v>1</v>
      </c>
      <c r="E46" s="84"/>
      <c r="F46" s="84"/>
      <c r="G46" s="84"/>
      <c r="H46" s="84"/>
      <c r="I46" s="85"/>
      <c r="J46" s="499" t="str">
        <f ca="1">道具!C$92</f>
        <v>发梳</v>
      </c>
      <c r="K46" s="371"/>
      <c r="L46" s="85" t="s">
        <v>46</v>
      </c>
      <c r="M46" s="84"/>
      <c r="N46" s="499" t="str">
        <f ca="1">Summon!$C$9</f>
        <v>恐慌之爪</v>
      </c>
      <c r="O46" s="371"/>
      <c r="P46" s="506" t="str">
        <f ca="1">语言!A$369&amp;" (45), "&amp;语言!A$377&amp;" (35), "&amp;语言!A$445&amp;" (30), "&amp;语言!A$490&amp;" (34)"</f>
        <v>波隐岩窟 (45), 噬船海穴 (35), 边境河岸 (30), 被遗忘的洞窟 (34)</v>
      </c>
      <c r="Q46" s="371"/>
      <c r="R46" s="86"/>
    </row>
    <row r="47" spans="1:18" x14ac:dyDescent="0.2">
      <c r="A47" s="82"/>
      <c r="B47" s="53" t="b">
        <f>清单!B636</f>
        <v>0</v>
      </c>
      <c r="C47" s="45" t="str">
        <f ca="1">语言!A1193</f>
        <v>仙人掌粪金龟</v>
      </c>
      <c r="D47" s="85">
        <v>1</v>
      </c>
      <c r="E47" s="84"/>
      <c r="F47" s="84"/>
      <c r="G47" s="84"/>
      <c r="H47" s="85"/>
      <c r="I47" s="85"/>
      <c r="J47" s="499" t="str">
        <f ca="1">道具!C$14</f>
        <v>复活的橄榄</v>
      </c>
      <c r="K47" s="371"/>
      <c r="L47" s="85" t="s">
        <v>48</v>
      </c>
      <c r="M47" s="84"/>
      <c r="N47" s="499" t="str">
        <f ca="1">Summon!$C$24</f>
        <v>突进</v>
      </c>
      <c r="O47" s="371"/>
      <c r="P47" s="506" t="str">
        <f ca="1">语言!A$416&amp;" (1-4-7), "&amp;语言!A$417&amp;" (1-4-7)"</f>
        <v>南桑谢德沙道 (1-4-7), 东桑谢德沙道 (1-4-7)</v>
      </c>
      <c r="Q47" s="371"/>
      <c r="R47" s="87" t="s">
        <v>53</v>
      </c>
    </row>
    <row r="48" spans="1:18" x14ac:dyDescent="0.2">
      <c r="A48" s="82"/>
      <c r="B48" s="53" t="b">
        <f>OR(清单!B7,清单!B147, 清单!B295, 清单!B445, 清单!B627, 清单!B791, 清单!B938, 清单!B1082)</f>
        <v>0</v>
      </c>
      <c r="C48" s="53" t="str">
        <f ca="1">语言!A1194</f>
        <v>凯特林</v>
      </c>
      <c r="D48" s="85">
        <v>2</v>
      </c>
      <c r="E48" s="84"/>
      <c r="F48" s="84"/>
      <c r="G48" s="84"/>
      <c r="H48" s="84"/>
      <c r="I48" s="85"/>
      <c r="J48" s="499" t="str">
        <f ca="1">道具!C$13</f>
        <v>ＨＰ／ＳＰ／ＢＰ恢复的果酱</v>
      </c>
      <c r="K48" s="371"/>
      <c r="L48" s="85" t="s">
        <v>49</v>
      </c>
      <c r="M48" s="85"/>
      <c r="N48" s="499" t="str">
        <f ca="1">Summon!$C$171</f>
        <v>凯特琳魔法</v>
      </c>
      <c r="O48" s="371"/>
      <c r="P48" s="506" t="s">
        <v>54</v>
      </c>
      <c r="Q48" s="371"/>
      <c r="R48" s="86"/>
    </row>
    <row r="49" spans="1:18" x14ac:dyDescent="0.2">
      <c r="A49" s="82"/>
      <c r="B49" s="53" t="b">
        <f>清单!B707</f>
        <v>0</v>
      </c>
      <c r="C49" s="53" t="str">
        <f ca="1">语言!A1195</f>
        <v>红大鹫</v>
      </c>
      <c r="D49" s="85">
        <v>3</v>
      </c>
      <c r="E49" s="84"/>
      <c r="F49" s="84"/>
      <c r="G49" s="84"/>
      <c r="H49" s="85"/>
      <c r="I49" s="85"/>
      <c r="J49" s="499" t="str">
        <f ca="1">道具!C$97</f>
        <v>大鸟的羽毛</v>
      </c>
      <c r="K49" s="371"/>
      <c r="L49" s="85" t="s">
        <v>46</v>
      </c>
      <c r="M49" s="84"/>
      <c r="N49" s="499" t="str">
        <f ca="1">Summon!$C$116</f>
        <v>风斩</v>
      </c>
      <c r="O49" s="371"/>
      <c r="P49" s="506" t="str">
        <f ca="1">语言!A$425&amp;" (36)"</f>
        <v>黑市 (36)</v>
      </c>
      <c r="Q49" s="371"/>
      <c r="R49" s="86"/>
    </row>
    <row r="50" spans="1:18" x14ac:dyDescent="0.2">
      <c r="A50" s="82"/>
      <c r="B50" s="53" t="b">
        <f>OR(清单!B66, 清单!B132, 清单!B140)</f>
        <v>0</v>
      </c>
      <c r="C50" s="53" t="str">
        <f ca="1">语言!A1196</f>
        <v>肉食蝙蝠</v>
      </c>
      <c r="D50" s="85">
        <v>1</v>
      </c>
      <c r="E50" s="84"/>
      <c r="F50" s="84"/>
      <c r="G50" s="84"/>
      <c r="H50" s="84"/>
      <c r="I50" s="85"/>
      <c r="J50" s="499" t="str">
        <f ca="1">道具!C$544</f>
        <v>神秘之花</v>
      </c>
      <c r="K50" s="371"/>
      <c r="L50" s="85" t="s">
        <v>50</v>
      </c>
      <c r="M50" s="84"/>
      <c r="N50" s="499" t="str">
        <f ca="1">Summon!$C$53</f>
        <v>睡眠之牙（全体）</v>
      </c>
      <c r="O50" s="371"/>
      <c r="P50" s="506" t="str">
        <f ca="1">语言!A$335&amp;" (35), "&amp;语言!A$344&amp;" (45-46)"</f>
        <v>巨王灵庙 (35), 废教会地下 (45-46)</v>
      </c>
      <c r="Q50" s="371"/>
      <c r="R50" s="86"/>
    </row>
    <row r="51" spans="1:18" x14ac:dyDescent="0.2">
      <c r="A51" s="82"/>
      <c r="B51" s="53" t="b">
        <f>清单!B1141</f>
        <v>0</v>
      </c>
      <c r="C51" s="53" t="str">
        <f ca="1">语言!A1197</f>
        <v>蠢动的大花</v>
      </c>
      <c r="D51" s="85">
        <v>10</v>
      </c>
      <c r="E51" s="84"/>
      <c r="F51" s="84"/>
      <c r="G51" s="84"/>
      <c r="H51" s="85"/>
      <c r="I51" s="85"/>
      <c r="J51" s="499" t="str">
        <f ca="1">道具!C$13</f>
        <v>ＨＰ／ＳＰ／ＢＰ恢复的果酱</v>
      </c>
      <c r="K51" s="371"/>
      <c r="L51" s="85" t="s">
        <v>55</v>
      </c>
      <c r="M51" s="85"/>
      <c r="N51" s="499" t="str">
        <f ca="1">Summon!$C$143</f>
        <v>持续光合成（ＳＰ）（全体）</v>
      </c>
      <c r="O51" s="371"/>
      <c r="P51" s="506" t="str">
        <f ca="1">语言!A$488&amp;" (48)"</f>
        <v>不归之森 (48)</v>
      </c>
      <c r="Q51" s="371"/>
      <c r="R51" s="88" t="s">
        <v>56</v>
      </c>
    </row>
    <row r="52" spans="1:18" x14ac:dyDescent="0.2">
      <c r="A52" s="82"/>
      <c r="B52" s="53" t="b">
        <f>OR(清单!B309, 清单!B408)</f>
        <v>0</v>
      </c>
      <c r="C52" s="53" t="str">
        <f ca="1">语言!A1198</f>
        <v>巨鲸</v>
      </c>
      <c r="D52" s="85">
        <v>6</v>
      </c>
      <c r="E52" s="84"/>
      <c r="F52" s="84"/>
      <c r="G52" s="84"/>
      <c r="H52" s="84"/>
      <c r="I52" s="85"/>
      <c r="J52" s="499" t="str">
        <f ca="1">道具!C$539</f>
        <v>混乱多之叶</v>
      </c>
      <c r="K52" s="371"/>
      <c r="L52" s="85" t="s">
        <v>50</v>
      </c>
      <c r="M52" s="85"/>
      <c r="N52" s="499" t="str">
        <f ca="1">Summon!$C$149</f>
        <v>睡眠之雾（全体）</v>
      </c>
      <c r="O52" s="371"/>
      <c r="P52" s="506" t="str">
        <f ca="1">语言!A$369&amp;" (45), "&amp;语言!A$385&amp;" (45)"</f>
        <v>波隐岩窟 (45), 西格兰波特海道 (45)</v>
      </c>
      <c r="Q52" s="371"/>
      <c r="R52" s="86"/>
    </row>
    <row r="53" spans="1:18" x14ac:dyDescent="0.2">
      <c r="A53" s="82"/>
      <c r="B53" s="53" t="b">
        <f>OR(清单!B103, 清单!B235, 清单!B401, 清单!B567, 清单!B743, 清单!B885, 清单!B1033, 清单!B1185)</f>
        <v>0</v>
      </c>
      <c r="C53" s="53" t="str">
        <f ca="1">语言!A1199</f>
        <v>布尔乔亚凯特林</v>
      </c>
      <c r="D53" s="85">
        <v>4</v>
      </c>
      <c r="E53" s="84"/>
      <c r="F53" s="84"/>
      <c r="G53" s="84"/>
      <c r="H53" s="84"/>
      <c r="I53" s="85"/>
      <c r="J53" s="499" t="str">
        <f ca="1">道具!C$13</f>
        <v>ＨＰ／ＳＰ／ＢＰ恢复的果酱</v>
      </c>
      <c r="K53" s="371"/>
      <c r="L53" s="85" t="s">
        <v>55</v>
      </c>
      <c r="M53" s="85"/>
      <c r="N53" s="499" t="str">
        <f ca="1">Summon!$C$195</f>
        <v>凯特琳魔法ＥＸ</v>
      </c>
      <c r="O53" s="371"/>
      <c r="P53" s="506" t="s">
        <v>54</v>
      </c>
      <c r="Q53" s="371"/>
      <c r="R53" s="86"/>
    </row>
    <row r="54" spans="1:18" x14ac:dyDescent="0.2">
      <c r="A54" s="82"/>
      <c r="B54" s="53" t="b">
        <f>清单!B942</f>
        <v>0</v>
      </c>
      <c r="C54" s="53" t="str">
        <f ca="1">语言!A1200</f>
        <v>悬崖鸟人 I</v>
      </c>
      <c r="D54" s="85">
        <v>1</v>
      </c>
      <c r="E54" s="84"/>
      <c r="F54" s="84"/>
      <c r="G54" s="84"/>
      <c r="H54" s="84"/>
      <c r="I54" s="85"/>
      <c r="J54" s="499" t="str">
        <f ca="1">道具!C$3</f>
        <v>ＨＰ恢复的葡萄</v>
      </c>
      <c r="K54" s="371"/>
      <c r="L54" s="85" t="s">
        <v>45</v>
      </c>
      <c r="M54" s="84"/>
      <c r="N54" s="499" t="str">
        <f ca="1">Summon!$C$41</f>
        <v>战斗</v>
      </c>
      <c r="O54" s="371"/>
      <c r="P54" s="506" t="str">
        <f ca="1">语言!A$460&amp;" (1-4-7-11), "&amp;语言!A$461&amp;" (1-4-7-11)"</f>
        <v>北柏达弗尔崖道 (1-4-7-11), 南柏达弗尔崖道 (1-4-7-11)</v>
      </c>
      <c r="Q54" s="371"/>
      <c r="R54" s="86"/>
    </row>
    <row r="55" spans="1:18" x14ac:dyDescent="0.2">
      <c r="A55" s="82"/>
      <c r="B55" s="53" t="b">
        <f>清单!B943</f>
        <v>0</v>
      </c>
      <c r="C55" s="53" t="str">
        <f ca="1">语言!A1201</f>
        <v>悬崖鸟人 II</v>
      </c>
      <c r="D55" s="85">
        <v>2</v>
      </c>
      <c r="E55" s="84"/>
      <c r="F55" s="84"/>
      <c r="G55" s="84"/>
      <c r="H55" s="84"/>
      <c r="I55" s="85"/>
      <c r="J55" s="499" t="str">
        <f ca="1">道具!C$538</f>
        <v>睡眠花之叶</v>
      </c>
      <c r="K55" s="371"/>
      <c r="L55" s="85" t="s">
        <v>48</v>
      </c>
      <c r="M55" s="84"/>
      <c r="N55" s="499" t="str">
        <f ca="1">Summon!$C$49</f>
        <v>战斗（全体）</v>
      </c>
      <c r="O55" s="371"/>
      <c r="P55" s="506" t="str">
        <f ca="1">语言!A$460&amp;" (1-4-7-11), "&amp;语言!A$461&amp;" (1-4-7-11)"</f>
        <v>北柏达弗尔崖道 (1-4-7-11), 南柏达弗尔崖道 (1-4-7-11)</v>
      </c>
      <c r="Q55" s="371"/>
      <c r="R55" s="86"/>
    </row>
    <row r="56" spans="1:18" x14ac:dyDescent="0.2">
      <c r="A56" s="82"/>
      <c r="B56" s="53" t="b">
        <f>清单!B944</f>
        <v>0</v>
      </c>
      <c r="C56" s="53" t="str">
        <f ca="1">语言!A1202</f>
        <v>悬崖鸟人 III</v>
      </c>
      <c r="D56" s="85">
        <v>3</v>
      </c>
      <c r="E56" s="84"/>
      <c r="F56" s="84"/>
      <c r="G56" s="84"/>
      <c r="H56" s="84"/>
      <c r="I56" s="85"/>
      <c r="J56" s="499" t="str">
        <f ca="1">道具!C$6</f>
        <v>ＳＰ恢复的李子</v>
      </c>
      <c r="K56" s="371"/>
      <c r="L56" s="85" t="s">
        <v>57</v>
      </c>
      <c r="M56" s="84"/>
      <c r="N56" s="499" t="str">
        <f ca="1">Summon!$C$44</f>
        <v>战斗ｘ２</v>
      </c>
      <c r="O56" s="371"/>
      <c r="P56" s="506" t="str">
        <f ca="1">语言!A$460&amp;" (7-11), "&amp;语言!A$461&amp;" (7-11)"</f>
        <v>北柏达弗尔崖道 (7-11), 南柏达弗尔崖道 (7-11)</v>
      </c>
      <c r="Q56" s="371"/>
      <c r="R56" s="86"/>
    </row>
    <row r="57" spans="1:18" x14ac:dyDescent="0.2">
      <c r="A57" s="82"/>
      <c r="B57" s="53" t="b">
        <f>清单!B978</f>
        <v>0</v>
      </c>
      <c r="C57" s="53" t="str">
        <f ca="1">语言!A1203</f>
        <v>悬崖鸟人 IV</v>
      </c>
      <c r="D57" s="85">
        <v>2</v>
      </c>
      <c r="E57" s="84"/>
      <c r="F57" s="84"/>
      <c r="G57" s="84"/>
      <c r="H57" s="84"/>
      <c r="I57" s="85"/>
      <c r="J57" s="499" t="str">
        <f ca="1">道具!C$4</f>
        <v>ＨＰ恢复的葡萄（大）</v>
      </c>
      <c r="K57" s="371"/>
      <c r="L57" s="85" t="s">
        <v>46</v>
      </c>
      <c r="M57" s="84"/>
      <c r="N57" s="499" t="str">
        <f ca="1">Summon!$C$44</f>
        <v>战斗ｘ２</v>
      </c>
      <c r="O57" s="371"/>
      <c r="P57" s="506" t="str">
        <f ca="1">语言!A$466&amp;" (17-20-25-28)"</f>
        <v>南库欧利克雷斯特崖道 (17-20-25-28)</v>
      </c>
      <c r="Q57" s="371"/>
      <c r="R57" s="86"/>
    </row>
    <row r="58" spans="1:18" x14ac:dyDescent="0.2">
      <c r="A58" s="82"/>
      <c r="B58" s="53" t="b">
        <f>清单!B979</f>
        <v>0</v>
      </c>
      <c r="C58" s="53" t="str">
        <f ca="1">语言!A1204</f>
        <v>悬崖鸟人 V</v>
      </c>
      <c r="D58" s="85">
        <v>3</v>
      </c>
      <c r="E58" s="84"/>
      <c r="F58" s="84"/>
      <c r="G58" s="84"/>
      <c r="H58" s="84"/>
      <c r="I58" s="85"/>
      <c r="J58" s="499" t="str">
        <f ca="1">道具!C$538</f>
        <v>睡眠花之叶</v>
      </c>
      <c r="K58" s="371"/>
      <c r="L58" s="85" t="s">
        <v>46</v>
      </c>
      <c r="M58" s="84"/>
      <c r="N58" s="499" t="str">
        <f ca="1">Summon!$C$51</f>
        <v>战斗ｘ２（全体）</v>
      </c>
      <c r="O58" s="371"/>
      <c r="P58" s="506" t="str">
        <f ca="1">语言!A$466&amp;" (17-20-25-28)"</f>
        <v>南库欧利克雷斯特崖道 (17-20-25-28)</v>
      </c>
      <c r="Q58" s="371"/>
      <c r="R58" s="86"/>
    </row>
    <row r="59" spans="1:18" x14ac:dyDescent="0.2">
      <c r="A59" s="82"/>
      <c r="B59" s="53" t="b">
        <f>清单!B980</f>
        <v>0</v>
      </c>
      <c r="C59" s="53" t="str">
        <f ca="1">语言!A1205</f>
        <v>悬崖鸟人 VI</v>
      </c>
      <c r="D59" s="85">
        <v>1</v>
      </c>
      <c r="E59" s="84"/>
      <c r="F59" s="84"/>
      <c r="G59" s="84"/>
      <c r="H59" s="85"/>
      <c r="I59" s="85"/>
      <c r="J59" s="499" t="str">
        <f ca="1">道具!C$6</f>
        <v>ＳＰ恢复的李子</v>
      </c>
      <c r="K59" s="371"/>
      <c r="L59" s="85" t="s">
        <v>49</v>
      </c>
      <c r="M59" s="84"/>
      <c r="N59" s="499" t="str">
        <f ca="1">Summon!$C$46</f>
        <v>战斗ｘ３</v>
      </c>
      <c r="O59" s="371"/>
      <c r="P59" s="506" t="str">
        <f ca="1">语言!A$466&amp;" (20-25-28)"</f>
        <v>南库欧利克雷斯特崖道 (20-25-28)</v>
      </c>
      <c r="Q59" s="371"/>
      <c r="R59" s="86"/>
    </row>
    <row r="60" spans="1:18" x14ac:dyDescent="0.2">
      <c r="A60" s="82"/>
      <c r="B60" s="53" t="b">
        <f>OR(清单!B$981, 清单!B1035)</f>
        <v>0</v>
      </c>
      <c r="C60" s="53" t="str">
        <f ca="1">语言!A1206</f>
        <v>悬崖大鸟人 I</v>
      </c>
      <c r="D60" s="85">
        <v>2</v>
      </c>
      <c r="E60" s="84"/>
      <c r="F60" s="84"/>
      <c r="G60" s="84"/>
      <c r="H60" s="84"/>
      <c r="I60" s="85"/>
      <c r="J60" s="499" t="str">
        <f ca="1">道具!C$7</f>
        <v>ＳＰ恢复的李子（大）</v>
      </c>
      <c r="K60" s="371"/>
      <c r="L60" s="85" t="s">
        <v>49</v>
      </c>
      <c r="M60" s="84"/>
      <c r="N60" s="499" t="str">
        <f ca="1">Summon!$C$70</f>
        <v>战斗ｘ３</v>
      </c>
      <c r="O60" s="371"/>
      <c r="P60" s="506" t="str">
        <f ca="1">语言!A$466&amp;" (25-28), "&amp;语言!A$472&amp;" (45)"</f>
        <v>南库欧利克雷斯特崖道 (25-28), 南欧亚威尔崖道 (45)</v>
      </c>
      <c r="Q60" s="371"/>
      <c r="R60" s="86"/>
    </row>
    <row r="61" spans="1:18" x14ac:dyDescent="0.2">
      <c r="A61" s="82"/>
      <c r="B61" s="53" t="b">
        <f>清单!B1036</f>
        <v>0</v>
      </c>
      <c r="C61" s="53" t="str">
        <f ca="1">语言!A1207</f>
        <v>悬崖大鸟人 II</v>
      </c>
      <c r="D61" s="85">
        <v>1</v>
      </c>
      <c r="E61" s="84"/>
      <c r="F61" s="84"/>
      <c r="G61" s="84"/>
      <c r="H61" s="84"/>
      <c r="I61" s="85"/>
      <c r="J61" s="499" t="str">
        <f ca="1">道具!C$538</f>
        <v>睡眠花之叶</v>
      </c>
      <c r="K61" s="371"/>
      <c r="L61" s="85" t="s">
        <v>50</v>
      </c>
      <c r="M61" s="84"/>
      <c r="N61" s="499" t="str">
        <f ca="1">Summon!$C$76</f>
        <v>战斗ｘ３（全体）</v>
      </c>
      <c r="O61" s="371"/>
      <c r="P61" s="506" t="str">
        <f ca="1">语言!A$472&amp;" (45)"</f>
        <v>南欧亚威尔崖道 (45)</v>
      </c>
      <c r="Q61" s="371"/>
      <c r="R61" s="86"/>
    </row>
    <row r="62" spans="1:18" x14ac:dyDescent="0.2">
      <c r="A62" s="82"/>
      <c r="B62" s="53" t="b">
        <f>清单!B1037</f>
        <v>0</v>
      </c>
      <c r="C62" s="53" t="str">
        <f ca="1">语言!A1208</f>
        <v>悬崖大鸟人 III</v>
      </c>
      <c r="D62" s="85">
        <v>4</v>
      </c>
      <c r="E62" s="84"/>
      <c r="F62" s="84"/>
      <c r="G62" s="84"/>
      <c r="H62" s="85"/>
      <c r="I62" s="85"/>
      <c r="J62" s="499" t="str">
        <f ca="1">道具!C$10</f>
        <v>ＢＰ恢复的石榴（大）</v>
      </c>
      <c r="K62" s="371"/>
      <c r="L62" s="85" t="s">
        <v>47</v>
      </c>
      <c r="M62" s="84"/>
      <c r="N62" s="499" t="str">
        <f ca="1">Summon!$C$73</f>
        <v>属攻连续弓舞</v>
      </c>
      <c r="O62" s="371"/>
      <c r="P62" s="506" t="str">
        <f ca="1">语言!A$472&amp;" (45)"</f>
        <v>南欧亚威尔崖道 (45)</v>
      </c>
      <c r="Q62" s="371"/>
      <c r="R62" s="86"/>
    </row>
    <row r="63" spans="1:18" x14ac:dyDescent="0.2">
      <c r="A63" s="82"/>
      <c r="B63" s="53" t="b">
        <f>OR(清单!B838, 清单!B$899)</f>
        <v>0</v>
      </c>
      <c r="C63" s="53" t="str">
        <f ca="1">语言!A1209</f>
        <v>沙罗曼达异种</v>
      </c>
      <c r="D63" s="85">
        <v>4</v>
      </c>
      <c r="E63" s="84"/>
      <c r="F63" s="84"/>
      <c r="G63" s="84"/>
      <c r="H63" s="85"/>
      <c r="I63" s="85"/>
      <c r="J63" s="499" t="str">
        <f ca="1">道具!C$543</f>
        <v>橄榄花</v>
      </c>
      <c r="K63" s="371"/>
      <c r="L63" s="85" t="s">
        <v>50</v>
      </c>
      <c r="M63" s="84"/>
      <c r="N63" s="499" t="str">
        <f ca="1">Summon!$C$29</f>
        <v>暗暗大突进</v>
      </c>
      <c r="O63" s="371"/>
      <c r="P63" s="506" t="str">
        <f ca="1">语言!A$444&amp;" (26-29), "&amp;语言!A$452&amp;" (50)"</f>
        <v>东圣特布里吉川道 (26-29), 贵族的藏身处遗迹 (50)</v>
      </c>
      <c r="Q63" s="371"/>
      <c r="R63" s="86"/>
    </row>
    <row r="64" spans="1:18" x14ac:dyDescent="0.2">
      <c r="A64" s="82"/>
      <c r="B64" s="53" t="b">
        <f>清单!B222</f>
        <v>0</v>
      </c>
      <c r="C64" s="53" t="str">
        <f ca="1">语言!A1210</f>
        <v>黑曜会成员 I</v>
      </c>
      <c r="D64" s="85">
        <v>2</v>
      </c>
      <c r="E64" s="84"/>
      <c r="F64" s="84"/>
      <c r="G64" s="84"/>
      <c r="H64" s="84"/>
      <c r="I64" s="85"/>
      <c r="J64" s="499" t="str">
        <f ca="1">道具!C$18</f>
        <v>毒治疗药草</v>
      </c>
      <c r="K64" s="371"/>
      <c r="L64" s="499" t="str">
        <f ca="1">语言!$A$1630</f>
        <v>无法捕获</v>
      </c>
      <c r="M64" s="371"/>
      <c r="N64" s="371"/>
      <c r="O64" s="371"/>
      <c r="P64" s="506" t="str">
        <f ca="1">语言!A$359&amp;" (40)"</f>
        <v>黑曜会之馆 (40)</v>
      </c>
      <c r="Q64" s="371"/>
      <c r="R64" s="86"/>
    </row>
    <row r="65" spans="1:18" x14ac:dyDescent="0.2">
      <c r="A65" s="82"/>
      <c r="B65" s="53" t="b">
        <f>清单!B223</f>
        <v>0</v>
      </c>
      <c r="C65" s="53" t="str">
        <f ca="1">语言!A1211</f>
        <v>黑曜会成员 II</v>
      </c>
      <c r="D65" s="85">
        <v>1</v>
      </c>
      <c r="E65" s="84"/>
      <c r="F65" s="84"/>
      <c r="G65" s="84"/>
      <c r="H65" s="84"/>
      <c r="I65" s="85"/>
      <c r="J65" s="499" t="str">
        <f ca="1">道具!C$25</f>
        <v>毒瓶</v>
      </c>
      <c r="K65" s="371"/>
      <c r="L65" s="499" t="str">
        <f ca="1">语言!$A$1630</f>
        <v>无法捕获</v>
      </c>
      <c r="M65" s="371"/>
      <c r="N65" s="371"/>
      <c r="O65" s="371"/>
      <c r="P65" s="506" t="str">
        <f ca="1">语言!A$359&amp;" (40)"</f>
        <v>黑曜会之馆 (40)</v>
      </c>
      <c r="Q65" s="371"/>
      <c r="R65" s="86"/>
    </row>
    <row r="66" spans="1:18" x14ac:dyDescent="0.2">
      <c r="A66" s="82"/>
      <c r="B66" s="53" t="b">
        <f>清单!B951</f>
        <v>0</v>
      </c>
      <c r="C66" s="53" t="str">
        <f ca="1">语言!A1212</f>
        <v>不可思议的幼体</v>
      </c>
      <c r="D66" s="85">
        <v>3</v>
      </c>
      <c r="E66" s="84"/>
      <c r="F66" s="84"/>
      <c r="G66" s="84"/>
      <c r="H66" s="85"/>
      <c r="I66" s="85"/>
      <c r="J66" s="499" t="str">
        <f ca="1">道具!C$4</f>
        <v>ＨＰ恢复的葡萄（大）</v>
      </c>
      <c r="K66" s="371"/>
      <c r="L66" s="85" t="s">
        <v>57</v>
      </c>
      <c r="M66" s="84"/>
      <c r="N66" s="499" t="str">
        <f ca="1">Summon!$C$71</f>
        <v>毒针</v>
      </c>
      <c r="O66" s="371"/>
      <c r="P66" s="506" t="str">
        <f ca="1">语言!A$462&amp;" (20)"</f>
        <v>鸟葬洞窟 (20)</v>
      </c>
      <c r="Q66" s="371"/>
      <c r="R66" s="86"/>
    </row>
    <row r="67" spans="1:18" x14ac:dyDescent="0.2">
      <c r="A67" s="82"/>
      <c r="B67" s="53" t="b">
        <f>OR(清单!B536, 清单!B862, 清单!B1128)</f>
        <v>0</v>
      </c>
      <c r="C67" s="53" t="str">
        <f ca="1">语言!A1213</f>
        <v>蠢动的树木</v>
      </c>
      <c r="D67" s="85">
        <v>3</v>
      </c>
      <c r="E67" s="84"/>
      <c r="F67" s="84"/>
      <c r="G67" s="85"/>
      <c r="H67" s="85"/>
      <c r="I67" s="85"/>
      <c r="J67" s="499" t="str">
        <f ca="1">道具!C$542</f>
        <v>石榴树液</v>
      </c>
      <c r="K67" s="371"/>
      <c r="L67" s="85" t="s">
        <v>50</v>
      </c>
      <c r="M67" s="84"/>
      <c r="N67" s="499" t="str">
        <f ca="1">Summon!$C$77</f>
        <v>暗暗之针（全体）</v>
      </c>
      <c r="O67" s="371"/>
      <c r="P67" s="506" t="str">
        <f ca="1">语言!A$402&amp;" (27), "&amp;语言!A$447&amp;" (23), "&amp;语言!A$486&amp;" (21-24-29-34)"</f>
        <v>幻影之森 (27), 黑暗之森 (23), 东维克塔霍洛森道 (21-24-29-34)</v>
      </c>
      <c r="Q67" s="371"/>
      <c r="R67" s="86"/>
    </row>
    <row r="68" spans="1:18" x14ac:dyDescent="0.2">
      <c r="A68" s="82"/>
      <c r="B68" s="53" t="b">
        <f>OR(清单!B1040, 清单!B1059)</f>
        <v>0</v>
      </c>
      <c r="C68" s="53" t="str">
        <f ca="1">语言!A1214</f>
        <v>诡异的幼体</v>
      </c>
      <c r="D68" s="85">
        <v>3</v>
      </c>
      <c r="E68" s="84"/>
      <c r="F68" s="84"/>
      <c r="G68" s="84"/>
      <c r="H68" s="85"/>
      <c r="I68" s="85"/>
      <c r="J68" s="499" t="str">
        <f ca="1">道具!C$4</f>
        <v>ＨＰ恢复的葡萄（大）</v>
      </c>
      <c r="K68" s="371"/>
      <c r="L68" s="85" t="s">
        <v>50</v>
      </c>
      <c r="M68" s="84"/>
      <c r="N68" s="499" t="str">
        <f ca="1">Summon!$C$71</f>
        <v>毒针</v>
      </c>
      <c r="O68" s="371"/>
      <c r="P68" s="506" t="str">
        <f ca="1">语言!A$472&amp;" (45), "&amp;语言!A$474&amp;" (45)"</f>
        <v>南欧亚威尔崖道 (45), 通往卢贝之森的道路 (45)</v>
      </c>
      <c r="Q68" s="371"/>
      <c r="R68" s="86"/>
    </row>
    <row r="69" spans="1:18" x14ac:dyDescent="0.2">
      <c r="A69" s="82"/>
      <c r="B69" s="53" t="b">
        <f>OR(清单!B46, 清单!B182, 清单!B332, 清单!B497, 清单!B666, 清单!B831, 清单!B976, 清单!B1120)</f>
        <v>0</v>
      </c>
      <c r="C69" s="53" t="str">
        <f ca="1">语言!A1215</f>
        <v>绅士凯特林</v>
      </c>
      <c r="D69" s="85">
        <v>4</v>
      </c>
      <c r="E69" s="84"/>
      <c r="F69" s="84"/>
      <c r="G69" s="84"/>
      <c r="H69" s="84"/>
      <c r="I69" s="85"/>
      <c r="J69" s="499" t="str">
        <f ca="1">道具!C$13</f>
        <v>ＨＰ／ＳＰ／ＢＰ恢复的果酱</v>
      </c>
      <c r="K69" s="371"/>
      <c r="L69" s="85" t="s">
        <v>47</v>
      </c>
      <c r="M69" s="85"/>
      <c r="N69" s="499" t="str">
        <f ca="1">Summon!$C$185</f>
        <v>凯特林魔法ＤＸ</v>
      </c>
      <c r="O69" s="371"/>
      <c r="P69" s="506" t="s">
        <v>54</v>
      </c>
      <c r="Q69" s="371"/>
      <c r="R69" s="86"/>
    </row>
    <row r="70" spans="1:18" x14ac:dyDescent="0.2">
      <c r="A70" s="82"/>
      <c r="B70" s="53" t="b">
        <f>清单!B214</f>
        <v>0</v>
      </c>
      <c r="C70" s="53" t="str">
        <f ca="1">语言!A1216</f>
        <v>魔导飞器</v>
      </c>
      <c r="D70" s="85">
        <v>3</v>
      </c>
      <c r="E70" s="84"/>
      <c r="F70" s="84"/>
      <c r="G70" s="84"/>
      <c r="H70" s="84"/>
      <c r="I70" s="85"/>
      <c r="J70" s="499" t="str">
        <f ca="1">道具!C$7</f>
        <v>ＳＰ恢复的李子（大）</v>
      </c>
      <c r="K70" s="371"/>
      <c r="L70" s="85" t="s">
        <v>46</v>
      </c>
      <c r="M70" s="85"/>
      <c r="N70" s="499" t="str">
        <f ca="1">Summon!$C$163</f>
        <v>精神提升</v>
      </c>
      <c r="O70" s="371"/>
      <c r="P70" s="506" t="str">
        <f ca="1">语言!A$358&amp;" (22)"</f>
        <v>奥立克的宅邸 (22)</v>
      </c>
      <c r="Q70" s="371"/>
      <c r="R70" s="86"/>
    </row>
    <row r="71" spans="1:18" x14ac:dyDescent="0.2">
      <c r="A71" s="82"/>
      <c r="B71" s="53" t="b">
        <f>OR(清单!B1220, 清单!B1227)</f>
        <v>0</v>
      </c>
      <c r="C71" s="53" t="str">
        <f ca="1">语言!A1217</f>
        <v>魔导飞器・异型</v>
      </c>
      <c r="D71" s="85">
        <v>4</v>
      </c>
      <c r="E71" s="84"/>
      <c r="F71" s="84"/>
      <c r="G71" s="84"/>
      <c r="H71" s="85"/>
      <c r="I71" s="85"/>
      <c r="J71" s="499" t="str">
        <f ca="1">道具!C$16</f>
        <v>复活的橄榄（大）</v>
      </c>
      <c r="K71" s="371"/>
      <c r="L71" s="85" t="s">
        <v>44</v>
      </c>
      <c r="M71" s="85"/>
      <c r="N71" s="499" t="str">
        <f ca="1">Summon!$C$169</f>
        <v>精神提升（全体）</v>
      </c>
      <c r="O71" s="371"/>
      <c r="P71" s="506" t="str">
        <f ca="1">语言!A$495&amp;" (45-46)"</f>
        <v>古代的遗迹 (45-46)</v>
      </c>
      <c r="Q71" s="371"/>
      <c r="R71" s="86"/>
    </row>
    <row r="72" spans="1:18" x14ac:dyDescent="0.2">
      <c r="A72" s="82"/>
      <c r="B72" s="53" t="b">
        <f>OR(清单!B386, 清单!B997)</f>
        <v>0</v>
      </c>
      <c r="C72" s="53" t="str">
        <f ca="1">语言!A1218</f>
        <v>魔导飞器（暗）</v>
      </c>
      <c r="D72" s="85">
        <v>3</v>
      </c>
      <c r="E72" s="84"/>
      <c r="F72" s="84"/>
      <c r="G72" s="84"/>
      <c r="H72" s="84"/>
      <c r="I72" s="85"/>
      <c r="J72" s="499" t="str">
        <f ca="1">道具!C$46</f>
        <v>暗之精灵石</v>
      </c>
      <c r="K72" s="371"/>
      <c r="L72" s="85" t="s">
        <v>50</v>
      </c>
      <c r="M72" s="84"/>
      <c r="N72" s="499" t="str">
        <f ca="1">Summon!$C$130</f>
        <v>暗黑</v>
      </c>
      <c r="O72" s="371"/>
      <c r="P72" s="506" t="str">
        <f ca="1">语言!A$380&amp;" (33), "&amp;语言!A$467&amp;" (30)"</f>
        <v>通往海边洞窟的道路 (33), 腐朽的开采所 (30)</v>
      </c>
      <c r="Q72" s="371"/>
      <c r="R72" s="86"/>
    </row>
    <row r="73" spans="1:18" x14ac:dyDescent="0.2">
      <c r="A73" s="82"/>
      <c r="B73" s="53" t="b">
        <f>清单!B930</f>
        <v>0</v>
      </c>
      <c r="C73" s="53" t="str">
        <f ca="1">语言!A1219</f>
        <v>魔导飞器（暗）・异型</v>
      </c>
      <c r="D73" s="85">
        <v>4</v>
      </c>
      <c r="E73" s="84"/>
      <c r="F73" s="84"/>
      <c r="G73" s="84"/>
      <c r="H73" s="85"/>
      <c r="I73" s="85"/>
      <c r="J73" s="499" t="str">
        <f ca="1">道具!C$47</f>
        <v>暗之精灵石（大）</v>
      </c>
      <c r="K73" s="371"/>
      <c r="L73" s="85" t="s">
        <v>47</v>
      </c>
      <c r="M73" s="84"/>
      <c r="N73" s="499" t="str">
        <f ca="1">Summon!$C$130</f>
        <v>暗黑</v>
      </c>
      <c r="O73" s="371"/>
      <c r="P73" s="506" t="str">
        <f ca="1">语言!A$455&amp;" (46)"</f>
        <v>领主的宅邸 (46)</v>
      </c>
      <c r="Q73" s="371"/>
      <c r="R73" s="86"/>
    </row>
    <row r="74" spans="1:18" x14ac:dyDescent="0.2">
      <c r="A74" s="82"/>
      <c r="B74" s="53" t="b">
        <f>OR(清单!B277, 清单!B283, 清单!B391, 清单!B583, 清单!B998)</f>
        <v>0</v>
      </c>
      <c r="C74" s="53" t="str">
        <f ca="1">语言!A1220</f>
        <v>暗元素</v>
      </c>
      <c r="D74" s="85">
        <v>4</v>
      </c>
      <c r="E74" s="84"/>
      <c r="F74" s="84"/>
      <c r="G74" s="85"/>
      <c r="H74" s="85"/>
      <c r="I74" s="85"/>
      <c r="J74" s="499" t="str">
        <f ca="1">道具!C$48</f>
        <v>暗之精灵石（特大）</v>
      </c>
      <c r="K74" s="371"/>
      <c r="L74" s="85" t="s">
        <v>50</v>
      </c>
      <c r="M74" s="84"/>
      <c r="N74" s="499" t="str">
        <f ca="1">Summon!$C$132</f>
        <v>暗黑（全体）</v>
      </c>
      <c r="O74" s="371"/>
      <c r="P74" s="506" t="str">
        <f ca="1">语言!A$364&amp;" (45-46), "&amp;语言!A$381&amp;" (38), "&amp;语言!A$407&amp;" (55), "&amp;语言!A$467&amp;" (30)"</f>
        <v>漆黑洞窟 (45-46), 海边洞窟 (38), 艾巴霍多地下坑道遗迹 (55), 腐朽的开采所 (30)</v>
      </c>
      <c r="Q74" s="371"/>
      <c r="R74" s="86"/>
    </row>
    <row r="75" spans="1:18" x14ac:dyDescent="0.2">
      <c r="A75" s="82"/>
      <c r="B75" s="53" t="b">
        <f>清单!B212</f>
        <v>0</v>
      </c>
      <c r="C75" s="53" t="str">
        <f ca="1">语言!A1221</f>
        <v>魔导机兵（暗）</v>
      </c>
      <c r="D75" s="85">
        <v>3</v>
      </c>
      <c r="E75" s="84"/>
      <c r="F75" s="84"/>
      <c r="G75" s="84"/>
      <c r="H75" s="84"/>
      <c r="I75" s="85"/>
      <c r="J75" s="499" t="str">
        <f ca="1">道具!C$46</f>
        <v>暗之精灵石</v>
      </c>
      <c r="K75" s="371"/>
      <c r="L75" s="85" t="s">
        <v>47</v>
      </c>
      <c r="M75" s="84"/>
      <c r="N75" s="499" t="str">
        <f ca="1">Summon!$C$131</f>
        <v>连续暗黑</v>
      </c>
      <c r="O75" s="371"/>
      <c r="P75" s="506" t="str">
        <f ca="1">语言!A$358&amp;" (22)"</f>
        <v>奥立克的宅邸 (22)</v>
      </c>
      <c r="Q75" s="371"/>
      <c r="R75" s="86"/>
    </row>
    <row r="76" spans="1:18" x14ac:dyDescent="0.2">
      <c r="A76" s="82"/>
      <c r="B76" s="53" t="b">
        <f>清单!B929</f>
        <v>0</v>
      </c>
      <c r="C76" s="53" t="str">
        <f ca="1">语言!A1222</f>
        <v>魔导机兵（暗）・异型</v>
      </c>
      <c r="D76" s="85">
        <v>5</v>
      </c>
      <c r="E76" s="84"/>
      <c r="F76" s="84"/>
      <c r="G76" s="84"/>
      <c r="H76" s="84"/>
      <c r="I76" s="85"/>
      <c r="J76" s="499" t="str">
        <f ca="1">道具!C$47</f>
        <v>暗之精灵石（大）</v>
      </c>
      <c r="K76" s="371"/>
      <c r="L76" s="85" t="s">
        <v>51</v>
      </c>
      <c r="M76" s="84"/>
      <c r="N76" s="499" t="str">
        <f ca="1">Summon!$C$132</f>
        <v>暗黑（全体）</v>
      </c>
      <c r="O76" s="371"/>
      <c r="P76" s="506" t="str">
        <f ca="1">语言!A$455&amp;" (46)"</f>
        <v>领主的宅邸 (46)</v>
      </c>
      <c r="Q76" s="371"/>
      <c r="R76" s="86"/>
    </row>
    <row r="77" spans="1:18" x14ac:dyDescent="0.2">
      <c r="A77" s="82"/>
      <c r="B77" s="53" t="b">
        <f>清单!B558</f>
        <v>0</v>
      </c>
      <c r="C77" s="53" t="str">
        <f ca="1">语言!A1223</f>
        <v>古代遗物（兽）・黑型</v>
      </c>
      <c r="D77" s="85">
        <v>3</v>
      </c>
      <c r="E77" s="84"/>
      <c r="F77" s="84"/>
      <c r="G77" s="84"/>
      <c r="H77" s="84"/>
      <c r="I77" s="85"/>
      <c r="J77" s="499" t="str">
        <f ca="1">道具!C$10</f>
        <v>ＢＰ恢复的石榴（大）</v>
      </c>
      <c r="K77" s="371"/>
      <c r="L77" s="85" t="s">
        <v>46</v>
      </c>
      <c r="M77" s="84"/>
      <c r="N77" s="499" t="str">
        <f ca="1">Summon!$C$130</f>
        <v>暗黑</v>
      </c>
      <c r="O77" s="371"/>
      <c r="P77" s="506" t="str">
        <f ca="1">语言!A$403&amp;" (40)"</f>
        <v>伊冯的老家 (40)</v>
      </c>
      <c r="Q77" s="371"/>
      <c r="R77" s="86"/>
    </row>
    <row r="78" spans="1:18" x14ac:dyDescent="0.2">
      <c r="A78" s="82"/>
      <c r="B78" s="53" t="b">
        <f>清单!B1230</f>
        <v>0</v>
      </c>
      <c r="C78" s="53" t="str">
        <f ca="1">语言!A1224</f>
        <v>古代遗物・黑兵</v>
      </c>
      <c r="D78" s="85">
        <v>9</v>
      </c>
      <c r="E78" s="84"/>
      <c r="F78" s="84"/>
      <c r="G78" s="84"/>
      <c r="H78" s="84"/>
      <c r="I78" s="85"/>
      <c r="J78" s="499" t="str">
        <f ca="1">道具!C$8</f>
        <v>ＳＰ全体恢复的李子</v>
      </c>
      <c r="K78" s="371"/>
      <c r="L78" s="85" t="s">
        <v>47</v>
      </c>
      <c r="M78" s="84"/>
      <c r="N78" s="499" t="str">
        <f ca="1">Summon!$C$61</f>
        <v>铁壁之斧</v>
      </c>
      <c r="O78" s="371"/>
      <c r="P78" s="506" t="str">
        <f ca="1">语言!A$495&amp;" (46)"</f>
        <v>古代的遗迹 (46)</v>
      </c>
      <c r="Q78" s="371"/>
      <c r="R78" s="86"/>
    </row>
    <row r="79" spans="1:18" x14ac:dyDescent="0.2">
      <c r="A79" s="82"/>
      <c r="B79" s="53" t="b">
        <f>OR(清单!B647, 清单!B678, 清单!B696, 清单!B704, 清单!B727)</f>
        <v>0</v>
      </c>
      <c r="C79" s="53" t="str">
        <f ca="1">语言!A1225</f>
        <v>黑粪金龟</v>
      </c>
      <c r="D79" s="85">
        <v>1</v>
      </c>
      <c r="E79" s="84"/>
      <c r="F79" s="84"/>
      <c r="G79" s="85"/>
      <c r="H79" s="85"/>
      <c r="I79" s="85"/>
      <c r="J79" s="499" t="str">
        <f ca="1">道具!C$14</f>
        <v>复活的橄榄</v>
      </c>
      <c r="K79" s="371"/>
      <c r="L79" s="89" t="s">
        <v>46</v>
      </c>
      <c r="M79" s="84"/>
      <c r="N79" s="508" t="str">
        <f ca="1">Summon!$C$28</f>
        <v>剧毒攻击</v>
      </c>
      <c r="O79" s="371"/>
      <c r="P79" s="507" t="str">
        <f ca="1">语言!A$418&amp;" (20), "&amp;语言!A$421&amp;" (31-32-33-35), "&amp;语言!A$422&amp;" (31-32-33-35), "&amp;语言!A$424&amp;" (35), "&amp;语言!A$425&amp;" (36), "&amp;语言!A$426&amp;" (31)"</f>
        <v>砂笛洞窟 (20), 北威尔斯宾克沙道 (31-32-33-35), 东威尔斯宾克沙道 (31-32-33-35), 南威尔斯宾克废道 (35), 黑市 (36), 西威尔斯宾克沙道 (31)</v>
      </c>
      <c r="Q79" s="371"/>
      <c r="R79" s="86"/>
    </row>
    <row r="80" spans="1:18" x14ac:dyDescent="0.2">
      <c r="A80" s="82"/>
      <c r="B80" s="53" t="b">
        <f>清单!B213</f>
        <v>0</v>
      </c>
      <c r="C80" s="53" t="str">
        <f ca="1">语言!A1226</f>
        <v>魔导机（暗）</v>
      </c>
      <c r="D80" s="85">
        <v>1</v>
      </c>
      <c r="E80" s="84"/>
      <c r="F80" s="84"/>
      <c r="G80" s="84"/>
      <c r="H80" s="84"/>
      <c r="I80" s="84"/>
      <c r="J80" s="499" t="str">
        <f ca="1">道具!C$46</f>
        <v>暗之精灵石</v>
      </c>
      <c r="K80" s="371"/>
      <c r="L80" s="85" t="s">
        <v>46</v>
      </c>
      <c r="M80" s="84"/>
      <c r="N80" s="499" t="str">
        <f ca="1">Summon!$C$130</f>
        <v>暗黑</v>
      </c>
      <c r="O80" s="371"/>
      <c r="P80" s="506" t="str">
        <f ca="1">语言!A$358&amp;" (22)"</f>
        <v>奥立克的宅邸 (22)</v>
      </c>
      <c r="Q80" s="371"/>
      <c r="R80" s="86"/>
    </row>
    <row r="81" spans="1:18" x14ac:dyDescent="0.2">
      <c r="A81" s="82"/>
      <c r="B81" s="53" t="b">
        <f>清单!B390</f>
        <v>0</v>
      </c>
      <c r="C81" s="53" t="str">
        <f ca="1">语言!A1227</f>
        <v>魔导机（暗）・异型</v>
      </c>
      <c r="D81" s="85">
        <v>1</v>
      </c>
      <c r="E81" s="84"/>
      <c r="F81" s="84"/>
      <c r="G81" s="84"/>
      <c r="H81" s="84"/>
      <c r="I81" s="84"/>
      <c r="J81" s="499" t="str">
        <f ca="1">道具!C$47</f>
        <v>暗之精灵石（大）</v>
      </c>
      <c r="K81" s="371"/>
      <c r="L81" s="85" t="s">
        <v>49</v>
      </c>
      <c r="M81" s="84"/>
      <c r="N81" s="499" t="str">
        <f ca="1">Summon!$C$130</f>
        <v>暗黑</v>
      </c>
      <c r="O81" s="371"/>
      <c r="P81" s="506" t="str">
        <f ca="1">语言!A$381&amp;" (38)"</f>
        <v>海边洞窟 (38)</v>
      </c>
      <c r="Q81" s="371"/>
      <c r="R81" s="86"/>
    </row>
    <row r="82" spans="1:18" x14ac:dyDescent="0.2">
      <c r="A82" s="82"/>
      <c r="B82" s="53" t="b">
        <f>OR(清单!B312, 清单!B352, 清单!B848, 清单!B1178)</f>
        <v>0</v>
      </c>
      <c r="C82" s="53" t="str">
        <f ca="1">语言!A1228</f>
        <v>海盗骷髅异种</v>
      </c>
      <c r="D82" s="85">
        <v>3</v>
      </c>
      <c r="E82" s="84"/>
      <c r="F82" s="84"/>
      <c r="G82" s="84"/>
      <c r="H82" s="84"/>
      <c r="I82" s="85"/>
      <c r="J82" s="499" t="str">
        <f ca="1">道具!C$101</f>
        <v>铜制提灯</v>
      </c>
      <c r="K82" s="371"/>
      <c r="L82" s="85" t="s">
        <v>49</v>
      </c>
      <c r="M82" s="84"/>
      <c r="N82" s="499" t="str">
        <f ca="1">Summon!$C$9</f>
        <v>恐慌之爪</v>
      </c>
      <c r="O82" s="371"/>
      <c r="P82" s="506" t="str">
        <f ca="1">语言!A$369&amp;" (45), "&amp;语言!A$377&amp;" (35), "&amp;语言!A$445&amp;" (30), "&amp;语言!A$490&amp;" (34)"</f>
        <v>波隐岩窟 (45), 噬船海穴 (35), 边境河岸 (30), 被遗忘的洞窟 (34)</v>
      </c>
      <c r="Q82" s="371"/>
      <c r="R82" s="86"/>
    </row>
    <row r="83" spans="1:18" x14ac:dyDescent="0.2">
      <c r="A83" s="82"/>
      <c r="B83" s="53" t="b">
        <f>清单!B357</f>
        <v>0</v>
      </c>
      <c r="C83" s="53" t="str">
        <f ca="1">语言!A1229</f>
        <v>梅伊尔史多洛姆</v>
      </c>
      <c r="D83" s="85">
        <v>10</v>
      </c>
      <c r="E83" s="84"/>
      <c r="F83" s="84"/>
      <c r="G83" s="84"/>
      <c r="H83" s="85"/>
      <c r="I83" s="85"/>
      <c r="J83" s="499" t="str">
        <f ca="1">道具!C$13</f>
        <v>ＨＰ／ＳＰ／ＢＰ恢复的果酱</v>
      </c>
      <c r="K83" s="371"/>
      <c r="L83" s="85" t="s">
        <v>55</v>
      </c>
      <c r="M83" s="84"/>
      <c r="N83" s="499" t="str">
        <f ca="1">Summon!$C$104</f>
        <v>冰泥（全体）</v>
      </c>
      <c r="O83" s="371"/>
      <c r="P83" s="506" t="str">
        <f ca="1">语言!A$377&amp;" (35)"</f>
        <v>噬船海穴 (35)</v>
      </c>
      <c r="Q83" s="371"/>
      <c r="R83" s="88" t="s">
        <v>58</v>
      </c>
    </row>
    <row r="84" spans="1:18" x14ac:dyDescent="0.2">
      <c r="A84" s="82"/>
      <c r="B84" s="53" t="b">
        <f>清单!B541</f>
        <v>0</v>
      </c>
      <c r="C84" s="53" t="str">
        <f ca="1">语言!A1230</f>
        <v>邪鹿怪</v>
      </c>
      <c r="D84" s="85">
        <v>4</v>
      </c>
      <c r="E84" s="84"/>
      <c r="F84" s="84"/>
      <c r="G84" s="84"/>
      <c r="H84" s="84"/>
      <c r="I84" s="85"/>
      <c r="J84" s="499" t="str">
        <f ca="1">道具!C$16</f>
        <v>复活的橄榄（大）</v>
      </c>
      <c r="K84" s="371"/>
      <c r="L84" s="85" t="s">
        <v>49</v>
      </c>
      <c r="M84" s="84"/>
      <c r="N84" s="499" t="str">
        <f ca="1">Summon!$C$32</f>
        <v>突进（全体）</v>
      </c>
      <c r="O84" s="371"/>
      <c r="P84" s="506" t="str">
        <f ca="1">语言!A$402&amp;" (27)"</f>
        <v>幻影之森 (27)</v>
      </c>
      <c r="Q84" s="371"/>
      <c r="R84" s="86"/>
    </row>
    <row r="85" spans="1:18" x14ac:dyDescent="0.2">
      <c r="A85" s="82"/>
      <c r="B85" s="53" t="b">
        <f>OR(清单!B572, 清单!B579)</f>
        <v>0</v>
      </c>
      <c r="C85" s="53" t="str">
        <f ca="1">语言!A1231</f>
        <v>狂战羊</v>
      </c>
      <c r="D85" s="85">
        <v>2</v>
      </c>
      <c r="E85" s="84"/>
      <c r="F85" s="84"/>
      <c r="G85" s="84"/>
      <c r="H85" s="85"/>
      <c r="I85" s="85"/>
      <c r="J85" s="499" t="str">
        <f ca="1">道具!C$543</f>
        <v>橄榄花</v>
      </c>
      <c r="K85" s="371"/>
      <c r="L85" s="85" t="s">
        <v>47</v>
      </c>
      <c r="M85" s="84"/>
      <c r="N85" s="499" t="str">
        <f ca="1">Summon!$C$37</f>
        <v>睡眠攻击（全体）</v>
      </c>
      <c r="O85" s="371"/>
      <c r="P85" s="506" t="str">
        <f ca="1">语言!A$406&amp;" (45), "&amp;语言!A$407&amp;" (55)"</f>
        <v>西艾巴霍多山道 (45), 艾巴霍多地下坑道遗迹 (55)</v>
      </c>
      <c r="Q85" s="371"/>
      <c r="R85" s="86"/>
    </row>
    <row r="86" spans="1:18" x14ac:dyDescent="0.2">
      <c r="A86" s="82"/>
      <c r="B86" s="53" t="b">
        <f>OR(清单!B675,清单!B702, 清单!B726, 清单!B755, 清单!B762)</f>
        <v>0</v>
      </c>
      <c r="C86" s="53" t="str">
        <f ca="1">语言!A1232</f>
        <v>沙虫异种</v>
      </c>
      <c r="D86" s="85">
        <v>5</v>
      </c>
      <c r="E86" s="84"/>
      <c r="F86" s="84"/>
      <c r="G86" s="84"/>
      <c r="H86" s="84"/>
      <c r="I86" s="85"/>
      <c r="J86" s="499" t="str">
        <f ca="1">道具!C$543</f>
        <v>橄榄花</v>
      </c>
      <c r="K86" s="371"/>
      <c r="L86" s="85" t="s">
        <v>50</v>
      </c>
      <c r="M86" s="84"/>
      <c r="N86" s="499" t="str">
        <f ca="1">Summon!$C$92</f>
        <v>夹击（全体）</v>
      </c>
      <c r="O86" s="371"/>
      <c r="P86" s="506" t="str">
        <f ca="1">语言!A$421&amp;" (33-35), "&amp;语言!A$422&amp;" (33-35), "&amp;语言!A$425&amp;" (36), "&amp;语言!A$426&amp;" (31), "&amp;语言!A$431&amp;" (50)"</f>
        <v>北威尔斯宾克沙道 (33-35), 东威尔斯宾克沙道 (33-35), 黑市 (36), 西威尔斯宾克沙道 (31), 马尔沙利姆地下墓地 (50)</v>
      </c>
      <c r="Q86" s="371"/>
      <c r="R86" s="86"/>
    </row>
    <row r="87" spans="1:18" x14ac:dyDescent="0.2">
      <c r="A87" s="82"/>
      <c r="B87" s="53" t="b">
        <f>OR(清单!B250, 清单!B1061, 清单!B1067)</f>
        <v>0</v>
      </c>
      <c r="C87" s="53" t="str">
        <f ca="1">语言!A1233</f>
        <v>邪鹿怪异种</v>
      </c>
      <c r="D87" s="85">
        <v>5</v>
      </c>
      <c r="E87" s="84"/>
      <c r="F87" s="84"/>
      <c r="G87" s="84"/>
      <c r="H87" s="84"/>
      <c r="I87" s="84"/>
      <c r="J87" s="499" t="str">
        <f ca="1">道具!C$17</f>
        <v>复活的橄榄（特大）</v>
      </c>
      <c r="K87" s="371"/>
      <c r="L87" s="85" t="s">
        <v>50</v>
      </c>
      <c r="M87" s="84"/>
      <c r="N87" s="499" t="str">
        <f ca="1">Summon!$C$32</f>
        <v>突进（全体）</v>
      </c>
      <c r="O87" s="371"/>
      <c r="P87" s="506" t="str">
        <f ca="1">语言!A$362&amp;" (58), "&amp;语言!A$475&amp;" (45-46)"</f>
        <v>净化之森 (58), 卢贝之森 (45-46)</v>
      </c>
      <c r="Q87" s="371"/>
      <c r="R87" s="86"/>
    </row>
    <row r="88" spans="1:18" x14ac:dyDescent="0.2">
      <c r="A88" s="82"/>
      <c r="B88" s="53" t="b">
        <f>OR(清单!B635, 清单!B645)</f>
        <v>0</v>
      </c>
      <c r="C88" s="53" t="str">
        <f ca="1">语言!A1234</f>
        <v>咬噬蚁异种</v>
      </c>
      <c r="D88" s="85">
        <v>2</v>
      </c>
      <c r="E88" s="84"/>
      <c r="F88" s="84"/>
      <c r="G88" s="84"/>
      <c r="H88" s="85"/>
      <c r="I88" s="85"/>
      <c r="J88" s="499" t="str">
        <f ca="1">道具!C$541</f>
        <v>李子树液</v>
      </c>
      <c r="K88" s="371"/>
      <c r="L88" s="85" t="s">
        <v>46</v>
      </c>
      <c r="M88" s="85"/>
      <c r="N88" s="499" t="str">
        <f ca="1">Summon!$C$153</f>
        <v>酸性蓝</v>
      </c>
      <c r="O88" s="371"/>
      <c r="P88" s="506" t="str">
        <f ca="1">语言!A$416&amp;" (7-11), "&amp;语言!A$417&amp;" (7-11), "&amp;语言!A$418&amp;" (20)"</f>
        <v>南桑谢德沙道 (7-11), 东桑谢德沙道 (7-11), 砂笛洞窟 (20)</v>
      </c>
      <c r="Q88" s="371"/>
      <c r="R88" s="86"/>
    </row>
    <row r="89" spans="1:18" x14ac:dyDescent="0.2">
      <c r="A89" s="82"/>
      <c r="B89" s="53" t="b">
        <f>OR(清单!B228, 清单!B957)</f>
        <v>0</v>
      </c>
      <c r="C89" s="53" t="str">
        <f ca="1">语言!A1235</f>
        <v>高地乌鸦异种</v>
      </c>
      <c r="D89" s="85">
        <v>2</v>
      </c>
      <c r="E89" s="84"/>
      <c r="F89" s="84"/>
      <c r="G89" s="84"/>
      <c r="H89" s="84"/>
      <c r="I89" s="85"/>
      <c r="J89" s="499" t="str">
        <f ca="1">道具!C$539</f>
        <v>混乱多之叶</v>
      </c>
      <c r="K89" s="371"/>
      <c r="L89" s="85" t="s">
        <v>49</v>
      </c>
      <c r="M89" s="84"/>
      <c r="N89" s="499" t="str">
        <f ca="1">Summon!$C$130</f>
        <v>暗黑</v>
      </c>
      <c r="O89" s="371"/>
      <c r="P89" s="506" t="str">
        <f ca="1">语言!A$359&amp;" (40), "&amp;语言!A$462&amp;" (20)"</f>
        <v>黑曜会之馆 (40), 鸟葬洞窟 (20)</v>
      </c>
      <c r="Q89" s="371"/>
      <c r="R89" s="86"/>
    </row>
    <row r="90" spans="1:18" x14ac:dyDescent="0.2">
      <c r="A90" s="82"/>
      <c r="B90" s="53" t="b">
        <f>OR(清单!B194, 清单!B959)</f>
        <v>0</v>
      </c>
      <c r="C90" s="53" t="str">
        <f ca="1">语言!A1236</f>
        <v>黑乌鸦异种</v>
      </c>
      <c r="D90" s="85">
        <v>2</v>
      </c>
      <c r="E90" s="84"/>
      <c r="F90" s="84"/>
      <c r="G90" s="84"/>
      <c r="H90" s="84"/>
      <c r="I90" s="85"/>
      <c r="J90" s="499" t="str">
        <f ca="1">道具!C$539</f>
        <v>混乱多之叶</v>
      </c>
      <c r="K90" s="371"/>
      <c r="L90" s="85" t="s">
        <v>46</v>
      </c>
      <c r="M90" s="84"/>
      <c r="N90" s="499" t="str">
        <f ca="1">Summon!$C$4</f>
        <v>抓击</v>
      </c>
      <c r="O90" s="371"/>
      <c r="P90" s="506" t="str">
        <f ca="1">语言!A$356&amp;" (23-26), "&amp;语言!A$462&amp;" (20)"</f>
        <v>西诺布尔寇德平原 (23-26), 鸟葬洞窟 (20)</v>
      </c>
      <c r="Q90" s="371"/>
      <c r="R90" s="86"/>
    </row>
    <row r="91" spans="1:18" x14ac:dyDescent="0.2">
      <c r="A91" s="82"/>
      <c r="B91" s="53" t="b">
        <f>清单!B756</f>
        <v>0</v>
      </c>
      <c r="C91" s="53" t="str">
        <f ca="1">语言!A1237</f>
        <v>尸骸粪金龟异种</v>
      </c>
      <c r="D91" s="85">
        <v>2</v>
      </c>
      <c r="E91" s="84"/>
      <c r="F91" s="84"/>
      <c r="G91" s="85"/>
      <c r="H91" s="85"/>
      <c r="I91" s="85"/>
      <c r="J91" s="499" t="str">
        <f ca="1">道具!C$14</f>
        <v>复活的橄榄</v>
      </c>
      <c r="K91" s="371"/>
      <c r="L91" s="85" t="s">
        <v>49</v>
      </c>
      <c r="M91" s="84"/>
      <c r="N91" s="499" t="str">
        <f ca="1">Summon!$C$28</f>
        <v>剧毒攻击</v>
      </c>
      <c r="O91" s="371"/>
      <c r="P91" s="506" t="str">
        <f ca="1">语言!A$431&amp;" (50)"</f>
        <v>马尔沙利姆地下墓地 (50)</v>
      </c>
      <c r="Q91" s="371"/>
      <c r="R91" s="86"/>
    </row>
    <row r="92" spans="1:18" x14ac:dyDescent="0.2">
      <c r="A92" s="82"/>
      <c r="B92" s="53" t="b">
        <f>OR(清单!B455, 清单!B509, 清单!B531, 清单!B954)</f>
        <v>0</v>
      </c>
      <c r="C92" s="53" t="str">
        <f ca="1">语言!A1238</f>
        <v>大游隼异种</v>
      </c>
      <c r="D92" s="85">
        <v>3</v>
      </c>
      <c r="E92" s="84"/>
      <c r="F92" s="84"/>
      <c r="G92" s="84"/>
      <c r="H92" s="84"/>
      <c r="I92" s="84"/>
      <c r="J92" s="499" t="str">
        <f ca="1">道具!C$542</f>
        <v>石榴树液</v>
      </c>
      <c r="K92" s="371"/>
      <c r="L92" s="89" t="s">
        <v>46</v>
      </c>
      <c r="M92" s="84"/>
      <c r="N92" s="508" t="str">
        <f ca="1">Summon!$C$116</f>
        <v>风斩</v>
      </c>
      <c r="O92" s="371"/>
      <c r="P92" s="507" t="str">
        <f ca="1">语言!A$390&amp;" (7-11), "&amp;语言!A$391&amp;" (7-11), "&amp;语言!A$393&amp;" (7-11), "&amp;语言!A$398&amp;" (17-20-25-30), "&amp;语言!A$399&amp;" (17-20-25-30), "&amp;语言!A$401&amp;" (26), "&amp;语言!A$462&amp;" (20)"</f>
        <v>南鹅卵石村山道 (7-11), 北鹅卵石村山道 (7-11), 通往山贼大本营的道路 (7-11), 北斯托冈德山道 (17-20-25-30), 西斯托冈德山道 (17-20-25-30), 通往幻影之森的道路 (26), 鸟葬洞窟 (20)</v>
      </c>
      <c r="Q92" s="371"/>
      <c r="R92" s="86"/>
    </row>
    <row r="93" spans="1:18" x14ac:dyDescent="0.2">
      <c r="A93" s="82"/>
      <c r="B93" s="53" t="b">
        <f>OR(清单!B460, 清单!B489, 清单!B686)</f>
        <v>0</v>
      </c>
      <c r="C93" s="53" t="str">
        <f ca="1">语言!A1239</f>
        <v>鳞蛇异种</v>
      </c>
      <c r="D93" s="85">
        <v>3</v>
      </c>
      <c r="E93" s="84"/>
      <c r="F93" s="84"/>
      <c r="G93" s="84"/>
      <c r="H93" s="85"/>
      <c r="I93" s="85"/>
      <c r="J93" s="499" t="str">
        <f ca="1">道具!C$18</f>
        <v>毒治疗药草</v>
      </c>
      <c r="K93" s="371"/>
      <c r="L93" s="85" t="s">
        <v>46</v>
      </c>
      <c r="M93" s="84"/>
      <c r="N93" s="499" t="str">
        <f ca="1">Summon!$C$47</f>
        <v>毒牙</v>
      </c>
      <c r="O93" s="371"/>
      <c r="P93" s="506" t="str">
        <f ca="1">语言!A$392&amp;" (15), "&amp;语言!A$394&amp;" (7-11), "&amp;语言!A$423&amp;" (40)"</f>
        <v>无垢巢穴 (15), 山贼大本营 (7-11), 流沙洞窟 (40)</v>
      </c>
      <c r="Q93" s="371"/>
      <c r="R93" s="86"/>
    </row>
    <row r="94" spans="1:18" x14ac:dyDescent="0.2">
      <c r="A94" s="82"/>
      <c r="B94" s="53" t="b">
        <f>OR(清单!B1058, 清单!B1138)</f>
        <v>0</v>
      </c>
      <c r="C94" s="53" t="str">
        <f ca="1">语言!A1240</f>
        <v>诡异的鸟</v>
      </c>
      <c r="D94" s="85">
        <v>2</v>
      </c>
      <c r="E94" s="84"/>
      <c r="F94" s="84"/>
      <c r="G94" s="84"/>
      <c r="H94" s="84"/>
      <c r="I94" s="85"/>
      <c r="J94" s="499" t="str">
        <f ca="1">道具!C$97</f>
        <v>大鸟的羽毛</v>
      </c>
      <c r="K94" s="371"/>
      <c r="L94" s="85" t="s">
        <v>44</v>
      </c>
      <c r="M94" s="84"/>
      <c r="N94" s="499" t="str">
        <f ca="1">Summon!$C$106</f>
        <v>冰冻之息（全体）</v>
      </c>
      <c r="O94" s="371"/>
      <c r="P94" s="506" t="str">
        <f ca="1">语言!A$475&amp;" (45), "&amp;语言!A$488&amp;" (48)"</f>
        <v>卢贝之森 (45), 不归之森 (48)</v>
      </c>
      <c r="Q94" s="371"/>
      <c r="R94" s="86"/>
    </row>
    <row r="95" spans="1:18" x14ac:dyDescent="0.2">
      <c r="A95" s="82"/>
      <c r="B95" s="53" t="b">
        <f>清单!B945</f>
        <v>0</v>
      </c>
      <c r="C95" s="53" t="str">
        <f ca="1">语言!A1241</f>
        <v>蛋眼</v>
      </c>
      <c r="D95" s="85">
        <v>1</v>
      </c>
      <c r="E95" s="84"/>
      <c r="F95" s="84"/>
      <c r="G95" s="84"/>
      <c r="H95" s="85"/>
      <c r="I95" s="85"/>
      <c r="J95" s="499" t="str">
        <f ca="1">道具!C$539</f>
        <v>混乱多之叶</v>
      </c>
      <c r="K95" s="371"/>
      <c r="L95" s="85" t="s">
        <v>48</v>
      </c>
      <c r="M95" s="84"/>
      <c r="N95" s="499" t="str">
        <f ca="1">Summon!$C$24</f>
        <v>突进</v>
      </c>
      <c r="O95" s="371"/>
      <c r="P95" s="506" t="str">
        <f ca="1">语言!A$460&amp;" (1-4-7-11), "&amp;语言!A$461&amp;" (1-4-7-11)"</f>
        <v>北柏达弗尔崖道 (1-4-7-11), 南柏达弗尔崖道 (1-4-7-11)</v>
      </c>
      <c r="Q95" s="371"/>
      <c r="R95" s="86"/>
    </row>
    <row r="96" spans="1:18" x14ac:dyDescent="0.2">
      <c r="A96" s="82"/>
      <c r="B96" s="53" t="b">
        <f>OR(清单!B684, 清单!B891)</f>
        <v>0</v>
      </c>
      <c r="C96" s="53" t="str">
        <f ca="1">语言!A1242</f>
        <v>双子蛇</v>
      </c>
      <c r="D96" s="85">
        <v>3</v>
      </c>
      <c r="E96" s="84"/>
      <c r="F96" s="84"/>
      <c r="G96" s="84"/>
      <c r="H96" s="85"/>
      <c r="I96" s="85"/>
      <c r="J96" s="499" t="str">
        <f ca="1">道具!C$25</f>
        <v>毒瓶</v>
      </c>
      <c r="K96" s="371"/>
      <c r="L96" s="85" t="s">
        <v>50</v>
      </c>
      <c r="M96" s="84"/>
      <c r="N96" s="499" t="str">
        <f ca="1">Summon!$C$45</f>
        <v>连刺</v>
      </c>
      <c r="O96" s="371"/>
      <c r="P96" s="506" t="str">
        <f ca="1">语言!A$423&amp;" (40), "&amp;语言!A$451&amp;" (45)"</f>
        <v>流沙洞窟 (40), 北利维福德川道 (45)</v>
      </c>
      <c r="Q96" s="371"/>
      <c r="R96" s="86"/>
    </row>
    <row r="97" spans="1:18" x14ac:dyDescent="0.2">
      <c r="A97" s="82"/>
      <c r="B97" s="53" t="b">
        <f>OR(清单!B249, 清单!B1191)</f>
        <v>0</v>
      </c>
      <c r="C97" s="53" t="str">
        <f ca="1">语言!A1243</f>
        <v>双子蛇异种</v>
      </c>
      <c r="D97" s="85">
        <v>3</v>
      </c>
      <c r="E97" s="84"/>
      <c r="F97" s="84"/>
      <c r="G97" s="84"/>
      <c r="H97" s="84"/>
      <c r="I97" s="85"/>
      <c r="J97" s="499" t="str">
        <f ca="1">道具!C$29</f>
        <v>睡眠瓶</v>
      </c>
      <c r="K97" s="371"/>
      <c r="L97" s="85" t="s">
        <v>51</v>
      </c>
      <c r="M97" s="84"/>
      <c r="N97" s="499" t="str">
        <f ca="1">Summon!$C$45</f>
        <v>连刺</v>
      </c>
      <c r="O97" s="371"/>
      <c r="P97" s="506" t="str">
        <f ca="1">语言!A$362&amp;" (58), "&amp;语言!A$492&amp;" (45)"</f>
        <v>净化之森 (58), 东达斯克瓦罗森道 (45)</v>
      </c>
      <c r="Q97" s="371"/>
      <c r="R97" s="86"/>
    </row>
    <row r="98" spans="1:18" x14ac:dyDescent="0.2">
      <c r="A98" s="82"/>
      <c r="B98" s="53" t="b">
        <f>OR(清单!B683, 清单!B$1176)</f>
        <v>0</v>
      </c>
      <c r="C98" s="53" t="str">
        <f ca="1">语言!A1244</f>
        <v>双头蛇</v>
      </c>
      <c r="D98" s="85">
        <v>2</v>
      </c>
      <c r="E98" s="84"/>
      <c r="F98" s="84"/>
      <c r="G98" s="84"/>
      <c r="H98" s="85"/>
      <c r="I98" s="85"/>
      <c r="J98" s="499" t="str">
        <f ca="1">道具!C$27</f>
        <v>混乱瓶</v>
      </c>
      <c r="K98" s="371"/>
      <c r="L98" s="85" t="s">
        <v>50</v>
      </c>
      <c r="M98" s="84"/>
      <c r="N98" s="499" t="str">
        <f ca="1">Summon!$C$54</f>
        <v>混乱之牙（全体）</v>
      </c>
      <c r="O98" s="371"/>
      <c r="P98" s="506" t="str">
        <f ca="1">语言!A$423&amp;" (40), "&amp;语言!A$490&amp;" (34)"</f>
        <v>流沙洞窟 (40), 被遗忘的洞窟 (34)</v>
      </c>
      <c r="Q98" s="371"/>
      <c r="R98" s="86"/>
    </row>
    <row r="99" spans="1:18" x14ac:dyDescent="0.2">
      <c r="A99" s="82"/>
      <c r="B99" s="53" t="b">
        <f>OR(清单!B685, 清单!B1069)</f>
        <v>0</v>
      </c>
      <c r="C99" s="53" t="str">
        <f ca="1">语言!A1245</f>
        <v>双颈蛇</v>
      </c>
      <c r="D99" s="85">
        <v>2</v>
      </c>
      <c r="E99" s="84"/>
      <c r="F99" s="84"/>
      <c r="G99" s="84"/>
      <c r="H99" s="85"/>
      <c r="I99" s="85"/>
      <c r="J99" s="499" t="str">
        <f ca="1">道具!C$27</f>
        <v>混乱瓶</v>
      </c>
      <c r="K99" s="371"/>
      <c r="L99" s="85" t="s">
        <v>44</v>
      </c>
      <c r="M99" s="84"/>
      <c r="N99" s="499" t="str">
        <f ca="1">Summon!$C$52</f>
        <v>连刺（全体）</v>
      </c>
      <c r="O99" s="371"/>
      <c r="P99" s="506" t="str">
        <f ca="1">语言!A$423&amp;" (40), "&amp;语言!A$475&amp;" (46)"</f>
        <v>流沙洞窟 (40), 卢贝之森 (46)</v>
      </c>
      <c r="Q99" s="371"/>
      <c r="R99" s="86"/>
    </row>
    <row r="100" spans="1:18" x14ac:dyDescent="0.2">
      <c r="A100" s="82"/>
      <c r="B100" s="53" t="b">
        <f>OR(清单!B393, 清单!B751, 清单!B770, 清单!B996)</f>
        <v>0</v>
      </c>
      <c r="C100" s="53" t="str">
        <f ca="1">语言!A1246</f>
        <v>火元素</v>
      </c>
      <c r="D100" s="85">
        <v>4</v>
      </c>
      <c r="E100" s="84"/>
      <c r="F100" s="84"/>
      <c r="G100" s="85"/>
      <c r="H100" s="85"/>
      <c r="I100" s="85"/>
      <c r="J100" s="499" t="str">
        <f ca="1">道具!C$32</f>
        <v>火之精灵石（特大）</v>
      </c>
      <c r="K100" s="371"/>
      <c r="L100" s="85" t="s">
        <v>50</v>
      </c>
      <c r="M100" s="84"/>
      <c r="N100" s="499" t="str">
        <f ca="1">Summon!$C$96</f>
        <v>业火（全体）</v>
      </c>
      <c r="O100" s="371"/>
      <c r="P100" s="506" t="str">
        <f ca="1">语言!A$381&amp;" (38), "&amp;语言!A$430&amp;" (45), "&amp;语言!A$432&amp;" (45), "&amp;语言!A$467&amp;" (30)"</f>
        <v>海边洞窟 (38), 东马尔沙利姆沙道 (45), 通往灰色沙丘遗迹的道路 (45), 腐朽的开采所 (30)</v>
      </c>
      <c r="Q100" s="371"/>
      <c r="R100" s="86"/>
    </row>
    <row r="101" spans="1:18" x14ac:dyDescent="0.2">
      <c r="A101" s="82"/>
      <c r="B101" s="53" t="b">
        <f>OR(清单!B927, 清单!B1047, 清单!B1197)</f>
        <v>0</v>
      </c>
      <c r="C101" s="53" t="str">
        <f ca="1">语言!A1247</f>
        <v>魔导机兵（火）・异型</v>
      </c>
      <c r="D101" s="85">
        <v>5</v>
      </c>
      <c r="E101" s="84"/>
      <c r="F101" s="84"/>
      <c r="G101" s="84"/>
      <c r="H101" s="84"/>
      <c r="I101" s="85"/>
      <c r="J101" s="499" t="str">
        <f ca="1">道具!C$31</f>
        <v>火之精灵石（大）</v>
      </c>
      <c r="K101" s="371"/>
      <c r="L101" s="85" t="s">
        <v>51</v>
      </c>
      <c r="M101" s="84"/>
      <c r="N101" s="499" t="str">
        <f ca="1">Summon!$C$96</f>
        <v>业火（全体）</v>
      </c>
      <c r="O101" s="371"/>
      <c r="P101" s="506" t="str">
        <f ca="1">语言!A$455&amp;" (46), "&amp;语言!A$473&amp;" (50), "&amp;语言!A$493&amp;" (45)"</f>
        <v>领主的宅邸 (46), 龙咏神殿 (50), 失落的遗迹 (45)</v>
      </c>
      <c r="Q101" s="371"/>
      <c r="R101" s="86"/>
    </row>
    <row r="102" spans="1:18" x14ac:dyDescent="0.2">
      <c r="A102" s="82"/>
      <c r="B102" s="53" t="b">
        <f>清单!B170</f>
        <v>0</v>
      </c>
      <c r="C102" s="53" t="str">
        <f ca="1">语言!A1248</f>
        <v>魔导机（火）</v>
      </c>
      <c r="D102" s="85">
        <v>1</v>
      </c>
      <c r="E102" s="84"/>
      <c r="F102" s="84"/>
      <c r="G102" s="84"/>
      <c r="H102" s="84"/>
      <c r="I102" s="84"/>
      <c r="J102" s="499" t="str">
        <f ca="1">道具!C$30</f>
        <v>火之精灵石</v>
      </c>
      <c r="K102" s="371"/>
      <c r="L102" s="85" t="s">
        <v>46</v>
      </c>
      <c r="M102" s="84"/>
      <c r="N102" s="499" t="str">
        <f ca="1">Summon!$C$95</f>
        <v>业火</v>
      </c>
      <c r="O102" s="371"/>
      <c r="P102" s="506" t="str">
        <f ca="1">语言!A$353&amp;" (1-4-7-11)"</f>
        <v>地下研究室 (1-4-7-11)</v>
      </c>
      <c r="Q102" s="371"/>
      <c r="R102" s="86"/>
    </row>
    <row r="103" spans="1:18" x14ac:dyDescent="0.2">
      <c r="A103" s="82"/>
      <c r="B103" s="53" t="b">
        <f>OR(清单!B172, 清单!B465)</f>
        <v>0</v>
      </c>
      <c r="C103" s="53" t="str">
        <f ca="1">语言!A1249</f>
        <v>火之鬼火</v>
      </c>
      <c r="D103" s="85">
        <v>1</v>
      </c>
      <c r="E103" s="84"/>
      <c r="F103" s="84"/>
      <c r="G103" s="85"/>
      <c r="H103" s="85"/>
      <c r="I103" s="85"/>
      <c r="J103" s="499" t="str">
        <f ca="1">道具!C$30</f>
        <v>火之精灵石</v>
      </c>
      <c r="K103" s="371"/>
      <c r="L103" s="85" t="s">
        <v>57</v>
      </c>
      <c r="M103" s="84"/>
      <c r="N103" s="499" t="str">
        <f ca="1">Summon!$C$95</f>
        <v>业火</v>
      </c>
      <c r="O103" s="371"/>
      <c r="P103" s="506" t="str">
        <f ca="1">语言!A$353&amp;" (4-7-11), "&amp;语言!A$392&amp;" (15)"</f>
        <v>地下研究室 (4-7-11), 无垢巢穴 (15)</v>
      </c>
      <c r="Q103" s="371"/>
      <c r="R103" s="86"/>
    </row>
    <row r="104" spans="1:18" x14ac:dyDescent="0.2">
      <c r="A104" s="82"/>
      <c r="B104" s="53" t="b">
        <f>OR(清单!B385, 清单!B995)</f>
        <v>0</v>
      </c>
      <c r="C104" s="53" t="str">
        <f ca="1">语言!A1250</f>
        <v>魔导飞器（火）</v>
      </c>
      <c r="D104" s="85">
        <v>2</v>
      </c>
      <c r="E104" s="84"/>
      <c r="F104" s="84"/>
      <c r="G104" s="84"/>
      <c r="H104" s="84"/>
      <c r="I104" s="85"/>
      <c r="J104" s="499" t="str">
        <f ca="1">道具!C$30</f>
        <v>火之精灵石</v>
      </c>
      <c r="K104" s="371"/>
      <c r="L104" s="85" t="s">
        <v>50</v>
      </c>
      <c r="M104" s="84"/>
      <c r="N104" s="499" t="str">
        <f ca="1">Summon!$C$95</f>
        <v>业火</v>
      </c>
      <c r="O104" s="371"/>
      <c r="P104" s="506" t="str">
        <f ca="1">语言!A$380&amp;" (33), "&amp;语言!A$467&amp;" (30)"</f>
        <v>通往海边洞窟的道路 (33), 腐朽的开采所 (30)</v>
      </c>
      <c r="Q104" s="371"/>
      <c r="R104" s="86"/>
    </row>
    <row r="105" spans="1:18" x14ac:dyDescent="0.2">
      <c r="A105" s="82"/>
      <c r="B105" s="53" t="b">
        <f>OR(清单!B928, 清单!B1198)</f>
        <v>0</v>
      </c>
      <c r="C105" s="53" t="str">
        <f ca="1">语言!A1251</f>
        <v>魔导飞器（火）・异型</v>
      </c>
      <c r="D105" s="85">
        <v>3</v>
      </c>
      <c r="E105" s="84"/>
      <c r="F105" s="84"/>
      <c r="G105" s="84"/>
      <c r="H105" s="85"/>
      <c r="I105" s="85"/>
      <c r="J105" s="499" t="str">
        <f ca="1">道具!C$31</f>
        <v>火之精灵石（大）</v>
      </c>
      <c r="K105" s="371"/>
      <c r="L105" s="85" t="s">
        <v>47</v>
      </c>
      <c r="M105" s="84"/>
      <c r="N105" s="499" t="str">
        <f ca="1">Summon!$C$95</f>
        <v>业火</v>
      </c>
      <c r="O105" s="371"/>
      <c r="P105" s="506" t="str">
        <f ca="1">语言!A$455&amp;" (46), "&amp;语言!A$493&amp;" (45)"</f>
        <v>领主的宅邸 (46), 失落的遗迹 (45)</v>
      </c>
      <c r="Q105" s="371"/>
      <c r="R105" s="86"/>
    </row>
    <row r="106" spans="1:18" x14ac:dyDescent="0.2">
      <c r="A106" s="82"/>
      <c r="B106" s="53" t="b">
        <f>清单!B555</f>
        <v>0</v>
      </c>
      <c r="C106" s="53" t="str">
        <f ca="1">语言!A1252</f>
        <v>魔导机兵（火）</v>
      </c>
      <c r="D106" s="85">
        <v>4</v>
      </c>
      <c r="E106" s="84"/>
      <c r="F106" s="84"/>
      <c r="G106" s="84"/>
      <c r="H106" s="84"/>
      <c r="I106" s="85"/>
      <c r="J106" s="499" t="str">
        <f ca="1">道具!C$30</f>
        <v>火之精灵石</v>
      </c>
      <c r="K106" s="371"/>
      <c r="L106" s="85" t="s">
        <v>50</v>
      </c>
      <c r="M106" s="84"/>
      <c r="N106" s="499" t="str">
        <f ca="1">Summon!$C$96</f>
        <v>业火（全体）</v>
      </c>
      <c r="O106" s="371"/>
      <c r="P106" s="506" t="str">
        <f ca="1">语言!A$403&amp;" (40)"</f>
        <v>伊冯的老家 (40)</v>
      </c>
      <c r="Q106" s="371"/>
      <c r="R106" s="86"/>
    </row>
    <row r="107" spans="1:18" x14ac:dyDescent="0.2">
      <c r="A107" s="82"/>
      <c r="B107" s="53" t="b">
        <f>OR(清单!B903, 清单!B1203)</f>
        <v>0</v>
      </c>
      <c r="C107" s="53" t="str">
        <f ca="1">语言!A1253</f>
        <v>古代遗物（火兽）・异型</v>
      </c>
      <c r="D107" s="85">
        <v>3</v>
      </c>
      <c r="E107" s="84"/>
      <c r="F107" s="84"/>
      <c r="G107" s="84"/>
      <c r="H107" s="84"/>
      <c r="I107" s="85"/>
      <c r="J107" s="499" t="str">
        <f ca="1">道具!C$32</f>
        <v>火之精灵石（特大）</v>
      </c>
      <c r="K107" s="371"/>
      <c r="L107" s="85" t="s">
        <v>51</v>
      </c>
      <c r="M107" s="84"/>
      <c r="N107" s="499" t="str">
        <f ca="1">Summon!$C$96</f>
        <v>业火（全体）</v>
      </c>
      <c r="O107" s="371"/>
      <c r="P107" s="506" t="str">
        <f ca="1">语言!A$453&amp;" (50), "&amp;语言!A$494&amp;" (50)"</f>
        <v>豪武匠的祠堂 (50), 魔大公的祠堂 (50)</v>
      </c>
      <c r="Q107" s="371"/>
      <c r="R107" s="86"/>
    </row>
    <row r="108" spans="1:18" x14ac:dyDescent="0.2">
      <c r="A108" s="82"/>
      <c r="B108" s="53" t="b">
        <f>OR(清单!B904, 清单!B1204)</f>
        <v>0</v>
      </c>
      <c r="C108" s="53" t="str">
        <f ca="1">语言!A1254</f>
        <v>古代遗物・火兵</v>
      </c>
      <c r="D108" s="85">
        <v>8</v>
      </c>
      <c r="E108" s="84"/>
      <c r="F108" s="84"/>
      <c r="G108" s="84"/>
      <c r="H108" s="84"/>
      <c r="I108" s="85"/>
      <c r="J108" s="499" t="str">
        <f ca="1">道具!C$8</f>
        <v>ＳＰ全体恢复的李子</v>
      </c>
      <c r="K108" s="371"/>
      <c r="L108" s="85" t="s">
        <v>55</v>
      </c>
      <c r="M108" s="84"/>
      <c r="N108" s="499" t="str">
        <f ca="1">Summon!$C$98</f>
        <v>炼狱之钟（全体）</v>
      </c>
      <c r="O108" s="371"/>
      <c r="P108" s="506" t="str">
        <f ca="1">语言!A$453&amp;" (50), "&amp;语言!A$494&amp;" (50)"</f>
        <v>豪武匠的祠堂 (50), 魔大公的祠堂 (50)</v>
      </c>
      <c r="Q108" s="371"/>
      <c r="R108" s="86"/>
    </row>
    <row r="109" spans="1:18" x14ac:dyDescent="0.2">
      <c r="A109" s="82"/>
      <c r="B109" s="53" t="b">
        <f>清单!B392</f>
        <v>0</v>
      </c>
      <c r="C109" s="53" t="str">
        <f ca="1">语言!A1255</f>
        <v>魔导机（火）・异型</v>
      </c>
      <c r="D109" s="85">
        <v>1</v>
      </c>
      <c r="E109" s="84"/>
      <c r="F109" s="84"/>
      <c r="G109" s="84"/>
      <c r="H109" s="84"/>
      <c r="I109" s="84"/>
      <c r="J109" s="499" t="str">
        <f ca="1">道具!C$31</f>
        <v>火之精灵石（大）</v>
      </c>
      <c r="K109" s="371"/>
      <c r="L109" s="85" t="s">
        <v>49</v>
      </c>
      <c r="M109" s="84"/>
      <c r="N109" s="499" t="str">
        <f ca="1">Summon!$C$95</f>
        <v>业火</v>
      </c>
      <c r="O109" s="371"/>
      <c r="P109" s="506" t="str">
        <f ca="1">语言!A$381&amp;" (38)"</f>
        <v>海边洞窟 (38)</v>
      </c>
      <c r="Q109" s="371"/>
      <c r="R109" s="86"/>
    </row>
    <row r="110" spans="1:18" x14ac:dyDescent="0.2">
      <c r="A110" s="82"/>
      <c r="B110" s="53" t="b">
        <f>清单!B151</f>
        <v>0</v>
      </c>
      <c r="C110" s="53" t="str">
        <f ca="1">语言!A1256</f>
        <v>平原巨蛙 I</v>
      </c>
      <c r="D110" s="85">
        <v>1</v>
      </c>
      <c r="E110" s="84"/>
      <c r="F110" s="84"/>
      <c r="G110" s="84"/>
      <c r="H110" s="85"/>
      <c r="I110" s="85"/>
      <c r="J110" s="499" t="str">
        <f ca="1">道具!C$6</f>
        <v>ＳＰ恢复的李子</v>
      </c>
      <c r="K110" s="371"/>
      <c r="L110" s="85" t="s">
        <v>45</v>
      </c>
      <c r="M110" s="84"/>
      <c r="N110" s="499" t="str">
        <f ca="1">Summon!$C$23</f>
        <v>战斗</v>
      </c>
      <c r="O110" s="371"/>
      <c r="P110" s="506" t="str">
        <f ca="1">语言!A$350&amp;" (1-4-7-11), "&amp;语言!A$351&amp;" (1-4-7-11)"</f>
        <v>东阿特拉斯达姆平原 (1-4-7-11), 北阿特拉斯达姆平原 (1-4-7-11)</v>
      </c>
      <c r="Q110" s="371"/>
      <c r="R110" s="86"/>
    </row>
    <row r="111" spans="1:18" x14ac:dyDescent="0.2">
      <c r="A111" s="82"/>
      <c r="B111" s="53" t="b">
        <f>清单!B152</f>
        <v>0</v>
      </c>
      <c r="C111" s="53" t="str">
        <f ca="1">语言!A1257</f>
        <v>平原巨蛙 II</v>
      </c>
      <c r="D111" s="85">
        <v>2</v>
      </c>
      <c r="E111" s="84"/>
      <c r="F111" s="84"/>
      <c r="G111" s="84"/>
      <c r="H111" s="85"/>
      <c r="I111" s="85"/>
      <c r="J111" s="499" t="str">
        <f ca="1">道具!C$537</f>
        <v>毒利米树之叶</v>
      </c>
      <c r="K111" s="371"/>
      <c r="L111" s="85" t="s">
        <v>48</v>
      </c>
      <c r="M111" s="84"/>
      <c r="N111" s="499" t="str">
        <f ca="1">Summon!$C$31</f>
        <v>战斗（全体）</v>
      </c>
      <c r="O111" s="371"/>
      <c r="P111" s="506" t="str">
        <f ca="1">语言!A$350&amp;" (1-4-7-11), "&amp;语言!A$351&amp;" (1-4-7-11)"</f>
        <v>东阿特拉斯达姆平原 (1-4-7-11), 北阿特拉斯达姆平原 (1-4-7-11)</v>
      </c>
      <c r="Q111" s="371"/>
      <c r="R111" s="86"/>
    </row>
    <row r="112" spans="1:18" x14ac:dyDescent="0.2">
      <c r="A112" s="82"/>
      <c r="B112" s="53" t="b">
        <f>OR(清单!B153, 清单!B160)</f>
        <v>0</v>
      </c>
      <c r="C112" s="53" t="str">
        <f ca="1">语言!A1258</f>
        <v>平原巨蛙 III</v>
      </c>
      <c r="D112" s="85">
        <v>3</v>
      </c>
      <c r="E112" s="84"/>
      <c r="F112" s="84"/>
      <c r="G112" s="84"/>
      <c r="H112" s="85"/>
      <c r="I112" s="85"/>
      <c r="J112" s="499" t="str">
        <f ca="1">道具!C$3</f>
        <v>ＨＰ恢复的葡萄</v>
      </c>
      <c r="K112" s="371"/>
      <c r="L112" s="85" t="s">
        <v>57</v>
      </c>
      <c r="M112" s="84"/>
      <c r="N112" s="499" t="str">
        <f ca="1">Summon!$C$25</f>
        <v>战斗ｘ２</v>
      </c>
      <c r="O112" s="371"/>
      <c r="P112" s="506" t="str">
        <f ca="1">语言!A$350&amp;" (1-4-7-11), "&amp;语言!A$351&amp;" (1-4-7-11), "&amp;语言!A$352&amp;" (15)"</f>
        <v>东阿特拉斯达姆平原 (1-4-7-11), 北阿特拉斯达姆平原 (1-4-7-11), 夜啼之森 (15)</v>
      </c>
      <c r="Q112" s="371"/>
      <c r="R112" s="86"/>
    </row>
    <row r="113" spans="1:18" x14ac:dyDescent="0.2">
      <c r="A113" s="82"/>
      <c r="B113" s="53" t="b">
        <f>OR(清单!B161, 清单!B184)</f>
        <v>0</v>
      </c>
      <c r="C113" s="53" t="str">
        <f ca="1">语言!A1259</f>
        <v>平原巨蛙 IV</v>
      </c>
      <c r="D113" s="85">
        <v>2</v>
      </c>
      <c r="E113" s="84"/>
      <c r="F113" s="84"/>
      <c r="G113" s="84"/>
      <c r="H113" s="85"/>
      <c r="I113" s="85"/>
      <c r="J113" s="499" t="str">
        <f ca="1">道具!C$6</f>
        <v>ＳＰ恢复的李子</v>
      </c>
      <c r="K113" s="371"/>
      <c r="L113" s="85" t="s">
        <v>46</v>
      </c>
      <c r="M113" s="84"/>
      <c r="N113" s="499" t="str">
        <f ca="1">Summon!$C$25</f>
        <v>战斗ｘ２</v>
      </c>
      <c r="O113" s="371"/>
      <c r="P113" s="506" t="str">
        <f ca="1">语言!A$352&amp;" (15), "&amp;语言!A$356&amp;" (17-20-23-26)"</f>
        <v>夜啼之森 (15), 西诺布尔寇德平原 (17-20-23-26)</v>
      </c>
      <c r="Q113" s="371"/>
      <c r="R113" s="86"/>
    </row>
    <row r="114" spans="1:18" x14ac:dyDescent="0.2">
      <c r="A114" s="82"/>
      <c r="B114" s="53" t="b">
        <f>OR(清单!B162, 清单!B185)</f>
        <v>0</v>
      </c>
      <c r="C114" s="53" t="str">
        <f ca="1">语言!A1260</f>
        <v>平原巨蛙 V</v>
      </c>
      <c r="D114" s="85">
        <v>1</v>
      </c>
      <c r="E114" s="84"/>
      <c r="F114" s="84"/>
      <c r="G114" s="84"/>
      <c r="H114" s="85"/>
      <c r="I114" s="85"/>
      <c r="J114" s="499" t="str">
        <f ca="1">道具!C$537</f>
        <v>毒利米树之叶</v>
      </c>
      <c r="K114" s="371"/>
      <c r="L114" s="85" t="s">
        <v>46</v>
      </c>
      <c r="M114" s="84"/>
      <c r="N114" s="499" t="str">
        <f ca="1">Summon!$C$34</f>
        <v>战斗ｘ２（全体）</v>
      </c>
      <c r="O114" s="371"/>
      <c r="P114" s="506" t="str">
        <f ca="1">语言!A$352&amp;" (15), "&amp;语言!A$356&amp;" (17-20-23-26)"</f>
        <v>夜啼之森 (15), 西诺布尔寇德平原 (17-20-23-26)</v>
      </c>
      <c r="Q114" s="371"/>
      <c r="R114" s="86"/>
    </row>
    <row r="115" spans="1:18" x14ac:dyDescent="0.2">
      <c r="A115" s="82"/>
      <c r="B115" s="53" t="b">
        <f>OR(清单!B163, 清单!B186)</f>
        <v>0</v>
      </c>
      <c r="C115" s="53" t="str">
        <f ca="1">语言!A1261</f>
        <v>平原巨蛙 VI</v>
      </c>
      <c r="D115" s="85">
        <v>3</v>
      </c>
      <c r="E115" s="84"/>
      <c r="F115" s="84"/>
      <c r="G115" s="84"/>
      <c r="H115" s="85"/>
      <c r="I115" s="85"/>
      <c r="J115" s="499" t="str">
        <f ca="1">道具!C$4</f>
        <v>ＨＰ恢复的葡萄（大）</v>
      </c>
      <c r="K115" s="371"/>
      <c r="L115" s="85" t="s">
        <v>49</v>
      </c>
      <c r="M115" s="84"/>
      <c r="N115" s="499" t="str">
        <f ca="1">Summon!$C$27</f>
        <v>战斗ｘ３</v>
      </c>
      <c r="O115" s="371"/>
      <c r="P115" s="506" t="str">
        <f ca="1">语言!A$352&amp;" (15), "&amp;语言!A$356&amp;" (23-26)"</f>
        <v>夜啼之森 (15), 西诺布尔寇德平原 (23-26)</v>
      </c>
      <c r="Q115" s="371"/>
      <c r="R115" s="86"/>
    </row>
    <row r="116" spans="1:18" x14ac:dyDescent="0.2">
      <c r="A116" s="82"/>
      <c r="B116" s="53" t="b">
        <f>OR(清单!B187, 清单!B237)</f>
        <v>0</v>
      </c>
      <c r="C116" s="53" t="str">
        <f ca="1">语言!A1262</f>
        <v>平原大巨蛙 I</v>
      </c>
      <c r="D116" s="85">
        <v>4</v>
      </c>
      <c r="E116" s="84"/>
      <c r="F116" s="84"/>
      <c r="G116" s="84"/>
      <c r="H116" s="84"/>
      <c r="I116" s="85"/>
      <c r="J116" s="499" t="str">
        <f ca="1">道具!C$4</f>
        <v>ＨＰ恢复的葡萄（大）</v>
      </c>
      <c r="K116" s="371"/>
      <c r="L116" s="85" t="s">
        <v>49</v>
      </c>
      <c r="M116" s="84"/>
      <c r="N116" s="499" t="str">
        <f ca="1">Summon!$C$58</f>
        <v>战斗ｘ３</v>
      </c>
      <c r="O116" s="371"/>
      <c r="P116" s="506" t="str">
        <f ca="1">语言!A$356&amp;" (23-26), "&amp;语言!A$361&amp;" (45)"</f>
        <v>西诺布尔寇德平原 (23-26), 西维斯帕米尔平原 (45)</v>
      </c>
      <c r="Q116" s="371"/>
      <c r="R116" s="86"/>
    </row>
    <row r="117" spans="1:18" x14ac:dyDescent="0.2">
      <c r="A117" s="82"/>
      <c r="B117" s="53" t="b">
        <f>清单!B238</f>
        <v>0</v>
      </c>
      <c r="C117" s="53" t="str">
        <f ca="1">语言!A1263</f>
        <v>平原大巨蛙 II</v>
      </c>
      <c r="D117" s="85">
        <v>3</v>
      </c>
      <c r="E117" s="84"/>
      <c r="F117" s="84"/>
      <c r="G117" s="84"/>
      <c r="H117" s="84"/>
      <c r="I117" s="85"/>
      <c r="J117" s="499" t="str">
        <f ca="1">道具!C$537</f>
        <v>毒利米树之叶</v>
      </c>
      <c r="K117" s="371"/>
      <c r="L117" s="85" t="s">
        <v>50</v>
      </c>
      <c r="M117" s="84"/>
      <c r="N117" s="499" t="str">
        <f ca="1">Summon!$C$65</f>
        <v>战斗ｘ３（全体）</v>
      </c>
      <c r="O117" s="371"/>
      <c r="P117" s="506" t="str">
        <f ca="1">语言!A$361&amp;" (45)"</f>
        <v>西维斯帕米尔平原 (45)</v>
      </c>
      <c r="Q117" s="371"/>
      <c r="R117" s="86"/>
    </row>
    <row r="118" spans="1:18" x14ac:dyDescent="0.2">
      <c r="A118" s="82"/>
      <c r="B118" s="53" t="b">
        <f>清单!B239</f>
        <v>0</v>
      </c>
      <c r="C118" s="53" t="str">
        <f ca="1">语言!A1264</f>
        <v>平原大巨蛙 III</v>
      </c>
      <c r="D118" s="85">
        <v>5</v>
      </c>
      <c r="E118" s="84"/>
      <c r="F118" s="84"/>
      <c r="G118" s="84"/>
      <c r="H118" s="85"/>
      <c r="I118" s="85"/>
      <c r="J118" s="499" t="str">
        <f ca="1">道具!C$7</f>
        <v>ＳＰ恢复的李子（大）</v>
      </c>
      <c r="K118" s="371"/>
      <c r="L118" s="85" t="s">
        <v>47</v>
      </c>
      <c r="M118" s="84"/>
      <c r="N118" s="499" t="str">
        <f ca="1">Summon!$C$60</f>
        <v>连续加护破解</v>
      </c>
      <c r="O118" s="371"/>
      <c r="P118" s="506" t="str">
        <f ca="1">语言!A$361&amp;" (45)"</f>
        <v>西维斯帕米尔平原 (45)</v>
      </c>
      <c r="Q118" s="371"/>
      <c r="R118" s="86"/>
    </row>
    <row r="119" spans="1:18" x14ac:dyDescent="0.2">
      <c r="A119" s="82"/>
      <c r="B119" s="53" t="b">
        <f>清单!B304</f>
        <v>0</v>
      </c>
      <c r="C119" s="53" t="str">
        <f ca="1">语言!A1265</f>
        <v>飞鱼</v>
      </c>
      <c r="D119" s="85">
        <v>1</v>
      </c>
      <c r="E119" s="84"/>
      <c r="F119" s="84"/>
      <c r="G119" s="84"/>
      <c r="H119" s="84"/>
      <c r="I119" s="85"/>
      <c r="J119" s="499" t="str">
        <f ca="1">道具!C$540</f>
        <v>葡萄树液</v>
      </c>
      <c r="K119" s="371"/>
      <c r="L119" s="85" t="s">
        <v>48</v>
      </c>
      <c r="M119" s="84"/>
      <c r="N119" s="499" t="str">
        <f ca="1">Summon!$C$24</f>
        <v>突进</v>
      </c>
      <c r="O119" s="371"/>
      <c r="P119" s="506" t="str">
        <f ca="1">语言!A$367&amp;" (1-4-7-11), "&amp;语言!A$368&amp;" (1-4-7-11), "&amp;语言!A$370&amp;" (1-4-7-11)"</f>
        <v>东利布尔泰德海道 (1-4-7-11), 北利布尔泰德海道 (1-4-7-11), 通往麦亚洞窟的道路 (1-4-7-11)</v>
      </c>
      <c r="Q119" s="371"/>
      <c r="R119" s="86"/>
    </row>
    <row r="120" spans="1:18" x14ac:dyDescent="0.2">
      <c r="A120" s="82"/>
      <c r="B120" s="53" t="b">
        <f>清单!B1110</f>
        <v>0</v>
      </c>
      <c r="C120" s="53" t="str">
        <f ca="1">语言!A1266</f>
        <v>森林狐狸</v>
      </c>
      <c r="D120" s="85">
        <v>1</v>
      </c>
      <c r="E120" s="84"/>
      <c r="F120" s="84"/>
      <c r="G120" s="84"/>
      <c r="H120" s="84"/>
      <c r="I120" s="85"/>
      <c r="J120" s="499" t="str">
        <f ca="1">道具!C$6</f>
        <v>ＳＰ恢复的李子</v>
      </c>
      <c r="K120" s="371"/>
      <c r="L120" s="85" t="s">
        <v>48</v>
      </c>
      <c r="M120" s="84"/>
      <c r="N120" s="499" t="str">
        <f ca="1">Summon!$C$6</f>
        <v>失明之爪</v>
      </c>
      <c r="O120" s="371"/>
      <c r="P120" s="506" t="str">
        <f ca="1">语言!A$482&amp;" (1-4-7-11)"</f>
        <v>耳语之森 (1-4-7-11)</v>
      </c>
      <c r="Q120" s="371"/>
      <c r="R120" s="86"/>
    </row>
    <row r="121" spans="1:18" x14ac:dyDescent="0.2">
      <c r="A121" s="82"/>
      <c r="B121" s="53" t="b">
        <f>OR(清单!B1087, 清单!B1107)</f>
        <v>0</v>
      </c>
      <c r="C121" s="53" t="str">
        <f ca="1">语言!A1267</f>
        <v>森林鼠人 I</v>
      </c>
      <c r="D121" s="85">
        <v>1</v>
      </c>
      <c r="E121" s="84"/>
      <c r="F121" s="84"/>
      <c r="G121" s="84"/>
      <c r="H121" s="84"/>
      <c r="I121" s="85"/>
      <c r="J121" s="499" t="str">
        <f ca="1">道具!C$3</f>
        <v>ＨＰ恢复的葡萄</v>
      </c>
      <c r="K121" s="371"/>
      <c r="L121" s="85" t="s">
        <v>45</v>
      </c>
      <c r="M121" s="84"/>
      <c r="N121" s="499" t="str">
        <f ca="1">Summon!$C$67</f>
        <v>战斗</v>
      </c>
      <c r="O121" s="371"/>
      <c r="P121" s="506" t="str">
        <f ca="1">语言!A$478&amp;" (1-4-7-11), "&amp;语言!A$479&amp;" (1-4-7-11), "&amp;语言!A$481&amp;" (1-4-7-11), "&amp;语言!A$482&amp;" (1-4-7-11)"</f>
        <v>北希・沃尔基森道 (1-4-7-11), 西希・沃尔基森道 (1-4-7-11), 通往耳语之森的道路 (1-4-7-11), 耳语之森 (1-4-7-11)</v>
      </c>
      <c r="Q121" s="371"/>
      <c r="R121" s="86"/>
    </row>
    <row r="122" spans="1:18" x14ac:dyDescent="0.2">
      <c r="A122" s="82"/>
      <c r="B122" s="53" t="b">
        <f>OR(清单!B1088, 清单!B1108)</f>
        <v>0</v>
      </c>
      <c r="C122" s="53" t="str">
        <f ca="1">语言!A1268</f>
        <v>森林鼠人 II</v>
      </c>
      <c r="D122" s="85">
        <v>2</v>
      </c>
      <c r="E122" s="84"/>
      <c r="F122" s="84"/>
      <c r="G122" s="84"/>
      <c r="H122" s="84"/>
      <c r="I122" s="85"/>
      <c r="J122" s="499" t="str">
        <f ca="1">道具!C$540</f>
        <v>葡萄树液</v>
      </c>
      <c r="K122" s="371"/>
      <c r="L122" s="85" t="s">
        <v>48</v>
      </c>
      <c r="M122" s="84"/>
      <c r="N122" s="499" t="str">
        <f ca="1">Summon!$C$74</f>
        <v>战斗（全体）</v>
      </c>
      <c r="O122" s="371"/>
      <c r="P122" s="506" t="str">
        <f ca="1">语言!A$478&amp;" (1-4-7-11), "&amp;语言!A$479&amp;" (1-4-7-11), "&amp;语言!A$481&amp;" (1-4-7-11), "&amp;语言!A$482&amp;" (1-4-7-11)"</f>
        <v>北希・沃尔基森道 (1-4-7-11), 西希・沃尔基森道 (1-4-7-11), 通往耳语之森的道路 (1-4-7-11), 耳语之森 (1-4-7-11)</v>
      </c>
      <c r="Q122" s="371"/>
      <c r="R122" s="86"/>
    </row>
    <row r="123" spans="1:18" x14ac:dyDescent="0.2">
      <c r="A123" s="82"/>
      <c r="B123" s="53" t="b">
        <f>OR(清单!B1089, 清单!B1109)</f>
        <v>0</v>
      </c>
      <c r="C123" s="53" t="str">
        <f ca="1">语言!A1269</f>
        <v>森林鼠人 III</v>
      </c>
      <c r="D123" s="85">
        <v>4</v>
      </c>
      <c r="E123" s="84"/>
      <c r="F123" s="84"/>
      <c r="G123" s="84"/>
      <c r="H123" s="85"/>
      <c r="I123" s="85"/>
      <c r="J123" s="499" t="str">
        <f ca="1">道具!C$6</f>
        <v>ＳＰ恢复的李子</v>
      </c>
      <c r="K123" s="371"/>
      <c r="L123" s="85" t="s">
        <v>57</v>
      </c>
      <c r="M123" s="84"/>
      <c r="N123" s="499" t="str">
        <f ca="1">Summon!$C$69</f>
        <v>战斗ｘ２</v>
      </c>
      <c r="O123" s="371"/>
      <c r="P123" s="506" t="str">
        <f ca="1">语言!A$478&amp;" (1-4-7-11), "&amp;语言!A$479&amp;" (1-4-7-11), "&amp;语言!A$481&amp;" (1-4-7-11), "&amp;语言!A$482&amp;" (1-4-7-11)"</f>
        <v>北希・沃尔基森道 (1-4-7-11), 西希・沃尔基森道 (1-4-7-11), 通往耳语之森的道路 (1-4-7-11), 耳语之森 (1-4-7-11)</v>
      </c>
      <c r="Q123" s="371"/>
      <c r="R123" s="86"/>
    </row>
    <row r="124" spans="1:18" x14ac:dyDescent="0.2">
      <c r="A124" s="82"/>
      <c r="B124" s="53" t="b">
        <f>清单!B1122</f>
        <v>0</v>
      </c>
      <c r="C124" s="53" t="str">
        <f ca="1">语言!A1270</f>
        <v>森林鼠人 IV</v>
      </c>
      <c r="D124" s="85">
        <v>2</v>
      </c>
      <c r="E124" s="84"/>
      <c r="F124" s="84"/>
      <c r="G124" s="84"/>
      <c r="H124" s="84"/>
      <c r="I124" s="85"/>
      <c r="J124" s="499" t="str">
        <f ca="1">道具!C$3</f>
        <v>ＨＰ恢复的葡萄</v>
      </c>
      <c r="K124" s="371"/>
      <c r="L124" s="85" t="s">
        <v>46</v>
      </c>
      <c r="M124" s="84"/>
      <c r="N124" s="499" t="str">
        <f ca="1">Summon!$C$69</f>
        <v>战斗ｘ２</v>
      </c>
      <c r="O124" s="371"/>
      <c r="P124" s="506" t="str">
        <f ca="1">语言!A$486&amp;" (21-24-29-34)"</f>
        <v>东维克塔霍洛森道 (21-24-29-34)</v>
      </c>
      <c r="Q124" s="371"/>
      <c r="R124" s="86"/>
    </row>
    <row r="125" spans="1:18" x14ac:dyDescent="0.2">
      <c r="A125" s="82"/>
      <c r="B125" s="53" t="b">
        <f>清单!B1123</f>
        <v>0</v>
      </c>
      <c r="C125" s="53" t="str">
        <f ca="1">语言!A1271</f>
        <v>森林鼠人 V</v>
      </c>
      <c r="D125" s="85">
        <v>3</v>
      </c>
      <c r="E125" s="84"/>
      <c r="F125" s="84"/>
      <c r="G125" s="84"/>
      <c r="H125" s="84"/>
      <c r="I125" s="85"/>
      <c r="J125" s="499" t="str">
        <f ca="1">道具!C$540</f>
        <v>葡萄树液</v>
      </c>
      <c r="K125" s="371"/>
      <c r="L125" s="85" t="s">
        <v>46</v>
      </c>
      <c r="M125" s="84"/>
      <c r="N125" s="499" t="str">
        <f ca="1">Summon!$C$75</f>
        <v>战斗ｘ２（全体）</v>
      </c>
      <c r="O125" s="371"/>
      <c r="P125" s="506" t="str">
        <f ca="1">语言!A$486&amp;" (21-24-29-34)"</f>
        <v>东维克塔霍洛森道 (21-24-29-34)</v>
      </c>
      <c r="Q125" s="371"/>
      <c r="R125" s="86"/>
    </row>
    <row r="126" spans="1:18" x14ac:dyDescent="0.2">
      <c r="A126" s="82"/>
      <c r="B126" s="53" t="b">
        <f>清单!B1124</f>
        <v>0</v>
      </c>
      <c r="C126" s="53" t="str">
        <f ca="1">语言!A1272</f>
        <v>森林鼠人 VI</v>
      </c>
      <c r="D126" s="85">
        <v>1</v>
      </c>
      <c r="E126" s="84"/>
      <c r="F126" s="84"/>
      <c r="G126" s="84"/>
      <c r="H126" s="85"/>
      <c r="I126" s="85"/>
      <c r="J126" s="499" t="str">
        <f ca="1">道具!C$6</f>
        <v>ＳＰ恢复的李子</v>
      </c>
      <c r="K126" s="371"/>
      <c r="L126" s="85" t="s">
        <v>49</v>
      </c>
      <c r="M126" s="84"/>
      <c r="N126" s="499" t="str">
        <f ca="1">Summon!$C$70</f>
        <v>战斗ｘ３</v>
      </c>
      <c r="O126" s="371"/>
      <c r="P126" s="506" t="str">
        <f ca="1">语言!A$486&amp;" (24-29-34)"</f>
        <v>东维克塔霍洛森道 (24-29-34)</v>
      </c>
      <c r="Q126" s="371"/>
      <c r="R126" s="86"/>
    </row>
    <row r="127" spans="1:18" x14ac:dyDescent="0.2">
      <c r="A127" s="82"/>
      <c r="B127" s="53" t="b">
        <f>OR(清单!B1125, 清单!B1187)</f>
        <v>0</v>
      </c>
      <c r="C127" s="53" t="str">
        <f ca="1">语言!A1273</f>
        <v>森林大鼠人 I</v>
      </c>
      <c r="D127" s="85">
        <v>3</v>
      </c>
      <c r="E127" s="84"/>
      <c r="F127" s="84"/>
      <c r="G127" s="84"/>
      <c r="H127" s="84"/>
      <c r="I127" s="85"/>
      <c r="J127" s="499" t="str">
        <f ca="1">道具!C$6</f>
        <v>ＳＰ恢复的李子</v>
      </c>
      <c r="K127" s="371"/>
      <c r="L127" s="85" t="s">
        <v>49</v>
      </c>
      <c r="M127" s="84"/>
      <c r="N127" s="499" t="str">
        <f ca="1">Summon!$C$27</f>
        <v>战斗ｘ３</v>
      </c>
      <c r="O127" s="371"/>
      <c r="P127" s="506" t="str">
        <f ca="1">语言!A$486&amp;" (29-34), "&amp;语言!A$492&amp;" (45)"</f>
        <v>东维克塔霍洛森道 (29-34), 东达斯克瓦罗森道 (45)</v>
      </c>
      <c r="Q127" s="371"/>
      <c r="R127" s="86"/>
    </row>
    <row r="128" spans="1:18" x14ac:dyDescent="0.2">
      <c r="A128" s="82"/>
      <c r="B128" s="53" t="b">
        <f>清单!B1188</f>
        <v>0</v>
      </c>
      <c r="C128" s="53" t="str">
        <f ca="1">语言!A1274</f>
        <v>森林大鼠人 II</v>
      </c>
      <c r="D128" s="85">
        <v>2</v>
      </c>
      <c r="E128" s="84"/>
      <c r="F128" s="84"/>
      <c r="G128" s="84"/>
      <c r="H128" s="84"/>
      <c r="I128" s="85"/>
      <c r="J128" s="499" t="str">
        <f ca="1">道具!C$540</f>
        <v>葡萄树液</v>
      </c>
      <c r="K128" s="371"/>
      <c r="L128" s="85" t="s">
        <v>50</v>
      </c>
      <c r="M128" s="84"/>
      <c r="N128" s="499" t="str">
        <f ca="1">Summon!$C$35</f>
        <v>战斗ｘ３（全体）</v>
      </c>
      <c r="O128" s="371"/>
      <c r="P128" s="506" t="str">
        <f ca="1">语言!A$492&amp;" (45)"</f>
        <v>东达斯克瓦罗森道 (45)</v>
      </c>
      <c r="Q128" s="371"/>
      <c r="R128" s="86"/>
    </row>
    <row r="129" spans="1:18" x14ac:dyDescent="0.2">
      <c r="A129" s="82"/>
      <c r="B129" s="53" t="b">
        <f>清单!B1189</f>
        <v>0</v>
      </c>
      <c r="C129" s="53" t="str">
        <f ca="1">语言!A1275</f>
        <v>森林大鼠人 III</v>
      </c>
      <c r="D129" s="85">
        <v>4</v>
      </c>
      <c r="E129" s="84"/>
      <c r="F129" s="84"/>
      <c r="G129" s="84"/>
      <c r="H129" s="85"/>
      <c r="I129" s="85"/>
      <c r="J129" s="499" t="str">
        <f ca="1">道具!C$10</f>
        <v>ＢＰ恢复的石榴（大）</v>
      </c>
      <c r="K129" s="371"/>
      <c r="L129" s="85" t="s">
        <v>47</v>
      </c>
      <c r="M129" s="84"/>
      <c r="N129" s="499" t="str">
        <f ca="1">Summon!$C$30</f>
        <v>连续加速之枪</v>
      </c>
      <c r="O129" s="371"/>
      <c r="P129" s="506" t="str">
        <f ca="1">语言!A$492&amp;" (45)"</f>
        <v>东达斯克瓦罗森道 (45)</v>
      </c>
      <c r="Q129" s="371"/>
      <c r="R129" s="86"/>
    </row>
    <row r="130" spans="1:18" x14ac:dyDescent="0.2">
      <c r="A130" s="82"/>
      <c r="B130" s="53" t="b">
        <f>OR(清单!B20,清单!B52, 清单!B77)</f>
        <v>0</v>
      </c>
      <c r="C130" s="53" t="str">
        <f ca="1">语言!A1276</f>
        <v>冰霜熊</v>
      </c>
      <c r="D130" s="85">
        <v>3</v>
      </c>
      <c r="E130" s="84"/>
      <c r="F130" s="84"/>
      <c r="G130" s="84"/>
      <c r="H130" s="85"/>
      <c r="I130" s="85"/>
      <c r="J130" s="499" t="str">
        <f ca="1">道具!C$543</f>
        <v>橄榄花</v>
      </c>
      <c r="K130" s="371"/>
      <c r="L130" s="85" t="s">
        <v>49</v>
      </c>
      <c r="M130" s="84"/>
      <c r="N130" s="499" t="str">
        <f ca="1">Summon!$C$90</f>
        <v>怒涛殴打（全体）</v>
      </c>
      <c r="O130" s="371"/>
      <c r="P130" s="506" t="str">
        <f ca="1">语言!A$328&amp;" (11), "&amp;语言!A$329&amp;" (11), "&amp;语言!A$331&amp;" (11), "&amp;语言!A$334&amp;" (20-23-26), "&amp;语言!A$336&amp;" (20)"</f>
        <v>北弗雷姆葛雷斯雪道 (11), 西弗雷姆葛雷斯雪道 (11), 通往原初洞窟的道路 (11), 西史迪尔斯诺雪道 (20-23-26), 通往黑曜馆的道路 (20)</v>
      </c>
      <c r="Q130" s="371"/>
      <c r="R130" s="86"/>
    </row>
    <row r="131" spans="1:18" x14ac:dyDescent="0.2">
      <c r="A131" s="82"/>
      <c r="B131" s="53" t="b">
        <f>清单!B16</f>
        <v>0</v>
      </c>
      <c r="C131" s="53" t="str">
        <f ca="1">语言!A1277</f>
        <v>白雪狐狸</v>
      </c>
      <c r="D131" s="85">
        <v>3</v>
      </c>
      <c r="E131" s="84"/>
      <c r="F131" s="84"/>
      <c r="G131" s="84"/>
      <c r="H131" s="85"/>
      <c r="I131" s="85"/>
      <c r="J131" s="499" t="str">
        <f ca="1">道具!C$542</f>
        <v>石榴树液</v>
      </c>
      <c r="K131" s="371"/>
      <c r="L131" s="85" t="s">
        <v>46</v>
      </c>
      <c r="M131" s="84"/>
      <c r="N131" s="499" t="str">
        <f ca="1">Summon!$C$100</f>
        <v>冰冻</v>
      </c>
      <c r="O131" s="371"/>
      <c r="P131" s="506" t="str">
        <f ca="1">语言!A$328&amp;" (7-11), "&amp;语言!A$329&amp;" (7-11), "&amp;语言!A$331&amp;" (7-11)"</f>
        <v>北弗雷姆葛雷斯雪道 (7-11), 西弗雷姆葛雷斯雪道 (7-11), 通往原初洞窟的道路 (7-11)</v>
      </c>
      <c r="Q131" s="371"/>
      <c r="R131" s="86"/>
    </row>
    <row r="132" spans="1:18" x14ac:dyDescent="0.2">
      <c r="A132" s="82"/>
      <c r="B132" s="53" t="b">
        <f>清单!B97</f>
        <v>0</v>
      </c>
      <c r="C132" s="53" t="str">
        <f ca="1">语言!A1278</f>
        <v>雪蛇鸟</v>
      </c>
      <c r="D132" s="85">
        <v>2</v>
      </c>
      <c r="E132" s="84"/>
      <c r="F132" s="84"/>
      <c r="G132" s="84"/>
      <c r="H132" s="84"/>
      <c r="I132" s="85"/>
      <c r="J132" s="499" t="str">
        <f ca="1">道具!C$10</f>
        <v>ＢＰ恢复的石榴（大）</v>
      </c>
      <c r="K132" s="371"/>
      <c r="L132" s="85" t="s">
        <v>46</v>
      </c>
      <c r="M132" s="84"/>
      <c r="N132" s="499" t="str">
        <f ca="1">Summon!$C$116</f>
        <v>风斩</v>
      </c>
      <c r="O132" s="371"/>
      <c r="P132" s="506" t="str">
        <f ca="1">语言!A$339&amp;" (38)"</f>
        <v>白色森林 (38)</v>
      </c>
      <c r="Q132" s="371"/>
      <c r="R132" s="86"/>
    </row>
    <row r="133" spans="1:18" x14ac:dyDescent="0.2">
      <c r="A133" s="82"/>
      <c r="B133" s="53" t="b">
        <f>OR(清单!B241, 清单!B247, 清单!B413, 清单!B1136)</f>
        <v>0</v>
      </c>
      <c r="C133" s="53" t="str">
        <f ca="1">语言!A1279</f>
        <v>狂暴菌类</v>
      </c>
      <c r="D133" s="85">
        <v>2</v>
      </c>
      <c r="E133" s="84"/>
      <c r="F133" s="84"/>
      <c r="G133" s="84"/>
      <c r="H133" s="84"/>
      <c r="I133" s="85"/>
      <c r="J133" s="499" t="str">
        <f ca="1">道具!C$24</f>
        <v>昏迷治疗药草</v>
      </c>
      <c r="K133" s="371"/>
      <c r="L133" s="85" t="s">
        <v>51</v>
      </c>
      <c r="M133" s="85"/>
      <c r="N133" s="499" t="str">
        <f ca="1">Summon!$C$137</f>
        <v>持续光合成（ＨＰ）</v>
      </c>
      <c r="O133" s="371"/>
      <c r="P133" s="506" t="str">
        <f ca="1">语言!A$361&amp;" (45), "&amp;语言!A$362&amp;" (58), "&amp;语言!A$386&amp;" (50), "&amp;语言!A$488&amp;" (48)"</f>
        <v>西维斯帕米尔平原 (45), 净化之森 (58), 腐王入江口 (50), 不归之森 (48)</v>
      </c>
      <c r="Q133" s="371"/>
      <c r="R133" s="86"/>
    </row>
    <row r="134" spans="1:18" x14ac:dyDescent="0.2">
      <c r="A134" s="82"/>
      <c r="B134" s="53" t="b">
        <f>清单!B1113</f>
        <v>0</v>
      </c>
      <c r="C134" s="53" t="str">
        <f ca="1">语言!A1280</f>
        <v>辉长岩犰狳</v>
      </c>
      <c r="D134" s="85">
        <v>2</v>
      </c>
      <c r="E134" s="84"/>
      <c r="F134" s="84"/>
      <c r="G134" s="84"/>
      <c r="H134" s="85"/>
      <c r="I134" s="85"/>
      <c r="J134" s="499" t="str">
        <f ca="1">道具!C$540</f>
        <v>葡萄树液</v>
      </c>
      <c r="K134" s="371"/>
      <c r="L134" s="85" t="s">
        <v>48</v>
      </c>
      <c r="M134" s="84"/>
      <c r="N134" s="499" t="str">
        <f ca="1">Summon!$C$24</f>
        <v>突进</v>
      </c>
      <c r="O134" s="371"/>
      <c r="P134" s="506" t="str">
        <f ca="1">语言!A$482&amp;" (1-4-7-11)"</f>
        <v>耳语之森 (1-4-7-11)</v>
      </c>
      <c r="Q134" s="371"/>
      <c r="R134" s="86"/>
    </row>
    <row r="135" spans="1:18" x14ac:dyDescent="0.2">
      <c r="A135" s="82"/>
      <c r="B135" s="53" t="b">
        <f>OR(清单!B873, 清单!B1127, 清单!B1172)</f>
        <v>0</v>
      </c>
      <c r="C135" s="53" t="str">
        <f ca="1">语言!A1281</f>
        <v>大牙野猪异种</v>
      </c>
      <c r="D135" s="85">
        <v>3</v>
      </c>
      <c r="E135" s="84"/>
      <c r="F135" s="84"/>
      <c r="G135" s="84"/>
      <c r="H135" s="85"/>
      <c r="I135" s="85"/>
      <c r="J135" s="499" t="str">
        <f ca="1">道具!C$543</f>
        <v>橄榄花</v>
      </c>
      <c r="K135" s="371"/>
      <c r="L135" s="85" t="s">
        <v>50</v>
      </c>
      <c r="M135" s="84"/>
      <c r="N135" s="499" t="str">
        <f ca="1">Summon!$C$33</f>
        <v>大突进（全体）</v>
      </c>
      <c r="O135" s="371"/>
      <c r="P135" s="506" t="str">
        <f ca="1">语言!A$448&amp;" (32), "&amp;语言!A$486&amp;" (29-34), "&amp;语言!A$489&amp;" (33)"</f>
        <v>利维耶拉之森 (32), 东维克塔霍洛森道 (29-34), 通往被遗忘的洞窟的道路 (33)</v>
      </c>
      <c r="Q135" s="371"/>
      <c r="R135" s="86"/>
    </row>
    <row r="136" spans="1:18" x14ac:dyDescent="0.2">
      <c r="A136" s="82"/>
      <c r="B136" s="53" t="b">
        <f>OR(清单!B1093, 清单!B1098, 清单!B1126)</f>
        <v>0</v>
      </c>
      <c r="C136" s="53" t="str">
        <f ca="1">语言!A1282</f>
        <v>大牙野猪</v>
      </c>
      <c r="D136" s="85">
        <v>2</v>
      </c>
      <c r="E136" s="84"/>
      <c r="F136" s="84"/>
      <c r="G136" s="84"/>
      <c r="H136" s="85"/>
      <c r="I136" s="85"/>
      <c r="J136" s="499" t="str">
        <f ca="1">道具!C$543</f>
        <v>橄榄花</v>
      </c>
      <c r="K136" s="371"/>
      <c r="L136" s="85" t="s">
        <v>49</v>
      </c>
      <c r="M136" s="84"/>
      <c r="N136" s="499" t="str">
        <f ca="1">Summon!$C$33</f>
        <v>大突进（全体）</v>
      </c>
      <c r="O136" s="371"/>
      <c r="P136" s="506" t="str">
        <f ca="1">语言!A$478&amp;" (11), "&amp;语言!A$479&amp;" (11), "&amp;语言!A$480&amp;" (15), "&amp;语言!A$481&amp;" (11), "&amp;语言!A$486&amp;" (21-24)"</f>
        <v>北希・沃尔基森道 (11), 西希・沃尔基森道 (11), 兽径 (15), 通往耳语之森的道路 (11), 东维克塔霍洛森道 (21-24)</v>
      </c>
      <c r="Q136" s="371"/>
      <c r="R136" s="86"/>
    </row>
    <row r="137" spans="1:18" x14ac:dyDescent="0.2">
      <c r="A137" s="82"/>
      <c r="B137" s="53" t="b">
        <f>OR(清单!B1041, 清单!B1063)</f>
        <v>0</v>
      </c>
      <c r="C137" s="53" t="str">
        <f ca="1">语言!A1283</f>
        <v>大鹫</v>
      </c>
      <c r="D137" s="85">
        <v>1</v>
      </c>
      <c r="E137" s="84"/>
      <c r="F137" s="85"/>
      <c r="G137" s="85"/>
      <c r="H137" s="85"/>
      <c r="I137" s="85"/>
      <c r="J137" s="499" t="str">
        <f ca="1">道具!C$97</f>
        <v>大鸟的羽毛</v>
      </c>
      <c r="K137" s="371"/>
      <c r="L137" s="85" t="s">
        <v>50</v>
      </c>
      <c r="M137" s="84"/>
      <c r="N137" s="499" t="str">
        <f ca="1">Summon!$C$116</f>
        <v>风斩</v>
      </c>
      <c r="O137" s="371"/>
      <c r="P137" s="506" t="str">
        <f ca="1">语言!A$472&amp;" (45), "&amp;语言!A$475&amp;" (45)"</f>
        <v>南欧亚威尔崖道 (45), 卢贝之森 (45)</v>
      </c>
      <c r="Q137" s="371"/>
      <c r="R137" s="86"/>
    </row>
    <row r="138" spans="1:18" x14ac:dyDescent="0.2">
      <c r="A138" s="82"/>
      <c r="B138" s="53" t="b">
        <f>清单!B454</f>
        <v>0</v>
      </c>
      <c r="C138" s="53" t="str">
        <f ca="1">语言!A1284</f>
        <v>大游隼</v>
      </c>
      <c r="D138" s="85">
        <v>1</v>
      </c>
      <c r="E138" s="84"/>
      <c r="F138" s="84"/>
      <c r="G138" s="84"/>
      <c r="H138" s="84"/>
      <c r="I138" s="84"/>
      <c r="J138" s="499" t="str">
        <f ca="1">道具!C$542</f>
        <v>石榴树液</v>
      </c>
      <c r="K138" s="371"/>
      <c r="L138" s="85" t="s">
        <v>48</v>
      </c>
      <c r="M138" s="84"/>
      <c r="N138" s="499" t="str">
        <f ca="1">Summon!$C$116</f>
        <v>风斩</v>
      </c>
      <c r="O138" s="371"/>
      <c r="P138" s="506" t="str">
        <f ca="1">语言!A$390&amp;" (1-4-7-11), "&amp;语言!A$391&amp;" (1-4-7-11), "&amp;语言!A$393&amp;" (1-4-7-11)"</f>
        <v>南鹅卵石村山道 (1-4-7-11), 北鹅卵石村山道 (1-4-7-11), 通往山贼大本营的道路 (1-4-7-11)</v>
      </c>
      <c r="Q138" s="371"/>
      <c r="R138" s="86"/>
    </row>
    <row r="139" spans="1:18" x14ac:dyDescent="0.2">
      <c r="A139" s="82"/>
      <c r="B139" s="53" t="b">
        <f>OR(清单!B898, 清单!B918)</f>
        <v>0</v>
      </c>
      <c r="C139" s="53" t="str">
        <f ca="1">语言!A1285</f>
        <v>巨大短鼻鳄</v>
      </c>
      <c r="D139" s="85">
        <v>2</v>
      </c>
      <c r="E139" s="84"/>
      <c r="F139" s="84"/>
      <c r="G139" s="84"/>
      <c r="H139" s="85"/>
      <c r="I139" s="85"/>
      <c r="J139" s="499" t="str">
        <f ca="1">道具!C$16</f>
        <v>复活的橄榄（大）</v>
      </c>
      <c r="K139" s="371"/>
      <c r="L139" s="85" t="s">
        <v>44</v>
      </c>
      <c r="M139" s="84"/>
      <c r="N139" s="499" t="str">
        <f ca="1">Summon!$C$55</f>
        <v>全力狂暴（全体）</v>
      </c>
      <c r="O139" s="371"/>
      <c r="P139" s="506" t="str">
        <f ca="1">语言!A$452&amp;" (50), "&amp;语言!A$454&amp;" (45)"</f>
        <v>贵族的藏身处遗迹 (50), 通往领主宅邸的密道 (45)</v>
      </c>
      <c r="Q139" s="371"/>
      <c r="R139" s="86"/>
    </row>
    <row r="140" spans="1:18" x14ac:dyDescent="0.2">
      <c r="A140" s="82"/>
      <c r="B140" s="53" t="b">
        <f>OR(清单!B641, 清单!B676)</f>
        <v>0</v>
      </c>
      <c r="C140" s="53" t="str">
        <f ca="1">语言!A1286</f>
        <v>大蝎子</v>
      </c>
      <c r="D140" s="85">
        <v>2</v>
      </c>
      <c r="E140" s="84"/>
      <c r="F140" s="84"/>
      <c r="G140" s="84"/>
      <c r="H140" s="85"/>
      <c r="I140" s="85"/>
      <c r="J140" s="499" t="str">
        <f ca="1">道具!C$542</f>
        <v>石榴树液</v>
      </c>
      <c r="K140" s="371"/>
      <c r="L140" s="85" t="s">
        <v>46</v>
      </c>
      <c r="M140" s="84"/>
      <c r="N140" s="499" t="str">
        <f ca="1">Summon!$C$16</f>
        <v>剧毒之爪（全体）</v>
      </c>
      <c r="O140" s="371"/>
      <c r="P140" s="506" t="str">
        <f ca="1">语言!A$418&amp;" (20), "&amp;语言!A$421&amp;" (31-32-33), "&amp;语言!A$422&amp;" (31-32-33)"</f>
        <v>砂笛洞窟 (20), 北威尔斯宾克沙道 (31-32-33), 东威尔斯宾克沙道 (31-32-33)</v>
      </c>
      <c r="Q140" s="371"/>
      <c r="R140" s="86"/>
    </row>
    <row r="141" spans="1:18" x14ac:dyDescent="0.2">
      <c r="A141" s="82"/>
      <c r="B141" s="53" t="b">
        <f>OR(清单!B157, 清单!B188)</f>
        <v>0</v>
      </c>
      <c r="C141" s="53" t="str">
        <f ca="1">语言!A1287</f>
        <v>大绵羊</v>
      </c>
      <c r="D141" s="85">
        <v>3</v>
      </c>
      <c r="E141" s="84"/>
      <c r="F141" s="84"/>
      <c r="G141" s="85"/>
      <c r="H141" s="85"/>
      <c r="I141" s="85"/>
      <c r="J141" s="499" t="str">
        <f ca="1">道具!C$543</f>
        <v>橄榄花</v>
      </c>
      <c r="K141" s="371"/>
      <c r="L141" s="85" t="s">
        <v>49</v>
      </c>
      <c r="M141" s="85"/>
      <c r="N141" s="499" t="str">
        <f ca="1">Summon!$C$140</f>
        <v>理毛（全体）</v>
      </c>
      <c r="O141" s="371"/>
      <c r="P141" s="506" t="str">
        <f ca="1">语言!A$350&amp;" (11), "&amp;语言!A$351&amp;" (11), "&amp;语言!A$356&amp;" (17-20)"</f>
        <v>东阿特拉斯达姆平原 (11), 北阿特拉斯达姆平原 (11), 西诺布尔寇德平原 (17-20)</v>
      </c>
      <c r="Q141" s="371"/>
      <c r="R141" s="86"/>
    </row>
    <row r="142" spans="1:18" x14ac:dyDescent="0.2">
      <c r="A142" s="82"/>
      <c r="B142" s="53" t="b">
        <f>清单!B801</f>
        <v>0</v>
      </c>
      <c r="C142" s="53" t="str">
        <f ca="1">语言!A1288</f>
        <v>贝壳蜗牛</v>
      </c>
      <c r="D142" s="85">
        <v>1</v>
      </c>
      <c r="E142" s="84"/>
      <c r="F142" s="84"/>
      <c r="G142" s="84"/>
      <c r="H142" s="85"/>
      <c r="I142" s="85"/>
      <c r="J142" s="499" t="str">
        <f ca="1">道具!C$542</f>
        <v>石榴树液</v>
      </c>
      <c r="K142" s="371"/>
      <c r="L142" s="85" t="s">
        <v>45</v>
      </c>
      <c r="M142" s="84"/>
      <c r="N142" s="499" t="str">
        <f ca="1">Summon!$C$24</f>
        <v>突进</v>
      </c>
      <c r="O142" s="371"/>
      <c r="P142" s="506" t="str">
        <f ca="1">语言!A$436&amp;" (1-4-7-11), "&amp;语言!A$437&amp;" (1-4-7-11), "&amp;语言!A$439&amp;" (1-4-7-11)"</f>
        <v>西库利亚布鲁克川道 (1-4-7-11), 南库利亚布鲁克川道 (1-4-7-11), 通往里欧洞窟的道路 (1-4-7-11)</v>
      </c>
      <c r="Q142" s="371"/>
      <c r="R142" s="86"/>
    </row>
    <row r="143" spans="1:18" x14ac:dyDescent="0.2">
      <c r="A143" s="82"/>
      <c r="B143" s="53" t="b">
        <f>OR(清单!B414, 清单!B427, 清单!B435, 清单!B919)</f>
        <v>0</v>
      </c>
      <c r="C143" s="53" t="str">
        <f ca="1">语言!A1289</f>
        <v>蛞蝓怪异种</v>
      </c>
      <c r="D143" s="85">
        <v>4</v>
      </c>
      <c r="E143" s="84"/>
      <c r="F143" s="84"/>
      <c r="G143" s="85"/>
      <c r="H143" s="85"/>
      <c r="I143" s="85"/>
      <c r="J143" s="499" t="str">
        <f ca="1">道具!C$7</f>
        <v>ＳＰ恢复的李子（大）</v>
      </c>
      <c r="K143" s="371"/>
      <c r="L143" s="85" t="s">
        <v>51</v>
      </c>
      <c r="M143" s="85"/>
      <c r="N143" s="499" t="str">
        <f ca="1">Summon!$C$156</f>
        <v>强黏液</v>
      </c>
      <c r="O143" s="371"/>
      <c r="P143" s="506" t="str">
        <f ca="1">语言!A$386&amp;" (50), "&amp;语言!A$387&amp;" (45-46), "&amp;语言!A$454&amp;" (45)"</f>
        <v>腐王入江口 (50), 格兰波特地下水道 (45-46), 通往领主宅邸的密道 (45)</v>
      </c>
      <c r="Q143" s="371"/>
      <c r="R143" s="86"/>
    </row>
    <row r="144" spans="1:18" x14ac:dyDescent="0.2">
      <c r="A144" s="82"/>
      <c r="B144" s="53" t="b">
        <f>OR(清单!B948, 清单!B952, 清单!B986, 清单!B1005)</f>
        <v>0</v>
      </c>
      <c r="C144" s="53" t="str">
        <f ca="1">语言!A1290</f>
        <v>大秃鹰</v>
      </c>
      <c r="D144" s="85">
        <v>3</v>
      </c>
      <c r="E144" s="84"/>
      <c r="F144" s="84"/>
      <c r="G144" s="85"/>
      <c r="H144" s="85"/>
      <c r="I144" s="85"/>
      <c r="J144" s="499" t="str">
        <f ca="1">道具!C$543</f>
        <v>橄榄花</v>
      </c>
      <c r="K144" s="371"/>
      <c r="L144" s="85" t="s">
        <v>49</v>
      </c>
      <c r="M144" s="84"/>
      <c r="N144" s="499" t="str">
        <f ca="1">Summon!$C$117</f>
        <v>镰鼬</v>
      </c>
      <c r="O144" s="371"/>
      <c r="P144" s="506" t="str">
        <f ca="1">语言!A$460&amp;" (11), "&amp;语言!A$461&amp;" (11), "&amp;语言!A$462&amp;" (20), "&amp;语言!A$466&amp;" (17-20-25-28), "&amp;语言!A$468&amp;" (17)"</f>
        <v>北柏达弗尔崖道 (11), 南柏达弗尔崖道 (11), 鸟葬洞窟 (20), 南库欧利克雷斯特崖道 (17-20-25-28), 通往莫洛克的宅邸的道路 (17)</v>
      </c>
      <c r="Q144" s="371"/>
      <c r="R144" s="86"/>
    </row>
    <row r="145" spans="1:18" x14ac:dyDescent="0.2">
      <c r="A145" s="82"/>
      <c r="B145" s="53" t="b">
        <f>清单!B409</f>
        <v>0</v>
      </c>
      <c r="C145" s="53" t="str">
        <f ca="1">语言!A1291</f>
        <v>海雀异种</v>
      </c>
      <c r="D145" s="85">
        <v>4</v>
      </c>
      <c r="E145" s="84"/>
      <c r="F145" s="84"/>
      <c r="G145" s="84"/>
      <c r="H145" s="85"/>
      <c r="I145" s="85"/>
      <c r="J145" s="499" t="str">
        <f ca="1">道具!C$16</f>
        <v>复活的橄榄（大）</v>
      </c>
      <c r="K145" s="371"/>
      <c r="L145" s="85" t="s">
        <v>51</v>
      </c>
      <c r="M145" s="84"/>
      <c r="N145" s="499" t="str">
        <f ca="1">Summon!$C$101</f>
        <v>连续冰冻</v>
      </c>
      <c r="O145" s="371"/>
      <c r="P145" s="506" t="str">
        <f ca="1">语言!A$385&amp;" (45)"</f>
        <v>西格兰波特海道 (45)</v>
      </c>
      <c r="Q145" s="371"/>
      <c r="R145" s="86"/>
    </row>
    <row r="146" spans="1:18" x14ac:dyDescent="0.2">
      <c r="A146" s="82"/>
      <c r="B146" s="53" t="b">
        <f>清单!B1169</f>
        <v>0</v>
      </c>
      <c r="C146" s="53" t="str">
        <f ca="1">语言!A1292</f>
        <v>绿剪虫</v>
      </c>
      <c r="D146" s="85">
        <v>1</v>
      </c>
      <c r="E146" s="84"/>
      <c r="F146" s="84"/>
      <c r="G146" s="84"/>
      <c r="H146" s="85"/>
      <c r="I146" s="85"/>
      <c r="J146" s="499" t="str">
        <f ca="1">道具!C$539</f>
        <v>混乱多之叶</v>
      </c>
      <c r="K146" s="371"/>
      <c r="L146" s="85" t="s">
        <v>46</v>
      </c>
      <c r="M146" s="85"/>
      <c r="N146" s="499" t="str">
        <f ca="1">Summon!$C$145</f>
        <v>剧毒之雾（全体）</v>
      </c>
      <c r="O146" s="371"/>
      <c r="P146" s="506" t="str">
        <f ca="1">语言!A$489&amp;" (33)"</f>
        <v>通往被遗忘的洞窟的道路 (33)</v>
      </c>
      <c r="Q146" s="371"/>
      <c r="R146" s="86"/>
    </row>
    <row r="147" spans="1:18" x14ac:dyDescent="0.2">
      <c r="A147" s="82"/>
      <c r="B147" s="53" t="b">
        <f>清单!B968</f>
        <v>0</v>
      </c>
      <c r="C147" s="53" t="str">
        <f ca="1">语言!A1293</f>
        <v>看门狗</v>
      </c>
      <c r="D147" s="85">
        <v>2</v>
      </c>
      <c r="E147" s="84"/>
      <c r="F147" s="84"/>
      <c r="G147" s="84"/>
      <c r="H147" s="84"/>
      <c r="I147" s="85"/>
      <c r="J147" s="499" t="str">
        <f ca="1">道具!C$539</f>
        <v>混乱多之叶</v>
      </c>
      <c r="K147" s="371"/>
      <c r="L147" s="85" t="s">
        <v>57</v>
      </c>
      <c r="M147" s="84"/>
      <c r="N147" s="499" t="str">
        <f ca="1">Summon!$C$4</f>
        <v>抓击</v>
      </c>
      <c r="O147" s="371"/>
      <c r="P147" s="506" t="str">
        <f ca="1">语言!A$463&amp;" (7-11)"</f>
        <v>瑞布斯的宅邸 (7-11)</v>
      </c>
      <c r="Q147" s="371"/>
      <c r="R147" s="86"/>
    </row>
    <row r="148" spans="1:18" x14ac:dyDescent="0.2">
      <c r="A148" s="82"/>
      <c r="B148" s="53" t="b">
        <f>清单!B210</f>
        <v>0</v>
      </c>
      <c r="C148" s="53" t="str">
        <f ca="1">语言!A1294</f>
        <v>魔导机兵</v>
      </c>
      <c r="D148" s="85">
        <v>4</v>
      </c>
      <c r="E148" s="84"/>
      <c r="F148" s="84"/>
      <c r="G148" s="84"/>
      <c r="H148" s="84"/>
      <c r="I148" s="85"/>
      <c r="J148" s="499" t="str">
        <f ca="1">道具!C$4</f>
        <v>ＨＰ恢复的葡萄（大）</v>
      </c>
      <c r="K148" s="371"/>
      <c r="L148" s="85" t="s">
        <v>46</v>
      </c>
      <c r="M148" s="84"/>
      <c r="N148" s="499" t="str">
        <f ca="1">Summon!$C$57</f>
        <v>斧劈</v>
      </c>
      <c r="O148" s="371"/>
      <c r="P148" s="506" t="str">
        <f ca="1">语言!A$358&amp;" (22)"</f>
        <v>奥立克的宅邸 (22)</v>
      </c>
      <c r="Q148" s="371"/>
      <c r="R148" s="86"/>
    </row>
    <row r="149" spans="1:18" x14ac:dyDescent="0.2">
      <c r="A149" s="82"/>
      <c r="B149" s="53" t="b">
        <f>OR(清单!B1045, 清单!B1219)</f>
        <v>0</v>
      </c>
      <c r="C149" s="53" t="str">
        <f ca="1">语言!A1295</f>
        <v>魔导机兵・异型</v>
      </c>
      <c r="D149" s="85">
        <v>5</v>
      </c>
      <c r="E149" s="84"/>
      <c r="F149" s="84"/>
      <c r="G149" s="84"/>
      <c r="H149" s="84"/>
      <c r="I149" s="85"/>
      <c r="J149" s="499" t="str">
        <f ca="1">道具!C$16</f>
        <v>复活的橄榄（大）</v>
      </c>
      <c r="K149" s="371"/>
      <c r="L149" s="85" t="s">
        <v>51</v>
      </c>
      <c r="M149" s="84"/>
      <c r="N149" s="499" t="str">
        <f ca="1">Summon!$C$64</f>
        <v>斧劈（全体）</v>
      </c>
      <c r="O149" s="371"/>
      <c r="P149" s="506" t="str">
        <f ca="1">语言!A$473&amp;" (50), "&amp;语言!A$495&amp;" (45)"</f>
        <v>龙咏神殿 (50), 古代的遗迹 (45)</v>
      </c>
      <c r="Q149" s="371"/>
      <c r="R149" s="86"/>
    </row>
    <row r="150" spans="1:18" x14ac:dyDescent="0.2">
      <c r="A150" s="82"/>
      <c r="B150" s="53" t="b">
        <f>清单!B946</f>
        <v>0</v>
      </c>
      <c r="C150" s="53" t="str">
        <f ca="1">语言!A1296</f>
        <v>手蛋</v>
      </c>
      <c r="D150" s="85">
        <v>2</v>
      </c>
      <c r="E150" s="84"/>
      <c r="F150" s="84"/>
      <c r="G150" s="84"/>
      <c r="H150" s="85"/>
      <c r="I150" s="85"/>
      <c r="J150" s="499" t="str">
        <f ca="1">道具!C$539</f>
        <v>混乱多之叶</v>
      </c>
      <c r="K150" s="371"/>
      <c r="L150" s="85" t="s">
        <v>46</v>
      </c>
      <c r="M150" s="84"/>
      <c r="N150" s="499" t="str">
        <f ca="1">Summon!$C$24</f>
        <v>突进</v>
      </c>
      <c r="O150" s="371"/>
      <c r="P150" s="506" t="str">
        <f ca="1">语言!A$460&amp;" (7-11), "&amp;语言!A$461&amp;" (7-11)"</f>
        <v>北柏达弗尔崖道 (7-11), 南柏达弗尔崖道 (7-11)</v>
      </c>
      <c r="Q150" s="371"/>
      <c r="R150" s="86"/>
    </row>
    <row r="151" spans="1:18" x14ac:dyDescent="0.2">
      <c r="A151" s="82"/>
      <c r="B151" s="53" t="b">
        <f>OR(清单!B303, 清单!B322)</f>
        <v>0</v>
      </c>
      <c r="C151" s="53" t="str">
        <f ca="1">语言!A1297</f>
        <v>寄居贝</v>
      </c>
      <c r="D151" s="85">
        <v>2</v>
      </c>
      <c r="E151" s="84"/>
      <c r="F151" s="84"/>
      <c r="G151" s="84"/>
      <c r="H151" s="85"/>
      <c r="I151" s="85"/>
      <c r="J151" s="499" t="str">
        <f ca="1">道具!C$538</f>
        <v>睡眠花之叶</v>
      </c>
      <c r="K151" s="371"/>
      <c r="L151" s="85" t="s">
        <v>48</v>
      </c>
      <c r="M151" s="84"/>
      <c r="N151" s="499" t="str">
        <f ca="1">Summon!$C$24</f>
        <v>突进</v>
      </c>
      <c r="O151" s="371"/>
      <c r="P151" s="506" t="str">
        <f ca="1">语言!A$367&amp;" (1-4-7-11), "&amp;语言!A$368&amp;" (1-4-7-11), "&amp;语言!A$370&amp;" (1-4-7-11), "&amp;语言!A$371&amp;" (1-4-7-11)"</f>
        <v>东利布尔泰德海道 (1-4-7-11), 北利布尔泰德海道 (1-4-7-11), 通往麦亚洞窟的道路 (1-4-7-11), 麦亚洞窟 (1-4-7-11)</v>
      </c>
      <c r="Q151" s="371"/>
      <c r="R151" s="86"/>
    </row>
    <row r="152" spans="1:18" x14ac:dyDescent="0.2">
      <c r="A152" s="82"/>
      <c r="B152" s="53" t="b">
        <f>OR(清单!B19, 清单!B36)</f>
        <v>0</v>
      </c>
      <c r="C152" s="53" t="str">
        <f ca="1">语言!A1298</f>
        <v>高地狼</v>
      </c>
      <c r="D152" s="85">
        <v>2</v>
      </c>
      <c r="E152" s="84"/>
      <c r="F152" s="84"/>
      <c r="G152" s="84"/>
      <c r="H152" s="85"/>
      <c r="I152" s="85"/>
      <c r="J152" s="499" t="str">
        <f ca="1">道具!C$4</f>
        <v>ＨＰ恢复的葡萄（大）</v>
      </c>
      <c r="K152" s="371"/>
      <c r="L152" s="85" t="s">
        <v>46</v>
      </c>
      <c r="M152" s="84"/>
      <c r="N152" s="499" t="str">
        <f ca="1">Summon!$C$7</f>
        <v>睡眠之爪</v>
      </c>
      <c r="O152" s="371"/>
      <c r="P152" s="506" t="str">
        <f ca="1">语言!A$328&amp;" (7-11), "&amp;语言!A$329&amp;" (7-11), "&amp;语言!A$331&amp;" (7-11), "&amp;语言!A$332&amp;" (7-11)"""</f>
        <v>北弗雷姆葛雷斯雪道 (7-11), 西弗雷姆葛雷斯雪道 (7-11), 通往原初洞窟的道路 (7-11), 原初洞窟 (7-11)"</v>
      </c>
      <c r="Q152" s="371"/>
      <c r="R152" s="86"/>
    </row>
    <row r="153" spans="1:18" x14ac:dyDescent="0.2">
      <c r="A153" s="82"/>
      <c r="B153" s="53" t="b">
        <f>OR(清单!B456, 清单!B459, 清单!B505, 清单!B528)</f>
        <v>0</v>
      </c>
      <c r="C153" s="53" t="str">
        <f ca="1">语言!A1299</f>
        <v>哈伊兰多山羊</v>
      </c>
      <c r="D153" s="85">
        <v>2</v>
      </c>
      <c r="E153" s="84"/>
      <c r="F153" s="84"/>
      <c r="G153" s="84"/>
      <c r="H153" s="85"/>
      <c r="I153" s="85"/>
      <c r="J153" s="499" t="str">
        <f ca="1">道具!C$543</f>
        <v>橄榄花</v>
      </c>
      <c r="K153" s="371"/>
      <c r="L153" s="85" t="s">
        <v>49</v>
      </c>
      <c r="M153" s="84"/>
      <c r="N153" s="499" t="str">
        <f ca="1">Summon!$C$33</f>
        <v>大突进（全体）</v>
      </c>
      <c r="O153" s="371"/>
      <c r="P153" s="506" t="str">
        <f ca="1">语言!A$390&amp;" (11), "&amp;语言!A$391&amp;" (11), "&amp;语言!A$392&amp;" (15), "&amp;语言!A$393&amp;" (11), "&amp;语言!A$398&amp;" (17-20-25-30), "&amp;语言!A$399&amp;" (17-20-25-30), "&amp;语言!A$401&amp;" (26)"</f>
        <v>南鹅卵石村山道 (11), 北鹅卵石村山道 (11), 无垢巢穴 (15), 通往山贼大本营的道路 (11), 北斯托冈德山道 (17-20-25-30), 西斯托冈德山道 (17-20-25-30), 通往幻影之森的道路 (26)</v>
      </c>
      <c r="Q153" s="371"/>
      <c r="R153" s="86"/>
    </row>
    <row r="154" spans="1:18" x14ac:dyDescent="0.2">
      <c r="A154" s="82"/>
      <c r="B154" s="53" t="b">
        <f>OR(清单!B450, 清单!B482)</f>
        <v>0</v>
      </c>
      <c r="C154" s="53" t="str">
        <f ca="1">语言!A1300</f>
        <v>山丘鼠人 I</v>
      </c>
      <c r="D154" s="85">
        <v>1</v>
      </c>
      <c r="E154" s="84"/>
      <c r="F154" s="84"/>
      <c r="G154" s="84"/>
      <c r="H154" s="84"/>
      <c r="I154" s="85"/>
      <c r="J154" s="499" t="str">
        <f ca="1">道具!C$3</f>
        <v>ＨＰ恢复的葡萄</v>
      </c>
      <c r="K154" s="371"/>
      <c r="L154" s="85" t="s">
        <v>45</v>
      </c>
      <c r="M154" s="84"/>
      <c r="N154" s="499" t="str">
        <f ca="1">Summon!$C$41</f>
        <v>战斗</v>
      </c>
      <c r="O154" s="371"/>
      <c r="P154" s="506" t="str">
        <f ca="1">语言!A$390&amp;" (1-4-7-11), "&amp;语言!A$391&amp;" (1-4-7-11), "&amp;语言!A$393&amp;" (1-4-7-11), "&amp;语言!A$394&amp;" (1)"</f>
        <v>南鹅卵石村山道 (1-4-7-11), 北鹅卵石村山道 (1-4-7-11), 通往山贼大本营的道路 (1-4-7-11), 山贼大本营 (1)</v>
      </c>
      <c r="Q154" s="371"/>
      <c r="R154" s="86"/>
    </row>
    <row r="155" spans="1:18" x14ac:dyDescent="0.2">
      <c r="A155" s="82"/>
      <c r="B155" s="53" t="b">
        <f>OR(清单!B451, 清单!B483)</f>
        <v>0</v>
      </c>
      <c r="C155" s="53" t="str">
        <f ca="1">语言!A1301</f>
        <v>山丘鼠人 II</v>
      </c>
      <c r="D155" s="85">
        <v>2</v>
      </c>
      <c r="E155" s="84"/>
      <c r="F155" s="84"/>
      <c r="G155" s="84"/>
      <c r="H155" s="84"/>
      <c r="I155" s="85"/>
      <c r="J155" s="499" t="str">
        <f ca="1">道具!C$540</f>
        <v>葡萄树液</v>
      </c>
      <c r="K155" s="371"/>
      <c r="L155" s="85" t="s">
        <v>48</v>
      </c>
      <c r="M155" s="84"/>
      <c r="N155" s="499" t="str">
        <f ca="1">Summon!$C$49</f>
        <v>战斗（全体）</v>
      </c>
      <c r="O155" s="371"/>
      <c r="P155" s="506" t="str">
        <f ca="1">语言!A$390&amp;" (1-4-7-11), "&amp;语言!A$391&amp;" (1-4-7-11), "&amp;语言!A$393&amp;" (1-4-7-11), "&amp;语言!A$394&amp;" (4-7-11)"</f>
        <v>南鹅卵石村山道 (1-4-7-11), 北鹅卵石村山道 (1-4-7-11), 通往山贼大本营的道路 (1-4-7-11), 山贼大本营 (4-7-11)</v>
      </c>
      <c r="Q155" s="371"/>
      <c r="R155" s="86"/>
    </row>
    <row r="156" spans="1:18" x14ac:dyDescent="0.2">
      <c r="A156" s="82"/>
      <c r="B156" s="53" t="b">
        <f>OR(清单!B452, 清单!B484)</f>
        <v>0</v>
      </c>
      <c r="C156" s="53" t="str">
        <f ca="1">语言!A1302</f>
        <v>山丘鼠人 III</v>
      </c>
      <c r="D156" s="85">
        <v>3</v>
      </c>
      <c r="E156" s="84"/>
      <c r="F156" s="84"/>
      <c r="G156" s="84"/>
      <c r="H156" s="85"/>
      <c r="I156" s="85"/>
      <c r="J156" s="499" t="str">
        <f ca="1">道具!C$6</f>
        <v>ＳＰ恢复的李子</v>
      </c>
      <c r="K156" s="371"/>
      <c r="L156" s="85" t="s">
        <v>57</v>
      </c>
      <c r="M156" s="84"/>
      <c r="N156" s="499" t="str">
        <f ca="1">Summon!$C$44</f>
        <v>战斗ｘ２</v>
      </c>
      <c r="O156" s="371"/>
      <c r="P156" s="506" t="str">
        <f ca="1">语言!A$390&amp;" (7-11), "&amp;语言!A$391&amp;" (7-11), "&amp;语言!A$393&amp;" (7-11), "&amp;语言!A$394&amp;" (7-11)"</f>
        <v>南鹅卵石村山道 (7-11), 北鹅卵石村山道 (7-11), 通往山贼大本营的道路 (7-11), 山贼大本营 (7-11)</v>
      </c>
      <c r="Q156" s="371"/>
      <c r="R156" s="86"/>
    </row>
    <row r="157" spans="1:18" x14ac:dyDescent="0.2">
      <c r="A157" s="82"/>
      <c r="B157" s="53" t="b">
        <f>OR(清单!B501, 清单!B523)</f>
        <v>0</v>
      </c>
      <c r="C157" s="53" t="str">
        <f ca="1">语言!A1303</f>
        <v>山丘鼠人 IV</v>
      </c>
      <c r="D157" s="85">
        <v>2</v>
      </c>
      <c r="E157" s="84"/>
      <c r="F157" s="84"/>
      <c r="G157" s="84"/>
      <c r="H157" s="84"/>
      <c r="I157" s="85"/>
      <c r="J157" s="499" t="str">
        <f ca="1">道具!C$4</f>
        <v>ＨＰ恢复的葡萄（大）</v>
      </c>
      <c r="K157" s="371"/>
      <c r="L157" s="85" t="s">
        <v>46</v>
      </c>
      <c r="M157" s="84"/>
      <c r="N157" s="499" t="str">
        <f ca="1">Summon!$C$44</f>
        <v>战斗ｘ２</v>
      </c>
      <c r="O157" s="371"/>
      <c r="P157" s="506" t="str">
        <f ca="1">语言!A$398&amp;" (17-20-25-30), "&amp;语言!A$399&amp;" (17-20-25-30), "&amp;语言!A$401&amp;" (26)"</f>
        <v>北斯托冈德山道 (17-20-25-30), 西斯托冈德山道 (17-20-25-30), 通往幻影之森的道路 (26)</v>
      </c>
      <c r="Q157" s="371"/>
      <c r="R157" s="86"/>
    </row>
    <row r="158" spans="1:18" x14ac:dyDescent="0.2">
      <c r="A158" s="82"/>
      <c r="B158" s="53" t="b">
        <f>OR(清单!B502, 清单!B524)</f>
        <v>0</v>
      </c>
      <c r="C158" s="53" t="str">
        <f ca="1">语言!A1304</f>
        <v>山丘鼠人 V</v>
      </c>
      <c r="D158" s="85">
        <v>3</v>
      </c>
      <c r="E158" s="84"/>
      <c r="F158" s="84"/>
      <c r="G158" s="84"/>
      <c r="H158" s="84"/>
      <c r="I158" s="85"/>
      <c r="J158" s="499" t="str">
        <f ca="1">道具!C$540</f>
        <v>葡萄树液</v>
      </c>
      <c r="K158" s="371"/>
      <c r="L158" s="85" t="s">
        <v>46</v>
      </c>
      <c r="M158" s="84"/>
      <c r="N158" s="499" t="str">
        <f ca="1">Summon!$C$51</f>
        <v>战斗ｘ２（全体）</v>
      </c>
      <c r="O158" s="371"/>
      <c r="P158" s="506" t="str">
        <f ca="1">语言!A$398&amp;" (17-20-25-30), "&amp;语言!A$399&amp;" (17-20-25-30), "&amp;语言!A$401&amp;" (26)"</f>
        <v>北斯托冈德山道 (17-20-25-30), 西斯托冈德山道 (17-20-25-30), 通往幻影之森的道路 (26)</v>
      </c>
      <c r="Q158" s="371"/>
      <c r="R158" s="86"/>
    </row>
    <row r="159" spans="1:18" x14ac:dyDescent="0.2">
      <c r="A159" s="82"/>
      <c r="B159" s="53" t="b">
        <f>OR(清单!B503, 清单!B525)</f>
        <v>0</v>
      </c>
      <c r="C159" s="53" t="str">
        <f ca="1">语言!A1305</f>
        <v>山丘鼠人 VI</v>
      </c>
      <c r="D159" s="85">
        <v>1</v>
      </c>
      <c r="E159" s="84"/>
      <c r="F159" s="84"/>
      <c r="G159" s="84"/>
      <c r="H159" s="85"/>
      <c r="I159" s="85"/>
      <c r="J159" s="499" t="str">
        <f ca="1">道具!C$6</f>
        <v>ＳＰ恢复的李子</v>
      </c>
      <c r="K159" s="371"/>
      <c r="L159" s="85" t="s">
        <v>49</v>
      </c>
      <c r="M159" s="84"/>
      <c r="N159" s="499" t="str">
        <f ca="1">Summon!$C$46</f>
        <v>战斗ｘ３</v>
      </c>
      <c r="O159" s="371"/>
      <c r="P159" s="506" t="str">
        <f ca="1">语言!A$398&amp;" (20-25-30), "&amp;语言!A$399&amp;" (20-25-30), "&amp;语言!A$401&amp;" (26)"</f>
        <v>北斯托冈德山道 (20-25-30), 西斯托冈德山道 (20-25-30), 通往幻影之森的道路 (26)</v>
      </c>
      <c r="Q159" s="371"/>
      <c r="R159" s="86"/>
    </row>
    <row r="160" spans="1:18" x14ac:dyDescent="0.2">
      <c r="A160" s="82"/>
      <c r="B160" s="53" t="b">
        <f>OR(清单!B504, 清单!B526, 清单!B569)</f>
        <v>0</v>
      </c>
      <c r="C160" s="53" t="str">
        <f ca="1">语言!A1306</f>
        <v>山丘大鼠人 I</v>
      </c>
      <c r="D160" s="85">
        <v>3</v>
      </c>
      <c r="E160" s="84"/>
      <c r="F160" s="84"/>
      <c r="G160" s="84"/>
      <c r="H160" s="84"/>
      <c r="I160" s="85"/>
      <c r="J160" s="499" t="str">
        <f ca="1">道具!C$6</f>
        <v>ＳＰ恢复的李子</v>
      </c>
      <c r="K160" s="371"/>
      <c r="L160" s="85" t="s">
        <v>49</v>
      </c>
      <c r="M160" s="84"/>
      <c r="N160" s="499" t="str">
        <f ca="1">Summon!$C$58</f>
        <v>战斗ｘ３</v>
      </c>
      <c r="O160" s="371"/>
      <c r="P160" s="506" t="str">
        <f ca="1">语言!A$398&amp;" (25-30), "&amp;语言!A$399&amp;" (25-30), "&amp;语言!A$401&amp;" (26), "&amp;语言!A$406&amp;" (45)"</f>
        <v>北斯托冈德山道 (25-30), 西斯托冈德山道 (25-30), 通往幻影之森的道路 (26), 西艾巴霍多山道 (45)</v>
      </c>
      <c r="Q160" s="371"/>
      <c r="R160" s="86"/>
    </row>
    <row r="161" spans="1:18" x14ac:dyDescent="0.2">
      <c r="A161" s="82"/>
      <c r="B161" s="53" t="b">
        <f>OR(清单!B570, 清单!B577)</f>
        <v>0</v>
      </c>
      <c r="C161" s="53" t="str">
        <f ca="1">语言!A1307</f>
        <v>山丘大鼠人 II</v>
      </c>
      <c r="D161" s="85">
        <v>2</v>
      </c>
      <c r="E161" s="84"/>
      <c r="F161" s="84"/>
      <c r="G161" s="84"/>
      <c r="H161" s="84"/>
      <c r="I161" s="85"/>
      <c r="J161" s="499" t="str">
        <f ca="1">道具!C$540</f>
        <v>葡萄树液</v>
      </c>
      <c r="K161" s="371"/>
      <c r="L161" s="85" t="s">
        <v>50</v>
      </c>
      <c r="M161" s="84"/>
      <c r="N161" s="499" t="str">
        <f ca="1">Summon!$C$65</f>
        <v>战斗ｘ３（全体）</v>
      </c>
      <c r="O161" s="371"/>
      <c r="P161" s="506" t="str">
        <f ca="1">语言!A$406&amp;" (45), "&amp;语言!A$407&amp;" (55)"</f>
        <v>西艾巴霍多山道 (45), 艾巴霍多地下坑道遗迹 (55)</v>
      </c>
      <c r="Q161" s="371"/>
      <c r="R161" s="86"/>
    </row>
    <row r="162" spans="1:18" x14ac:dyDescent="0.2">
      <c r="A162" s="82"/>
      <c r="B162" s="53" t="b">
        <f>OR(清单!B571, 清单!B578)</f>
        <v>0</v>
      </c>
      <c r="C162" s="53" t="str">
        <f ca="1">语言!A1308</f>
        <v>山丘大鼠人 III</v>
      </c>
      <c r="D162" s="85">
        <v>4</v>
      </c>
      <c r="E162" s="84"/>
      <c r="F162" s="84"/>
      <c r="G162" s="84"/>
      <c r="H162" s="85"/>
      <c r="I162" s="85"/>
      <c r="J162" s="499" t="str">
        <f ca="1">道具!C$5</f>
        <v>ＨＰ全体恢复的葡萄</v>
      </c>
      <c r="K162" s="371"/>
      <c r="L162" s="85" t="s">
        <v>51</v>
      </c>
      <c r="M162" s="84"/>
      <c r="N162" s="499" t="str">
        <f ca="1">Summon!$C$63</f>
        <v>反击之斧</v>
      </c>
      <c r="O162" s="371"/>
      <c r="P162" s="506" t="str">
        <f ca="1">语言!A$406&amp;" (45), "&amp;语言!A$407&amp;" (55)"</f>
        <v>西艾巴霍多山道 (45), 艾巴霍多地下坑道遗迹 (55)</v>
      </c>
      <c r="Q162" s="371"/>
      <c r="R162" s="86"/>
    </row>
    <row r="163" spans="1:18" x14ac:dyDescent="0.2">
      <c r="A163" s="82"/>
      <c r="B163" s="53" t="b">
        <f>OR(清单!B53, 清单!B71)</f>
        <v>0</v>
      </c>
      <c r="C163" s="53" t="str">
        <f ca="1">语言!A1309</f>
        <v>巨大熊</v>
      </c>
      <c r="D163" s="85">
        <v>4</v>
      </c>
      <c r="E163" s="84"/>
      <c r="F163" s="84"/>
      <c r="G163" s="84"/>
      <c r="H163" s="85"/>
      <c r="I163" s="85"/>
      <c r="J163" s="499" t="str">
        <f ca="1">道具!C$543</f>
        <v>橄榄花</v>
      </c>
      <c r="K163" s="371"/>
      <c r="L163" s="85" t="s">
        <v>50</v>
      </c>
      <c r="M163" s="84"/>
      <c r="N163" s="499" t="str">
        <f ca="1">Summon!$C$90</f>
        <v>怒涛殴打（全体）</v>
      </c>
      <c r="O163" s="371"/>
      <c r="P163" s="506" t="str">
        <f ca="1">语言!A$334&amp;" (26-29), "&amp;语言!A$338&amp;" (37)"</f>
        <v>西史迪尔斯诺雪道 (26-29), 通往白色森林的道路 (37)</v>
      </c>
      <c r="Q163" s="371"/>
      <c r="R163" s="86"/>
    </row>
    <row r="164" spans="1:18" x14ac:dyDescent="0.2">
      <c r="A164" s="82"/>
      <c r="B164" s="53" t="b">
        <f>OR(清单!B58, 清单!B98)</f>
        <v>0</v>
      </c>
      <c r="C164" s="53" t="str">
        <f ca="1">语言!A1310</f>
        <v>白咆哮者异种</v>
      </c>
      <c r="D164" s="85">
        <v>2</v>
      </c>
      <c r="E164" s="84"/>
      <c r="F164" s="84"/>
      <c r="G164" s="84"/>
      <c r="H164" s="84"/>
      <c r="I164" s="85"/>
      <c r="J164" s="499" t="str">
        <f ca="1">道具!C$542</f>
        <v>石榴树液</v>
      </c>
      <c r="K164" s="371"/>
      <c r="L164" s="85" t="s">
        <v>50</v>
      </c>
      <c r="M164" s="84"/>
      <c r="N164" s="499" t="str">
        <f ca="1">Summon!$C$50</f>
        <v>刺（全体）</v>
      </c>
      <c r="O164" s="371"/>
      <c r="P164" s="506" t="str">
        <f ca="1">语言!A$334&amp;" (26-29), "&amp;语言!A$339&amp;" (38)"</f>
        <v>西史迪尔斯诺雪道 (26-29), 白色森林 (38)</v>
      </c>
      <c r="Q164" s="371"/>
      <c r="R164" s="86"/>
    </row>
    <row r="165" spans="1:18" x14ac:dyDescent="0.2">
      <c r="A165" s="82"/>
      <c r="B165" s="53" t="b">
        <f>OR(清单!B892, 清单!B920)</f>
        <v>0</v>
      </c>
      <c r="C165" s="53" t="str">
        <f ca="1">语言!A1311</f>
        <v>咬断蝇</v>
      </c>
      <c r="D165" s="85">
        <v>2</v>
      </c>
      <c r="E165" s="84"/>
      <c r="F165" s="84"/>
      <c r="G165" s="84"/>
      <c r="H165" s="84"/>
      <c r="I165" s="85"/>
      <c r="J165" s="499" t="str">
        <f ca="1">道具!C$539</f>
        <v>混乱多之叶</v>
      </c>
      <c r="K165" s="371"/>
      <c r="L165" s="85" t="s">
        <v>50</v>
      </c>
      <c r="M165" s="84"/>
      <c r="N165" s="499" t="str">
        <f ca="1">Summon!$C$9</f>
        <v>恐慌之爪</v>
      </c>
      <c r="O165" s="371"/>
      <c r="P165" s="506" t="str">
        <f ca="1">语言!A$451&amp;" (45), "&amp;语言!A$454&amp;" (45)"</f>
        <v>北利维福德川道 (45), 通往领主宅邸的密道 (45)</v>
      </c>
      <c r="Q165" s="371"/>
      <c r="R165" s="86"/>
    </row>
    <row r="166" spans="1:18" x14ac:dyDescent="0.2">
      <c r="A166" s="82"/>
      <c r="B166" s="53" t="b">
        <f>OR(清单!B876, 清单!B1132)</f>
        <v>0</v>
      </c>
      <c r="C166" s="53" t="str">
        <f ca="1">语言!A1312</f>
        <v>咆啸者异种</v>
      </c>
      <c r="D166" s="85">
        <v>3</v>
      </c>
      <c r="E166" s="84"/>
      <c r="F166" s="84"/>
      <c r="G166" s="84"/>
      <c r="H166" s="85"/>
      <c r="I166" s="85"/>
      <c r="J166" s="499" t="str">
        <f ca="1">道具!C$542</f>
        <v>石榴树液</v>
      </c>
      <c r="K166" s="371"/>
      <c r="L166" s="85" t="s">
        <v>46</v>
      </c>
      <c r="M166" s="84"/>
      <c r="N166" s="499" t="str">
        <f ca="1">Summon!$C$116</f>
        <v>风斩</v>
      </c>
      <c r="O166" s="371"/>
      <c r="P166" s="506" t="str">
        <f ca="1">语言!A$448&amp;" (32), "&amp;语言!A$486&amp;" (29-34)"</f>
        <v>利维耶拉之森 (32), 东维克塔霍洛森道 (29-34)</v>
      </c>
      <c r="Q166" s="371"/>
      <c r="R166" s="86"/>
    </row>
    <row r="167" spans="1:18" x14ac:dyDescent="0.2">
      <c r="A167" s="82"/>
      <c r="B167" s="53" t="b">
        <f>OR(清单!B649, 清单!B842)</f>
        <v>0</v>
      </c>
      <c r="C167" s="53" t="str">
        <f ca="1">语言!A1313</f>
        <v>河川苍蝇异种</v>
      </c>
      <c r="D167" s="85">
        <v>2</v>
      </c>
      <c r="E167" s="84"/>
      <c r="F167" s="84"/>
      <c r="G167" s="84"/>
      <c r="H167" s="84"/>
      <c r="I167" s="85"/>
      <c r="J167" s="499" t="str">
        <f ca="1">道具!C$539</f>
        <v>混乱多之叶</v>
      </c>
      <c r="K167" s="371"/>
      <c r="L167" s="85" t="s">
        <v>49</v>
      </c>
      <c r="M167" s="84"/>
      <c r="N167" s="499" t="str">
        <f ca="1">Summon!$C$9</f>
        <v>恐慌之爪</v>
      </c>
      <c r="O167" s="371"/>
      <c r="P167" s="506" t="str">
        <f ca="1">语言!A$418&amp;" (20), "&amp;语言!A$444&amp;" (26-29)"</f>
        <v>砂笛洞窟 (20), 东圣特布里吉川道 (26-29)</v>
      </c>
      <c r="Q167" s="371"/>
      <c r="R167" s="86"/>
    </row>
    <row r="168" spans="1:18" x14ac:dyDescent="0.2">
      <c r="A168" s="82"/>
      <c r="B168" s="53" t="b">
        <f>OR(清单!B165, 清单!B865, 清单!B1103, 清单!B1131)</f>
        <v>0</v>
      </c>
      <c r="C168" s="53" t="str">
        <f ca="1">语言!A1314</f>
        <v>咆哮者</v>
      </c>
      <c r="D168" s="85">
        <v>1</v>
      </c>
      <c r="E168" s="84"/>
      <c r="F168" s="84"/>
      <c r="G168" s="84"/>
      <c r="H168" s="85"/>
      <c r="I168" s="85"/>
      <c r="J168" s="499" t="str">
        <f ca="1">道具!C$542</f>
        <v>石榴树液</v>
      </c>
      <c r="K168" s="371"/>
      <c r="L168" s="85" t="s">
        <v>46</v>
      </c>
      <c r="M168" s="84"/>
      <c r="N168" s="499" t="str">
        <f ca="1">Summon!$C$116</f>
        <v>风斩</v>
      </c>
      <c r="O168" s="371"/>
      <c r="P168" s="506" t="str">
        <f ca="1">语言!A$352&amp;" (15), "&amp;语言!A$447&amp;" (23), "&amp;语言!A$480&amp;" (15), "&amp;语言!A$486&amp;" (21-24-29)"</f>
        <v>夜啼之森 (15), 黑暗之森 (23), 兽径 (15), 东维克塔霍洛森道 (21-24-29)</v>
      </c>
      <c r="Q168" s="371"/>
      <c r="R168" s="86"/>
    </row>
    <row r="169" spans="1:18" x14ac:dyDescent="0.2">
      <c r="A169" s="82"/>
      <c r="B169" s="53" t="b">
        <f>清单!B25</f>
        <v>0</v>
      </c>
      <c r="C169" s="53" t="str">
        <f ca="1">语言!A1315</f>
        <v>魔导飞器（冰）</v>
      </c>
      <c r="D169" s="85">
        <v>1</v>
      </c>
      <c r="E169" s="84"/>
      <c r="F169" s="84"/>
      <c r="G169" s="84"/>
      <c r="H169" s="84"/>
      <c r="I169" s="85"/>
      <c r="J169" s="499" t="str">
        <f ca="1">道具!C$33</f>
        <v>冰之精灵石</v>
      </c>
      <c r="K169" s="371"/>
      <c r="L169" s="85" t="s">
        <v>46</v>
      </c>
      <c r="M169" s="84"/>
      <c r="N169" s="499" t="str">
        <f ca="1">Summon!$C$100</f>
        <v>冰冻</v>
      </c>
      <c r="O169" s="371"/>
      <c r="P169" s="506" t="str">
        <f ca="1">语言!A$330&amp;" (25)"</f>
        <v>冰之洞窟 (25)</v>
      </c>
      <c r="Q169" s="371"/>
      <c r="R169" s="86"/>
    </row>
    <row r="170" spans="1:18" x14ac:dyDescent="0.2">
      <c r="A170" s="82"/>
      <c r="B170" s="53" t="b">
        <f>OR(清单!B602, 清单!B608, 清单!B1200)</f>
        <v>0</v>
      </c>
      <c r="C170" s="53" t="str">
        <f ca="1">语言!A1316</f>
        <v>魔导飞器（冰）・异型</v>
      </c>
      <c r="D170" s="85">
        <v>3</v>
      </c>
      <c r="E170" s="84"/>
      <c r="F170" s="84"/>
      <c r="G170" s="84"/>
      <c r="H170" s="85"/>
      <c r="I170" s="85"/>
      <c r="J170" s="499" t="str">
        <f ca="1">道具!C$34</f>
        <v>冰之精灵石（大）</v>
      </c>
      <c r="K170" s="371"/>
      <c r="L170" s="85" t="s">
        <v>47</v>
      </c>
      <c r="M170" s="84"/>
      <c r="N170" s="499" t="str">
        <f ca="1">Summon!$C$100</f>
        <v>冰冻</v>
      </c>
      <c r="O170" s="371"/>
      <c r="P170" s="506" t="str">
        <f ca="1">语言!A$410&amp;" (45), "&amp;语言!A$411&amp;" (46), "&amp;语言!A$493&amp;" (45)"</f>
        <v>大剧场 -下层- (45), 大剧场 -上层- (46), 失落的遗迹 (45)</v>
      </c>
      <c r="Q170" s="371"/>
      <c r="R170" s="86"/>
    </row>
    <row r="171" spans="1:18" x14ac:dyDescent="0.2">
      <c r="A171" s="82"/>
      <c r="B171" s="53" t="b">
        <f>OR(清单!B27, 清单!B64, 清单!B73, 清单!B112, 清单!B118, 清单!B133, 清单!B141, 清单!B416)</f>
        <v>0</v>
      </c>
      <c r="C171" s="53" t="str">
        <f ca="1">语言!A1317</f>
        <v>冰元素</v>
      </c>
      <c r="D171" s="85">
        <v>4</v>
      </c>
      <c r="E171" s="84"/>
      <c r="F171" s="84"/>
      <c r="G171" s="85"/>
      <c r="H171" s="85"/>
      <c r="I171" s="85"/>
      <c r="J171" s="499" t="str">
        <f ca="1">道具!C$35</f>
        <v>冰之精灵石（特大）</v>
      </c>
      <c r="K171" s="371"/>
      <c r="L171" s="85" t="s">
        <v>50</v>
      </c>
      <c r="M171" s="84"/>
      <c r="N171" s="499" t="str">
        <f ca="1">Summon!$C$103</f>
        <v>冰冻（全体）</v>
      </c>
      <c r="O171" s="371"/>
      <c r="P171" s="506" t="str">
        <f ca="1">语言!A$330&amp;" (25), "&amp;语言!A$335&amp;" (35), "&amp;语言!A$338&amp;" (37),"&amp;语言!A$342&amp;" (45), "&amp;语言!A$343&amp;" (45), "&amp;语言!A$344&amp;" (45-46), "&amp;语言!A$386&amp;" (50)"</f>
        <v>冰之洞窟 (25), 巨王灵庙 (35), 通往白色森林的道路 (37),南诺斯利奇雪道 (45), 冰龙口 (45), 废教会地下 (45-46), 腐王入江口 (50)</v>
      </c>
      <c r="Q171" s="371"/>
      <c r="R171" s="86"/>
    </row>
    <row r="172" spans="1:18" x14ac:dyDescent="0.2">
      <c r="A172" s="82"/>
      <c r="B172" s="53" t="b">
        <f>OR(清单!B26, 清单!B211)</f>
        <v>0</v>
      </c>
      <c r="C172" s="53" t="str">
        <f ca="1">语言!A1318</f>
        <v>魔导机兵（冰）</v>
      </c>
      <c r="D172" s="85">
        <v>2</v>
      </c>
      <c r="E172" s="84"/>
      <c r="F172" s="84"/>
      <c r="G172" s="84"/>
      <c r="H172" s="84"/>
      <c r="I172" s="85"/>
      <c r="J172" s="499" t="str">
        <f ca="1">道具!C$33</f>
        <v>冰之精灵石</v>
      </c>
      <c r="K172" s="371"/>
      <c r="L172" s="85" t="s">
        <v>46</v>
      </c>
      <c r="M172" s="84"/>
      <c r="N172" s="499" t="str">
        <f ca="1">Summon!$C$103</f>
        <v>冰冻（全体）</v>
      </c>
      <c r="O172" s="371"/>
      <c r="P172" s="506" t="str">
        <f ca="1">语言!A$330&amp;" (25), "&amp;语言!A$358&amp;" (22)"</f>
        <v>冰之洞窟 (25), 奥立克的宅邸 (22)</v>
      </c>
      <c r="Q172" s="371"/>
      <c r="R172" s="86"/>
    </row>
    <row r="173" spans="1:18" x14ac:dyDescent="0.2">
      <c r="A173" s="82"/>
      <c r="B173" s="53" t="b">
        <f>OR(清单!B607, 清单!B1199)</f>
        <v>0</v>
      </c>
      <c r="C173" s="53" t="str">
        <f ca="1">语言!A1319</f>
        <v>魔导机兵（冰）・异型</v>
      </c>
      <c r="D173" s="85">
        <v>4</v>
      </c>
      <c r="E173" s="84"/>
      <c r="F173" s="84"/>
      <c r="G173" s="84"/>
      <c r="H173" s="84"/>
      <c r="I173" s="85"/>
      <c r="J173" s="499" t="str">
        <f ca="1">道具!C$34</f>
        <v>冰之精灵石（大）</v>
      </c>
      <c r="K173" s="371"/>
      <c r="L173" s="85" t="s">
        <v>51</v>
      </c>
      <c r="M173" s="84"/>
      <c r="N173" s="499" t="str">
        <f ca="1">Summon!$C$103</f>
        <v>冰冻（全体）</v>
      </c>
      <c r="O173" s="371"/>
      <c r="P173" s="506" t="str">
        <f ca="1">语言!A$411&amp;" (46), "&amp;语言!A$493&amp;" (45)"</f>
        <v>大剧场 -上层- (46), 失落的遗迹 (45)</v>
      </c>
      <c r="Q173" s="371"/>
      <c r="R173" s="86"/>
    </row>
    <row r="174" spans="1:18" x14ac:dyDescent="0.2">
      <c r="A174" s="82"/>
      <c r="B174" s="53" t="b">
        <f>OR(清单!B51, 清单!B63, 清单!B105)</f>
        <v>0</v>
      </c>
      <c r="C174" s="53" t="str">
        <f ca="1">语言!A1320</f>
        <v>冰雪大蜥蜴人 I</v>
      </c>
      <c r="D174" s="85">
        <v>4</v>
      </c>
      <c r="E174" s="84"/>
      <c r="F174" s="84"/>
      <c r="G174" s="84"/>
      <c r="H174" s="85"/>
      <c r="I174" s="85"/>
      <c r="J174" s="499" t="str">
        <f ca="1">道具!C$4</f>
        <v>ＨＰ恢复的葡萄（大）</v>
      </c>
      <c r="K174" s="371"/>
      <c r="L174" s="85" t="s">
        <v>49</v>
      </c>
      <c r="M174" s="84"/>
      <c r="N174" s="499" t="str">
        <f ca="1">Summon!$C$5</f>
        <v>战斗ｘ３</v>
      </c>
      <c r="O174" s="371"/>
      <c r="P174" s="506" t="str">
        <f ca="1">语言!A$334&amp;" (26-29), "&amp;语言!A$335&amp;" (35), "&amp;语言!A$342&amp;" (45)"</f>
        <v>西史迪尔斯诺雪道 (26-29), 巨王灵庙 (35), 南诺斯利奇雪道 (45)</v>
      </c>
      <c r="Q174" s="371"/>
      <c r="R174" s="86"/>
    </row>
    <row r="175" spans="1:18" x14ac:dyDescent="0.2">
      <c r="A175" s="82"/>
      <c r="B175" s="53" t="b">
        <f>清单!B106</f>
        <v>0</v>
      </c>
      <c r="C175" s="53" t="str">
        <f ca="1">语言!A1321</f>
        <v>冰雪大蜥蜴人 II</v>
      </c>
      <c r="D175" s="85">
        <v>3</v>
      </c>
      <c r="E175" s="84"/>
      <c r="F175" s="84"/>
      <c r="G175" s="84"/>
      <c r="H175" s="85"/>
      <c r="I175" s="85"/>
      <c r="J175" s="499" t="str">
        <f ca="1">道具!C$541</f>
        <v>李子树液</v>
      </c>
      <c r="K175" s="371"/>
      <c r="L175" s="85" t="s">
        <v>50</v>
      </c>
      <c r="M175" s="84"/>
      <c r="N175" s="499" t="str">
        <f ca="1">Summon!$C$15</f>
        <v>战斗ｘ３（全体）</v>
      </c>
      <c r="O175" s="371"/>
      <c r="P175" s="506" t="str">
        <f ca="1">语言!A$342&amp;" (45)"</f>
        <v>南诺斯利奇雪道 (45)</v>
      </c>
      <c r="Q175" s="371"/>
      <c r="R175" s="86"/>
    </row>
    <row r="176" spans="1:18" x14ac:dyDescent="0.2">
      <c r="A176" s="82"/>
      <c r="B176" s="53" t="b">
        <f>清单!B107</f>
        <v>0</v>
      </c>
      <c r="C176" s="53" t="str">
        <f ca="1">语言!A1322</f>
        <v>冰雪大蜥蜴人 III</v>
      </c>
      <c r="D176" s="85">
        <v>5</v>
      </c>
      <c r="E176" s="84"/>
      <c r="F176" s="84"/>
      <c r="G176" s="84"/>
      <c r="H176" s="85"/>
      <c r="I176" s="85"/>
      <c r="J176" s="499" t="str">
        <f ca="1">道具!C$7</f>
        <v>ＳＰ恢复的李子（大）</v>
      </c>
      <c r="K176" s="371"/>
      <c r="L176" s="85" t="s">
        <v>47</v>
      </c>
      <c r="M176" s="84"/>
      <c r="N176" s="499" t="str">
        <f ca="1">Summon!$C$12</f>
        <v>连续铁壁剑舞</v>
      </c>
      <c r="O176" s="371"/>
      <c r="P176" s="506" t="str">
        <f ca="1">语言!A$342&amp;" (45)"</f>
        <v>南诺斯利奇雪道 (45)</v>
      </c>
      <c r="Q176" s="371"/>
      <c r="R176" s="86"/>
    </row>
    <row r="177" spans="1:18" x14ac:dyDescent="0.2">
      <c r="A177" s="82"/>
      <c r="B177" s="53" t="b">
        <f>清单!B12</f>
        <v>0</v>
      </c>
      <c r="C177" s="53" t="str">
        <f ca="1">语言!A1323</f>
        <v>冰雪蜥蜴人 I</v>
      </c>
      <c r="D177" s="85">
        <v>1</v>
      </c>
      <c r="E177" s="84"/>
      <c r="F177" s="84"/>
      <c r="G177" s="84"/>
      <c r="H177" s="84"/>
      <c r="I177" s="85"/>
      <c r="J177" s="499" t="str">
        <f ca="1">道具!C$6</f>
        <v>ＳＰ恢复的李子</v>
      </c>
      <c r="K177" s="371"/>
      <c r="L177" s="84" t="s">
        <v>45</v>
      </c>
      <c r="M177" s="84"/>
      <c r="N177" s="499" t="str">
        <f ca="1">Summon!$C$23</f>
        <v>战斗</v>
      </c>
      <c r="O177" s="371"/>
      <c r="P177" s="506" t="str">
        <f ca="1">语言!A$328&amp;" (1-4-7-11), "&amp;语言!A$329&amp;" (1-4-7-11), "&amp;语言!A$331&amp;" (1-4-7-11)"</f>
        <v>北弗雷姆葛雷斯雪道 (1-4-7-11), 西弗雷姆葛雷斯雪道 (1-4-7-11), 通往原初洞窟的道路 (1-4-7-11)</v>
      </c>
      <c r="Q177" s="371"/>
      <c r="R177" s="86"/>
    </row>
    <row r="178" spans="1:18" x14ac:dyDescent="0.2">
      <c r="A178" s="82"/>
      <c r="B178" s="53" t="b">
        <f>清单!B13</f>
        <v>0</v>
      </c>
      <c r="C178" s="53" t="str">
        <f ca="1">语言!A1324</f>
        <v>冰雪蜥蜴人 II</v>
      </c>
      <c r="D178" s="85">
        <v>2</v>
      </c>
      <c r="E178" s="84"/>
      <c r="F178" s="84"/>
      <c r="G178" s="84"/>
      <c r="H178" s="84"/>
      <c r="I178" s="85"/>
      <c r="J178" s="499" t="str">
        <f ca="1">道具!C$541</f>
        <v>李子树液</v>
      </c>
      <c r="K178" s="371"/>
      <c r="L178" s="85" t="s">
        <v>48</v>
      </c>
      <c r="M178" s="84"/>
      <c r="N178" s="499" t="str">
        <f ca="1">Summon!$C$31</f>
        <v>战斗（全体）</v>
      </c>
      <c r="O178" s="371"/>
      <c r="P178" s="506" t="str">
        <f ca="1">语言!A$328&amp;" (1-4-7-11), "&amp;语言!A$329&amp;" (1-4-7-11), "&amp;语言!A$331&amp;" (1-4-7-11)"</f>
        <v>北弗雷姆葛雷斯雪道 (1-4-7-11), 西弗雷姆葛雷斯雪道 (1-4-7-11), 通往原初洞窟的道路 (1-4-7-11)</v>
      </c>
      <c r="Q178" s="371"/>
      <c r="R178" s="86"/>
    </row>
    <row r="179" spans="1:18" x14ac:dyDescent="0.2">
      <c r="A179" s="82"/>
      <c r="B179" s="53" t="b">
        <f>清单!B14</f>
        <v>0</v>
      </c>
      <c r="C179" s="53" t="str">
        <f ca="1">语言!A1325</f>
        <v>冰雪蜥蜴人 III</v>
      </c>
      <c r="D179" s="85">
        <v>3</v>
      </c>
      <c r="E179" s="84"/>
      <c r="F179" s="84"/>
      <c r="G179" s="84"/>
      <c r="H179" s="85"/>
      <c r="I179" s="85"/>
      <c r="J179" s="499" t="str">
        <f ca="1">道具!C$3</f>
        <v>ＨＰ恢复的葡萄</v>
      </c>
      <c r="K179" s="371"/>
      <c r="L179" s="84" t="s">
        <v>57</v>
      </c>
      <c r="M179" s="84"/>
      <c r="N179" s="499" t="str">
        <f ca="1">Summon!$C$25</f>
        <v>战斗ｘ２</v>
      </c>
      <c r="O179" s="371"/>
      <c r="P179" s="506" t="str">
        <f ca="1">语言!A$328&amp;" (7-11), "&amp;语言!A$329&amp;" (7-11), "&amp;语言!A$331&amp;" (7-11)"</f>
        <v>北弗雷姆葛雷斯雪道 (7-11), 西弗雷姆葛雷斯雪道 (7-11), 通往原初洞窟的道路 (7-11)</v>
      </c>
      <c r="Q179" s="371"/>
      <c r="R179" s="86"/>
    </row>
    <row r="180" spans="1:18" x14ac:dyDescent="0.2">
      <c r="A180" s="82"/>
      <c r="B180" s="53" t="b">
        <f>OR(清单!B48, 清单!B60)</f>
        <v>0</v>
      </c>
      <c r="C180" s="53" t="str">
        <f ca="1">语言!A1326</f>
        <v>冰雪蜥蜴人 IV</v>
      </c>
      <c r="D180" s="85">
        <v>2</v>
      </c>
      <c r="E180" s="84"/>
      <c r="F180" s="84"/>
      <c r="G180" s="84"/>
      <c r="H180" s="84"/>
      <c r="I180" s="85"/>
      <c r="J180" s="499" t="str">
        <f ca="1">道具!C$6</f>
        <v>ＳＰ恢复的李子</v>
      </c>
      <c r="K180" s="371"/>
      <c r="L180" s="85" t="s">
        <v>46</v>
      </c>
      <c r="M180" s="84"/>
      <c r="N180" s="499" t="str">
        <f ca="1">Summon!$C$25</f>
        <v>战斗ｘ２</v>
      </c>
      <c r="O180" s="371"/>
      <c r="P180" s="506" t="str">
        <f ca="1">语言!A$334&amp;" (20-23-26), "&amp;语言!A$335&amp;" (35)"</f>
        <v>西史迪尔斯诺雪道 (20-23-26), 巨王灵庙 (35)</v>
      </c>
      <c r="Q180" s="371"/>
      <c r="R180" s="86"/>
    </row>
    <row r="181" spans="1:18" x14ac:dyDescent="0.2">
      <c r="A181" s="82"/>
      <c r="B181" s="53" t="b">
        <f>OR(清单!B49, 清单!B61)</f>
        <v>0</v>
      </c>
      <c r="C181" s="53" t="str">
        <f ca="1">语言!A1327</f>
        <v>冰雪蜥蜴人 V</v>
      </c>
      <c r="D181" s="85">
        <v>3</v>
      </c>
      <c r="E181" s="84"/>
      <c r="F181" s="84"/>
      <c r="G181" s="84"/>
      <c r="H181" s="84"/>
      <c r="I181" s="85"/>
      <c r="J181" s="499" t="str">
        <f ca="1">道具!C$541</f>
        <v>李子树液</v>
      </c>
      <c r="K181" s="371"/>
      <c r="L181" s="85" t="s">
        <v>46</v>
      </c>
      <c r="M181" s="84"/>
      <c r="N181" s="499" t="str">
        <f ca="1">Summon!$C$34</f>
        <v>战斗ｘ２（全体）</v>
      </c>
      <c r="O181" s="371"/>
      <c r="P181" s="506" t="str">
        <f ca="1">语言!A$334&amp;" (20-23-26-29), "&amp;语言!A$335&amp;" (35)"</f>
        <v>西史迪尔斯诺雪道 (20-23-26-29), 巨王灵庙 (35)</v>
      </c>
      <c r="Q181" s="371"/>
      <c r="R181" s="86"/>
    </row>
    <row r="182" spans="1:18" x14ac:dyDescent="0.2">
      <c r="A182" s="82"/>
      <c r="B182" s="53" t="b">
        <f>OR(清单!B50, 清单!B62)</f>
        <v>0</v>
      </c>
      <c r="C182" s="53" t="str">
        <f ca="1">语言!A1328</f>
        <v>冰雪蜥蜴人 VI</v>
      </c>
      <c r="D182" s="85">
        <v>1</v>
      </c>
      <c r="E182" s="84"/>
      <c r="F182" s="84"/>
      <c r="G182" s="84"/>
      <c r="H182" s="85"/>
      <c r="I182" s="85"/>
      <c r="J182" s="499" t="str">
        <f ca="1">道具!C$4</f>
        <v>ＨＰ恢复的葡萄（大）</v>
      </c>
      <c r="K182" s="371"/>
      <c r="L182" s="85" t="s">
        <v>49</v>
      </c>
      <c r="M182" s="84"/>
      <c r="N182" s="499" t="str">
        <f ca="1">Summon!$C$27</f>
        <v>战斗ｘ３</v>
      </c>
      <c r="O182" s="371"/>
      <c r="P182" s="506" t="str">
        <f ca="1">语言!A$334&amp;" (23-26-29), "&amp;语言!A$335&amp;" (35)"</f>
        <v>西史迪尔斯诺雪道 (23-26-29), 巨王灵庙 (35)</v>
      </c>
      <c r="Q182" s="371"/>
      <c r="R182" s="86"/>
    </row>
    <row r="183" spans="1:18" x14ac:dyDescent="0.2">
      <c r="A183" s="82"/>
      <c r="B183" s="53" t="b">
        <f>清单!B24</f>
        <v>0</v>
      </c>
      <c r="C183" s="53" t="str">
        <f ca="1">语言!A1329</f>
        <v>古代遗物（冰兽）</v>
      </c>
      <c r="D183" s="85">
        <v>2</v>
      </c>
      <c r="E183" s="84"/>
      <c r="F183" s="84"/>
      <c r="G183" s="84"/>
      <c r="H183" s="84"/>
      <c r="I183" s="85"/>
      <c r="J183" s="499" t="str">
        <f ca="1">道具!C$34</f>
        <v>冰之精灵石（大）</v>
      </c>
      <c r="K183" s="371"/>
      <c r="L183" s="85" t="s">
        <v>47</v>
      </c>
      <c r="M183" s="84"/>
      <c r="N183" s="499" t="str">
        <f ca="1">Summon!$C$100</f>
        <v>冰冻</v>
      </c>
      <c r="O183" s="371"/>
      <c r="P183" s="506" t="str">
        <f ca="1">语言!A$330&amp;" (25)"</f>
        <v>冰之洞窟 (25)</v>
      </c>
      <c r="Q183" s="371"/>
      <c r="R183" s="86"/>
    </row>
    <row r="184" spans="1:18" x14ac:dyDescent="0.2">
      <c r="A184" s="82"/>
      <c r="B184" s="53" t="b">
        <f>OR(清单!B587, 清单!B1049, 清单!B1205)</f>
        <v>0</v>
      </c>
      <c r="C184" s="53" t="str">
        <f ca="1">语言!A1330</f>
        <v>古代遗物（冰兽）・异型</v>
      </c>
      <c r="D184" s="85">
        <v>4</v>
      </c>
      <c r="E184" s="84"/>
      <c r="F184" s="84"/>
      <c r="G184" s="84"/>
      <c r="H184" s="84"/>
      <c r="I184" s="85"/>
      <c r="J184" s="499" t="str">
        <f ca="1">道具!C$35</f>
        <v>冰之精灵石（特大）</v>
      </c>
      <c r="K184" s="371"/>
      <c r="L184" s="85" t="s">
        <v>50</v>
      </c>
      <c r="M184" s="84"/>
      <c r="N184" s="499" t="str">
        <f ca="1">Summon!$C$100</f>
        <v>冰冻</v>
      </c>
      <c r="O184" s="371"/>
      <c r="P184" s="506" t="str">
        <f ca="1">语言!A$408&amp;" (50), "&amp;语言!A$473&amp;" (50), "&amp;语言!A$494&amp;" (50)"</f>
        <v>魔剑士的祠堂 (50), 龙咏神殿 (50), 魔大公的祠堂 (50)</v>
      </c>
      <c r="Q184" s="371"/>
      <c r="R184" s="86"/>
    </row>
    <row r="185" spans="1:18" x14ac:dyDescent="0.2">
      <c r="A185" s="82"/>
      <c r="B185" s="53" t="b">
        <f>OR(清单!B588, 清单!B1206)</f>
        <v>0</v>
      </c>
      <c r="C185" s="53" t="str">
        <f ca="1">语言!A1331</f>
        <v>古代遗物・冰兵</v>
      </c>
      <c r="D185" s="85">
        <v>8</v>
      </c>
      <c r="E185" s="84"/>
      <c r="F185" s="84"/>
      <c r="G185" s="84"/>
      <c r="H185" s="84"/>
      <c r="I185" s="85"/>
      <c r="J185" s="499" t="str">
        <f ca="1">道具!C$8</f>
        <v>ＳＰ全体恢复的李子</v>
      </c>
      <c r="K185" s="371"/>
      <c r="L185" s="85" t="s">
        <v>55</v>
      </c>
      <c r="M185" s="84"/>
      <c r="N185" s="499" t="str">
        <f ca="1">Summon!$C$107</f>
        <v>钻石之钟（全体）</v>
      </c>
      <c r="O185" s="371"/>
      <c r="P185" s="506" t="str">
        <f ca="1">语言!A$408&amp;" (50), "&amp;语言!A$494&amp;" (50)"</f>
        <v>魔剑士的祠堂 (50), 魔大公的祠堂 (50)</v>
      </c>
      <c r="Q185" s="371"/>
      <c r="R185" s="86"/>
    </row>
    <row r="186" spans="1:18" x14ac:dyDescent="0.2">
      <c r="A186" s="82"/>
      <c r="B186" s="53" t="b">
        <f>OR(清单!B171, 清单!B970)</f>
        <v>0</v>
      </c>
      <c r="C186" s="53" t="str">
        <f ca="1">语言!A1332</f>
        <v>魔导机（冰）</v>
      </c>
      <c r="D186" s="85">
        <v>1</v>
      </c>
      <c r="E186" s="84"/>
      <c r="F186" s="84"/>
      <c r="G186" s="84"/>
      <c r="H186" s="84"/>
      <c r="I186" s="84"/>
      <c r="J186" s="499" t="str">
        <f ca="1">道具!C$33</f>
        <v>冰之精灵石</v>
      </c>
      <c r="K186" s="371"/>
      <c r="L186" s="85" t="s">
        <v>46</v>
      </c>
      <c r="M186" s="84"/>
      <c r="N186" s="499" t="str">
        <f ca="1">Summon!$C$100</f>
        <v>冰冻</v>
      </c>
      <c r="O186" s="371"/>
      <c r="P186" s="506" t="str">
        <f ca="1">语言!A$353&amp;" (1-4-7-11), "&amp;语言!A$463&amp;" (1-4-7-11)"</f>
        <v>地下研究室 (1-4-7-11), 瑞布斯的宅邸 (1-4-7-11)</v>
      </c>
      <c r="Q186" s="371"/>
      <c r="R186" s="86"/>
    </row>
    <row r="187" spans="1:18" x14ac:dyDescent="0.2">
      <c r="A187" s="82"/>
      <c r="B187" s="53" t="b">
        <f>OR(清单!B601, 清单!B606)</f>
        <v>0</v>
      </c>
      <c r="C187" s="53" t="str">
        <f ca="1">语言!A1333</f>
        <v>魔导机（冰）・异型</v>
      </c>
      <c r="D187" s="85">
        <v>1</v>
      </c>
      <c r="E187" s="84"/>
      <c r="F187" s="84"/>
      <c r="G187" s="84"/>
      <c r="H187" s="84"/>
      <c r="I187" s="84"/>
      <c r="J187" s="499" t="str">
        <f ca="1">道具!C$34</f>
        <v>冰之精灵石（大）</v>
      </c>
      <c r="K187" s="371"/>
      <c r="L187" s="85" t="s">
        <v>50</v>
      </c>
      <c r="M187" s="84"/>
      <c r="N187" s="499" t="str">
        <f ca="1">Summon!$C$100</f>
        <v>冰冻</v>
      </c>
      <c r="O187" s="371"/>
      <c r="P187" s="506" t="str">
        <f ca="1">语言!A$410&amp;" (45), "&amp;语言!A$411&amp;" (46)"</f>
        <v>大剧场 -下层- (45), 大剧场 -上层- (46)</v>
      </c>
      <c r="Q187" s="371"/>
      <c r="R187" s="86"/>
    </row>
    <row r="188" spans="1:18" x14ac:dyDescent="0.2">
      <c r="A188" s="82"/>
      <c r="B188" s="53" t="b">
        <f>OR(清单!B173, 清单!B466)</f>
        <v>0</v>
      </c>
      <c r="C188" s="53" t="str">
        <f ca="1">语言!A1334</f>
        <v>冰之鬼火</v>
      </c>
      <c r="D188" s="85">
        <v>1</v>
      </c>
      <c r="E188" s="84"/>
      <c r="F188" s="84"/>
      <c r="G188" s="85"/>
      <c r="H188" s="85"/>
      <c r="I188" s="85"/>
      <c r="J188" s="499" t="str">
        <f ca="1">道具!C$33</f>
        <v>冰之精灵石</v>
      </c>
      <c r="K188" s="371"/>
      <c r="L188" s="85" t="s">
        <v>57</v>
      </c>
      <c r="M188" s="84"/>
      <c r="N188" s="499" t="str">
        <f ca="1">Summon!$C$100</f>
        <v>冰冻</v>
      </c>
      <c r="O188" s="371"/>
      <c r="P188" s="506" t="str">
        <f ca="1">语言!A$353&amp;" (7-11), "&amp;语言!A$392&amp;" (15)"</f>
        <v>地下研究室 (7-11), 无垢巢穴 (15)</v>
      </c>
      <c r="Q188" s="371"/>
      <c r="R188" s="86"/>
    </row>
    <row r="189" spans="1:18" x14ac:dyDescent="0.2">
      <c r="A189" s="82"/>
      <c r="B189" s="53" t="b">
        <f>清单!B224</f>
        <v>0</v>
      </c>
      <c r="C189" s="53" t="str">
        <f ca="1">语言!A1335</f>
        <v>黑蛞蝓怪</v>
      </c>
      <c r="D189" s="85">
        <v>3</v>
      </c>
      <c r="E189" s="84"/>
      <c r="F189" s="84"/>
      <c r="G189" s="85"/>
      <c r="H189" s="85"/>
      <c r="I189" s="85"/>
      <c r="J189" s="499" t="str">
        <f ca="1">道具!C$537</f>
        <v>毒利米树之叶</v>
      </c>
      <c r="K189" s="371"/>
      <c r="L189" s="85" t="s">
        <v>50</v>
      </c>
      <c r="M189" s="85"/>
      <c r="N189" s="499" t="str">
        <f ca="1">Summon!$C$154</f>
        <v>黑之黏液</v>
      </c>
      <c r="O189" s="371"/>
      <c r="P189" s="506" t="str">
        <f ca="1">语言!A$359&amp;" (40)"</f>
        <v>黑曜会之馆 (40)</v>
      </c>
      <c r="Q189" s="371"/>
      <c r="R189" s="86"/>
    </row>
    <row r="190" spans="1:18" x14ac:dyDescent="0.2">
      <c r="A190" s="82"/>
      <c r="B190" s="53" t="b">
        <f>清单!B750</f>
        <v>0</v>
      </c>
      <c r="C190" s="53" t="str">
        <f ca="1">语言!A1336</f>
        <v>七色鸟</v>
      </c>
      <c r="D190" s="85">
        <v>3</v>
      </c>
      <c r="E190" s="84"/>
      <c r="F190" s="84"/>
      <c r="G190" s="85"/>
      <c r="H190" s="85"/>
      <c r="I190" s="85"/>
      <c r="J190" s="499" t="str">
        <f ca="1">道具!C$97</f>
        <v>大鸟的羽毛</v>
      </c>
      <c r="K190" s="371"/>
      <c r="L190" s="85" t="s">
        <v>50</v>
      </c>
      <c r="M190" s="85"/>
      <c r="N190" s="499" t="str">
        <f ca="1">Summon!$C$147</f>
        <v>彩虹闪光（全体）</v>
      </c>
      <c r="O190" s="371"/>
      <c r="P190" s="506" t="str">
        <f ca="1">语言!A$430&amp;" (45)"</f>
        <v>东马尔沙利姆沙道 (45)</v>
      </c>
      <c r="Q190" s="371"/>
      <c r="R190" s="86"/>
    </row>
    <row r="191" spans="1:18" x14ac:dyDescent="0.2">
      <c r="A191" s="82"/>
      <c r="B191" s="53" t="b">
        <f>OR(清单!B642, 清单!B657)</f>
        <v>0</v>
      </c>
      <c r="C191" s="53" t="str">
        <f ca="1">语言!A1337</f>
        <v>杀手虫异种</v>
      </c>
      <c r="D191" s="85">
        <v>2</v>
      </c>
      <c r="E191" s="84"/>
      <c r="F191" s="84"/>
      <c r="G191" s="84"/>
      <c r="H191" s="85"/>
      <c r="I191" s="85"/>
      <c r="J191" s="499" t="str">
        <f ca="1">道具!C$542</f>
        <v>石榴树液</v>
      </c>
      <c r="K191" s="371"/>
      <c r="L191" s="85" t="s">
        <v>46</v>
      </c>
      <c r="M191" s="84"/>
      <c r="N191" s="499" t="str">
        <f ca="1">Summon!$C$24</f>
        <v>突进</v>
      </c>
      <c r="O191" s="371"/>
      <c r="P191" s="506" t="str">
        <f ca="1">语言!A$418&amp;" (20), "&amp;语言!A$419&amp;" (7-11)"</f>
        <v>砂笛洞窟 (20), 桑谢德地下道 (7-11)</v>
      </c>
      <c r="Q191" s="371"/>
      <c r="R191" s="86"/>
    </row>
    <row r="192" spans="1:18" x14ac:dyDescent="0.2">
      <c r="A192" s="82"/>
      <c r="B192" s="53" t="b">
        <f>清单!B1066</f>
        <v>0</v>
      </c>
      <c r="C192" s="53" t="str">
        <f ca="1">语言!A1338</f>
        <v>雷普塔利欧尔</v>
      </c>
      <c r="D192" s="85">
        <v>3</v>
      </c>
      <c r="E192" s="84"/>
      <c r="F192" s="84"/>
      <c r="G192" s="85"/>
      <c r="H192" s="85"/>
      <c r="I192" s="85"/>
      <c r="J192" s="499" t="str">
        <f ca="1">道具!C$543</f>
        <v>橄榄花</v>
      </c>
      <c r="K192" s="371"/>
      <c r="L192" s="85" t="s">
        <v>51</v>
      </c>
      <c r="M192" s="84"/>
      <c r="N192" s="499" t="str">
        <f ca="1">Summon!$C$20</f>
        <v>锐利抓击（全体）</v>
      </c>
      <c r="O192" s="371"/>
      <c r="P192" s="506" t="str">
        <f ca="1">语言!A$475&amp;" (46)"</f>
        <v>卢贝之森 (46)</v>
      </c>
      <c r="Q192" s="371"/>
      <c r="R192" s="86"/>
    </row>
    <row r="193" spans="1:18" x14ac:dyDescent="0.2">
      <c r="A193" s="82"/>
      <c r="B193" s="53" t="b">
        <f>OR(清单!B953, 清单!B987)</f>
        <v>0</v>
      </c>
      <c r="C193" s="53" t="str">
        <f ca="1">语言!A1339</f>
        <v>大秃鹰异种</v>
      </c>
      <c r="D193" s="85">
        <v>4</v>
      </c>
      <c r="E193" s="84"/>
      <c r="F193" s="84"/>
      <c r="G193" s="85"/>
      <c r="H193" s="85"/>
      <c r="I193" s="85"/>
      <c r="J193" s="499" t="str">
        <f ca="1">道具!C$543</f>
        <v>橄榄花</v>
      </c>
      <c r="K193" s="371"/>
      <c r="L193" s="85" t="s">
        <v>50</v>
      </c>
      <c r="M193" s="84"/>
      <c r="N193" s="499" t="str">
        <f ca="1">Summon!$C$117</f>
        <v>镰鼬</v>
      </c>
      <c r="O193" s="371"/>
      <c r="P193" s="506" t="str">
        <f ca="1">语言!A$462&amp;" (20), "&amp;语言!A$466&amp;" (25-28)"</f>
        <v>鸟葬洞窟 (20), 南库欧利克雷斯特崖道 (25-28)</v>
      </c>
      <c r="Q193" s="371"/>
      <c r="R193" s="86"/>
    </row>
    <row r="194" spans="1:18" x14ac:dyDescent="0.2">
      <c r="A194" s="82"/>
      <c r="B194" s="53" t="b">
        <f>OR(清单!B346, 清单!B1173)</f>
        <v>0</v>
      </c>
      <c r="C194" s="53" t="str">
        <f ca="1">语言!A1340</f>
        <v>海雀</v>
      </c>
      <c r="D194" s="85">
        <v>3</v>
      </c>
      <c r="E194" s="84"/>
      <c r="F194" s="84"/>
      <c r="G194" s="84"/>
      <c r="H194" s="85"/>
      <c r="I194" s="85"/>
      <c r="J194" s="499" t="str">
        <f ca="1">道具!C$14</f>
        <v>复活的橄榄</v>
      </c>
      <c r="K194" s="371"/>
      <c r="L194" s="85" t="s">
        <v>47</v>
      </c>
      <c r="M194" s="84"/>
      <c r="N194" s="499" t="str">
        <f ca="1">Summon!$C$101</f>
        <v>连续冰冻</v>
      </c>
      <c r="O194" s="371"/>
      <c r="P194" s="506" t="str">
        <f ca="1">语言!A$375&amp;" (31-34), "&amp;语言!A$376&amp;" (31-34), "&amp;语言!A$489&amp;" (33)"</f>
        <v>月隐海道 (31-34), 西葛鲁德修亚海道 (31-34), 通往被遗忘的洞窟的道路 (33)</v>
      </c>
      <c r="Q194" s="371"/>
      <c r="R194" s="86"/>
    </row>
    <row r="195" spans="1:18" x14ac:dyDescent="0.2">
      <c r="A195" s="82"/>
      <c r="B195" s="53" t="b">
        <f>清单!B947</f>
        <v>0</v>
      </c>
      <c r="C195" s="53" t="str">
        <f ca="1">语言!A1341</f>
        <v>笑鬣狗</v>
      </c>
      <c r="D195" s="85">
        <v>1</v>
      </c>
      <c r="E195" s="84"/>
      <c r="F195" s="84"/>
      <c r="G195" s="84"/>
      <c r="H195" s="85"/>
      <c r="I195" s="85"/>
      <c r="J195" s="499" t="str">
        <f ca="1">道具!C$538</f>
        <v>睡眠花之叶</v>
      </c>
      <c r="K195" s="371"/>
      <c r="L195" s="85" t="s">
        <v>46</v>
      </c>
      <c r="M195" s="84"/>
      <c r="N195" s="499" t="str">
        <f ca="1">Summon!$C$47</f>
        <v>毒牙</v>
      </c>
      <c r="O195" s="371"/>
      <c r="P195" s="506" t="str">
        <f ca="1">语言!A$460&amp;" (1-4-7-11), "&amp;语言!A$461&amp;" (1-4-7-11)"</f>
        <v>北柏达弗尔崖道 (1-4-7-11), 南柏达弗尔崖道 (1-4-7-11)</v>
      </c>
      <c r="Q195" s="371"/>
      <c r="R195" s="86"/>
    </row>
    <row r="196" spans="1:18" x14ac:dyDescent="0.2">
      <c r="A196" s="82"/>
      <c r="B196" s="53" t="b">
        <f>清单!B86</f>
        <v>0</v>
      </c>
      <c r="C196" s="53" t="str">
        <f ca="1">语言!A1342</f>
        <v>魔导飞器（光）</v>
      </c>
      <c r="D196" s="85">
        <v>2</v>
      </c>
      <c r="E196" s="84"/>
      <c r="F196" s="84"/>
      <c r="G196" s="84"/>
      <c r="H196" s="84"/>
      <c r="I196" s="85"/>
      <c r="J196" s="499" t="str">
        <f ca="1">道具!C$43</f>
        <v>光之精灵石</v>
      </c>
      <c r="K196" s="371"/>
      <c r="L196" s="85" t="s">
        <v>46</v>
      </c>
      <c r="M196" s="84"/>
      <c r="N196" s="499" t="str">
        <f ca="1">Summon!$C$125</f>
        <v>光明</v>
      </c>
      <c r="O196" s="371"/>
      <c r="P196" s="506" t="str">
        <f ca="1">语言!A$337&amp;" (21)"</f>
        <v>通往黑曜馆的密道 (21)</v>
      </c>
      <c r="Q196" s="371"/>
      <c r="R196" s="86"/>
    </row>
    <row r="197" spans="1:18" x14ac:dyDescent="0.2">
      <c r="A197" s="82"/>
      <c r="B197" s="53" t="b">
        <f>OR(清单!B604, 清单!B611)</f>
        <v>0</v>
      </c>
      <c r="C197" s="53" t="str">
        <f ca="1">语言!A1343</f>
        <v>魔导飞器（光）・异型</v>
      </c>
      <c r="D197" s="85">
        <v>3</v>
      </c>
      <c r="E197" s="84"/>
      <c r="F197" s="84"/>
      <c r="G197" s="84"/>
      <c r="H197" s="85"/>
      <c r="I197" s="85"/>
      <c r="J197" s="499" t="str">
        <f ca="1">道具!C$44</f>
        <v>光之精灵石（大）</v>
      </c>
      <c r="K197" s="371"/>
      <c r="L197" s="85" t="s">
        <v>47</v>
      </c>
      <c r="M197" s="84"/>
      <c r="N197" s="499" t="str">
        <f ca="1">Summon!$C$125</f>
        <v>光明</v>
      </c>
      <c r="O197" s="371"/>
      <c r="P197" s="506" t="str">
        <f ca="1">语言!A$410&amp;" (45), "&amp;语言!A$411&amp;" (46)"</f>
        <v>大剧场 -下层- (45), 大剧场 -上层- (46)</v>
      </c>
      <c r="Q197" s="371"/>
      <c r="R197" s="86"/>
    </row>
    <row r="198" spans="1:18" x14ac:dyDescent="0.2">
      <c r="A198" s="82"/>
      <c r="B198" s="53" t="b">
        <f>OR(清单!B28, 清单!B759, 清单!B853)</f>
        <v>0</v>
      </c>
      <c r="C198" s="53" t="str">
        <f ca="1">语言!A1344</f>
        <v>光元素</v>
      </c>
      <c r="D198" s="85">
        <v>4</v>
      </c>
      <c r="E198" s="84"/>
      <c r="F198" s="84"/>
      <c r="G198" s="85"/>
      <c r="H198" s="85"/>
      <c r="I198" s="85"/>
      <c r="J198" s="499" t="str">
        <f ca="1">道具!C$45</f>
        <v>光之精灵石（特大）</v>
      </c>
      <c r="K198" s="371"/>
      <c r="L198" s="85" t="s">
        <v>47</v>
      </c>
      <c r="M198" s="84"/>
      <c r="N198" s="499" t="str">
        <f ca="1">Summon!$C$127</f>
        <v>光明（全体）</v>
      </c>
      <c r="O198" s="371"/>
      <c r="P198" s="506" t="str">
        <f ca="1">语言!A$330&amp;" (25), "&amp;语言!A$431&amp;" (50), "&amp;语言!A$445&amp;" (30)"</f>
        <v>冰之洞窟 (25), 马尔沙利姆地下墓地 (50), 边境河岸 (30)</v>
      </c>
      <c r="Q198" s="371"/>
      <c r="R198" s="86"/>
    </row>
    <row r="199" spans="1:18" x14ac:dyDescent="0.2">
      <c r="A199" s="82"/>
      <c r="B199" s="53" t="b">
        <f>OR(清单!B85, 清单!B518)</f>
        <v>0</v>
      </c>
      <c r="C199" s="53" t="str">
        <f ca="1">语言!A1345</f>
        <v>魔导机兵（光）</v>
      </c>
      <c r="D199" s="85">
        <v>2</v>
      </c>
      <c r="E199" s="84"/>
      <c r="F199" s="84"/>
      <c r="G199" s="84"/>
      <c r="H199" s="84"/>
      <c r="I199" s="85"/>
      <c r="J199" s="499" t="str">
        <f ca="1">道具!C$43</f>
        <v>光之精灵石</v>
      </c>
      <c r="K199" s="371"/>
      <c r="L199" s="85" t="s">
        <v>47</v>
      </c>
      <c r="M199" s="84"/>
      <c r="N199" s="499" t="str">
        <f ca="1">Summon!$C$126</f>
        <v>连续光明</v>
      </c>
      <c r="O199" s="371"/>
      <c r="P199" s="506" t="str">
        <f ca="1">语言!A$337&amp;" (21), "&amp;语言!A$400&amp;" (25)"</f>
        <v>通往黑曜馆的密道 (21), 王家之墓 (25)</v>
      </c>
      <c r="Q199" s="371"/>
      <c r="R199" s="86"/>
    </row>
    <row r="200" spans="1:18" x14ac:dyDescent="0.2">
      <c r="A200" s="82"/>
      <c r="B200" s="53" t="b">
        <f>清单!B610</f>
        <v>0</v>
      </c>
      <c r="C200" s="53" t="str">
        <f ca="1">语言!A1346</f>
        <v>魔导机兵（光）・异型</v>
      </c>
      <c r="D200" s="85">
        <v>2</v>
      </c>
      <c r="E200" s="84"/>
      <c r="F200" s="84"/>
      <c r="G200" s="84"/>
      <c r="H200" s="84"/>
      <c r="I200" s="85"/>
      <c r="J200" s="499" t="str">
        <f ca="1">道具!C$44</f>
        <v>光之精灵石（大）</v>
      </c>
      <c r="K200" s="371"/>
      <c r="L200" s="85" t="s">
        <v>51</v>
      </c>
      <c r="M200" s="84"/>
      <c r="N200" s="499" t="str">
        <f ca="1">Summon!$C$127</f>
        <v>光明（全体）</v>
      </c>
      <c r="O200" s="371"/>
      <c r="P200" s="506" t="str">
        <f ca="1">语言!A$411&amp;" (46)"</f>
        <v>大剧场 -上层- (46)</v>
      </c>
      <c r="Q200" s="371"/>
      <c r="R200" s="86"/>
    </row>
    <row r="201" spans="1:18" x14ac:dyDescent="0.2">
      <c r="A201" s="82"/>
      <c r="B201" s="53" t="b">
        <f>清单!B519</f>
        <v>0</v>
      </c>
      <c r="C201" s="53" t="str">
        <f ca="1">语言!A1347</f>
        <v>古代遗物（光兽）</v>
      </c>
      <c r="D201" s="85">
        <v>1</v>
      </c>
      <c r="E201" s="84"/>
      <c r="F201" s="84"/>
      <c r="G201" s="84"/>
      <c r="H201" s="84"/>
      <c r="I201" s="85"/>
      <c r="J201" s="499" t="str">
        <f ca="1">道具!C$44</f>
        <v>光之精灵石（大）</v>
      </c>
      <c r="K201" s="371"/>
      <c r="L201" s="85" t="s">
        <v>47</v>
      </c>
      <c r="M201" s="84"/>
      <c r="N201" s="499" t="str">
        <f ca="1">Summon!$C$125</f>
        <v>光明</v>
      </c>
      <c r="O201" s="371"/>
      <c r="P201" s="506" t="str">
        <f ca="1">语言!A$400&amp;" (25)"</f>
        <v>王家之墓 (25)</v>
      </c>
      <c r="Q201" s="371"/>
      <c r="R201" s="86"/>
    </row>
    <row r="202" spans="1:18" x14ac:dyDescent="0.2">
      <c r="A202" s="82"/>
      <c r="B202" s="53" t="b">
        <f>OR(清单!B260, 清单!B591)</f>
        <v>0</v>
      </c>
      <c r="C202" s="53" t="str">
        <f ca="1">语言!A1348</f>
        <v>古代遗物（光兽）・异型</v>
      </c>
      <c r="D202" s="85">
        <v>3</v>
      </c>
      <c r="E202" s="84"/>
      <c r="F202" s="84"/>
      <c r="G202" s="84"/>
      <c r="H202" s="84"/>
      <c r="I202" s="85"/>
      <c r="J202" s="499" t="str">
        <f ca="1">道具!C$45</f>
        <v>光之精灵石（特大）</v>
      </c>
      <c r="K202" s="371"/>
      <c r="L202" s="85" t="s">
        <v>50</v>
      </c>
      <c r="M202" s="84"/>
      <c r="N202" s="499" t="str">
        <f ca="1">Summon!$C$125</f>
        <v>光明</v>
      </c>
      <c r="O202" s="371"/>
      <c r="P202" s="506" t="str">
        <f ca="1">语言!A$363&amp;" (50), "&amp;语言!A$408&amp;" (50)"</f>
        <v>占星师的祠堂 (50), 魔剑士的祠堂 (50)</v>
      </c>
      <c r="Q202" s="371"/>
      <c r="R202" s="86"/>
    </row>
    <row r="203" spans="1:18" x14ac:dyDescent="0.2">
      <c r="A203" s="82"/>
      <c r="B203" s="53" t="b">
        <f>OR(清单!B261, 清单!B592, 清单!B1051)</f>
        <v>0</v>
      </c>
      <c r="C203" s="53" t="str">
        <f ca="1">语言!A1349</f>
        <v>古代遗物・光兵</v>
      </c>
      <c r="D203" s="85">
        <v>8</v>
      </c>
      <c r="E203" s="84"/>
      <c r="F203" s="84"/>
      <c r="G203" s="84"/>
      <c r="H203" s="84"/>
      <c r="I203" s="85"/>
      <c r="J203" s="499" t="str">
        <f ca="1">道具!C$8</f>
        <v>ＳＰ全体恢复的李子</v>
      </c>
      <c r="K203" s="371"/>
      <c r="L203" s="85" t="s">
        <v>55</v>
      </c>
      <c r="M203" s="84"/>
      <c r="N203" s="499" t="str">
        <f ca="1">Summon!$C$128</f>
        <v>太能光能射线之钟（全体）</v>
      </c>
      <c r="O203" s="371"/>
      <c r="P203" s="506" t="str">
        <f ca="1">语言!A$363&amp;" (50), "&amp;语言!A$408&amp;" (50), "&amp;语言!A$473&amp;" (50)"</f>
        <v>占星师的祠堂 (50), 魔剑士的祠堂 (50), 龙咏神殿 (50)</v>
      </c>
      <c r="Q203" s="371"/>
      <c r="R203" s="86"/>
    </row>
    <row r="204" spans="1:18" x14ac:dyDescent="0.2">
      <c r="A204" s="82"/>
      <c r="B204" s="53" t="b">
        <f>OR(清单!B84, 清单!B517)</f>
        <v>0</v>
      </c>
      <c r="C204" s="53" t="str">
        <f ca="1">语言!A1350</f>
        <v>魔导机（光）</v>
      </c>
      <c r="D204" s="85">
        <v>1</v>
      </c>
      <c r="E204" s="84"/>
      <c r="F204" s="84"/>
      <c r="G204" s="84"/>
      <c r="H204" s="84"/>
      <c r="I204" s="84"/>
      <c r="J204" s="499" t="str">
        <f ca="1">道具!C$43</f>
        <v>光之精灵石</v>
      </c>
      <c r="K204" s="371"/>
      <c r="L204" s="85" t="s">
        <v>46</v>
      </c>
      <c r="M204" s="84"/>
      <c r="N204" s="499" t="str">
        <f ca="1">Summon!$C$125</f>
        <v>光明</v>
      </c>
      <c r="O204" s="371"/>
      <c r="P204" s="506" t="str">
        <f ca="1">语言!A$337&amp;" (21), "&amp;语言!A$400&amp;" (25)"</f>
        <v>通往黑曜馆的密道 (21), 王家之墓 (25)</v>
      </c>
      <c r="Q204" s="371"/>
      <c r="R204" s="86"/>
    </row>
    <row r="205" spans="1:18" x14ac:dyDescent="0.2">
      <c r="A205" s="82"/>
      <c r="B205" s="53" t="b">
        <f>OR(清单!B226, 清单!B603, 清单!B609)</f>
        <v>0</v>
      </c>
      <c r="C205" s="53" t="str">
        <f ca="1">语言!A1351</f>
        <v>魔导机（光）・异型</v>
      </c>
      <c r="D205" s="85">
        <v>1</v>
      </c>
      <c r="E205" s="84"/>
      <c r="F205" s="84"/>
      <c r="G205" s="84"/>
      <c r="H205" s="84"/>
      <c r="I205" s="84"/>
      <c r="J205" s="499" t="str">
        <f ca="1">道具!C$44</f>
        <v>光之精灵石（大）</v>
      </c>
      <c r="K205" s="371"/>
      <c r="L205" s="85" t="s">
        <v>49</v>
      </c>
      <c r="M205" s="84"/>
      <c r="N205" s="499" t="str">
        <f ca="1">Summon!$C$125</f>
        <v>光明</v>
      </c>
      <c r="O205" s="371"/>
      <c r="P205" s="506" t="str">
        <f ca="1">语言!A$359&amp;" (40), "&amp;语言!A$410&amp;" (45), "&amp;语言!A$411&amp;" (46)"</f>
        <v>黑曜会之馆 (40), 大剧场 -下层- (45), 大剧场 -上层- (46)</v>
      </c>
      <c r="Q205" s="371"/>
      <c r="R205" s="86"/>
    </row>
    <row r="206" spans="1:18" x14ac:dyDescent="0.2">
      <c r="A206" s="82"/>
      <c r="B206" s="53" t="b">
        <f>OR(清单!B469, 清单!B660)</f>
        <v>0</v>
      </c>
      <c r="C206" s="53" t="str">
        <f ca="1">语言!A1352</f>
        <v>光之鬼火</v>
      </c>
      <c r="D206" s="85">
        <v>1</v>
      </c>
      <c r="E206" s="84"/>
      <c r="F206" s="84"/>
      <c r="G206" s="85"/>
      <c r="H206" s="85"/>
      <c r="I206" s="85"/>
      <c r="J206" s="499" t="str">
        <f ca="1">道具!C$43</f>
        <v>光之精灵石</v>
      </c>
      <c r="K206" s="371"/>
      <c r="L206" s="85" t="s">
        <v>57</v>
      </c>
      <c r="M206" s="84"/>
      <c r="N206" s="499" t="str">
        <f ca="1">Summon!$C$125</f>
        <v>光明</v>
      </c>
      <c r="O206" s="371"/>
      <c r="P206" s="506" t="str">
        <f ca="1">语言!A$392&amp;" (15), "&amp;语言!A$419&amp;" (1-4-7-11)"</f>
        <v>无垢巢穴 (15), 桑谢德地下道 (1-4-7-11)</v>
      </c>
      <c r="Q206" s="371"/>
      <c r="R206" s="86"/>
    </row>
    <row r="207" spans="1:18" x14ac:dyDescent="0.2">
      <c r="A207" s="82"/>
      <c r="B207" s="53" t="b">
        <f>OR(清单!B202, 清单!B417, 清单!B1180)</f>
        <v>0</v>
      </c>
      <c r="C207" s="53" t="str">
        <f ca="1">语言!A1353</f>
        <v>雷元素</v>
      </c>
      <c r="D207" s="85">
        <v>4</v>
      </c>
      <c r="E207" s="84"/>
      <c r="F207" s="84"/>
      <c r="G207" s="85"/>
      <c r="H207" s="85"/>
      <c r="I207" s="85"/>
      <c r="J207" s="499" t="str">
        <f ca="1">道具!C$38</f>
        <v>雷之精灵石（特大）</v>
      </c>
      <c r="K207" s="371"/>
      <c r="L207" s="85" t="s">
        <v>50</v>
      </c>
      <c r="M207" s="84"/>
      <c r="N207" s="499" t="str">
        <f ca="1">Summon!$C$112</f>
        <v>雷击（全体）</v>
      </c>
      <c r="O207" s="371"/>
      <c r="P207" s="506" t="str">
        <f ca="1">语言!A$357&amp;" (25), "&amp;语言!A$386&amp;" (50), "&amp;语言!A$490&amp;" (34)"</f>
        <v>虚无的王座 (25), 腐王入江口 (50), 被遗忘的洞窟 (34)</v>
      </c>
      <c r="Q207" s="371"/>
      <c r="R207" s="86"/>
    </row>
    <row r="208" spans="1:18" x14ac:dyDescent="0.2">
      <c r="A208" s="82"/>
      <c r="B208" s="53" t="b">
        <f>OR(清单!B982, 清单!B1002)</f>
        <v>0</v>
      </c>
      <c r="C208" s="53" t="str">
        <f ca="1">语言!A1354</f>
        <v>洛里斯</v>
      </c>
      <c r="D208" s="85">
        <v>1</v>
      </c>
      <c r="E208" s="84"/>
      <c r="F208" s="84"/>
      <c r="G208" s="84"/>
      <c r="H208" s="85"/>
      <c r="I208" s="85"/>
      <c r="J208" s="499" t="str">
        <f ca="1">道具!C$539</f>
        <v>混乱多之叶</v>
      </c>
      <c r="K208" s="371"/>
      <c r="L208" s="85" t="s">
        <v>46</v>
      </c>
      <c r="M208" s="84"/>
      <c r="N208" s="499" t="str">
        <f ca="1">Summon!$C$14</f>
        <v>抓击（全体）</v>
      </c>
      <c r="O208" s="371"/>
      <c r="P208" s="506" t="str">
        <f ca="1">语言!A$466&amp;" (17-20), "&amp;语言!A$468&amp;" (17)"</f>
        <v>南库欧利克雷斯特崖道 (17-20), 通往莫洛克的宅邸的道路 (17)</v>
      </c>
      <c r="Q208" s="371"/>
      <c r="R208" s="86"/>
    </row>
    <row r="209" spans="1:18" x14ac:dyDescent="0.2">
      <c r="A209" s="82"/>
      <c r="B209" s="53" t="b">
        <f>清单!B983</f>
        <v>0</v>
      </c>
      <c r="C209" s="53" t="str">
        <f ca="1">语言!A1355</f>
        <v>长耳洛里斯</v>
      </c>
      <c r="D209" s="85">
        <v>2</v>
      </c>
      <c r="E209" s="84"/>
      <c r="F209" s="84"/>
      <c r="G209" s="84"/>
      <c r="H209" s="85"/>
      <c r="I209" s="85"/>
      <c r="J209" s="499" t="str">
        <f ca="1">道具!C$539</f>
        <v>混乱多之叶</v>
      </c>
      <c r="K209" s="371"/>
      <c r="L209" s="85" t="s">
        <v>50</v>
      </c>
      <c r="M209" s="84"/>
      <c r="N209" s="499" t="str">
        <f ca="1">Summon!$C$14</f>
        <v>抓击（全体）</v>
      </c>
      <c r="O209" s="371"/>
      <c r="P209" s="506" t="str">
        <f ca="1">语言!A$466&amp;" (25-28)"</f>
        <v>南库欧利克雷斯特崖道 (25-28)</v>
      </c>
      <c r="Q209" s="371"/>
      <c r="R209" s="86"/>
    </row>
    <row r="210" spans="1:18" x14ac:dyDescent="0.2">
      <c r="A210" s="82"/>
      <c r="B210" s="53" t="b">
        <f>OR(清单!B893, 清单!B921)</f>
        <v>0</v>
      </c>
      <c r="C210" s="53" t="str">
        <f ca="1">语言!A1356</f>
        <v>巨大黑死苍蝇</v>
      </c>
      <c r="D210" s="85">
        <v>4</v>
      </c>
      <c r="E210" s="84"/>
      <c r="F210" s="84"/>
      <c r="G210" s="84"/>
      <c r="H210" s="84"/>
      <c r="I210" s="85"/>
      <c r="J210" s="499" t="str">
        <f ca="1">道具!C$539</f>
        <v>混乱多之叶</v>
      </c>
      <c r="K210" s="371"/>
      <c r="L210" s="85" t="s">
        <v>47</v>
      </c>
      <c r="M210" s="84"/>
      <c r="N210" s="499" t="str">
        <f ca="1">Summon!$C$10</f>
        <v>破防之爪</v>
      </c>
      <c r="O210" s="371"/>
      <c r="P210" s="506" t="str">
        <f ca="1">语言!A$451&amp;" (45), "&amp;语言!A$454&amp;" (45)"</f>
        <v>北利维福德川道 (45), 通往领主宅邸的密道 (45)</v>
      </c>
      <c r="Q210" s="371"/>
      <c r="R210" s="86"/>
    </row>
    <row r="211" spans="1:18" x14ac:dyDescent="0.2">
      <c r="A211" s="82"/>
      <c r="B211" s="53" t="b">
        <f>清单!B917</f>
        <v>0</v>
      </c>
      <c r="C211" s="53" t="str">
        <f ca="1">语言!A1357</f>
        <v>狰狞的鼠人</v>
      </c>
      <c r="D211" s="85">
        <v>3</v>
      </c>
      <c r="E211" s="84"/>
      <c r="F211" s="84"/>
      <c r="G211" s="84"/>
      <c r="H211" s="85"/>
      <c r="I211" s="85"/>
      <c r="J211" s="499" t="str">
        <f ca="1">道具!C$5</f>
        <v>ＨＰ全体恢复的葡萄</v>
      </c>
      <c r="K211" s="371"/>
      <c r="L211" s="85" t="s">
        <v>50</v>
      </c>
      <c r="M211" s="84"/>
      <c r="N211" s="499" t="str">
        <f ca="1">Summon!$C$41</f>
        <v>战斗</v>
      </c>
      <c r="O211" s="371"/>
      <c r="P211" s="506" t="str">
        <f ca="1">语言!A$454&amp;" (45)"</f>
        <v>通往领主宅邸的密道 (45)</v>
      </c>
      <c r="Q211" s="371"/>
      <c r="R211" s="86"/>
    </row>
    <row r="212" spans="1:18" x14ac:dyDescent="0.2">
      <c r="A212" s="82"/>
      <c r="B212" s="53" t="b">
        <f>OR(清单!B1092, 清单!B1100)</f>
        <v>0</v>
      </c>
      <c r="C212" s="53" t="str">
        <f ca="1">语言!A1358</f>
        <v>大尾土拨鼠</v>
      </c>
      <c r="D212" s="85">
        <v>3</v>
      </c>
      <c r="E212" s="84"/>
      <c r="F212" s="84"/>
      <c r="G212" s="84"/>
      <c r="H212" s="85"/>
      <c r="I212" s="85"/>
      <c r="J212" s="499" t="str">
        <f ca="1">道具!C$542</f>
        <v>石榴树液</v>
      </c>
      <c r="K212" s="371"/>
      <c r="L212" s="85" t="s">
        <v>46</v>
      </c>
      <c r="M212" s="84"/>
      <c r="N212" s="499" t="str">
        <f ca="1">Summon!$C$4</f>
        <v>抓击</v>
      </c>
      <c r="O212" s="371"/>
      <c r="P212" s="506" t="str">
        <f ca="1">语言!A$478&amp;" (7-11), "&amp;语言!A$479&amp;" (7-11), "&amp;语言!A$481&amp;" (7-11), "&amp;语言!A$480&amp;" (15)"</f>
        <v>北希・沃尔基森道 (7-11), 西希・沃尔基森道 (7-11), 通往耳语之森的道路 (7-11), 兽径 (15)</v>
      </c>
      <c r="Q212" s="371"/>
      <c r="R212" s="86"/>
    </row>
    <row r="213" spans="1:18" x14ac:dyDescent="0.2">
      <c r="A213" s="82"/>
      <c r="B213" s="53" t="b">
        <f>OR(清单!B55,清单!B72, 清单!B78)</f>
        <v>0</v>
      </c>
      <c r="C213" s="53" t="str">
        <f ca="1">语言!A1359</f>
        <v>冰雪大尾土拨鼠</v>
      </c>
      <c r="D213" s="85">
        <v>2</v>
      </c>
      <c r="E213" s="84"/>
      <c r="F213" s="84"/>
      <c r="G213" s="84"/>
      <c r="H213" s="85"/>
      <c r="I213" s="85"/>
      <c r="J213" s="499" t="str">
        <f ca="1">道具!C$541</f>
        <v>李子树液</v>
      </c>
      <c r="K213" s="371"/>
      <c r="L213" s="85" t="s">
        <v>46</v>
      </c>
      <c r="M213" s="84"/>
      <c r="N213" s="499" t="str">
        <f ca="1">Summon!$C$14</f>
        <v>抓击（全体）</v>
      </c>
      <c r="O213" s="371"/>
      <c r="P213" s="506" t="str">
        <f ca="1">语言!A$334&amp;" (20-23-26-29), "&amp;语言!A$336&amp;" (20), "&amp;语言!A$338&amp;" (37)"</f>
        <v>西史迪尔斯诺雪道 (20-23-26-29), 通往黑曜馆的道路 (20), 通往白色森林的道路 (37)</v>
      </c>
      <c r="Q213" s="371"/>
      <c r="R213" s="86"/>
    </row>
    <row r="214" spans="1:18" x14ac:dyDescent="0.2">
      <c r="A214" s="82"/>
      <c r="B214" s="53" t="b">
        <f>OR(清单!B189, 清单!B874)</f>
        <v>0</v>
      </c>
      <c r="C214" s="53" t="str">
        <f ca="1">语言!A1360</f>
        <v>大绵羊异种</v>
      </c>
      <c r="D214" s="85">
        <v>2</v>
      </c>
      <c r="E214" s="84"/>
      <c r="F214" s="84"/>
      <c r="G214" s="85"/>
      <c r="H214" s="85"/>
      <c r="I214" s="85"/>
      <c r="J214" s="499" t="str">
        <f ca="1">道具!C$543</f>
        <v>橄榄花</v>
      </c>
      <c r="K214" s="371"/>
      <c r="L214" s="85" t="s">
        <v>50</v>
      </c>
      <c r="M214" s="85"/>
      <c r="N214" s="499" t="str">
        <f ca="1">Summon!$C$141</f>
        <v>ＨＰ治疗（大）（全体）</v>
      </c>
      <c r="O214" s="371"/>
      <c r="P214" s="506" t="str">
        <f ca="1">语言!A$356&amp;" (23-26), "&amp;语言!A$448&amp;" (32)"</f>
        <v>西诺布尔寇德平原 (23-26), 利维耶拉之森 (32)</v>
      </c>
      <c r="Q214" s="371"/>
      <c r="R214" s="86"/>
    </row>
    <row r="215" spans="1:18" x14ac:dyDescent="0.2">
      <c r="A215" s="82"/>
      <c r="B215" s="53" t="b">
        <f>清单!B1112</f>
        <v>0</v>
      </c>
      <c r="C215" s="53" t="str">
        <f ca="1">语言!A1361</f>
        <v>法尔帕斯</v>
      </c>
      <c r="D215" s="85">
        <v>3</v>
      </c>
      <c r="E215" s="84"/>
      <c r="F215" s="84"/>
      <c r="G215" s="84"/>
      <c r="H215" s="85"/>
      <c r="I215" s="85"/>
      <c r="J215" s="499" t="str">
        <f ca="1">道具!C$4</f>
        <v>ＨＰ恢复的葡萄（大）</v>
      </c>
      <c r="K215" s="371"/>
      <c r="L215" s="85" t="s">
        <v>57</v>
      </c>
      <c r="M215" s="84"/>
      <c r="N215" s="499" t="str">
        <f ca="1">Summon!$C$50</f>
        <v>刺（全体）</v>
      </c>
      <c r="O215" s="371"/>
      <c r="P215" s="506" t="str">
        <f ca="1">语言!A$482&amp;" (4-7-11)"</f>
        <v>耳语之森 (4-7-11)</v>
      </c>
      <c r="Q215" s="371"/>
      <c r="R215" s="86"/>
    </row>
    <row r="216" spans="1:18" x14ac:dyDescent="0.2">
      <c r="A216" s="82"/>
      <c r="B216" s="53" t="b">
        <f>OR(清单!B200, 清单!B462, 清单!B849, 清单!B993, 清单!B1023)</f>
        <v>0</v>
      </c>
      <c r="C216" s="53" t="str">
        <f ca="1">语言!A1362</f>
        <v>傀儡骷髅</v>
      </c>
      <c r="D216" s="85">
        <v>1</v>
      </c>
      <c r="E216" s="84"/>
      <c r="F216" s="84"/>
      <c r="G216" s="84"/>
      <c r="H216" s="85"/>
      <c r="I216" s="85"/>
      <c r="J216" s="499" t="str">
        <f ca="1">道具!C$21</f>
        <v>混乱治疗药草</v>
      </c>
      <c r="K216" s="371"/>
      <c r="L216" s="85" t="s">
        <v>46</v>
      </c>
      <c r="M216" s="84"/>
      <c r="N216" s="499" t="str">
        <f ca="1">Summon!$C$4</f>
        <v>抓击</v>
      </c>
      <c r="O216" s="371"/>
      <c r="P216" s="506" t="str">
        <f ca="1">语言!A$357&amp;" (25), "&amp;语言!A$392&amp;" (15), "&amp;语言!A$445&amp;" (30), "&amp;语言!A$467&amp;" (30), "&amp;语言!A$470&amp;" (24)"</f>
        <v>虚无的王座 (25), 无垢巢穴 (15), 边境河岸 (30), 腐朽的开采所 (30), 下水道 (24)</v>
      </c>
      <c r="Q216" s="371"/>
      <c r="R216" s="86"/>
    </row>
    <row r="217" spans="1:18" x14ac:dyDescent="0.2">
      <c r="A217" s="82"/>
      <c r="B217" s="53" t="b">
        <f>清单!B1091</f>
        <v>0</v>
      </c>
      <c r="C217" s="53" t="str">
        <f ca="1">语言!A1363</f>
        <v>土拨鼠</v>
      </c>
      <c r="D217" s="85">
        <v>1</v>
      </c>
      <c r="E217" s="84"/>
      <c r="F217" s="84"/>
      <c r="G217" s="84"/>
      <c r="H217" s="85"/>
      <c r="I217" s="85"/>
      <c r="J217" s="499" t="str">
        <f ca="1">道具!C$542</f>
        <v>石榴树液</v>
      </c>
      <c r="K217" s="371"/>
      <c r="L217" s="85" t="s">
        <v>48</v>
      </c>
      <c r="M217" s="84"/>
      <c r="N217" s="499" t="str">
        <f ca="1">Summon!$C$4</f>
        <v>抓击</v>
      </c>
      <c r="O217" s="371"/>
      <c r="P217" s="506" t="str">
        <f ca="1">语言!A$478&amp;" (1-4-7-11), "&amp;语言!A$479&amp;" (1-4-7-11), "&amp;语言!A$481&amp;" (1-4-7-11)"</f>
        <v>北希・沃尔基森道 (1-4-7-11), 西希・沃尔基森道 (1-4-7-11), 通往耳语之森的道路 (1-4-7-11)</v>
      </c>
      <c r="Q217" s="371"/>
      <c r="R217" s="86"/>
    </row>
    <row r="218" spans="1:18" x14ac:dyDescent="0.2">
      <c r="A218" s="82"/>
      <c r="B218" s="53" t="b">
        <f>OR(清单!B1043, 清单!B1195)</f>
        <v>0</v>
      </c>
      <c r="C218" s="53" t="str">
        <f ca="1">语言!A1364</f>
        <v>上级盗贼 I</v>
      </c>
      <c r="D218" s="85">
        <v>5</v>
      </c>
      <c r="E218" s="84"/>
      <c r="F218" s="84"/>
      <c r="G218" s="84"/>
      <c r="H218" s="84"/>
      <c r="I218" s="85"/>
      <c r="J218" s="499" t="str">
        <f ca="1">道具!C$95</f>
        <v>钱包</v>
      </c>
      <c r="K218" s="371"/>
      <c r="L218" s="499" t="str">
        <f ca="1">语言!$A$1630</f>
        <v>无法捕获</v>
      </c>
      <c r="M218" s="371"/>
      <c r="N218" s="371"/>
      <c r="O218" s="371"/>
      <c r="P218" s="506" t="str">
        <f ca="1">语言!A$473&amp;" (50), "&amp;语言!A$493&amp;" (45)"</f>
        <v>龙咏神殿 (50), 失落的遗迹 (45)</v>
      </c>
      <c r="Q218" s="371"/>
      <c r="R218" s="86"/>
    </row>
    <row r="219" spans="1:18" x14ac:dyDescent="0.2">
      <c r="A219" s="82"/>
      <c r="B219" s="53" t="b">
        <f>OR(清单!B1044, 清单!B1196)</f>
        <v>0</v>
      </c>
      <c r="C219" s="53" t="str">
        <f ca="1">语言!A1365</f>
        <v>上级盗贼 II</v>
      </c>
      <c r="D219" s="85">
        <v>4</v>
      </c>
      <c r="E219" s="84"/>
      <c r="F219" s="84"/>
      <c r="G219" s="84"/>
      <c r="H219" s="84"/>
      <c r="I219" s="85"/>
      <c r="J219" s="499" t="str">
        <f ca="1">道具!C$95</f>
        <v>钱包</v>
      </c>
      <c r="K219" s="371"/>
      <c r="L219" s="499" t="str">
        <f ca="1">语言!$A$1630</f>
        <v>无法捕获</v>
      </c>
      <c r="M219" s="371"/>
      <c r="N219" s="371"/>
      <c r="O219" s="371"/>
      <c r="P219" s="506" t="str">
        <f ca="1">语言!A$473&amp;" (50), "&amp;语言!A$493&amp;" (45)"</f>
        <v>龙咏神殿 (50), 失落的遗迹 (45)</v>
      </c>
      <c r="Q219" s="371"/>
      <c r="R219" s="86"/>
    </row>
    <row r="220" spans="1:18" x14ac:dyDescent="0.2">
      <c r="A220" s="82"/>
      <c r="B220" s="53" t="b">
        <f>清单!B154</f>
        <v>0</v>
      </c>
      <c r="C220" s="45" t="str">
        <f ca="1">语言!A1366</f>
        <v>比仆</v>
      </c>
      <c r="D220" s="85">
        <v>2</v>
      </c>
      <c r="E220" s="84"/>
      <c r="F220" s="84"/>
      <c r="G220" s="84"/>
      <c r="H220" s="85"/>
      <c r="I220" s="85"/>
      <c r="J220" s="499" t="str">
        <f ca="1">道具!C$539</f>
        <v>混乱多之叶</v>
      </c>
      <c r="K220" s="371"/>
      <c r="L220" s="85" t="s">
        <v>48</v>
      </c>
      <c r="M220" s="84"/>
      <c r="N220" s="499" t="str">
        <f ca="1">Summon!$C$24</f>
        <v>突进</v>
      </c>
      <c r="O220" s="371"/>
      <c r="P220" s="506" t="str">
        <f ca="1">语言!A$350&amp;" (1-4-7), "&amp;语言!A$351&amp;" (1-4-7)"</f>
        <v>东阿特拉斯达姆平原 (1-4-7), 北阿特拉斯达姆平原 (1-4-7)</v>
      </c>
      <c r="Q220" s="371"/>
      <c r="R220" s="87" t="s">
        <v>53</v>
      </c>
    </row>
    <row r="221" spans="1:18" x14ac:dyDescent="0.2">
      <c r="A221" s="82"/>
      <c r="B221" s="53" t="b">
        <f>OR(清单!B251, 清单!B1062, 清单!B1068)</f>
        <v>0</v>
      </c>
      <c r="C221" s="53" t="str">
        <f ca="1">语言!A1367</f>
        <v>法尔帕斯异种</v>
      </c>
      <c r="D221" s="85">
        <v>5</v>
      </c>
      <c r="E221" s="84"/>
      <c r="F221" s="84"/>
      <c r="G221" s="84"/>
      <c r="H221" s="84"/>
      <c r="I221" s="85"/>
      <c r="J221" s="499" t="str">
        <f ca="1">道具!C$5</f>
        <v>ＨＰ全体恢复的葡萄</v>
      </c>
      <c r="K221" s="371"/>
      <c r="L221" s="85" t="s">
        <v>47</v>
      </c>
      <c r="M221" s="84"/>
      <c r="N221" s="499" t="str">
        <f ca="1">Summon!$C$6</f>
        <v>失明之爪</v>
      </c>
      <c r="O221" s="371"/>
      <c r="P221" s="506" t="str">
        <f ca="1">语言!A$362&amp;" (58), "&amp;语言!A$475&amp;" (45-46)"</f>
        <v>净化之森 (58), 卢贝之森 (45-46)</v>
      </c>
      <c r="Q221" s="371"/>
      <c r="R221" s="86"/>
    </row>
    <row r="222" spans="1:18" x14ac:dyDescent="0.2">
      <c r="A222" s="82"/>
      <c r="B222" s="53" t="b">
        <f>清单!B1009</f>
        <v>0</v>
      </c>
      <c r="C222" s="53" t="str">
        <f ca="1">语言!A1368</f>
        <v>莫洛克的警备兵 I</v>
      </c>
      <c r="D222" s="85">
        <v>3</v>
      </c>
      <c r="E222" s="84"/>
      <c r="F222" s="84"/>
      <c r="G222" s="84"/>
      <c r="H222" s="84"/>
      <c r="I222" s="85"/>
      <c r="J222" s="499" t="str">
        <f ca="1">道具!C$99</f>
        <v>金矿石般的东西</v>
      </c>
      <c r="K222" s="371"/>
      <c r="L222" s="499" t="str">
        <f ca="1">语言!$A$1630</f>
        <v>无法捕获</v>
      </c>
      <c r="M222" s="371"/>
      <c r="N222" s="371"/>
      <c r="O222" s="371"/>
      <c r="P222" s="506" t="str">
        <f ca="1">语言!A$469&amp;" (18)"</f>
        <v>莫洛克的宅邸 (18)</v>
      </c>
      <c r="Q222" s="371"/>
      <c r="R222" s="86"/>
    </row>
    <row r="223" spans="1:18" x14ac:dyDescent="0.2">
      <c r="A223" s="82"/>
      <c r="B223" s="53" t="b">
        <f>清单!B1010</f>
        <v>0</v>
      </c>
      <c r="C223" s="53" t="str">
        <f ca="1">语言!A1369</f>
        <v>莫洛克的警备兵 II</v>
      </c>
      <c r="D223" s="85">
        <v>1</v>
      </c>
      <c r="E223" s="84"/>
      <c r="F223" s="84"/>
      <c r="G223" s="84"/>
      <c r="H223" s="85"/>
      <c r="I223" s="85"/>
      <c r="J223" s="499" t="str">
        <f ca="1">道具!C$99</f>
        <v>金矿石般的东西</v>
      </c>
      <c r="K223" s="371"/>
      <c r="L223" s="499" t="str">
        <f ca="1">语言!$A$1630</f>
        <v>无法捕获</v>
      </c>
      <c r="M223" s="371"/>
      <c r="N223" s="371"/>
      <c r="O223" s="371"/>
      <c r="P223" s="506" t="str">
        <f ca="1">语言!A$469&amp;" (18)"</f>
        <v>莫洛克的宅邸 (18)</v>
      </c>
      <c r="Q223" s="371"/>
      <c r="R223" s="86"/>
    </row>
    <row r="224" spans="1:18" x14ac:dyDescent="0.2">
      <c r="A224" s="82"/>
      <c r="B224" s="53" t="b">
        <f>OR(清单!B242, 清单!B248, 清单!B275, 清单!B280, 清单!B1135)</f>
        <v>0</v>
      </c>
      <c r="C224" s="53" t="str">
        <f ca="1">语言!A1370</f>
        <v>猛毒菇</v>
      </c>
      <c r="D224" s="85">
        <v>1</v>
      </c>
      <c r="E224" s="84"/>
      <c r="F224" s="84"/>
      <c r="G224" s="84"/>
      <c r="H224" s="85"/>
      <c r="I224" s="85"/>
      <c r="J224" s="499" t="str">
        <f ca="1">道具!C$18</f>
        <v>毒治疗药草</v>
      </c>
      <c r="K224" s="371"/>
      <c r="L224" s="85" t="s">
        <v>47</v>
      </c>
      <c r="M224" s="85"/>
      <c r="N224" s="499" t="str">
        <f ca="1">Summon!$C$150</f>
        <v>腥红之粉（全体）</v>
      </c>
      <c r="O224" s="371"/>
      <c r="P224" s="506" t="str">
        <f ca="1">语言!A$361&amp;" (45), "&amp;语言!A$362&amp;" (58), "&amp;语言!A$364&amp;" (45-46), "&amp;语言!A$488&amp;" (48)"</f>
        <v>西维斯帕米尔平原 (45), 净化之森 (58), 漆黑洞窟 (45-46), 不归之森 (48)</v>
      </c>
      <c r="Q224" s="371"/>
      <c r="R224" s="86"/>
    </row>
    <row r="225" spans="1:18" x14ac:dyDescent="0.2">
      <c r="A225" s="82"/>
      <c r="B225" s="53" t="b">
        <f>清单!B1090</f>
        <v>0</v>
      </c>
      <c r="C225" s="53" t="str">
        <f ca="1">语言!A1371</f>
        <v>摩斯比仆</v>
      </c>
      <c r="D225" s="85">
        <v>2</v>
      </c>
      <c r="E225" s="84"/>
      <c r="F225" s="84"/>
      <c r="G225" s="84"/>
      <c r="H225" s="85"/>
      <c r="I225" s="85"/>
      <c r="J225" s="499" t="str">
        <f ca="1">道具!C$542</f>
        <v>石榴树液</v>
      </c>
      <c r="K225" s="371"/>
      <c r="L225" s="85" t="s">
        <v>48</v>
      </c>
      <c r="M225" s="85"/>
      <c r="N225" s="499" t="str">
        <f ca="1">Summon!$C$135</f>
        <v>ＨＰ治疗</v>
      </c>
      <c r="O225" s="371"/>
      <c r="P225" s="506" t="str">
        <f ca="1">语言!A$478&amp;" (1-4-7-11), "&amp;语言!A$479&amp;" (1-4-7-11), "&amp;语言!A$481&amp;" (1-4-7-11)"</f>
        <v>北希・沃尔基森道 (1-4-7-11), 西希・沃尔基森道 (1-4-7-11), 通往耳语之森的道路 (1-4-7-11)</v>
      </c>
      <c r="Q225" s="371"/>
      <c r="R225" s="86"/>
    </row>
    <row r="226" spans="1:18" x14ac:dyDescent="0.2">
      <c r="A226" s="82"/>
      <c r="B226" s="53" t="b">
        <f>OR(清单!B345, 清单!B353, 清单!B384)</f>
        <v>0</v>
      </c>
      <c r="C226" s="53" t="str">
        <f ca="1">语言!A1372</f>
        <v>苔龟</v>
      </c>
      <c r="D226" s="85">
        <v>4</v>
      </c>
      <c r="E226" s="84"/>
      <c r="F226" s="84"/>
      <c r="G226" s="85"/>
      <c r="H226" s="85"/>
      <c r="I226" s="85"/>
      <c r="J226" s="499" t="str">
        <f ca="1">道具!C$543</f>
        <v>橄榄花</v>
      </c>
      <c r="K226" s="371"/>
      <c r="L226" s="85" t="s">
        <v>50</v>
      </c>
      <c r="M226" s="84"/>
      <c r="N226" s="499" t="str">
        <f ca="1">Summon!$C$111</f>
        <v>防护雷击</v>
      </c>
      <c r="O226" s="371"/>
      <c r="P226" s="506" t="str">
        <f ca="1">语言!A$375&amp;" (31-34), "&amp;语言!A$376&amp;" (31-34), "&amp;语言!A$377&amp;" (35), "&amp;语言!A$380&amp;" (33)"</f>
        <v>月隐海道 (31-34), 西葛鲁德修亚海道 (31-34), 噬船海穴 (35), 通往海边洞窟的道路 (33)</v>
      </c>
      <c r="Q226" s="371"/>
      <c r="R226" s="86"/>
    </row>
    <row r="227" spans="1:18" x14ac:dyDescent="0.2">
      <c r="A227" s="82"/>
      <c r="B227" s="53" t="b">
        <f>清单!B819</f>
        <v>0</v>
      </c>
      <c r="C227" s="53" t="str">
        <f ca="1">语言!A1373</f>
        <v>彩色蜗牛</v>
      </c>
      <c r="D227" s="85">
        <v>2</v>
      </c>
      <c r="E227" s="84"/>
      <c r="F227" s="84"/>
      <c r="G227" s="84"/>
      <c r="H227" s="85"/>
      <c r="I227" s="85"/>
      <c r="J227" s="499" t="str">
        <f ca="1">道具!C$542</f>
        <v>石榴树液</v>
      </c>
      <c r="K227" s="371"/>
      <c r="L227" s="85" t="s">
        <v>57</v>
      </c>
      <c r="M227" s="85"/>
      <c r="N227" s="499" t="str">
        <f ca="1">Summon!$C$135</f>
        <v>ＨＰ治疗</v>
      </c>
      <c r="O227" s="371"/>
      <c r="P227" s="506" t="str">
        <f ca="1">语言!A$440&amp;" (1-4-7-11)"</f>
        <v>里欧洞窟 (1-4-7-11)</v>
      </c>
      <c r="Q227" s="371"/>
      <c r="R227" s="86"/>
    </row>
    <row r="228" spans="1:18" x14ac:dyDescent="0.2">
      <c r="A228" s="82"/>
      <c r="B228" s="53" t="b">
        <f>OR(清单!B506, 清单!B527)</f>
        <v>0</v>
      </c>
      <c r="C228" s="53" t="str">
        <f ca="1">语言!A1374</f>
        <v>山羊</v>
      </c>
      <c r="D228" s="85">
        <v>3</v>
      </c>
      <c r="E228" s="84"/>
      <c r="F228" s="84"/>
      <c r="G228" s="84"/>
      <c r="H228" s="85"/>
      <c r="I228" s="85"/>
      <c r="J228" s="499" t="str">
        <f ca="1">道具!C$543</f>
        <v>橄榄花</v>
      </c>
      <c r="K228" s="371"/>
      <c r="L228" s="85" t="s">
        <v>50</v>
      </c>
      <c r="M228" s="84"/>
      <c r="N228" s="499" t="str">
        <f ca="1">Summon!$C$33</f>
        <v>大突进（全体）</v>
      </c>
      <c r="O228" s="371"/>
      <c r="P228" s="506" t="str">
        <f ca="1">语言!A$398&amp;" (25-30), "&amp;语言!A$399&amp;" (25-30), "&amp;语言!A$401&amp;" (26)"</f>
        <v>北斯托冈德山道 (25-30), 西斯托冈德山道 (25-30), 通往幻影之森的道路 (26)</v>
      </c>
      <c r="Q228" s="371"/>
      <c r="R228" s="86"/>
    </row>
    <row r="229" spans="1:18" x14ac:dyDescent="0.2">
      <c r="A229" s="82"/>
      <c r="B229" s="53" t="b">
        <f>OR(清单!B539, 清单!B990, 清单!B1130, 清单!B1171)</f>
        <v>0</v>
      </c>
      <c r="C229" s="53" t="str">
        <f ca="1">语言!A1375</f>
        <v>怪异菇</v>
      </c>
      <c r="D229" s="85">
        <v>2</v>
      </c>
      <c r="E229" s="84"/>
      <c r="F229" s="84"/>
      <c r="G229" s="85"/>
      <c r="H229" s="85"/>
      <c r="I229" s="85"/>
      <c r="J229" s="499" t="str">
        <f ca="1">道具!C$18</f>
        <v>毒治疗药草</v>
      </c>
      <c r="K229" s="371"/>
      <c r="L229" s="85" t="s">
        <v>47</v>
      </c>
      <c r="M229" s="85"/>
      <c r="N229" s="499" t="str">
        <f ca="1">Summon!$C$138</f>
        <v>千年茸</v>
      </c>
      <c r="O229" s="371"/>
      <c r="P229" s="506" t="str">
        <f ca="1">语言!A$402&amp;" (27), "&amp;语言!A$467&amp;" (30), "&amp;语言!A$486&amp;" (29-34), "&amp;语言!A$489&amp;" (33)"</f>
        <v>幻影之森 (27), 腐朽的开采所 (30), 东维克塔霍洛森道 (29-34), 通往被遗忘的洞窟的道路 (33)</v>
      </c>
      <c r="Q229" s="371"/>
      <c r="R229" s="86"/>
    </row>
    <row r="230" spans="1:18" x14ac:dyDescent="0.2">
      <c r="A230" s="82"/>
      <c r="B230" s="53" t="b">
        <f>OR(清单!B193, 清单!B958)</f>
        <v>0</v>
      </c>
      <c r="C230" s="53" t="str">
        <f ca="1">语言!A1376</f>
        <v>黑乌鸦</v>
      </c>
      <c r="D230" s="85">
        <v>1</v>
      </c>
      <c r="E230" s="84"/>
      <c r="F230" s="84"/>
      <c r="G230" s="84"/>
      <c r="H230" s="84"/>
      <c r="I230" s="85"/>
      <c r="J230" s="499" t="str">
        <f ca="1">道具!C$539</f>
        <v>混乱多之叶</v>
      </c>
      <c r="K230" s="371"/>
      <c r="L230" s="85" t="s">
        <v>46</v>
      </c>
      <c r="M230" s="84"/>
      <c r="N230" s="499" t="str">
        <f ca="1">Summon!$C$4</f>
        <v>抓击</v>
      </c>
      <c r="O230" s="371"/>
      <c r="P230" s="506" t="str">
        <f ca="1">语言!A$356&amp;" (17-20), "&amp;语言!A$462&amp;" (20)"</f>
        <v>西诺布尔寇德平原 (17-20), 鸟葬洞窟 (20)</v>
      </c>
      <c r="Q230" s="371"/>
      <c r="R230" s="86"/>
    </row>
    <row r="231" spans="1:18" x14ac:dyDescent="0.2">
      <c r="A231" s="82"/>
      <c r="B231" s="53" t="b">
        <f>OR(清单!B425, 清单!B599)</f>
        <v>0</v>
      </c>
      <c r="C231" s="53" t="str">
        <f ca="1">语言!A1377</f>
        <v>黑曜会干部 I</v>
      </c>
      <c r="D231" s="85">
        <v>2</v>
      </c>
      <c r="E231" s="84"/>
      <c r="F231" s="84"/>
      <c r="G231" s="84"/>
      <c r="H231" s="84"/>
      <c r="I231" s="85"/>
      <c r="J231" s="499" t="str">
        <f ca="1">道具!C$18</f>
        <v>毒治疗药草</v>
      </c>
      <c r="K231" s="371"/>
      <c r="L231" s="499" t="str">
        <f ca="1">语言!$A$1630</f>
        <v>无法捕获</v>
      </c>
      <c r="M231" s="371"/>
      <c r="N231" s="371"/>
      <c r="O231" s="371"/>
      <c r="P231" s="506" t="str">
        <f ca="1">语言!A$387&amp;" (45), "&amp;语言!A$410&amp;" (45)"</f>
        <v>格兰波特地下水道 (45), 大剧场 -下层- (45)</v>
      </c>
      <c r="Q231" s="371"/>
      <c r="R231" s="86"/>
    </row>
    <row r="232" spans="1:18" x14ac:dyDescent="0.2">
      <c r="A232" s="82"/>
      <c r="B232" s="53" t="b">
        <f>OR(清单!B426, 清单!B600)</f>
        <v>0</v>
      </c>
      <c r="C232" s="53" t="str">
        <f ca="1">语言!A1378</f>
        <v>黑曜会干部 II</v>
      </c>
      <c r="D232" s="85">
        <v>1</v>
      </c>
      <c r="E232" s="84"/>
      <c r="F232" s="84"/>
      <c r="G232" s="84"/>
      <c r="H232" s="84"/>
      <c r="I232" s="85"/>
      <c r="J232" s="499" t="str">
        <f ca="1">道具!C$25</f>
        <v>毒瓶</v>
      </c>
      <c r="K232" s="371"/>
      <c r="L232" s="499" t="str">
        <f ca="1">语言!$A$1630</f>
        <v>无法捕获</v>
      </c>
      <c r="M232" s="371"/>
      <c r="N232" s="371"/>
      <c r="O232" s="371"/>
      <c r="P232" s="506" t="str">
        <f ca="1">语言!A$387&amp;" (45), "&amp;语言!A$410&amp;" (45)"</f>
        <v>格兰波特地下水道 (45), 大剧场 -下层- (45)</v>
      </c>
      <c r="Q232" s="371"/>
      <c r="R232" s="86"/>
    </row>
    <row r="233" spans="1:18" x14ac:dyDescent="0.2">
      <c r="A233" s="82"/>
      <c r="B233" s="53" t="b">
        <f>OR(清单!B246, 清单!B1137, 清单!B1192)</f>
        <v>0</v>
      </c>
      <c r="C233" s="53" t="str">
        <f ca="1">语言!A1379</f>
        <v>九命树</v>
      </c>
      <c r="D233" s="85">
        <v>4</v>
      </c>
      <c r="E233" s="84"/>
      <c r="F233" s="84"/>
      <c r="G233" s="85"/>
      <c r="H233" s="85"/>
      <c r="I233" s="85"/>
      <c r="J233" s="499" t="str">
        <f ca="1">道具!C$16</f>
        <v>复活的橄榄（大）</v>
      </c>
      <c r="K233" s="371"/>
      <c r="L233" s="85" t="s">
        <v>44</v>
      </c>
      <c r="M233" s="84"/>
      <c r="N233" s="499" t="str">
        <f ca="1">Summon!$C$80</f>
        <v>九命弱体针（全体）</v>
      </c>
      <c r="O233" s="371"/>
      <c r="P233" s="506" t="str">
        <f ca="1">语言!A$362&amp;" (58), "&amp;语言!A$488&amp;" (48), "&amp;语言!A$492&amp;" (45)"</f>
        <v>净化之森 (58), 不归之森 (48), 东达斯克瓦罗森道 (45)</v>
      </c>
      <c r="Q233" s="371"/>
      <c r="R233" s="86"/>
    </row>
    <row r="234" spans="1:18" x14ac:dyDescent="0.2">
      <c r="A234" s="82"/>
      <c r="B234" s="53" t="b">
        <f>清单!B319</f>
        <v>0</v>
      </c>
      <c r="C234" s="53" t="str">
        <f ca="1">语言!A1380</f>
        <v>海盗（枪） I</v>
      </c>
      <c r="D234" s="85">
        <v>1</v>
      </c>
      <c r="E234" s="84"/>
      <c r="F234" s="84"/>
      <c r="G234" s="85"/>
      <c r="H234" s="85"/>
      <c r="I234" s="85"/>
      <c r="J234" s="499" t="str">
        <f ca="1">道具!C$89</f>
        <v>鱼齿</v>
      </c>
      <c r="K234" s="371"/>
      <c r="L234" s="499" t="str">
        <f ca="1">语言!$A$1630</f>
        <v>无法捕获</v>
      </c>
      <c r="M234" s="371"/>
      <c r="N234" s="371"/>
      <c r="O234" s="371"/>
      <c r="P234" s="506" t="str">
        <f ca="1">语言!A$371&amp;" (1-4-7-11)"</f>
        <v>麦亚洞窟 (1-4-7-11)</v>
      </c>
      <c r="Q234" s="371"/>
      <c r="R234" s="86"/>
    </row>
    <row r="235" spans="1:18" x14ac:dyDescent="0.2">
      <c r="A235" s="82"/>
      <c r="B235" s="53" t="b">
        <f>清单!B320</f>
        <v>0</v>
      </c>
      <c r="C235" s="53" t="str">
        <f ca="1">语言!A1381</f>
        <v>海盗（枪） II</v>
      </c>
      <c r="D235" s="85">
        <v>2</v>
      </c>
      <c r="E235" s="84"/>
      <c r="F235" s="84"/>
      <c r="G235" s="85"/>
      <c r="H235" s="85"/>
      <c r="I235" s="85"/>
      <c r="J235" s="499" t="str">
        <f ca="1">道具!C$90</f>
        <v>原石</v>
      </c>
      <c r="K235" s="371"/>
      <c r="L235" s="499" t="str">
        <f ca="1">语言!$A$1630</f>
        <v>无法捕获</v>
      </c>
      <c r="M235" s="371"/>
      <c r="N235" s="371"/>
      <c r="O235" s="371"/>
      <c r="P235" s="506" t="str">
        <f ca="1">语言!A$371&amp;" (1-4-7-11)"</f>
        <v>麦亚洞窟 (1-4-7-11)</v>
      </c>
      <c r="Q235" s="371"/>
      <c r="R235" s="86"/>
    </row>
    <row r="236" spans="1:18" x14ac:dyDescent="0.2">
      <c r="A236" s="82"/>
      <c r="B236" s="53" t="b">
        <f>清单!B321</f>
        <v>0</v>
      </c>
      <c r="C236" s="53" t="str">
        <f ca="1">语言!A1382</f>
        <v>海盗（枪） III</v>
      </c>
      <c r="D236" s="85">
        <v>3</v>
      </c>
      <c r="E236" s="84"/>
      <c r="F236" s="84"/>
      <c r="G236" s="85"/>
      <c r="H236" s="85"/>
      <c r="I236" s="85"/>
      <c r="J236" s="499" t="str">
        <f ca="1">道具!C$94</f>
        <v>空空的钱包</v>
      </c>
      <c r="K236" s="371"/>
      <c r="L236" s="499" t="str">
        <f ca="1">语言!$A$1630</f>
        <v>无法捕获</v>
      </c>
      <c r="M236" s="371"/>
      <c r="N236" s="371"/>
      <c r="O236" s="371"/>
      <c r="P236" s="506" t="str">
        <f ca="1">语言!A$371&amp;" (7-11)"</f>
        <v>麦亚洞窟 (7-11)</v>
      </c>
      <c r="Q236" s="371"/>
      <c r="R236" s="86"/>
    </row>
    <row r="237" spans="1:18" x14ac:dyDescent="0.2">
      <c r="A237" s="82"/>
      <c r="B237" s="53" t="b">
        <f>清单!B243</f>
        <v>0</v>
      </c>
      <c r="C237" s="53" t="str">
        <f ca="1">语言!A1383</f>
        <v>翼蜥蜴</v>
      </c>
      <c r="D237" s="85">
        <v>2</v>
      </c>
      <c r="E237" s="84"/>
      <c r="F237" s="84"/>
      <c r="G237" s="85"/>
      <c r="H237" s="85"/>
      <c r="I237" s="85"/>
      <c r="J237" s="499" t="str">
        <f ca="1">道具!C$539</f>
        <v>混乱多之叶</v>
      </c>
      <c r="K237" s="371"/>
      <c r="L237" s="85" t="s">
        <v>44</v>
      </c>
      <c r="M237" s="84"/>
      <c r="N237" s="499" t="str">
        <f ca="1">Summon!$C$122</f>
        <v>破坏之风翼（全体）</v>
      </c>
      <c r="O237" s="371"/>
      <c r="P237" s="506" t="str">
        <f ca="1">语言!A$361&amp;" (45)"</f>
        <v>西维斯帕米尔平原 (45)</v>
      </c>
      <c r="Q237" s="371"/>
      <c r="R237" s="86"/>
    </row>
    <row r="238" spans="1:18" x14ac:dyDescent="0.2">
      <c r="A238" s="82"/>
      <c r="B238" s="53" t="b">
        <f>清单!B56</f>
        <v>0</v>
      </c>
      <c r="C238" s="53" t="str">
        <f ca="1">语言!A1384</f>
        <v>企鹅怪</v>
      </c>
      <c r="D238" s="85">
        <v>5</v>
      </c>
      <c r="E238" s="84"/>
      <c r="F238" s="84"/>
      <c r="G238" s="84"/>
      <c r="H238" s="84"/>
      <c r="I238" s="84"/>
      <c r="J238" s="499" t="str">
        <f ca="1">道具!C$14</f>
        <v>复活的橄榄</v>
      </c>
      <c r="K238" s="371"/>
      <c r="L238" s="85" t="s">
        <v>47</v>
      </c>
      <c r="M238" s="84"/>
      <c r="N238" s="499" t="str">
        <f ca="1">Summon!$C$85</f>
        <v>双重泰山压顶</v>
      </c>
      <c r="O238" s="371"/>
      <c r="P238" s="506" t="str">
        <f ca="1">语言!A$334&amp;" (26-29)"</f>
        <v>西史迪尔斯诺雪道 (26-29)</v>
      </c>
      <c r="Q238" s="371"/>
      <c r="R238" s="86"/>
    </row>
    <row r="239" spans="1:18" x14ac:dyDescent="0.2">
      <c r="A239" s="82"/>
      <c r="B239" s="53" t="b">
        <f>OR(清单!B201, 清单!B463, 清单!B850, 清单!B994, 清单!B1024)</f>
        <v>0</v>
      </c>
      <c r="C239" s="53" t="str">
        <f ca="1">语言!A1385</f>
        <v>傀儡骷髅异种</v>
      </c>
      <c r="D239" s="85">
        <v>2</v>
      </c>
      <c r="E239" s="84"/>
      <c r="F239" s="84"/>
      <c r="G239" s="84"/>
      <c r="H239" s="85"/>
      <c r="I239" s="85"/>
      <c r="J239" s="499" t="str">
        <f ca="1">道具!C$21</f>
        <v>混乱治疗药草</v>
      </c>
      <c r="K239" s="371"/>
      <c r="L239" s="85" t="s">
        <v>50</v>
      </c>
      <c r="M239" s="84"/>
      <c r="N239" s="499" t="str">
        <f ca="1">Summon!$C$14</f>
        <v>抓击（全体）</v>
      </c>
      <c r="O239" s="371"/>
      <c r="P239" s="506" t="str">
        <f ca="1">语言!A$357&amp;" (25), "&amp;语言!A$392&amp;" (15), "&amp;语言!A$445&amp;" (30), "&amp;语言!A$467&amp;" (30), "&amp;语言!A$470&amp;" (24)"</f>
        <v>虚无的王座 (25), 无垢巢穴 (15), 边境河岸 (30), 腐朽的开采所 (30), 下水道 (24)</v>
      </c>
      <c r="Q239" s="371"/>
      <c r="R239" s="86"/>
    </row>
    <row r="240" spans="1:18" x14ac:dyDescent="0.2">
      <c r="A240" s="82"/>
      <c r="B240" s="53" t="b">
        <f>清单!B240</f>
        <v>0</v>
      </c>
      <c r="C240" s="53" t="str">
        <f ca="1">语言!A1386</f>
        <v>猛角犀牛</v>
      </c>
      <c r="D240" s="85">
        <v>6</v>
      </c>
      <c r="E240" s="84"/>
      <c r="F240" s="84"/>
      <c r="G240" s="84"/>
      <c r="H240" s="84"/>
      <c r="I240" s="85"/>
      <c r="J240" s="499" t="str">
        <f ca="1">道具!C$14</f>
        <v>复活的橄榄</v>
      </c>
      <c r="K240" s="371"/>
      <c r="L240" s="85" t="s">
        <v>50</v>
      </c>
      <c r="M240" s="84"/>
      <c r="N240" s="499" t="str">
        <f ca="1">Summon!$C$24</f>
        <v>突进</v>
      </c>
      <c r="O240" s="371"/>
      <c r="P240" s="506" t="str">
        <f ca="1">语言!A$361&amp;" (45)"</f>
        <v>西维斯帕米尔平原 (45)</v>
      </c>
      <c r="Q240" s="371"/>
      <c r="R240" s="86"/>
    </row>
    <row r="241" spans="1:18" x14ac:dyDescent="0.2">
      <c r="A241" s="82"/>
      <c r="B241" s="53" t="b">
        <f>OR(清单!B245, 清单!B1134, 清单!B1190)</f>
        <v>0</v>
      </c>
      <c r="C241" s="53" t="str">
        <f ca="1">语言!A1387</f>
        <v>狂暴树木</v>
      </c>
      <c r="D241" s="85">
        <v>1</v>
      </c>
      <c r="E241" s="84"/>
      <c r="F241" s="84"/>
      <c r="G241" s="85"/>
      <c r="H241" s="85"/>
      <c r="I241" s="85"/>
      <c r="J241" s="499" t="str">
        <f ca="1">道具!C$542</f>
        <v>石榴树液</v>
      </c>
      <c r="K241" s="371"/>
      <c r="L241" s="85" t="s">
        <v>47</v>
      </c>
      <c r="M241" s="84"/>
      <c r="N241" s="499" t="str">
        <f ca="1">Summon!$C$72</f>
        <v>暗暗之针</v>
      </c>
      <c r="O241" s="371"/>
      <c r="P241" s="506" t="str">
        <f ca="1">语言!A$362&amp;" (58), "&amp;语言!A$488&amp;" (48), "&amp;语言!A$492&amp;" (45)"</f>
        <v>净化之森 (58), 不归之森 (48), 东达斯克瓦罗森道 (45)</v>
      </c>
      <c r="Q241" s="371"/>
      <c r="R241" s="86"/>
    </row>
    <row r="242" spans="1:18" x14ac:dyDescent="0.2">
      <c r="A242" s="82"/>
      <c r="B242" s="53" t="b">
        <f>OR(清单!B537, 清单!B1129, 清单!B1170)</f>
        <v>0</v>
      </c>
      <c r="C242" s="53" t="str">
        <f ca="1">语言!A1388</f>
        <v>狂暴植物</v>
      </c>
      <c r="D242" s="85">
        <v>2</v>
      </c>
      <c r="E242" s="84"/>
      <c r="F242" s="84"/>
      <c r="G242" s="84"/>
      <c r="H242" s="85"/>
      <c r="I242" s="85"/>
      <c r="J242" s="499" t="str">
        <f ca="1">道具!C$542</f>
        <v>石榴树液</v>
      </c>
      <c r="K242" s="371"/>
      <c r="L242" s="85" t="s">
        <v>50</v>
      </c>
      <c r="M242" s="85"/>
      <c r="N242" s="499" t="str">
        <f ca="1">Summon!$C$141</f>
        <v>ＨＰ治疗（大）（全体）</v>
      </c>
      <c r="O242" s="371"/>
      <c r="P242" s="506" t="str">
        <f ca="1">语言!A$402&amp;" (27), "&amp;语言!A$486&amp;" (21-24-29-34), "&amp;语言!A$489&amp;" (33)"</f>
        <v>幻影之森 (27), 东维克塔霍洛森道 (21-24-29-34), 通往被遗忘的洞窟的道路 (33)</v>
      </c>
      <c r="Q242" s="371"/>
      <c r="R242" s="86"/>
    </row>
    <row r="243" spans="1:18" x14ac:dyDescent="0.2">
      <c r="A243" s="82"/>
      <c r="B243" s="53" t="b">
        <f>清单!B965</f>
        <v>0</v>
      </c>
      <c r="C243" s="53" t="str">
        <f ca="1">语言!A1389</f>
        <v>瑞布斯的士兵 I</v>
      </c>
      <c r="D243" s="85">
        <v>1</v>
      </c>
      <c r="E243" s="84"/>
      <c r="F243" s="84"/>
      <c r="G243" s="84"/>
      <c r="H243" s="85"/>
      <c r="I243" s="85"/>
      <c r="J243" s="499" t="str">
        <f ca="1">道具!C$30</f>
        <v>火之精灵石</v>
      </c>
      <c r="K243" s="371"/>
      <c r="L243" s="499" t="str">
        <f ca="1">语言!$A$1630</f>
        <v>无法捕获</v>
      </c>
      <c r="M243" s="371"/>
      <c r="N243" s="371"/>
      <c r="O243" s="371"/>
      <c r="P243" s="506" t="str">
        <f ca="1">语言!A$463&amp;" (1-4-7-11)"</f>
        <v>瑞布斯的宅邸 (1-4-7-11)</v>
      </c>
      <c r="Q243" s="371"/>
      <c r="R243" s="86"/>
    </row>
    <row r="244" spans="1:18" x14ac:dyDescent="0.2">
      <c r="A244" s="82"/>
      <c r="B244" s="53" t="b">
        <f>清单!B966</f>
        <v>0</v>
      </c>
      <c r="C244" s="53" t="str">
        <f ca="1">语言!A1390</f>
        <v>瑞布斯的士兵 II</v>
      </c>
      <c r="D244" s="85">
        <v>1</v>
      </c>
      <c r="E244" s="84"/>
      <c r="F244" s="84"/>
      <c r="G244" s="85"/>
      <c r="H244" s="85"/>
      <c r="I244" s="85"/>
      <c r="J244" s="499" t="str">
        <f ca="1">道具!C$3</f>
        <v>ＨＰ恢复的葡萄</v>
      </c>
      <c r="K244" s="371"/>
      <c r="L244" s="499" t="str">
        <f ca="1">语言!$A$1630</f>
        <v>无法捕获</v>
      </c>
      <c r="M244" s="371"/>
      <c r="N244" s="371"/>
      <c r="O244" s="371"/>
      <c r="P244" s="506" t="str">
        <f ca="1">语言!A$463&amp;" (1-4-7-11)"</f>
        <v>瑞布斯的宅邸 (1-4-7-11)</v>
      </c>
      <c r="Q244" s="371"/>
      <c r="R244" s="86"/>
    </row>
    <row r="245" spans="1:18" x14ac:dyDescent="0.2">
      <c r="A245" s="82"/>
      <c r="B245" s="53" t="b">
        <f>清单!B967</f>
        <v>0</v>
      </c>
      <c r="C245" s="53" t="str">
        <f ca="1">语言!A1391</f>
        <v>瑞布斯的士兵 III</v>
      </c>
      <c r="D245" s="85">
        <v>4</v>
      </c>
      <c r="E245" s="84"/>
      <c r="F245" s="84"/>
      <c r="G245" s="84"/>
      <c r="H245" s="85"/>
      <c r="I245" s="85"/>
      <c r="J245" s="499" t="str">
        <f ca="1">道具!C$6</f>
        <v>ＳＰ恢复的李子</v>
      </c>
      <c r="K245" s="371"/>
      <c r="L245" s="499" t="str">
        <f ca="1">语言!$A$1630</f>
        <v>无法捕获</v>
      </c>
      <c r="M245" s="371"/>
      <c r="N245" s="371"/>
      <c r="O245" s="371"/>
      <c r="P245" s="506" t="str">
        <f ca="1">语言!A$463&amp;" (7-11)"</f>
        <v>瑞布斯的宅邸 (7-11)</v>
      </c>
      <c r="Q245" s="371"/>
      <c r="R245" s="86"/>
    </row>
    <row r="246" spans="1:18" x14ac:dyDescent="0.2">
      <c r="A246" s="82"/>
      <c r="B246" s="53" t="b">
        <f>OR(清单!B310, 清单!B354, 清单!B406)</f>
        <v>0</v>
      </c>
      <c r="C246" s="53" t="str">
        <f ca="1">语言!A1392</f>
        <v>双剪蟹</v>
      </c>
      <c r="D246" s="85">
        <v>5</v>
      </c>
      <c r="E246" s="84"/>
      <c r="F246" s="84"/>
      <c r="G246" s="84"/>
      <c r="H246" s="85"/>
      <c r="I246" s="85"/>
      <c r="J246" s="499" t="str">
        <f ca="1">道具!C$538</f>
        <v>睡眠花之叶</v>
      </c>
      <c r="K246" s="371"/>
      <c r="L246" s="85" t="s">
        <v>44</v>
      </c>
      <c r="M246" s="84"/>
      <c r="N246" s="499" t="str">
        <f ca="1">Summon!$C$103</f>
        <v>冰冻（全体）</v>
      </c>
      <c r="O246" s="371"/>
      <c r="P246" s="506" t="str">
        <f ca="1">语言!A$369&amp;" (45), "&amp;语言!A$377&amp;" (35), "&amp;语言!A$385&amp;" (45)"</f>
        <v>波隐岩窟 (45), 噬船海穴 (35), 西格兰波特海道 (45)</v>
      </c>
      <c r="Q246" s="371"/>
      <c r="R246" s="86"/>
    </row>
    <row r="247" spans="1:18" x14ac:dyDescent="0.2">
      <c r="A247" s="82"/>
      <c r="B247" s="53" t="b">
        <f>OR(清单!B1099, 清单!B1111)</f>
        <v>0</v>
      </c>
      <c r="C247" s="53" t="str">
        <f ca="1">语言!A1393</f>
        <v>红森林狐狸</v>
      </c>
      <c r="D247" s="85">
        <v>2</v>
      </c>
      <c r="E247" s="84"/>
      <c r="F247" s="84"/>
      <c r="G247" s="84"/>
      <c r="H247" s="85"/>
      <c r="I247" s="85"/>
      <c r="J247" s="499" t="str">
        <f ca="1">道具!C$6</f>
        <v>ＳＰ恢复的李子</v>
      </c>
      <c r="K247" s="371"/>
      <c r="L247" s="85" t="s">
        <v>46</v>
      </c>
      <c r="M247" s="84"/>
      <c r="N247" s="499" t="str">
        <f ca="1">Summon!$C$6</f>
        <v>失明之爪</v>
      </c>
      <c r="O247" s="371"/>
      <c r="P247" s="506" t="str">
        <f ca="1">语言!A$480&amp;" (15), "&amp;语言!A$482&amp;" (7-11)"</f>
        <v>兽径 (15), 耳语之森 (7-11)</v>
      </c>
      <c r="Q247" s="371"/>
      <c r="R247" s="86"/>
    </row>
    <row r="248" spans="1:18" x14ac:dyDescent="0.2">
      <c r="A248" s="82"/>
      <c r="B248" s="53" t="b">
        <f>清单!B818</f>
        <v>0</v>
      </c>
      <c r="C248" s="53" t="str">
        <f ca="1">语言!A1394</f>
        <v>红蛇异种</v>
      </c>
      <c r="D248" s="85">
        <v>1</v>
      </c>
      <c r="E248" s="84"/>
      <c r="F248" s="84"/>
      <c r="G248" s="84"/>
      <c r="H248" s="84"/>
      <c r="I248" s="85"/>
      <c r="J248" s="499" t="str">
        <f ca="1">道具!C$537</f>
        <v>毒利米树之叶</v>
      </c>
      <c r="K248" s="371"/>
      <c r="L248" s="85" t="s">
        <v>48</v>
      </c>
      <c r="M248" s="84"/>
      <c r="N248" s="499" t="str">
        <f ca="1">Summon!$C$95</f>
        <v>业火</v>
      </c>
      <c r="O248" s="371"/>
      <c r="P248" s="506" t="str">
        <f ca="1">语言!A$440&amp;" (1-4-7-11)"</f>
        <v>里欧洞窟 (1-4-7-11)</v>
      </c>
      <c r="Q248" s="371"/>
      <c r="R248" s="86"/>
    </row>
    <row r="249" spans="1:18" x14ac:dyDescent="0.2">
      <c r="A249" s="82"/>
      <c r="B249" s="53" t="b">
        <f>清单!B196</f>
        <v>0</v>
      </c>
      <c r="C249" s="53" t="str">
        <f ca="1">语言!A1395</f>
        <v>古代遗物（兽）</v>
      </c>
      <c r="D249" s="85">
        <v>3</v>
      </c>
      <c r="E249" s="84"/>
      <c r="F249" s="84"/>
      <c r="G249" s="84"/>
      <c r="H249" s="84"/>
      <c r="I249" s="85"/>
      <c r="J249" s="499" t="str">
        <f ca="1">道具!C$16</f>
        <v>复活的橄榄（大）</v>
      </c>
      <c r="K249" s="371"/>
      <c r="L249" s="85" t="s">
        <v>47</v>
      </c>
      <c r="M249" s="84"/>
      <c r="N249" s="499" t="str">
        <f ca="1">Summon!$C$43</f>
        <v>咬噬</v>
      </c>
      <c r="O249" s="371"/>
      <c r="P249" s="506" t="str">
        <f ca="1">语言!A$357&amp;" (25)"</f>
        <v>虚无的王座 (25)</v>
      </c>
      <c r="Q249" s="371"/>
      <c r="R249" s="86"/>
    </row>
    <row r="250" spans="1:18" x14ac:dyDescent="0.2">
      <c r="A250" s="82"/>
      <c r="B250" s="53" t="b">
        <f>OR(清单!B252, 清单!B748, 清单!B768, 清单!B774, 清单!B781)</f>
        <v>0</v>
      </c>
      <c r="C250" s="53" t="str">
        <f ca="1">语言!A1396</f>
        <v>古代遗物（兽）・异型</v>
      </c>
      <c r="D250" s="85">
        <v>5</v>
      </c>
      <c r="E250" s="84"/>
      <c r="F250" s="84"/>
      <c r="G250" s="84"/>
      <c r="H250" s="84"/>
      <c r="I250" s="85"/>
      <c r="J250" s="499" t="str">
        <f ca="1">道具!C$17</f>
        <v>复活的橄榄（特大）</v>
      </c>
      <c r="K250" s="371"/>
      <c r="L250" s="85" t="s">
        <v>50</v>
      </c>
      <c r="M250" s="84"/>
      <c r="N250" s="499" t="str">
        <f ca="1">Summon!$C$43</f>
        <v>咬噬</v>
      </c>
      <c r="O250" s="371"/>
      <c r="P250" s="506" t="str">
        <f ca="1">语言!A$362&amp;" (58), "&amp;语言!A$430&amp;" (45), "&amp;语言!A$432&amp;" (45), "&amp;语言!A$433&amp;" (45-46)"</f>
        <v>净化之森 (58), 东马尔沙利姆沙道 (45), 通往灰色沙丘遗迹的道路 (45), 灰色沙丘遗迹 (45-46)</v>
      </c>
      <c r="Q250" s="371"/>
      <c r="R250" s="86"/>
    </row>
    <row r="251" spans="1:18" x14ac:dyDescent="0.2">
      <c r="A251" s="82"/>
      <c r="B251" s="53" t="b">
        <f>OR(清单!B840, 清单!B858, 清单!B875)</f>
        <v>0</v>
      </c>
      <c r="C251" s="53" t="str">
        <f ca="1">语言!A1397</f>
        <v>雷普塔利翁</v>
      </c>
      <c r="D251" s="85">
        <v>3</v>
      </c>
      <c r="E251" s="84"/>
      <c r="F251" s="85"/>
      <c r="G251" s="85"/>
      <c r="H251" s="85"/>
      <c r="I251" s="85"/>
      <c r="J251" s="499" t="str">
        <f ca="1">道具!C$4</f>
        <v>ＨＰ恢复的葡萄（大）</v>
      </c>
      <c r="K251" s="371"/>
      <c r="L251" s="85" t="s">
        <v>47</v>
      </c>
      <c r="M251" s="84"/>
      <c r="N251" s="499" t="str">
        <f ca="1">Summon!$C$19</f>
        <v>舌头横扫（全体）</v>
      </c>
      <c r="O251" s="371"/>
      <c r="P251" s="506" t="str">
        <f ca="1">语言!A$444&amp;" (26-29), "&amp;语言!A$447&amp;" (20), "&amp;语言!A$448&amp;" (32)"</f>
        <v>东圣特布里吉川道 (26-29), 黑暗之森 (20), 利维耶拉之森 (32)</v>
      </c>
      <c r="Q251" s="371"/>
      <c r="R251" s="86"/>
    </row>
    <row r="252" spans="1:18" x14ac:dyDescent="0.2">
      <c r="A252" s="82"/>
      <c r="B252" s="53" t="b">
        <f>清单!B108</f>
        <v>0</v>
      </c>
      <c r="C252" s="53" t="str">
        <f ca="1">语言!A1398</f>
        <v>雷普塔利欧斯</v>
      </c>
      <c r="D252" s="85">
        <v>2</v>
      </c>
      <c r="E252" s="84"/>
      <c r="F252" s="85"/>
      <c r="G252" s="85"/>
      <c r="H252" s="85"/>
      <c r="I252" s="85"/>
      <c r="J252" s="499" t="str">
        <f ca="1">道具!C$543</f>
        <v>橄榄花</v>
      </c>
      <c r="K252" s="371"/>
      <c r="L252" s="85" t="s">
        <v>51</v>
      </c>
      <c r="M252" s="84"/>
      <c r="N252" s="499" t="str">
        <f ca="1">Summon!$C$18</f>
        <v>捆绑（全体）</v>
      </c>
      <c r="O252" s="371"/>
      <c r="P252" s="506" t="str">
        <f ca="1">语言!A$342&amp;" (45)"</f>
        <v>南诺斯利奇雪道 (45)</v>
      </c>
      <c r="Q252" s="371"/>
      <c r="R252" s="86"/>
    </row>
    <row r="253" spans="1:18" x14ac:dyDescent="0.2">
      <c r="A253" s="82"/>
      <c r="B253" s="53" t="b">
        <f>清单!B552</f>
        <v>0</v>
      </c>
      <c r="C253" s="53" t="str">
        <f ca="1">语言!A1399</f>
        <v>研究员 I</v>
      </c>
      <c r="D253" s="85">
        <v>3</v>
      </c>
      <c r="E253" s="84"/>
      <c r="F253" s="84"/>
      <c r="G253" s="84"/>
      <c r="H253" s="84"/>
      <c r="I253" s="85"/>
      <c r="J253" s="499" t="str">
        <f ca="1">道具!C$110</f>
        <v>吐息瓶</v>
      </c>
      <c r="K253" s="371"/>
      <c r="L253" s="499" t="str">
        <f ca="1">语言!$A$1630</f>
        <v>无法捕获</v>
      </c>
      <c r="M253" s="371"/>
      <c r="N253" s="371"/>
      <c r="O253" s="371"/>
      <c r="P253" s="506" t="str">
        <f ca="1">语言!A$403&amp;" (40)"</f>
        <v>伊冯的老家 (40)</v>
      </c>
      <c r="Q253" s="371"/>
      <c r="R253" s="86"/>
    </row>
    <row r="254" spans="1:18" x14ac:dyDescent="0.2">
      <c r="A254" s="82"/>
      <c r="B254" s="53" t="b">
        <f>清单!B553</f>
        <v>0</v>
      </c>
      <c r="C254" s="53" t="str">
        <f ca="1">语言!A1400</f>
        <v>研究员 II</v>
      </c>
      <c r="D254" s="85">
        <v>1</v>
      </c>
      <c r="E254" s="84"/>
      <c r="F254" s="84"/>
      <c r="G254" s="84"/>
      <c r="H254" s="84"/>
      <c r="I254" s="85"/>
      <c r="J254" s="499" t="str">
        <f ca="1">道具!C$108</f>
        <v>失神饮料</v>
      </c>
      <c r="K254" s="371"/>
      <c r="L254" s="499" t="str">
        <f ca="1">语言!$A$1630</f>
        <v>无法捕获</v>
      </c>
      <c r="M254" s="371"/>
      <c r="N254" s="371"/>
      <c r="O254" s="371"/>
      <c r="P254" s="506" t="str">
        <f ca="1">语言!A$403&amp;" (40)"</f>
        <v>伊冯的老家 (40)</v>
      </c>
      <c r="Q254" s="371"/>
      <c r="R254" s="86"/>
    </row>
    <row r="255" spans="1:18" x14ac:dyDescent="0.2">
      <c r="A255" s="82"/>
      <c r="B255" s="53" t="b">
        <f>清单!B554</f>
        <v>0</v>
      </c>
      <c r="C255" s="53" t="str">
        <f ca="1">语言!A1401</f>
        <v>研究员 III</v>
      </c>
      <c r="D255" s="85">
        <v>4</v>
      </c>
      <c r="E255" s="84"/>
      <c r="F255" s="84"/>
      <c r="G255" s="84"/>
      <c r="H255" s="85"/>
      <c r="I255" s="85"/>
      <c r="J255" s="499" t="str">
        <f ca="1">道具!C$107</f>
        <v>会中毒果实</v>
      </c>
      <c r="K255" s="371"/>
      <c r="L255" s="499" t="str">
        <f ca="1">语言!$A$1630</f>
        <v>无法捕获</v>
      </c>
      <c r="M255" s="371"/>
      <c r="N255" s="371"/>
      <c r="O255" s="371"/>
      <c r="P255" s="506" t="str">
        <f ca="1">语言!A$403&amp;" (40)"</f>
        <v>伊冯的老家 (40)</v>
      </c>
      <c r="Q255" s="371"/>
      <c r="R255" s="86"/>
    </row>
    <row r="256" spans="1:18" x14ac:dyDescent="0.2">
      <c r="A256" s="82"/>
      <c r="B256" s="53" t="b">
        <f>OR(清单!B253, 清单!B769, 清单!B775, 清单!B782, 清单!B1046)</f>
        <v>0</v>
      </c>
      <c r="C256" s="53" t="str">
        <f ca="1">语言!A1402</f>
        <v>古代遗物・兵</v>
      </c>
      <c r="D256" s="85">
        <v>9</v>
      </c>
      <c r="E256" s="84"/>
      <c r="F256" s="84"/>
      <c r="G256" s="84"/>
      <c r="H256" s="84"/>
      <c r="I256" s="85"/>
      <c r="J256" s="499" t="str">
        <f ca="1">道具!C$13</f>
        <v>ＨＰ／ＳＰ／ＢＰ恢复的果酱</v>
      </c>
      <c r="K256" s="371"/>
      <c r="L256" s="85" t="s">
        <v>55</v>
      </c>
      <c r="M256" s="85"/>
      <c r="N256" s="499" t="str">
        <f ca="1">Summon!$C$164</f>
        <v>冲击之钟</v>
      </c>
      <c r="O256" s="371"/>
      <c r="P256" s="506" t="str">
        <f ca="1">语言!A$362&amp;" (58), "&amp;语言!A$432&amp;" (45), "&amp;语言!A$433&amp;" (45-46), "&amp;语言!A$473&amp;" (50)"</f>
        <v>净化之森 (58), 通往灰色沙丘遗迹的道路 (45), 灰色沙丘遗迹 (45-46), 龙咏神殿 (50)</v>
      </c>
      <c r="Q256" s="371"/>
      <c r="R256" s="86"/>
    </row>
    <row r="257" spans="1:18" x14ac:dyDescent="0.2">
      <c r="A257" s="82"/>
      <c r="B257" s="53" t="b">
        <f>OR(清单!B839, 清单!B859)</f>
        <v>0</v>
      </c>
      <c r="C257" s="53" t="str">
        <f ca="1">语言!A1403</f>
        <v>腐臭虫</v>
      </c>
      <c r="D257" s="85">
        <v>3</v>
      </c>
      <c r="E257" s="84"/>
      <c r="F257" s="84"/>
      <c r="G257" s="84"/>
      <c r="H257" s="84"/>
      <c r="I257" s="85"/>
      <c r="J257" s="499" t="str">
        <f ca="1">道具!C$537</f>
        <v>毒利米树之叶</v>
      </c>
      <c r="K257" s="371"/>
      <c r="L257" s="85" t="s">
        <v>50</v>
      </c>
      <c r="M257" s="84"/>
      <c r="N257" s="499" t="str">
        <f ca="1">Summon!$C$14</f>
        <v>抓击（全体）</v>
      </c>
      <c r="O257" s="371"/>
      <c r="P257" s="506" t="str">
        <f ca="1">语言!A$444&amp;" (20-23-26-29), "&amp;语言!A$446&amp;" (20)"</f>
        <v>东圣特布里吉川道 (20-23-26-29), 通往黑暗之森的道路 (20)</v>
      </c>
      <c r="Q257" s="371"/>
      <c r="R257" s="86"/>
    </row>
    <row r="258" spans="1:18" x14ac:dyDescent="0.2">
      <c r="A258" s="82"/>
      <c r="B258" s="53" t="b">
        <f>OR(清单!B648, 清单!B809, 清单!B841, 清单!B860)</f>
        <v>0</v>
      </c>
      <c r="C258" s="53" t="str">
        <f ca="1">语言!A1404</f>
        <v>河川苍蝇</v>
      </c>
      <c r="D258" s="85">
        <v>1</v>
      </c>
      <c r="E258" s="84"/>
      <c r="F258" s="84"/>
      <c r="G258" s="84"/>
      <c r="H258" s="84"/>
      <c r="I258" s="85"/>
      <c r="J258" s="499" t="str">
        <f ca="1">道具!C$539</f>
        <v>混乱多之叶</v>
      </c>
      <c r="K258" s="371"/>
      <c r="L258" s="85" t="s">
        <v>46</v>
      </c>
      <c r="M258" s="84"/>
      <c r="N258" s="499" t="str">
        <f ca="1">Summon!$C$9</f>
        <v>恐慌之爪</v>
      </c>
      <c r="O258" s="371"/>
      <c r="P258" s="506" t="str">
        <f ca="1">语言!A$418&amp;" (20), "&amp;语言!A$438&amp;" (20), "&amp;语言!A$444&amp;" (20-23), "&amp;语言!A$446&amp;" (20)"</f>
        <v>砂笛洞窟 (20), 双子瀑布 (20), 东圣特布里吉川道 (20-23), 通往黑暗之森的道路 (20)</v>
      </c>
      <c r="Q258" s="371"/>
      <c r="R258" s="86"/>
    </row>
    <row r="259" spans="1:18" x14ac:dyDescent="0.2">
      <c r="A259" s="82"/>
      <c r="B259" s="53" t="b">
        <f>清单!B796</f>
        <v>0</v>
      </c>
      <c r="C259" s="53" t="str">
        <f ca="1">语言!A1405</f>
        <v>河川巨蛙 I</v>
      </c>
      <c r="D259" s="85">
        <v>1</v>
      </c>
      <c r="E259" s="84"/>
      <c r="F259" s="84"/>
      <c r="G259" s="84"/>
      <c r="H259" s="84"/>
      <c r="I259" s="85"/>
      <c r="J259" s="499" t="str">
        <f ca="1">道具!C$6</f>
        <v>ＳＰ恢复的李子</v>
      </c>
      <c r="K259" s="371"/>
      <c r="L259" s="85" t="s">
        <v>45</v>
      </c>
      <c r="M259" s="84"/>
      <c r="N259" s="499" t="str">
        <f ca="1">Summon!$C$41</f>
        <v>战斗</v>
      </c>
      <c r="O259" s="371"/>
      <c r="P259" s="506" t="str">
        <f ca="1">语言!A$436&amp;" (1-4-7-11), "&amp;语言!A$437&amp;" (1-4-7-11), "&amp;语言!A$439&amp;" (1-4-7-11)"</f>
        <v>西库利亚布鲁克川道 (1-4-7-11), 南库利亚布鲁克川道 (1-4-7-11), 通往里欧洞窟的道路 (1-4-7-11)</v>
      </c>
      <c r="Q259" s="371"/>
      <c r="R259" s="86"/>
    </row>
    <row r="260" spans="1:18" x14ac:dyDescent="0.2">
      <c r="A260" s="82"/>
      <c r="B260" s="53" t="b">
        <f>清单!B797</f>
        <v>0</v>
      </c>
      <c r="C260" s="53" t="str">
        <f ca="1">语言!A1406</f>
        <v>河川巨蛙 II</v>
      </c>
      <c r="D260" s="85">
        <v>2</v>
      </c>
      <c r="E260" s="84"/>
      <c r="F260" s="84"/>
      <c r="G260" s="84"/>
      <c r="H260" s="84"/>
      <c r="I260" s="85"/>
      <c r="J260" s="499" t="str">
        <f ca="1">道具!C$537</f>
        <v>毒利米树之叶</v>
      </c>
      <c r="K260" s="371"/>
      <c r="L260" s="85" t="s">
        <v>48</v>
      </c>
      <c r="M260" s="84"/>
      <c r="N260" s="499" t="str">
        <f ca="1">Summon!$C$49</f>
        <v>战斗（全体）</v>
      </c>
      <c r="O260" s="371"/>
      <c r="P260" s="506" t="str">
        <f ca="1">语言!A$436&amp;" (1-4-7-11), "&amp;语言!A$437&amp;" (1-4-7-11), "&amp;语言!A$439&amp;" (1-4-7-11)"</f>
        <v>西库利亚布鲁克川道 (1-4-7-11), 南库利亚布鲁克川道 (1-4-7-11), 通往里欧洞窟的道路 (1-4-7-11)</v>
      </c>
      <c r="Q260" s="371"/>
      <c r="R260" s="86"/>
    </row>
    <row r="261" spans="1:18" x14ac:dyDescent="0.2">
      <c r="A261" s="82"/>
      <c r="B261" s="53" t="b">
        <f>清单!B798</f>
        <v>0</v>
      </c>
      <c r="C261" s="53" t="str">
        <f ca="1">语言!A1407</f>
        <v>河川巨蛙 III</v>
      </c>
      <c r="D261" s="85">
        <v>3</v>
      </c>
      <c r="E261" s="84"/>
      <c r="F261" s="84"/>
      <c r="G261" s="84"/>
      <c r="H261" s="85"/>
      <c r="I261" s="85"/>
      <c r="J261" s="499" t="str">
        <f ca="1">道具!C$3</f>
        <v>ＨＰ恢复的葡萄</v>
      </c>
      <c r="K261" s="371"/>
      <c r="L261" s="85" t="s">
        <v>57</v>
      </c>
      <c r="M261" s="84"/>
      <c r="N261" s="499" t="str">
        <f ca="1">Summon!$C$44</f>
        <v>战斗ｘ２</v>
      </c>
      <c r="O261" s="371"/>
      <c r="P261" s="506" t="str">
        <f ca="1">语言!A$436&amp;" (7-11), "&amp;语言!A$437&amp;" (7-11), "&amp;语言!A$439&amp;" (7-11)"</f>
        <v>西库利亚布鲁克川道 (7-11), 南库利亚布鲁克川道 (7-11), 通往里欧洞窟的道路 (7-11)</v>
      </c>
      <c r="Q261" s="371"/>
      <c r="R261" s="86"/>
    </row>
    <row r="262" spans="1:18" x14ac:dyDescent="0.2">
      <c r="A262" s="82"/>
      <c r="B262" s="53" t="b">
        <f>OR(清单!B805, 清单!B833)</f>
        <v>0</v>
      </c>
      <c r="C262" s="53" t="str">
        <f ca="1">语言!A1408</f>
        <v>河川巨蛙 IV</v>
      </c>
      <c r="D262" s="85">
        <v>2</v>
      </c>
      <c r="E262" s="84"/>
      <c r="F262" s="84"/>
      <c r="G262" s="84"/>
      <c r="H262" s="85"/>
      <c r="I262" s="85"/>
      <c r="J262" s="499" t="str">
        <f ca="1">道具!C$6</f>
        <v>ＳＰ恢复的李子</v>
      </c>
      <c r="K262" s="371"/>
      <c r="L262" s="85" t="s">
        <v>46</v>
      </c>
      <c r="M262" s="84"/>
      <c r="N262" s="499" t="str">
        <f ca="1">Summon!$C$44</f>
        <v>战斗ｘ２</v>
      </c>
      <c r="O262" s="371"/>
      <c r="P262" s="506" t="str">
        <f ca="1">语言!A$438&amp;" (20), "&amp;语言!A$444&amp;" (20-23-26-29)"</f>
        <v>双子瀑布 (20), 东圣特布里吉川道 (20-23-26-29)</v>
      </c>
      <c r="Q262" s="371"/>
      <c r="R262" s="86"/>
    </row>
    <row r="263" spans="1:18" x14ac:dyDescent="0.2">
      <c r="A263" s="82"/>
      <c r="B263" s="53" t="b">
        <f>OR(清单!B806, 清单!B834)</f>
        <v>0</v>
      </c>
      <c r="C263" s="53" t="str">
        <f ca="1">语言!A1409</f>
        <v>河川巨蛙 V</v>
      </c>
      <c r="D263" s="85">
        <v>3</v>
      </c>
      <c r="E263" s="84"/>
      <c r="F263" s="84"/>
      <c r="G263" s="84"/>
      <c r="H263" s="85"/>
      <c r="I263" s="85"/>
      <c r="J263" s="499" t="str">
        <f ca="1">道具!C$537</f>
        <v>毒利米树之叶</v>
      </c>
      <c r="K263" s="371"/>
      <c r="L263" s="85" t="s">
        <v>46</v>
      </c>
      <c r="M263" s="84"/>
      <c r="N263" s="499" t="str">
        <f ca="1">Summon!$C$51</f>
        <v>战斗ｘ２（全体）</v>
      </c>
      <c r="O263" s="371"/>
      <c r="P263" s="506" t="str">
        <f ca="1">语言!A$438&amp;" (20), "&amp;语言!A$444&amp;" (20-23-26-29)"</f>
        <v>双子瀑布 (20), 东圣特布里吉川道 (20-23-26-29)</v>
      </c>
      <c r="Q263" s="371"/>
      <c r="R263" s="86"/>
    </row>
    <row r="264" spans="1:18" x14ac:dyDescent="0.2">
      <c r="A264" s="82"/>
      <c r="B264" s="53" t="b">
        <f>清单!B835</f>
        <v>0</v>
      </c>
      <c r="C264" s="53" t="str">
        <f ca="1">语言!A1410</f>
        <v>河川巨蛙 VI</v>
      </c>
      <c r="D264" s="85">
        <v>1</v>
      </c>
      <c r="E264" s="84"/>
      <c r="F264" s="84"/>
      <c r="G264" s="84"/>
      <c r="H264" s="85"/>
      <c r="I264" s="85"/>
      <c r="J264" s="499" t="str">
        <f ca="1">道具!C$4</f>
        <v>ＨＰ恢复的葡萄（大）</v>
      </c>
      <c r="K264" s="371"/>
      <c r="L264" s="85" t="s">
        <v>49</v>
      </c>
      <c r="M264" s="84"/>
      <c r="N264" s="499" t="str">
        <f ca="1">Summon!$C$46</f>
        <v>战斗ｘ３</v>
      </c>
      <c r="O264" s="371"/>
      <c r="P264" s="506" t="str">
        <f ca="1">语言!A$444&amp;" (26-29)"</f>
        <v>东圣特布里吉川道 (26-29)</v>
      </c>
      <c r="Q264" s="371"/>
      <c r="R264" s="86"/>
    </row>
    <row r="265" spans="1:18" x14ac:dyDescent="0.2">
      <c r="A265" s="82"/>
      <c r="B265" s="53" t="b">
        <f>OR(清单!B836, 清单!B887, 清单!B895)</f>
        <v>0</v>
      </c>
      <c r="C265" s="53" t="str">
        <f ca="1">语言!A1411</f>
        <v>河川大巨蛙 I</v>
      </c>
      <c r="D265" s="85">
        <v>3</v>
      </c>
      <c r="E265" s="84"/>
      <c r="F265" s="84"/>
      <c r="G265" s="84"/>
      <c r="H265" s="84"/>
      <c r="I265" s="85"/>
      <c r="J265" s="499" t="str">
        <f ca="1">道具!C$4</f>
        <v>ＨＰ恢复的葡萄（大）</v>
      </c>
      <c r="K265" s="371"/>
      <c r="L265" s="85" t="s">
        <v>49</v>
      </c>
      <c r="M265" s="84"/>
      <c r="N265" s="499" t="str">
        <f ca="1">Summon!$C$58</f>
        <v>战斗ｘ３</v>
      </c>
      <c r="O265" s="371"/>
      <c r="P265" s="506" t="str">
        <f ca="1">语言!A$444&amp;" (26-29), "&amp;语言!A$451&amp;" (45), "&amp;语言!A$452&amp;" (50)"</f>
        <v>东圣特布里吉川道 (26-29), 北利维福德川道 (45), 贵族的藏身处遗迹 (50)</v>
      </c>
      <c r="Q265" s="371"/>
      <c r="R265" s="86"/>
    </row>
    <row r="266" spans="1:18" x14ac:dyDescent="0.2">
      <c r="A266" s="82"/>
      <c r="B266" s="53" t="b">
        <f>OR(清单!B888, 清单!B896)</f>
        <v>0</v>
      </c>
      <c r="C266" s="53" t="str">
        <f ca="1">语言!A1412</f>
        <v>河川大巨蛙 II</v>
      </c>
      <c r="D266" s="85">
        <v>2</v>
      </c>
      <c r="E266" s="84"/>
      <c r="F266" s="84"/>
      <c r="G266" s="84"/>
      <c r="H266" s="84"/>
      <c r="I266" s="85"/>
      <c r="J266" s="499" t="str">
        <f ca="1">道具!C$537</f>
        <v>毒利米树之叶</v>
      </c>
      <c r="K266" s="371"/>
      <c r="L266" s="85" t="s">
        <v>50</v>
      </c>
      <c r="M266" s="84"/>
      <c r="N266" s="499" t="str">
        <f ca="1">Summon!$C$65</f>
        <v>战斗ｘ３（全体）</v>
      </c>
      <c r="O266" s="371"/>
      <c r="P266" s="506" t="str">
        <f ca="1">语言!A$451&amp;" (45), "&amp;语言!A$452&amp;" (50)"</f>
        <v>北利维福德川道 (45), 贵族的藏身处遗迹 (50)</v>
      </c>
      <c r="Q266" s="371"/>
      <c r="R266" s="86"/>
    </row>
    <row r="267" spans="1:18" x14ac:dyDescent="0.2">
      <c r="A267" s="82"/>
      <c r="B267" s="53" t="b">
        <f>OR(清单!B889, 清单!B897)</f>
        <v>0</v>
      </c>
      <c r="C267" s="53" t="str">
        <f ca="1">语言!A1413</f>
        <v>河川大巨蛙 III</v>
      </c>
      <c r="D267" s="85">
        <v>5</v>
      </c>
      <c r="E267" s="84"/>
      <c r="F267" s="84"/>
      <c r="G267" s="84"/>
      <c r="H267" s="85"/>
      <c r="I267" s="85"/>
      <c r="J267" s="499" t="str">
        <f ca="1">道具!C$5</f>
        <v>ＨＰ全体恢复的葡萄</v>
      </c>
      <c r="K267" s="371"/>
      <c r="L267" s="85" t="s">
        <v>47</v>
      </c>
      <c r="M267" s="84"/>
      <c r="N267" s="499" t="str">
        <f ca="1">Summon!$C$59</f>
        <v>连续破甲</v>
      </c>
      <c r="O267" s="371"/>
      <c r="P267" s="506" t="str">
        <f ca="1">语言!A$451&amp;" (45), "&amp;语言!A$452&amp;" (50)"</f>
        <v>北利维福德川道 (45), 贵族的藏身处遗迹 (50)</v>
      </c>
      <c r="Q267" s="371"/>
      <c r="R267" s="86"/>
    </row>
    <row r="268" spans="1:18" x14ac:dyDescent="0.2">
      <c r="A268" s="82"/>
      <c r="B268" s="53" t="b">
        <f>清单!B799</f>
        <v>0</v>
      </c>
      <c r="C268" s="53" t="str">
        <f ca="1">语言!A1414</f>
        <v>河蜂</v>
      </c>
      <c r="D268" s="85">
        <v>1</v>
      </c>
      <c r="E268" s="84"/>
      <c r="F268" s="84"/>
      <c r="G268" s="84"/>
      <c r="H268" s="85"/>
      <c r="I268" s="85"/>
      <c r="J268" s="499" t="str">
        <f ca="1">道具!C$537</f>
        <v>毒利米树之叶</v>
      </c>
      <c r="K268" s="371"/>
      <c r="L268" s="85" t="s">
        <v>45</v>
      </c>
      <c r="M268" s="84"/>
      <c r="N268" s="499" t="str">
        <f ca="1">Summon!$C$71</f>
        <v>毒针</v>
      </c>
      <c r="O268" s="371"/>
      <c r="P268" s="506" t="str">
        <f ca="1">语言!A$436&amp;" (1-4-7-11), "&amp;语言!A$437&amp;" (1-4-7-11), "&amp;语言!A$439&amp;" (1-4-7-11)"</f>
        <v>西库利亚布鲁克川道 (1-4-7-11), 南库利亚布鲁克川道 (1-4-7-11), 通往里欧洞窟的道路 (1-4-7-11)</v>
      </c>
      <c r="Q268" s="371"/>
      <c r="R268" s="86"/>
    </row>
    <row r="269" spans="1:18" x14ac:dyDescent="0.2">
      <c r="A269" s="82"/>
      <c r="B269" s="53" t="b">
        <f>OR(清单!B306, 清单!B344, 清单!B368)</f>
        <v>0</v>
      </c>
      <c r="C269" s="53" t="str">
        <f ca="1">语言!A1415</f>
        <v>岩龟</v>
      </c>
      <c r="D269" s="85">
        <v>3</v>
      </c>
      <c r="E269" s="84"/>
      <c r="F269" s="84"/>
      <c r="G269" s="85"/>
      <c r="H269" s="85"/>
      <c r="I269" s="85"/>
      <c r="J269" s="499" t="str">
        <f ca="1">道具!C$543</f>
        <v>橄榄花</v>
      </c>
      <c r="K269" s="371"/>
      <c r="L269" s="85" t="s">
        <v>49</v>
      </c>
      <c r="M269" s="84"/>
      <c r="N269" s="499" t="str">
        <f ca="1">Summon!$C$111</f>
        <v>防护雷击</v>
      </c>
      <c r="O269" s="371"/>
      <c r="P269" s="506" t="str">
        <f ca="1">语言!A$367&amp;" (11), "&amp;语言!A$368&amp;" (11), "&amp;语言!A$370&amp;" (11), "&amp;语言!A$375&amp;" (23-26-31-34),"&amp;语言!A$376&amp;" (23-26-31-34), "&amp;语言!A$378&amp;" (23)"</f>
        <v>东利布尔泰德海道 (11), 北利布尔泰德海道 (11), 通往麦亚洞窟的道路 (11), 月隐海道 (23-26-31-34),西葛鲁德修亚海道 (23-26-31-34), 通往青碧洞窟的道路 (23)</v>
      </c>
      <c r="Q269" s="371"/>
      <c r="R269" s="86"/>
    </row>
    <row r="270" spans="1:18" x14ac:dyDescent="0.2">
      <c r="A270" s="82"/>
      <c r="B270" s="53" t="b">
        <f>清单!B453</f>
        <v>0</v>
      </c>
      <c r="C270" s="53" t="str">
        <f ca="1">语言!A1416</f>
        <v>岩犰狳</v>
      </c>
      <c r="D270" s="85">
        <v>2</v>
      </c>
      <c r="E270" s="84"/>
      <c r="F270" s="84"/>
      <c r="G270" s="84"/>
      <c r="H270" s="85"/>
      <c r="I270" s="85"/>
      <c r="J270" s="499" t="str">
        <f ca="1">道具!C$540</f>
        <v>葡萄树液</v>
      </c>
      <c r="K270" s="371"/>
      <c r="L270" s="85" t="s">
        <v>48</v>
      </c>
      <c r="M270" s="84"/>
      <c r="N270" s="499" t="str">
        <f ca="1">Summon!$C$24</f>
        <v>突进</v>
      </c>
      <c r="O270" s="371"/>
      <c r="P270" s="506" t="str">
        <f ca="1">语言!A$390&amp;" (1-4-7-11), "&amp;语言!A$391&amp;" (1-4-7-11), "&amp;语言!A$393&amp;" (1-4-7-11)"</f>
        <v>南鹅卵石村山道 (1-4-7-11), 北鹅卵石村山道 (1-4-7-11), 通往山贼大本营的道路 (1-4-7-11)</v>
      </c>
      <c r="Q270" s="371"/>
      <c r="R270" s="86"/>
    </row>
    <row r="271" spans="1:18" x14ac:dyDescent="0.2">
      <c r="A271" s="82"/>
      <c r="B271" s="53" t="b">
        <f>清单!B305</f>
        <v>0</v>
      </c>
      <c r="C271" s="53" t="str">
        <f ca="1">语言!A1417</f>
        <v>飞鱼异种</v>
      </c>
      <c r="D271" s="85">
        <v>2</v>
      </c>
      <c r="E271" s="84"/>
      <c r="F271" s="84"/>
      <c r="G271" s="84"/>
      <c r="H271" s="84"/>
      <c r="I271" s="85"/>
      <c r="J271" s="499" t="str">
        <f ca="1">道具!C$540</f>
        <v>葡萄树液</v>
      </c>
      <c r="K271" s="371"/>
      <c r="L271" s="85" t="s">
        <v>46</v>
      </c>
      <c r="M271" s="84"/>
      <c r="N271" s="499" t="str">
        <f ca="1">Summon!$C$24</f>
        <v>突进</v>
      </c>
      <c r="O271" s="371"/>
      <c r="P271" s="506" t="str">
        <f ca="1">语言!A$367&amp;" (7-11), "&amp;语言!A$368&amp;" (7-11), "&amp;语言!A$370&amp;" (7-11)"</f>
        <v>东利布尔泰德海道 (7-11), 北利布尔泰德海道 (7-11), 通往麦亚洞窟的道路 (7-11)</v>
      </c>
      <c r="Q271" s="371"/>
      <c r="R271" s="86"/>
    </row>
    <row r="272" spans="1:18" x14ac:dyDescent="0.2">
      <c r="A272" s="82"/>
      <c r="B272" s="53" t="b">
        <f>OR(清单!B802,清单!B811, 清单!B822, 清单!B837, 清单!B857, 清单!B1021)</f>
        <v>0</v>
      </c>
      <c r="C272" s="53" t="str">
        <f ca="1">语言!A1418</f>
        <v>沙罗曼达</v>
      </c>
      <c r="D272" s="85">
        <v>3</v>
      </c>
      <c r="E272" s="84"/>
      <c r="F272" s="84"/>
      <c r="G272" s="84"/>
      <c r="H272" s="85"/>
      <c r="I272" s="85"/>
      <c r="J272" s="499" t="str">
        <f ca="1">道具!C$543</f>
        <v>橄榄花</v>
      </c>
      <c r="K272" s="371"/>
      <c r="L272" s="85" t="s">
        <v>49</v>
      </c>
      <c r="M272" s="84"/>
      <c r="N272" s="499" t="str">
        <f ca="1">Summon!$C$29</f>
        <v>暗暗大突进</v>
      </c>
      <c r="O272" s="371"/>
      <c r="P272" s="506" t="str">
        <f ca="1">语言!A$436&amp;" (11), "&amp;语言!A$437&amp;" (11), "&amp;语言!A$438&amp;" (20), "&amp;语言!A$439&amp;" (11), "&amp;语言!A$440&amp;" (11), "&amp;语言!A$444&amp;" (20-23), "&amp;语言!A$446&amp;" (20), "&amp;语言!A$470&amp;" (24)"</f>
        <v>西库利亚布鲁克川道 (11), 南库利亚布鲁克川道 (11), 双子瀑布 (20), 通往里欧洞窟的道路 (11), 里欧洞窟 (11), 东圣特布里吉川道 (20-23), 通往黑暗之森的道路 (20), 下水道 (24)</v>
      </c>
      <c r="Q272" s="371"/>
      <c r="R272" s="86"/>
    </row>
    <row r="273" spans="1:18" x14ac:dyDescent="0.2">
      <c r="A273" s="82"/>
      <c r="B273" s="53" t="b">
        <f>OR(清单!B673, 清单!B745)</f>
        <v>0</v>
      </c>
      <c r="C273" s="53" t="str">
        <f ca="1">语言!A1419</f>
        <v>沙漠大蜥蜴人 I</v>
      </c>
      <c r="D273" s="85">
        <v>4</v>
      </c>
      <c r="E273" s="84"/>
      <c r="F273" s="84"/>
      <c r="G273" s="84"/>
      <c r="H273" s="84"/>
      <c r="I273" s="85"/>
      <c r="J273" s="499" t="str">
        <f ca="1">道具!C$4</f>
        <v>ＨＰ恢复的葡萄（大）</v>
      </c>
      <c r="K273" s="371"/>
      <c r="L273" s="85" t="s">
        <v>49</v>
      </c>
      <c r="M273" s="84"/>
      <c r="N273" s="499" t="str">
        <f ca="1">Summon!$C$84</f>
        <v>战斗ｘ３</v>
      </c>
      <c r="O273" s="371"/>
      <c r="P273" s="506" t="str">
        <f ca="1">语言!A$421&amp;" (33-35), "&amp;语言!A$422&amp;" (33-35), "&amp;语言!A$430&amp;" (45)"</f>
        <v>北威尔斯宾克沙道 (33-35), 东威尔斯宾克沙道 (33-35), 东马尔沙利姆沙道 (45)</v>
      </c>
      <c r="Q273" s="371"/>
      <c r="R273" s="87" t="s">
        <v>59</v>
      </c>
    </row>
    <row r="274" spans="1:18" x14ac:dyDescent="0.2">
      <c r="A274" s="82"/>
      <c r="B274" s="53" t="b">
        <f>OR(清单!B724, 清单!B732)</f>
        <v>0</v>
      </c>
      <c r="C274" s="53" t="str">
        <f ca="1">语言!A1420</f>
        <v>热沙大蜥蜴人 I</v>
      </c>
      <c r="D274" s="85">
        <v>4</v>
      </c>
      <c r="E274" s="84"/>
      <c r="F274" s="84"/>
      <c r="G274" s="84"/>
      <c r="H274" s="85"/>
      <c r="I274" s="85"/>
      <c r="J274" s="499" t="str">
        <f ca="1">道具!C$4</f>
        <v>ＨＰ恢复的葡萄（大）</v>
      </c>
      <c r="K274" s="371"/>
      <c r="L274" s="499" t="str">
        <f ca="1">语言!$A$1630</f>
        <v>无法捕获</v>
      </c>
      <c r="M274" s="371"/>
      <c r="N274" s="371"/>
      <c r="O274" s="371"/>
      <c r="P274" s="506" t="str">
        <f ca="1">语言!A$426&amp;" (31), "&amp;语言!A$427&amp;" (32)"</f>
        <v>西威尔斯宾克沙道 (31), 蜥蜴人的巢穴 (32)</v>
      </c>
      <c r="Q274" s="371"/>
      <c r="R274" s="86"/>
    </row>
    <row r="275" spans="1:18" x14ac:dyDescent="0.2">
      <c r="A275" s="82"/>
      <c r="B275" s="53" t="b">
        <f>OR(清单!B746, 清单!B753)</f>
        <v>0</v>
      </c>
      <c r="C275" s="53" t="str">
        <f ca="1">语言!A1421</f>
        <v>沙漠大蜥蜴人 II</v>
      </c>
      <c r="D275" s="85">
        <v>3</v>
      </c>
      <c r="E275" s="84"/>
      <c r="F275" s="84"/>
      <c r="G275" s="84"/>
      <c r="H275" s="84"/>
      <c r="I275" s="85"/>
      <c r="J275" s="499" t="str">
        <f ca="1">道具!C$541</f>
        <v>李子树液</v>
      </c>
      <c r="K275" s="371"/>
      <c r="L275" s="85" t="s">
        <v>50</v>
      </c>
      <c r="M275" s="84"/>
      <c r="N275" s="499" t="str">
        <f ca="1">Summon!$C$91</f>
        <v>战斗ｘ３（全体）</v>
      </c>
      <c r="O275" s="371"/>
      <c r="P275" s="506" t="str">
        <f ca="1">语言!A$430&amp;" (45), "&amp;语言!A$431&amp;" (50)"</f>
        <v>东马尔沙利姆沙道 (45), 马尔沙利姆地下墓地 (50)</v>
      </c>
      <c r="Q275" s="371"/>
      <c r="R275" s="87" t="s">
        <v>59</v>
      </c>
    </row>
    <row r="276" spans="1:18" x14ac:dyDescent="0.2">
      <c r="A276" s="82"/>
      <c r="B276" s="53" t="b">
        <f>OR(清单!B725, 清单!B733)</f>
        <v>0</v>
      </c>
      <c r="C276" s="53" t="str">
        <f ca="1">语言!A1422</f>
        <v>热沙大蜥蜴人 II</v>
      </c>
      <c r="D276" s="85">
        <v>5</v>
      </c>
      <c r="E276" s="84"/>
      <c r="F276" s="84"/>
      <c r="G276" s="84"/>
      <c r="H276" s="85"/>
      <c r="I276" s="85"/>
      <c r="J276" s="499" t="str">
        <f ca="1">道具!C$4</f>
        <v>ＨＰ恢复的葡萄（大）</v>
      </c>
      <c r="K276" s="371"/>
      <c r="L276" s="499" t="str">
        <f ca="1">语言!$A$1630</f>
        <v>无法捕获</v>
      </c>
      <c r="M276" s="371"/>
      <c r="N276" s="371"/>
      <c r="O276" s="371"/>
      <c r="P276" s="506" t="str">
        <f ca="1">语言!A$426&amp;" (31), "&amp;语言!A$427&amp;" (32)"</f>
        <v>西威尔斯宾克沙道 (31), 蜥蜴人的巢穴 (32)</v>
      </c>
      <c r="Q276" s="371"/>
      <c r="R276" s="86"/>
    </row>
    <row r="277" spans="1:18" x14ac:dyDescent="0.2">
      <c r="A277" s="82"/>
      <c r="B277" s="53" t="b">
        <f>OR(清单!B747, 清单!B754)</f>
        <v>0</v>
      </c>
      <c r="C277" s="53" t="str">
        <f ca="1">语言!A1423</f>
        <v>沙漠大蜥蜴人 III</v>
      </c>
      <c r="D277" s="85">
        <v>5</v>
      </c>
      <c r="E277" s="84"/>
      <c r="F277" s="84"/>
      <c r="G277" s="84"/>
      <c r="H277" s="85"/>
      <c r="I277" s="85"/>
      <c r="J277" s="499" t="str">
        <f ca="1">道具!C$7</f>
        <v>ＳＰ恢复的李子（大）</v>
      </c>
      <c r="K277" s="371"/>
      <c r="L277" s="85" t="s">
        <v>47</v>
      </c>
      <c r="M277" s="84"/>
      <c r="N277" s="499" t="str">
        <f ca="1">Summon!$C$86</f>
        <v>高速连续杖舞</v>
      </c>
      <c r="O277" s="371"/>
      <c r="P277" s="506" t="str">
        <f ca="1">语言!A$430&amp;" (45), "&amp;语言!A$431&amp;" (50)"</f>
        <v>东马尔沙利姆沙道 (45), 马尔沙利姆地下墓地 (50)</v>
      </c>
      <c r="Q277" s="371"/>
      <c r="R277" s="86"/>
    </row>
    <row r="278" spans="1:18" x14ac:dyDescent="0.2">
      <c r="A278" s="82"/>
      <c r="B278" s="53" t="b">
        <f>OR(清单!B631, 清单!B653)</f>
        <v>0</v>
      </c>
      <c r="C278" s="53" t="str">
        <f ca="1">语言!A1424</f>
        <v>沙漠蜥蜴人 I</v>
      </c>
      <c r="D278" s="85">
        <v>1</v>
      </c>
      <c r="E278" s="84"/>
      <c r="F278" s="84"/>
      <c r="G278" s="84"/>
      <c r="H278" s="84"/>
      <c r="I278" s="85"/>
      <c r="J278" s="499" t="str">
        <f ca="1">道具!C$6</f>
        <v>ＳＰ恢复的李子</v>
      </c>
      <c r="K278" s="371"/>
      <c r="L278" s="85" t="s">
        <v>45</v>
      </c>
      <c r="M278" s="84"/>
      <c r="N278" s="499" t="str">
        <f ca="1">Summon!$C$82</f>
        <v>战斗</v>
      </c>
      <c r="O278" s="371"/>
      <c r="P278" s="506" t="str">
        <f ca="1">语言!A$416&amp;" (1-4-7-11), "&amp;语言!A$417&amp;" (1-4-7-11), "&amp;语言!A$419&amp;" (1-4-7-11)"</f>
        <v>南桑谢德沙道 (1-4-7-11), 东桑谢德沙道 (1-4-7-11), 桑谢德地下道 (1-4-7-11)</v>
      </c>
      <c r="Q278" s="371"/>
      <c r="R278" s="87" t="s">
        <v>59</v>
      </c>
    </row>
    <row r="279" spans="1:18" x14ac:dyDescent="0.2">
      <c r="A279" s="82"/>
      <c r="B279" s="53" t="b">
        <f>OR(清单!B721, 清单!B729)</f>
        <v>0</v>
      </c>
      <c r="C279" s="53" t="str">
        <f ca="1">语言!A1425</f>
        <v>热沙蜥蜴人 I</v>
      </c>
      <c r="D279" s="85">
        <v>1</v>
      </c>
      <c r="E279" s="84"/>
      <c r="F279" s="84"/>
      <c r="G279" s="84"/>
      <c r="H279" s="85"/>
      <c r="I279" s="85"/>
      <c r="J279" s="499" t="str">
        <f ca="1">道具!C$7</f>
        <v>ＳＰ恢复的李子（大）</v>
      </c>
      <c r="K279" s="371"/>
      <c r="L279" s="499" t="str">
        <f ca="1">语言!$A$1630</f>
        <v>无法捕获</v>
      </c>
      <c r="M279" s="371"/>
      <c r="N279" s="371"/>
      <c r="O279" s="371"/>
      <c r="P279" s="506" t="str">
        <f ca="1">语言!A$426&amp;" (31), "&amp;语言!A$427&amp;" (32)"</f>
        <v>西威尔斯宾克沙道 (31), 蜥蜴人的巢穴 (32)</v>
      </c>
      <c r="Q279" s="371"/>
      <c r="R279" s="86"/>
    </row>
    <row r="280" spans="1:18" x14ac:dyDescent="0.2">
      <c r="A280" s="82"/>
      <c r="B280" s="53" t="b">
        <f>OR(清单!B632, 清单!B654)</f>
        <v>0</v>
      </c>
      <c r="C280" s="53" t="str">
        <f ca="1">语言!A1426</f>
        <v>沙漠蜥蜴人 II</v>
      </c>
      <c r="D280" s="85">
        <v>2</v>
      </c>
      <c r="E280" s="84"/>
      <c r="F280" s="84"/>
      <c r="G280" s="84"/>
      <c r="H280" s="84"/>
      <c r="I280" s="85"/>
      <c r="J280" s="499" t="str">
        <f ca="1">道具!C$541</f>
        <v>李子树液</v>
      </c>
      <c r="K280" s="371"/>
      <c r="L280" s="85" t="s">
        <v>48</v>
      </c>
      <c r="M280" s="84"/>
      <c r="N280" s="499" t="str">
        <f ca="1">Summon!$C$88</f>
        <v>战斗（全体）</v>
      </c>
      <c r="O280" s="371"/>
      <c r="P280" s="506" t="str">
        <f ca="1">语言!A$416&amp;" (1-4-7-11), "&amp;语言!A$417&amp;" (1-4-7-11), "&amp;语言!A$419&amp;" (1-4-7-11)"</f>
        <v>南桑谢德沙道 (1-4-7-11), 东桑谢德沙道 (1-4-7-11), 桑谢德地下道 (1-4-7-11)</v>
      </c>
      <c r="Q280" s="371"/>
      <c r="R280" s="87" t="s">
        <v>59</v>
      </c>
    </row>
    <row r="281" spans="1:18" x14ac:dyDescent="0.2">
      <c r="A281" s="82"/>
      <c r="B281" s="53" t="b">
        <f>OR(清单!B722, 清单!B730)</f>
        <v>0</v>
      </c>
      <c r="C281" s="53" t="str">
        <f ca="1">语言!A1427</f>
        <v>热沙蜥蜴人 II</v>
      </c>
      <c r="D281" s="85">
        <v>2</v>
      </c>
      <c r="E281" s="84"/>
      <c r="F281" s="84"/>
      <c r="G281" s="84"/>
      <c r="H281" s="85"/>
      <c r="I281" s="85"/>
      <c r="J281" s="499" t="str">
        <f ca="1">道具!C$7</f>
        <v>ＳＰ恢复的李子（大）</v>
      </c>
      <c r="K281" s="371"/>
      <c r="L281" s="499" t="str">
        <f ca="1">语言!$A$1630</f>
        <v>无法捕获</v>
      </c>
      <c r="M281" s="371"/>
      <c r="N281" s="371"/>
      <c r="O281" s="371"/>
      <c r="P281" s="506" t="str">
        <f ca="1">语言!A$426&amp;" (31), "&amp;语言!A$427&amp;" (32)"</f>
        <v>西威尔斯宾克沙道 (31), 蜥蜴人的巢穴 (32)</v>
      </c>
      <c r="Q281" s="371"/>
      <c r="R281" s="86"/>
    </row>
    <row r="282" spans="1:18" x14ac:dyDescent="0.2">
      <c r="A282" s="82"/>
      <c r="B282" s="53" t="b">
        <f>OR(清单!B633, 清单!B655)</f>
        <v>0</v>
      </c>
      <c r="C282" s="53" t="str">
        <f ca="1">语言!A1428</f>
        <v>沙漠蜥蜴人 III</v>
      </c>
      <c r="D282" s="85">
        <v>3</v>
      </c>
      <c r="E282" s="84"/>
      <c r="F282" s="84"/>
      <c r="G282" s="84"/>
      <c r="H282" s="84"/>
      <c r="I282" s="85"/>
      <c r="J282" s="499" t="str">
        <f ca="1">道具!C$3</f>
        <v>ＨＰ恢复的葡萄</v>
      </c>
      <c r="K282" s="371"/>
      <c r="L282" s="85" t="s">
        <v>57</v>
      </c>
      <c r="M282" s="84"/>
      <c r="N282" s="499" t="str">
        <f ca="1">Summon!$C$83</f>
        <v>战斗ｘ２</v>
      </c>
      <c r="O282" s="371"/>
      <c r="P282" s="506" t="str">
        <f ca="1">语言!A$416&amp;" (7-11), "&amp;语言!A$417&amp;" (7-11), "&amp;语言!A$419&amp;" (7-11)"</f>
        <v>南桑谢德沙道 (7-11), 东桑谢德沙道 (7-11), 桑谢德地下道 (7-11)</v>
      </c>
      <c r="Q282" s="371"/>
      <c r="R282" s="86"/>
    </row>
    <row r="283" spans="1:18" x14ac:dyDescent="0.2">
      <c r="A283" s="82"/>
      <c r="B283" s="53" t="b">
        <f>OR(清单!B723, 清单!B731)</f>
        <v>0</v>
      </c>
      <c r="C283" s="53" t="str">
        <f ca="1">语言!A1429</f>
        <v>热沙蜥蜴人 III</v>
      </c>
      <c r="D283" s="85">
        <v>3</v>
      </c>
      <c r="E283" s="84"/>
      <c r="F283" s="84"/>
      <c r="G283" s="84"/>
      <c r="H283" s="85"/>
      <c r="I283" s="85"/>
      <c r="J283" s="499" t="str">
        <f ca="1">道具!C$7</f>
        <v>ＳＰ恢复的李子（大）</v>
      </c>
      <c r="K283" s="371"/>
      <c r="L283" s="499" t="str">
        <f ca="1">语言!$A$1630</f>
        <v>无法捕获</v>
      </c>
      <c r="M283" s="371"/>
      <c r="N283" s="371"/>
      <c r="O283" s="371"/>
      <c r="P283" s="506" t="str">
        <f ca="1">语言!A$426&amp;" (31), "&amp;语言!A$427&amp;" (32)"</f>
        <v>西威尔斯宾克沙道 (31), 蜥蜴人的巢穴 (32)</v>
      </c>
      <c r="Q283" s="371"/>
      <c r="R283" s="86"/>
    </row>
    <row r="284" spans="1:18" x14ac:dyDescent="0.2">
      <c r="A284" s="82"/>
      <c r="B284" s="53" t="b">
        <f>清单!B670</f>
        <v>0</v>
      </c>
      <c r="C284" s="53" t="str">
        <f ca="1">语言!A1430</f>
        <v>沙漠蜥蜴人 IV</v>
      </c>
      <c r="D284" s="85">
        <v>2</v>
      </c>
      <c r="E284" s="84"/>
      <c r="F284" s="84"/>
      <c r="G284" s="84"/>
      <c r="H284" s="84"/>
      <c r="I284" s="85"/>
      <c r="J284" s="499" t="str">
        <f ca="1">道具!C$7</f>
        <v>ＳＰ恢复的李子（大）</v>
      </c>
      <c r="K284" s="371"/>
      <c r="L284" s="85" t="s">
        <v>46</v>
      </c>
      <c r="M284" s="84"/>
      <c r="N284" s="499" t="str">
        <f ca="1">Summon!$C$83</f>
        <v>战斗ｘ２</v>
      </c>
      <c r="O284" s="371"/>
      <c r="P284" s="506" t="str">
        <f ca="1">语言!A$421&amp;" (31-32-33-35), "&amp;语言!A$422&amp;" (31-32-33-35)"</f>
        <v>北威尔斯宾克沙道 (31-32-33-35), 东威尔斯宾克沙道 (31-32-33-35)</v>
      </c>
      <c r="Q284" s="371"/>
      <c r="R284" s="86"/>
    </row>
    <row r="285" spans="1:18" x14ac:dyDescent="0.2">
      <c r="A285" s="82"/>
      <c r="B285" s="53" t="b">
        <f>清单!B671</f>
        <v>0</v>
      </c>
      <c r="C285" s="53" t="str">
        <f ca="1">语言!A1431</f>
        <v>沙漠蜥蜴人 V</v>
      </c>
      <c r="D285" s="85">
        <v>3</v>
      </c>
      <c r="E285" s="84"/>
      <c r="F285" s="84"/>
      <c r="G285" s="84"/>
      <c r="H285" s="84"/>
      <c r="I285" s="85"/>
      <c r="J285" s="499" t="str">
        <f ca="1">道具!C$541</f>
        <v>李子树液</v>
      </c>
      <c r="K285" s="371"/>
      <c r="L285" s="85" t="s">
        <v>46</v>
      </c>
      <c r="M285" s="84"/>
      <c r="N285" s="499" t="str">
        <f ca="1">Summon!$C$89</f>
        <v>战斗ｘ２（全体）</v>
      </c>
      <c r="O285" s="371"/>
      <c r="P285" s="506" t="str">
        <f ca="1">语言!A$421&amp;" (31-32-33-35), "&amp;语言!A$422&amp;" (31-32-33-35)"</f>
        <v>北威尔斯宾克沙道 (31-32-33-35), 东威尔斯宾克沙道 (31-32-33-35)</v>
      </c>
      <c r="Q285" s="371"/>
      <c r="R285" s="86"/>
    </row>
    <row r="286" spans="1:18" x14ac:dyDescent="0.2">
      <c r="A286" s="82"/>
      <c r="B286" s="53" t="b">
        <f>清单!B672</f>
        <v>0</v>
      </c>
      <c r="C286" s="53" t="str">
        <f ca="1">语言!A1432</f>
        <v>沙漠蜥蜴人 VI</v>
      </c>
      <c r="D286" s="85">
        <v>1</v>
      </c>
      <c r="E286" s="84"/>
      <c r="F286" s="84"/>
      <c r="G286" s="84"/>
      <c r="H286" s="85"/>
      <c r="I286" s="85"/>
      <c r="J286" s="499" t="str">
        <f ca="1">道具!C$4</f>
        <v>ＨＰ恢复的葡萄（大）</v>
      </c>
      <c r="K286" s="371"/>
      <c r="L286" s="85" t="s">
        <v>49</v>
      </c>
      <c r="M286" s="84"/>
      <c r="N286" s="499" t="str">
        <f ca="1">Summon!$C$84</f>
        <v>战斗ｘ３</v>
      </c>
      <c r="O286" s="371"/>
      <c r="P286" s="506" t="str">
        <f ca="1">语言!A$421&amp;" (32-33-35), "&amp;语言!A$422&amp;" (32-33-35)"</f>
        <v>北威尔斯宾克沙道 (32-33-35), 东威尔斯宾克沙道 (32-33-35)</v>
      </c>
      <c r="Q286" s="371"/>
      <c r="R286" s="86"/>
    </row>
    <row r="287" spans="1:18" x14ac:dyDescent="0.2">
      <c r="A287" s="82"/>
      <c r="B287" s="53" t="b">
        <f>OR(清单!B638, 清单!B674)</f>
        <v>0</v>
      </c>
      <c r="C287" s="53" t="str">
        <f ca="1">语言!A1433</f>
        <v>沙虫</v>
      </c>
      <c r="D287" s="85">
        <v>4</v>
      </c>
      <c r="E287" s="84"/>
      <c r="F287" s="84"/>
      <c r="G287" s="84"/>
      <c r="H287" s="84"/>
      <c r="I287" s="85"/>
      <c r="J287" s="499" t="str">
        <f ca="1">道具!C$543</f>
        <v>橄榄花</v>
      </c>
      <c r="K287" s="371"/>
      <c r="L287" s="85" t="s">
        <v>49</v>
      </c>
      <c r="M287" s="84"/>
      <c r="N287" s="499" t="str">
        <f ca="1">Summon!$C$92</f>
        <v>夹击（全体）</v>
      </c>
      <c r="O287" s="371"/>
      <c r="P287" s="506" t="str">
        <f ca="1">语言!A$416&amp;" (11), "&amp;语言!A$417&amp;" (11), "&amp;语言!A$421&amp;" (31-32-33), "&amp;语言!A$422&amp;" (31-32-33)"</f>
        <v>南桑谢德沙道 (11), 东桑谢德沙道 (11), 北威尔斯宾克沙道 (31-32-33), 东威尔斯宾克沙道 (31-32-33)</v>
      </c>
      <c r="Q287" s="371"/>
      <c r="R287" s="86"/>
    </row>
    <row r="288" spans="1:18" x14ac:dyDescent="0.2">
      <c r="A288" s="82"/>
      <c r="B288" s="53" t="b">
        <f>OR(清单!B677, 清单!B695, 清单!B703)</f>
        <v>0</v>
      </c>
      <c r="C288" s="53" t="str">
        <f ca="1">语言!A1434</f>
        <v>大蝎子异种</v>
      </c>
      <c r="D288" s="85">
        <v>3</v>
      </c>
      <c r="E288" s="84"/>
      <c r="F288" s="84"/>
      <c r="G288" s="84"/>
      <c r="H288" s="85"/>
      <c r="I288" s="85"/>
      <c r="J288" s="499" t="str">
        <f ca="1">道具!C$542</f>
        <v>石榴树液</v>
      </c>
      <c r="K288" s="371"/>
      <c r="L288" s="85" t="s">
        <v>50</v>
      </c>
      <c r="M288" s="84"/>
      <c r="N288" s="499" t="str">
        <f ca="1">Summon!$C$16</f>
        <v>剧毒之爪（全体）</v>
      </c>
      <c r="O288" s="371"/>
      <c r="P288" s="506" t="str">
        <f ca="1">语言!A$421&amp;" (33-35), "&amp;语言!A$422&amp;" (33-35), "&amp;语言!A$424&amp;" (35), "&amp;语言!A$425&amp;" (36)"</f>
        <v>北威尔斯宾克沙道 (33-35), 东威尔斯宾克沙道 (33-35), 南威尔斯宾克废道 (35), 黑市 (36)</v>
      </c>
      <c r="Q288" s="371"/>
      <c r="R288" s="86"/>
    </row>
    <row r="289" spans="1:18" x14ac:dyDescent="0.2">
      <c r="A289" s="82"/>
      <c r="B289" s="53" t="b">
        <f>OR(清单!B323, 清单!B488)</f>
        <v>0</v>
      </c>
      <c r="C289" s="53" t="str">
        <f ca="1">语言!A1435</f>
        <v>鳞蛇</v>
      </c>
      <c r="D289" s="85">
        <v>1</v>
      </c>
      <c r="E289" s="84"/>
      <c r="F289" s="84"/>
      <c r="G289" s="84"/>
      <c r="H289" s="85"/>
      <c r="I289" s="85"/>
      <c r="J289" s="499" t="str">
        <f ca="1">道具!C$18</f>
        <v>毒治疗药草</v>
      </c>
      <c r="K289" s="371"/>
      <c r="L289" s="85" t="s">
        <v>48</v>
      </c>
      <c r="M289" s="84"/>
      <c r="N289" s="499" t="str">
        <f ca="1">Summon!$C$47</f>
        <v>毒牙</v>
      </c>
      <c r="O289" s="371"/>
      <c r="P289" s="506" t="str">
        <f ca="1">语言!A$371&amp;" (1-4), "&amp;语言!A$394&amp;" (1-4-7-11)"</f>
        <v>麦亚洞窟 (1-4), 山贼大本营 (1-4-7-11)</v>
      </c>
      <c r="Q289" s="371"/>
      <c r="R289" s="86"/>
    </row>
    <row r="290" spans="1:18" x14ac:dyDescent="0.2">
      <c r="A290" s="82"/>
      <c r="B290" s="53" t="b">
        <f>OR(清单!B342, 清单!B367)</f>
        <v>0</v>
      </c>
      <c r="C290" s="53" t="str">
        <f ca="1">语言!A1436</f>
        <v>剪刀蟹</v>
      </c>
      <c r="D290" s="85">
        <v>2</v>
      </c>
      <c r="E290" s="84"/>
      <c r="F290" s="84"/>
      <c r="G290" s="84"/>
      <c r="H290" s="85"/>
      <c r="I290" s="85"/>
      <c r="J290" s="499" t="str">
        <f ca="1">道具!C$538</f>
        <v>睡眠花之叶</v>
      </c>
      <c r="K290" s="371"/>
      <c r="L290" s="85" t="s">
        <v>46</v>
      </c>
      <c r="M290" s="84"/>
      <c r="N290" s="499" t="str">
        <f ca="1">Summon!$C$100</f>
        <v>冰冻</v>
      </c>
      <c r="O290" s="371"/>
      <c r="P290" s="506" t="str">
        <f ca="1">语言!A$375&amp;" (23-26-31), "&amp;语言!A$376&amp;" (23-26-31), "&amp;语言!A$378&amp;" (23)"</f>
        <v>月隐海道 (23-26-31), 西葛鲁德修亚海道 (23-26-31), 通往青碧洞窟的道路 (23)</v>
      </c>
      <c r="Q290" s="371"/>
      <c r="R290" s="86"/>
    </row>
    <row r="291" spans="1:18" x14ac:dyDescent="0.2">
      <c r="A291" s="82"/>
      <c r="B291" s="53" t="b">
        <f>OR(清单!B343, 清单!B355, 清单!B383)</f>
        <v>0</v>
      </c>
      <c r="C291" s="53" t="str">
        <f ca="1">语言!A1437</f>
        <v>剪刀蟹异种</v>
      </c>
      <c r="D291" s="85">
        <v>3</v>
      </c>
      <c r="E291" s="84"/>
      <c r="F291" s="84"/>
      <c r="G291" s="84"/>
      <c r="H291" s="85"/>
      <c r="I291" s="85"/>
      <c r="J291" s="499" t="str">
        <f ca="1">道具!C$538</f>
        <v>睡眠花之叶</v>
      </c>
      <c r="K291" s="371"/>
      <c r="L291" s="85" t="s">
        <v>50</v>
      </c>
      <c r="M291" s="84"/>
      <c r="N291" s="499" t="str">
        <f ca="1">Summon!$C$100</f>
        <v>冰冻</v>
      </c>
      <c r="O291" s="371"/>
      <c r="P291" s="506" t="str">
        <f ca="1">语言!A$375&amp;" (31-34), "&amp;语言!A$376&amp;" (31-34), "&amp;语言!A$377&amp;" (35), "&amp;语言!A$380&amp;" (33)"</f>
        <v>月隐海道 (31-34), 西葛鲁德修亚海道 (31-34), 噬船海穴 (35), 通往海边洞窟的道路 (33)</v>
      </c>
      <c r="Q291" s="371"/>
      <c r="R291" s="86"/>
    </row>
    <row r="292" spans="1:18" x14ac:dyDescent="0.2">
      <c r="A292" s="82"/>
      <c r="B292" s="53" t="b">
        <f>清单!B434</f>
        <v>0</v>
      </c>
      <c r="C292" s="53" t="str">
        <f ca="1">语言!A1438</f>
        <v>浮浪海葵</v>
      </c>
      <c r="D292" s="85">
        <v>2</v>
      </c>
      <c r="E292" s="84"/>
      <c r="F292" s="84"/>
      <c r="G292" s="84"/>
      <c r="H292" s="85"/>
      <c r="I292" s="85"/>
      <c r="J292" s="499" t="str">
        <f ca="1">道具!C$539</f>
        <v>混乱多之叶</v>
      </c>
      <c r="K292" s="371"/>
      <c r="L292" s="85" t="s">
        <v>50</v>
      </c>
      <c r="M292" s="84"/>
      <c r="N292" s="499" t="str">
        <f ca="1">Summon!$C$71</f>
        <v>毒针</v>
      </c>
      <c r="O292" s="371"/>
      <c r="P292" s="506" t="str">
        <f ca="1">语言!A$387&amp;" (46)"</f>
        <v>格兰波特地下水道 (46)</v>
      </c>
      <c r="Q292" s="371"/>
      <c r="R292" s="86"/>
    </row>
    <row r="293" spans="1:18" x14ac:dyDescent="0.2">
      <c r="A293" s="82"/>
      <c r="B293" s="53" t="b">
        <f>清单!B300</f>
        <v>0</v>
      </c>
      <c r="C293" s="53" t="str">
        <f ca="1">语言!A1439</f>
        <v>海之鸟人 I</v>
      </c>
      <c r="D293" s="85">
        <v>1</v>
      </c>
      <c r="E293" s="84"/>
      <c r="F293" s="84"/>
      <c r="G293" s="84"/>
      <c r="H293" s="84"/>
      <c r="I293" s="85"/>
      <c r="J293" s="499" t="str">
        <f ca="1">道具!C$3</f>
        <v>ＨＰ恢复的葡萄</v>
      </c>
      <c r="K293" s="371"/>
      <c r="L293" s="85" t="s">
        <v>45</v>
      </c>
      <c r="M293" s="84"/>
      <c r="N293" s="499" t="str">
        <f ca="1">Summon!$C$67</f>
        <v>战斗</v>
      </c>
      <c r="O293" s="371"/>
      <c r="P293" s="506" t="str">
        <f ca="1">语言!A$367&amp;" (1-4-7-11), "&amp;语言!A$368&amp;" (1-4-7-11), "&amp;语言!A$370&amp;" (1-4-7-11)"</f>
        <v>东利布尔泰德海道 (1-4-7-11), 北利布尔泰德海道 (1-4-7-11), 通往麦亚洞窟的道路 (1-4-7-11)</v>
      </c>
      <c r="Q293" s="371"/>
      <c r="R293" s="86"/>
    </row>
    <row r="294" spans="1:18" x14ac:dyDescent="0.2">
      <c r="A294" s="82"/>
      <c r="B294" s="53" t="b">
        <f>清单!B301</f>
        <v>0</v>
      </c>
      <c r="C294" s="53" t="str">
        <f ca="1">语言!A1440</f>
        <v>海之鸟人 II</v>
      </c>
      <c r="D294" s="85">
        <v>2</v>
      </c>
      <c r="E294" s="84"/>
      <c r="F294" s="84"/>
      <c r="G294" s="84"/>
      <c r="H294" s="84"/>
      <c r="I294" s="85"/>
      <c r="J294" s="499" t="str">
        <f ca="1">道具!C$538</f>
        <v>睡眠花之叶</v>
      </c>
      <c r="K294" s="371"/>
      <c r="L294" s="85" t="s">
        <v>48</v>
      </c>
      <c r="M294" s="84"/>
      <c r="N294" s="499" t="str">
        <f ca="1">Summon!$C$74</f>
        <v>战斗（全体）</v>
      </c>
      <c r="O294" s="371"/>
      <c r="P294" s="506" t="str">
        <f ca="1">语言!A$367&amp;" (1-4-7-11), "&amp;语言!A$368&amp;" (1-4-7-11), "&amp;语言!A$370&amp;" (1-4-7-11)"</f>
        <v>东利布尔泰德海道 (1-4-7-11), 北利布尔泰德海道 (1-4-7-11), 通往麦亚洞窟的道路 (1-4-7-11)</v>
      </c>
      <c r="Q294" s="371"/>
      <c r="R294" s="86"/>
    </row>
    <row r="295" spans="1:18" x14ac:dyDescent="0.2">
      <c r="A295" s="82"/>
      <c r="B295" s="53" t="b">
        <f>清单!B302</f>
        <v>0</v>
      </c>
      <c r="C295" s="53" t="str">
        <f ca="1">语言!A1441</f>
        <v>海之鸟人 III</v>
      </c>
      <c r="D295" s="85">
        <v>3</v>
      </c>
      <c r="E295" s="84"/>
      <c r="F295" s="84"/>
      <c r="G295" s="84"/>
      <c r="H295" s="85"/>
      <c r="I295" s="85"/>
      <c r="J295" s="499" t="str">
        <f ca="1">道具!C$6</f>
        <v>ＳＰ恢复的李子</v>
      </c>
      <c r="K295" s="371"/>
      <c r="L295" s="85" t="s">
        <v>57</v>
      </c>
      <c r="M295" s="84"/>
      <c r="N295" s="499" t="str">
        <f ca="1">Summon!$C$69</f>
        <v>战斗ｘ２</v>
      </c>
      <c r="O295" s="371"/>
      <c r="P295" s="506" t="str">
        <f ca="1">语言!A$367&amp;" (7-11), "&amp;语言!A$368&amp;" (7-11), "&amp;语言!A$370&amp;" (7-11)"</f>
        <v>东利布尔泰德海道 (7-11), 北利布尔泰德海道 (7-11), 通往麦亚洞窟的道路 (7-11)</v>
      </c>
      <c r="Q295" s="371"/>
      <c r="R295" s="86"/>
    </row>
    <row r="296" spans="1:18" x14ac:dyDescent="0.2">
      <c r="A296" s="82"/>
      <c r="B296" s="53" t="b">
        <f>清单!B336</f>
        <v>0</v>
      </c>
      <c r="C296" s="45" t="str">
        <f ca="1">语言!A1442</f>
        <v>海之鸟人 IV</v>
      </c>
      <c r="D296" s="85">
        <v>2</v>
      </c>
      <c r="E296" s="84"/>
      <c r="F296" s="84"/>
      <c r="G296" s="84"/>
      <c r="H296" s="84"/>
      <c r="I296" s="85"/>
      <c r="J296" s="499" t="str">
        <f ca="1">道具!C$4</f>
        <v>ＨＰ恢复的葡萄（大）</v>
      </c>
      <c r="K296" s="371"/>
      <c r="L296" s="85" t="s">
        <v>46</v>
      </c>
      <c r="M296" s="84"/>
      <c r="N296" s="499" t="str">
        <f ca="1">Summon!$C$69</f>
        <v>战斗ｘ２</v>
      </c>
      <c r="O296" s="371"/>
      <c r="P296" s="506" t="str">
        <f ca="1">语言!A$375&amp;" (23-26-31), "&amp;语言!A$376&amp;" (23-26-31)"</f>
        <v>月隐海道 (23-26-31), 西葛鲁德修亚海道 (23-26-31)</v>
      </c>
      <c r="Q296" s="371"/>
      <c r="R296" s="87" t="s">
        <v>53</v>
      </c>
    </row>
    <row r="297" spans="1:18" x14ac:dyDescent="0.2">
      <c r="A297" s="82"/>
      <c r="B297" s="53" t="b">
        <f>清单!B337</f>
        <v>0</v>
      </c>
      <c r="C297" s="53" t="str">
        <f ca="1">语言!A1443</f>
        <v>海之鸟人 V</v>
      </c>
      <c r="D297" s="85">
        <v>3</v>
      </c>
      <c r="E297" s="84"/>
      <c r="F297" s="84"/>
      <c r="G297" s="84"/>
      <c r="H297" s="84"/>
      <c r="I297" s="85"/>
      <c r="J297" s="499" t="str">
        <f ca="1">道具!C$538</f>
        <v>睡眠花之叶</v>
      </c>
      <c r="K297" s="371"/>
      <c r="L297" s="85" t="s">
        <v>46</v>
      </c>
      <c r="M297" s="84"/>
      <c r="N297" s="499" t="str">
        <f ca="1">Summon!$C$75</f>
        <v>战斗ｘ２（全体）</v>
      </c>
      <c r="O297" s="371"/>
      <c r="P297" s="506" t="str">
        <f ca="1">语言!A$375&amp;" (23-26-31-34), "&amp;语言!A$376&amp;" (23-26-31-34)"</f>
        <v>月隐海道 (23-26-31-34), 西葛鲁德修亚海道 (23-26-31-34)</v>
      </c>
      <c r="Q297" s="371"/>
      <c r="R297" s="86"/>
    </row>
    <row r="298" spans="1:18" x14ac:dyDescent="0.2">
      <c r="A298" s="82"/>
      <c r="B298" s="53" t="b">
        <f>OR(清单!B338, 清单!B365)</f>
        <v>0</v>
      </c>
      <c r="C298" s="53" t="str">
        <f ca="1">语言!A1444</f>
        <v>海之鸟人 VI</v>
      </c>
      <c r="D298" s="85">
        <v>1</v>
      </c>
      <c r="E298" s="84"/>
      <c r="F298" s="84"/>
      <c r="G298" s="84"/>
      <c r="H298" s="85"/>
      <c r="I298" s="85"/>
      <c r="J298" s="499" t="str">
        <f ca="1">道具!C$6</f>
        <v>ＳＰ恢复的李子</v>
      </c>
      <c r="K298" s="371"/>
      <c r="L298" s="85" t="s">
        <v>49</v>
      </c>
      <c r="M298" s="84"/>
      <c r="N298" s="499" t="str">
        <f ca="1">Summon!$C$70</f>
        <v>战斗ｘ３</v>
      </c>
      <c r="O298" s="371"/>
      <c r="P298" s="506" t="str">
        <f ca="1">语言!A$375&amp;" (23-26-31-34), "&amp;语言!A$376&amp;" (23-26-31-34), "&amp;语言!A$378&amp;" (23)"</f>
        <v>月隐海道 (23-26-31-34), 西葛鲁德修亚海道 (23-26-31-34), 通往青碧洞窟的道路 (23)</v>
      </c>
      <c r="Q298" s="371"/>
      <c r="R298" s="86"/>
    </row>
    <row r="299" spans="1:18" x14ac:dyDescent="0.2">
      <c r="A299" s="82"/>
      <c r="B299" s="53" t="b">
        <f>OR(清单!B339, 清单!B366, 清单!B403)</f>
        <v>0</v>
      </c>
      <c r="C299" s="53" t="str">
        <f ca="1">语言!A1445</f>
        <v>海之大鸟人 I</v>
      </c>
      <c r="D299" s="85">
        <v>3</v>
      </c>
      <c r="E299" s="84"/>
      <c r="F299" s="84"/>
      <c r="G299" s="84"/>
      <c r="H299" s="84"/>
      <c r="I299" s="85"/>
      <c r="J299" s="499" t="str">
        <f ca="1">道具!C$6</f>
        <v>ＳＰ恢复的李子</v>
      </c>
      <c r="K299" s="371"/>
      <c r="L299" s="85" t="s">
        <v>49</v>
      </c>
      <c r="M299" s="84"/>
      <c r="N299" s="499" t="str">
        <f ca="1">Summon!$C$5</f>
        <v>战斗ｘ３</v>
      </c>
      <c r="O299" s="371"/>
      <c r="P299" s="506" t="str">
        <f ca="1">语言!A$375&amp;" (31-34), "&amp;语言!A$376&amp;" (31-34), "&amp;语言!A$378&amp;" (23), "&amp;语言!A$385&amp;" (45)"</f>
        <v>月隐海道 (31-34), 西葛鲁德修亚海道 (31-34), 通往青碧洞窟的道路 (23), 西格兰波特海道 (45)</v>
      </c>
      <c r="Q299" s="371"/>
      <c r="R299" s="86"/>
    </row>
    <row r="300" spans="1:18" x14ac:dyDescent="0.2">
      <c r="A300" s="82"/>
      <c r="B300" s="53" t="b">
        <f>OR(清单!B404, 清单!B411)</f>
        <v>0</v>
      </c>
      <c r="C300" s="53" t="str">
        <f ca="1">语言!A1446</f>
        <v>海之大鸟人 II</v>
      </c>
      <c r="D300" s="85">
        <v>2</v>
      </c>
      <c r="E300" s="84"/>
      <c r="F300" s="84"/>
      <c r="G300" s="84"/>
      <c r="H300" s="84"/>
      <c r="I300" s="85"/>
      <c r="J300" s="499" t="str">
        <f ca="1">道具!C$538</f>
        <v>睡眠花之叶</v>
      </c>
      <c r="K300" s="371"/>
      <c r="L300" s="85" t="s">
        <v>50</v>
      </c>
      <c r="M300" s="84"/>
      <c r="N300" s="499" t="str">
        <f ca="1">Summon!$C$15</f>
        <v>战斗ｘ３（全体）</v>
      </c>
      <c r="O300" s="371"/>
      <c r="P300" s="506" t="str">
        <f ca="1">语言!A$385&amp;" (45), "&amp;语言!A$386&amp;" (50)"</f>
        <v>西格兰波特海道 (45), 腐王入江口 (50)</v>
      </c>
      <c r="Q300" s="371"/>
      <c r="R300" s="86"/>
    </row>
    <row r="301" spans="1:18" x14ac:dyDescent="0.2">
      <c r="A301" s="82"/>
      <c r="B301" s="53" t="b">
        <f>OR(清单!B405, 清单!B412)</f>
        <v>0</v>
      </c>
      <c r="C301" s="53" t="str">
        <f ca="1">语言!A1447</f>
        <v>海之大鸟人 III</v>
      </c>
      <c r="D301" s="85">
        <v>5</v>
      </c>
      <c r="E301" s="84"/>
      <c r="F301" s="84"/>
      <c r="G301" s="84"/>
      <c r="H301" s="85"/>
      <c r="I301" s="85"/>
      <c r="J301" s="499" t="str">
        <f ca="1">道具!C$5</f>
        <v>ＨＰ全体恢复的葡萄</v>
      </c>
      <c r="K301" s="371"/>
      <c r="L301" s="85" t="s">
        <v>47</v>
      </c>
      <c r="M301" s="84"/>
      <c r="N301" s="499" t="str">
        <f ca="1">Summon!$C$11</f>
        <v>物攻连续剑舞</v>
      </c>
      <c r="O301" s="371"/>
      <c r="P301" s="506" t="str">
        <f ca="1">语言!A$385&amp;" (45), "&amp;语言!A$386&amp;" (50)"</f>
        <v>西格兰波特海道 (45), 腐王入江口 (50)</v>
      </c>
      <c r="Q301" s="371"/>
      <c r="R301" s="86"/>
    </row>
    <row r="302" spans="1:18" x14ac:dyDescent="0.2">
      <c r="A302" s="82"/>
      <c r="B302" s="53" t="b">
        <f>清单!B1175</f>
        <v>0</v>
      </c>
      <c r="C302" s="53" t="str">
        <f ca="1">语言!A1448</f>
        <v>海蝎子</v>
      </c>
      <c r="D302" s="85">
        <v>2</v>
      </c>
      <c r="E302" s="84"/>
      <c r="F302" s="84"/>
      <c r="G302" s="84"/>
      <c r="H302" s="85"/>
      <c r="I302" s="85"/>
      <c r="J302" s="499" t="str">
        <f ca="1">道具!C$542</f>
        <v>石榴树液</v>
      </c>
      <c r="K302" s="371"/>
      <c r="L302" s="85" t="s">
        <v>49</v>
      </c>
      <c r="M302" s="85"/>
      <c r="N302" s="499" t="str">
        <f ca="1">Summon!$C$161</f>
        <v>防御力提升</v>
      </c>
      <c r="O302" s="371"/>
      <c r="P302" s="506" t="str">
        <f ca="1">语言!A$490&amp;" (34)"</f>
        <v>被遗忘的洞窟 (34)</v>
      </c>
      <c r="Q302" s="371"/>
      <c r="R302" s="86"/>
    </row>
    <row r="303" spans="1:18" x14ac:dyDescent="0.2">
      <c r="A303" s="82"/>
      <c r="B303" s="53" t="b">
        <f>清单!B372</f>
        <v>0</v>
      </c>
      <c r="C303" s="53" t="str">
        <f ca="1">语言!A1449</f>
        <v>冷水蜗牛</v>
      </c>
      <c r="D303" s="85">
        <v>3</v>
      </c>
      <c r="E303" s="84"/>
      <c r="F303" s="84"/>
      <c r="G303" s="84"/>
      <c r="H303" s="85"/>
      <c r="I303" s="85"/>
      <c r="J303" s="499" t="str">
        <f ca="1">道具!C$542</f>
        <v>石榴树液</v>
      </c>
      <c r="K303" s="371"/>
      <c r="L303" s="85" t="s">
        <v>46</v>
      </c>
      <c r="M303" s="85"/>
      <c r="N303" s="499" t="str">
        <f ca="1">Summon!$C$146</f>
        <v>失明之雾（全体）</v>
      </c>
      <c r="O303" s="371"/>
      <c r="P303" s="506" t="str">
        <f ca="1">语言!A$379&amp;" (24)"</f>
        <v>青碧洞窟 (24)</v>
      </c>
      <c r="Q303" s="371"/>
      <c r="R303" s="86"/>
    </row>
    <row r="304" spans="1:18" x14ac:dyDescent="0.2">
      <c r="A304" s="82"/>
      <c r="B304" s="53" t="b">
        <f>OR(清单!B324, 清单!B688)</f>
        <v>0</v>
      </c>
      <c r="C304" s="53" t="str">
        <f ca="1">语言!A1450</f>
        <v>蓝蛇</v>
      </c>
      <c r="D304" s="85">
        <v>1</v>
      </c>
      <c r="E304" s="84"/>
      <c r="F304" s="84"/>
      <c r="G304" s="85"/>
      <c r="H304" s="85"/>
      <c r="I304" s="85"/>
      <c r="J304" s="499" t="str">
        <f ca="1">道具!C$18</f>
        <v>毒治疗药草</v>
      </c>
      <c r="K304" s="371"/>
      <c r="L304" s="85" t="s">
        <v>46</v>
      </c>
      <c r="M304" s="84"/>
      <c r="N304" s="499" t="str">
        <f ca="1">Summon!$C$47</f>
        <v>毒牙</v>
      </c>
      <c r="O304" s="371"/>
      <c r="P304" s="506" t="str">
        <f ca="1">语言!A$371&amp;" (7-11), "&amp;语言!A$423&amp;" (40)"</f>
        <v>麦亚洞窟 (7-11), 流沙洞窟 (40)</v>
      </c>
      <c r="Q304" s="371"/>
      <c r="R304" s="86"/>
    </row>
    <row r="305" spans="1:18" x14ac:dyDescent="0.2">
      <c r="A305" s="82"/>
      <c r="B305" s="53" t="b">
        <f>OR(清单!B169, 清单!B969, 清单!B1011)</f>
        <v>0</v>
      </c>
      <c r="C305" s="53" t="str">
        <f ca="1">语言!A1451</f>
        <v>魔导机</v>
      </c>
      <c r="D305" s="85">
        <v>2</v>
      </c>
      <c r="E305" s="84"/>
      <c r="F305" s="84"/>
      <c r="G305" s="84"/>
      <c r="H305" s="84"/>
      <c r="I305" s="84"/>
      <c r="J305" s="499" t="str">
        <f ca="1">道具!C$14</f>
        <v>复活的橄榄</v>
      </c>
      <c r="K305" s="371"/>
      <c r="L305" s="85" t="s">
        <v>45</v>
      </c>
      <c r="M305" s="84"/>
      <c r="N305" s="499" t="str">
        <f ca="1">Summon!$C$57</f>
        <v>斧劈</v>
      </c>
      <c r="O305" s="371"/>
      <c r="P305" s="506" t="str">
        <f ca="1">语言!A$353&amp;" (1-4-7-11), "&amp;语言!A$463&amp;" (7-11), "&amp;语言!A$469&amp;" (18)"</f>
        <v>地下研究室 (1-4-7-11), 瑞布斯的宅邸 (7-11), 莫洛克的宅邸 (18)</v>
      </c>
      <c r="Q305" s="371"/>
      <c r="R305" s="86"/>
    </row>
    <row r="306" spans="1:18" x14ac:dyDescent="0.2">
      <c r="A306" s="82"/>
      <c r="B306" s="53" t="b">
        <f>OR(清单!B1218, 清单!B1226)</f>
        <v>0</v>
      </c>
      <c r="C306" s="53" t="str">
        <f ca="1">语言!A1452</f>
        <v>魔导机・异型</v>
      </c>
      <c r="D306" s="85">
        <v>2</v>
      </c>
      <c r="E306" s="84"/>
      <c r="F306" s="84"/>
      <c r="G306" s="84"/>
      <c r="H306" s="84"/>
      <c r="I306" s="84"/>
      <c r="J306" s="499" t="str">
        <f ca="1">道具!C$16</f>
        <v>复活的橄榄（大）</v>
      </c>
      <c r="K306" s="371"/>
      <c r="L306" s="85" t="s">
        <v>50</v>
      </c>
      <c r="M306" s="84"/>
      <c r="N306" s="499" t="str">
        <f ca="1">Summon!$C$57</f>
        <v>斧劈</v>
      </c>
      <c r="O306" s="371"/>
      <c r="P306" s="506" t="str">
        <f ca="1">语言!A$495&amp;" (45-46)"</f>
        <v>古代的遗迹 (45-46)</v>
      </c>
      <c r="Q306" s="371"/>
      <c r="R306" s="86"/>
    </row>
    <row r="307" spans="1:18" x14ac:dyDescent="0.2">
      <c r="A307" s="82"/>
      <c r="B307" s="53" t="b">
        <f>OR(清单!B175, 清单!B325, 清单!B464, 清单!B490, 清单!B658, 清单!B810, 清单!B821, 清单!B1025)</f>
        <v>0</v>
      </c>
      <c r="C307" s="53" t="str">
        <f ca="1">语言!A1453</f>
        <v>黑蝙蝠异种</v>
      </c>
      <c r="D307" s="85">
        <v>2</v>
      </c>
      <c r="E307" s="84"/>
      <c r="F307" s="84"/>
      <c r="G307" s="84"/>
      <c r="H307" s="84"/>
      <c r="I307" s="85"/>
      <c r="J307" s="499" t="str">
        <f ca="1">道具!C$544</f>
        <v>神秘之花</v>
      </c>
      <c r="K307" s="371"/>
      <c r="L307" s="85" t="s">
        <v>46</v>
      </c>
      <c r="M307" s="84"/>
      <c r="N307" s="499" t="str">
        <f ca="1">Summon!$C$130</f>
        <v>暗黑</v>
      </c>
      <c r="O307" s="371"/>
      <c r="P307" s="506" t="str">
        <f ca="1">语言!A$353&amp;" (7-11), "&amp;语言!A$371&amp;" (7-11), "&amp;语言!A$392&amp;" (15), "&amp;语言!A$394&amp;" (7-11), "&amp;语言!A$419&amp;" (7-11), "&amp;语言!A$438&amp;" (20), "&amp;语言!A$440&amp;" (7-11), "&amp;语言!A$470&amp;" (24)"</f>
        <v>地下研究室 (7-11), 麦亚洞窟 (7-11), 无垢巢穴 (15), 山贼大本营 (7-11), 桑谢德地下道 (7-11), 双子瀑布 (20), 里欧洞窟 (7-11), 下水道 (24)</v>
      </c>
      <c r="Q307" s="371"/>
      <c r="R307" s="86"/>
    </row>
    <row r="308" spans="1:18" x14ac:dyDescent="0.2">
      <c r="A308" s="82"/>
      <c r="B308" s="53" t="b">
        <f>OR(清单!B574, 清单!B1140)</f>
        <v>0</v>
      </c>
      <c r="C308" s="53" t="str">
        <f ca="1">语言!A1454</f>
        <v>暗乌鸦</v>
      </c>
      <c r="D308" s="85">
        <v>2</v>
      </c>
      <c r="E308" s="84"/>
      <c r="F308" s="84"/>
      <c r="G308" s="84"/>
      <c r="H308" s="84"/>
      <c r="I308" s="85"/>
      <c r="J308" s="499" t="str">
        <f ca="1">道具!C$539</f>
        <v>混乱多之叶</v>
      </c>
      <c r="K308" s="371"/>
      <c r="L308" s="85" t="s">
        <v>50</v>
      </c>
      <c r="M308" s="84"/>
      <c r="N308" s="499" t="str">
        <f ca="1">Summon!$C$130</f>
        <v>暗黑</v>
      </c>
      <c r="O308" s="371"/>
      <c r="P308" s="506" t="str">
        <f ca="1">语言!A$406&amp;" (45), "&amp;语言!A$488&amp;" (48)"</f>
        <v>西艾巴霍多山道 (45), 不归之森 (48)</v>
      </c>
      <c r="Q308" s="371"/>
      <c r="R308" s="86"/>
    </row>
    <row r="309" spans="1:18" x14ac:dyDescent="0.2">
      <c r="A309" s="82"/>
      <c r="B309" s="53" t="b">
        <f>OR(清单!B262, 清单!B279, 清单!B907)</f>
        <v>0</v>
      </c>
      <c r="C309" s="53" t="str">
        <f ca="1">语言!A1455</f>
        <v>古代遗物（暗兽）・异型</v>
      </c>
      <c r="D309" s="85">
        <v>4</v>
      </c>
      <c r="E309" s="84"/>
      <c r="F309" s="84"/>
      <c r="G309" s="84"/>
      <c r="H309" s="84"/>
      <c r="I309" s="85"/>
      <c r="J309" s="499" t="str">
        <f ca="1">道具!C$48</f>
        <v>暗之精灵石（特大）</v>
      </c>
      <c r="K309" s="371"/>
      <c r="L309" s="85" t="s">
        <v>50</v>
      </c>
      <c r="M309" s="84"/>
      <c r="N309" s="499" t="str">
        <f ca="1">Summon!$C$130</f>
        <v>暗黑</v>
      </c>
      <c r="O309" s="371"/>
      <c r="P309" s="506" t="str">
        <f ca="1">语言!A$363&amp;" (50), "&amp;语言!A$364&amp;" (46), "&amp;语言!A$453&amp;" (50)"</f>
        <v>占星师的祠堂 (50), 漆黑洞窟 (46), 豪武匠的祠堂 (50)</v>
      </c>
      <c r="Q309" s="371"/>
      <c r="R309" s="86"/>
    </row>
    <row r="310" spans="1:18" x14ac:dyDescent="0.2">
      <c r="A310" s="82"/>
      <c r="B310" s="53" t="b">
        <f>OR(清单!B263, 清单!B281, 清单!B908, 清单!B1052)</f>
        <v>0</v>
      </c>
      <c r="C310" s="53" t="str">
        <f ca="1">语言!A1456</f>
        <v>古代遗物・暗兵</v>
      </c>
      <c r="D310" s="85">
        <v>9</v>
      </c>
      <c r="E310" s="84"/>
      <c r="F310" s="84"/>
      <c r="G310" s="84"/>
      <c r="H310" s="84"/>
      <c r="I310" s="85"/>
      <c r="J310" s="499" t="str">
        <f ca="1">道具!C$8</f>
        <v>ＳＰ全体恢复的李子</v>
      </c>
      <c r="K310" s="371"/>
      <c r="L310" s="85" t="s">
        <v>55</v>
      </c>
      <c r="M310" s="84"/>
      <c r="N310" s="499" t="str">
        <f ca="1">Summon!$C$133</f>
        <v>日蚀之钟（全体）</v>
      </c>
      <c r="O310" s="371"/>
      <c r="P310" s="506" t="str">
        <f ca="1">语言!A$363&amp;" (50), "&amp;语言!A$364&amp;" (46), "&amp;语言!A$453&amp;" (50), "&amp;语言!A$473&amp;" (50)"</f>
        <v>占星师的祠堂 (50), 漆黑洞窟 (46), 豪武匠的祠堂 (50), 龙咏神殿 (50)</v>
      </c>
      <c r="Q310" s="371"/>
      <c r="R310" s="86"/>
    </row>
    <row r="311" spans="1:18" x14ac:dyDescent="0.2">
      <c r="A311" s="82"/>
      <c r="B311" s="53" t="b">
        <f>OR(清单!B39, 清单!B470)</f>
        <v>0</v>
      </c>
      <c r="C311" s="53" t="str">
        <f ca="1">语言!A1457</f>
        <v>暗鬼火</v>
      </c>
      <c r="D311" s="85">
        <v>1</v>
      </c>
      <c r="E311" s="84"/>
      <c r="F311" s="84"/>
      <c r="G311" s="85"/>
      <c r="H311" s="85"/>
      <c r="I311" s="85"/>
      <c r="J311" s="499" t="str">
        <f ca="1">道具!C$46</f>
        <v>暗之精灵石</v>
      </c>
      <c r="K311" s="371"/>
      <c r="L311" s="85" t="s">
        <v>57</v>
      </c>
      <c r="M311" s="84"/>
      <c r="N311" s="499" t="str">
        <f ca="1">Summon!$C$130</f>
        <v>暗黑</v>
      </c>
      <c r="O311" s="371"/>
      <c r="P311" s="506" t="str">
        <f ca="1">语言!A$332&amp;" (1-4-7-11), "&amp;语言!A$392&amp;" (15)"</f>
        <v>原初洞窟 (1-4-7-11), 无垢巢穴 (15)</v>
      </c>
      <c r="Q311" s="371"/>
      <c r="R311" s="86"/>
    </row>
    <row r="312" spans="1:18" x14ac:dyDescent="0.2">
      <c r="A312" s="82"/>
      <c r="B312" s="53" t="b">
        <f>OR(清单!B507, 清单!B529)</f>
        <v>0</v>
      </c>
      <c r="C312" s="53" t="str">
        <f ca="1">语言!A1458</f>
        <v>粗毛牛</v>
      </c>
      <c r="D312" s="85">
        <v>2</v>
      </c>
      <c r="E312" s="84"/>
      <c r="F312" s="84"/>
      <c r="G312" s="84"/>
      <c r="H312" s="85"/>
      <c r="I312" s="85"/>
      <c r="J312" s="499" t="str">
        <f ca="1">道具!C$540</f>
        <v>葡萄树液</v>
      </c>
      <c r="K312" s="371"/>
      <c r="L312" s="85" t="s">
        <v>46</v>
      </c>
      <c r="M312" s="84"/>
      <c r="N312" s="499" t="str">
        <f ca="1">Summon!$C$32</f>
        <v>突进（全体）</v>
      </c>
      <c r="O312" s="371"/>
      <c r="P312" s="506" t="str">
        <f ca="1">语言!A$398&amp;" (17-20-25-30), "&amp;语言!A$399&amp;" (17-20-25-30), "&amp;语言!A$401&amp;" (26)"</f>
        <v>北斯托冈德山道 (17-20-25-30), 西斯托冈德山道 (17-20-25-30), 通往幻影之森的道路 (26)</v>
      </c>
      <c r="Q312" s="371"/>
      <c r="R312" s="86"/>
    </row>
    <row r="313" spans="1:18" x14ac:dyDescent="0.2">
      <c r="A313" s="82"/>
      <c r="B313" s="53" t="b">
        <f>OR(清单!B155, 清单!B225)</f>
        <v>0</v>
      </c>
      <c r="C313" s="53" t="str">
        <f ca="1">语言!A1459</f>
        <v>头领比仆</v>
      </c>
      <c r="D313" s="85">
        <v>3</v>
      </c>
      <c r="E313" s="84"/>
      <c r="F313" s="84"/>
      <c r="G313" s="84"/>
      <c r="H313" s="85"/>
      <c r="I313" s="85"/>
      <c r="J313" s="499" t="str">
        <f ca="1">道具!C$539</f>
        <v>混乱多之叶</v>
      </c>
      <c r="K313" s="371"/>
      <c r="L313" s="85" t="s">
        <v>46</v>
      </c>
      <c r="M313" s="84"/>
      <c r="N313" s="499" t="str">
        <f ca="1">Summon!$C$24</f>
        <v>突进</v>
      </c>
      <c r="O313" s="371"/>
      <c r="P313" s="506" t="str">
        <f ca="1">语言!A$350&amp;" (7-11), "&amp;语言!A$351&amp;" (7-11)"</f>
        <v>东阿特拉斯达姆平原 (7-11), 北阿特拉斯达姆平原 (7-11)</v>
      </c>
      <c r="Q313" s="371"/>
      <c r="R313" s="86"/>
    </row>
    <row r="314" spans="1:18" x14ac:dyDescent="0.2">
      <c r="A314" s="82"/>
      <c r="B314" s="53" t="b">
        <f>OR(清单!B229, 清单!B394, 清单!B690)</f>
        <v>0</v>
      </c>
      <c r="C314" s="53" t="str">
        <f ca="1">语言!A1460</f>
        <v>天上蜘蛛</v>
      </c>
      <c r="D314" s="85">
        <v>4</v>
      </c>
      <c r="E314" s="84"/>
      <c r="F314" s="84"/>
      <c r="G314" s="84"/>
      <c r="H314" s="84"/>
      <c r="I314" s="84"/>
      <c r="J314" s="499" t="str">
        <f ca="1">道具!C$539</f>
        <v>混乱多之叶</v>
      </c>
      <c r="K314" s="371"/>
      <c r="L314" s="85" t="s">
        <v>46</v>
      </c>
      <c r="M314" s="84"/>
      <c r="N314" s="499" t="str">
        <f ca="1">Summon!$C$7</f>
        <v>睡眠之爪</v>
      </c>
      <c r="O314" s="371"/>
      <c r="P314" s="506" t="str">
        <f ca="1">语言!A$359&amp;" (40), "&amp;语言!A$381&amp;" (38), "&amp;语言!A$423&amp;" (40)"</f>
        <v>黑曜会之馆 (40), 海边洞窟 (38), 流沙洞窟 (40)</v>
      </c>
      <c r="Q314" s="371"/>
      <c r="R314" s="86"/>
    </row>
    <row r="315" spans="1:18" x14ac:dyDescent="0.2">
      <c r="A315" s="82"/>
      <c r="B315" s="53" t="b">
        <f>OR(清单!B538, 清单!B863)</f>
        <v>0</v>
      </c>
      <c r="C315" s="53" t="str">
        <f ca="1">语言!A1461</f>
        <v>蠢动的植物</v>
      </c>
      <c r="D315" s="85">
        <v>1</v>
      </c>
      <c r="E315" s="84"/>
      <c r="F315" s="84"/>
      <c r="G315" s="84"/>
      <c r="H315" s="85"/>
      <c r="I315" s="85"/>
      <c r="J315" s="499" t="str">
        <f ca="1">道具!C$542</f>
        <v>石榴树液</v>
      </c>
      <c r="K315" s="371"/>
      <c r="L315" s="85" t="s">
        <v>46</v>
      </c>
      <c r="M315" s="84"/>
      <c r="N315" s="499" t="str">
        <f ca="1">Summon!$C$32</f>
        <v>突进（全体）</v>
      </c>
      <c r="O315" s="371"/>
      <c r="P315" s="506" t="str">
        <f ca="1">语言!A$402&amp;" (27), "&amp;语言!A$447&amp;" (23)"</f>
        <v>幻影之森 (27), 黑暗之森 (23)</v>
      </c>
      <c r="Q315" s="371"/>
      <c r="R315" s="87" t="s">
        <v>60</v>
      </c>
    </row>
    <row r="316" spans="1:18" x14ac:dyDescent="0.2">
      <c r="A316" s="82"/>
      <c r="B316" s="53" t="b">
        <f>OR(清单!B540, 清单!B989)</f>
        <v>0</v>
      </c>
      <c r="C316" s="53" t="str">
        <f ca="1">语言!A1462</f>
        <v>蠢动的菌类</v>
      </c>
      <c r="D316" s="85">
        <v>4</v>
      </c>
      <c r="E316" s="84"/>
      <c r="F316" s="84"/>
      <c r="G316" s="85"/>
      <c r="H316" s="85"/>
      <c r="I316" s="85"/>
      <c r="J316" s="499" t="str">
        <f ca="1">道具!C$19</f>
        <v>沉默治疗药草</v>
      </c>
      <c r="K316" s="371"/>
      <c r="L316" s="85" t="s">
        <v>47</v>
      </c>
      <c r="M316" s="85"/>
      <c r="N316" s="499" t="str">
        <f ca="1">Summon!$C$137</f>
        <v>持续光合成（ＨＰ）</v>
      </c>
      <c r="O316" s="371"/>
      <c r="P316" s="506" t="str">
        <f ca="1">语言!A$402&amp;" (27), "&amp;语言!A$467&amp;" (30)"</f>
        <v>幻影之森 (27), 腐朽的开采所 (30)</v>
      </c>
      <c r="Q316" s="371"/>
      <c r="R316" s="86"/>
    </row>
    <row r="317" spans="1:18" x14ac:dyDescent="0.2">
      <c r="A317" s="82"/>
      <c r="B317" s="53" t="b">
        <f>OR(清单!B637, 清单!B646, 清单!B991)</f>
        <v>0</v>
      </c>
      <c r="C317" s="53" t="str">
        <f ca="1">语言!A1463</f>
        <v>尸骸粪金龟</v>
      </c>
      <c r="D317" s="85">
        <v>2</v>
      </c>
      <c r="E317" s="84"/>
      <c r="F317" s="84"/>
      <c r="G317" s="84"/>
      <c r="H317" s="85"/>
      <c r="I317" s="85"/>
      <c r="J317" s="499" t="str">
        <f ca="1">道具!C$14</f>
        <v>复活的橄榄</v>
      </c>
      <c r="K317" s="371"/>
      <c r="L317" s="85" t="s">
        <v>46</v>
      </c>
      <c r="M317" s="84"/>
      <c r="N317" s="499" t="str">
        <f ca="1">Summon!$C$28</f>
        <v>剧毒攻击</v>
      </c>
      <c r="O317" s="371"/>
      <c r="P317" s="506" t="str">
        <f ca="1">语言!A$416&amp;" (7-11), "&amp;语言!A$417&amp;" (7-11), "&amp;语言!A$418&amp;" (20), "&amp;语言!A$467&amp;" (30)"</f>
        <v>南桑谢德沙道 (7-11), 东桑谢德沙道 (7-11), 砂笛洞窟 (20), 腐朽的开采所 (30)</v>
      </c>
      <c r="Q317" s="371"/>
      <c r="R317" s="86"/>
    </row>
    <row r="318" spans="1:18" x14ac:dyDescent="0.2">
      <c r="A318" s="82"/>
      <c r="B318" s="53" t="b">
        <f>OR(清单!B643, 清单!B689, 清单!B734)</f>
        <v>0</v>
      </c>
      <c r="C318" s="53" t="str">
        <f ca="1">语言!A1464</f>
        <v>黑杀手虫</v>
      </c>
      <c r="D318" s="85">
        <v>3</v>
      </c>
      <c r="E318" s="84"/>
      <c r="F318" s="84"/>
      <c r="G318" s="85"/>
      <c r="H318" s="85"/>
      <c r="I318" s="85"/>
      <c r="J318" s="499" t="str">
        <f ca="1">道具!C$541</f>
        <v>李子树液</v>
      </c>
      <c r="K318" s="371"/>
      <c r="L318" s="85" t="s">
        <v>46</v>
      </c>
      <c r="M318" s="84"/>
      <c r="N318" s="499" t="str">
        <f ca="1">Summon!$C$24</f>
        <v>突进</v>
      </c>
      <c r="O318" s="371"/>
      <c r="P318" s="506" t="str">
        <f ca="1">语言!A$418&amp;" (20), "&amp;语言!A$423&amp;" (40), "&amp;语言!A$427&amp;" (32)"</f>
        <v>砂笛洞窟 (20), 流沙洞窟 (40), 蜥蜴人的巢穴 (32)</v>
      </c>
      <c r="Q318" s="371"/>
      <c r="R318" s="86"/>
    </row>
    <row r="319" spans="1:18" x14ac:dyDescent="0.2">
      <c r="A319" s="82"/>
      <c r="B319" s="53" t="b">
        <f>OR(清单!B109, 清单!B115)</f>
        <v>0</v>
      </c>
      <c r="C319" s="53" t="str">
        <f ca="1">语言!A1465</f>
        <v>翼蜥蜴异种</v>
      </c>
      <c r="D319" s="85">
        <v>1</v>
      </c>
      <c r="E319" s="84"/>
      <c r="F319" s="84"/>
      <c r="G319" s="85"/>
      <c r="H319" s="85"/>
      <c r="I319" s="85"/>
      <c r="J319" s="499" t="str">
        <f ca="1">道具!C$542</f>
        <v>石榴树液</v>
      </c>
      <c r="K319" s="371"/>
      <c r="L319" s="85" t="s">
        <v>44</v>
      </c>
      <c r="M319" s="84"/>
      <c r="N319" s="499" t="str">
        <f ca="1">Summon!$C$105</f>
        <v>魔冰冻之息（全体）</v>
      </c>
      <c r="O319" s="371"/>
      <c r="P319" s="506" t="str">
        <f ca="1">语言!A$342&amp;" (45), "&amp;语言!A$343&amp;" (45)"</f>
        <v>南诺斯利奇雪道 (45), 冰龙口 (45)</v>
      </c>
      <c r="Q319" s="371"/>
      <c r="R319" s="86"/>
    </row>
    <row r="320" spans="1:18" x14ac:dyDescent="0.2">
      <c r="A320" s="82"/>
      <c r="B320" s="53" t="b">
        <f>清单!B15</f>
        <v>0</v>
      </c>
      <c r="C320" s="53" t="str">
        <f ca="1">语言!A1466</f>
        <v>雪狐狸</v>
      </c>
      <c r="D320" s="85">
        <v>1</v>
      </c>
      <c r="E320" s="84"/>
      <c r="F320" s="84"/>
      <c r="G320" s="84"/>
      <c r="H320" s="85"/>
      <c r="I320" s="85"/>
      <c r="J320" s="499" t="str">
        <f ca="1">道具!C$542</f>
        <v>石榴树液</v>
      </c>
      <c r="K320" s="371"/>
      <c r="L320" s="84" t="s">
        <v>48</v>
      </c>
      <c r="M320" s="84"/>
      <c r="N320" s="499" t="str">
        <f ca="1">Summon!$C$100</f>
        <v>冰冻</v>
      </c>
      <c r="O320" s="371"/>
      <c r="P320" s="506" t="str">
        <f ca="1">语言!A$328&amp;" (7-11), "&amp;语言!A$329&amp;" (7-11), "&amp;语言!A$331&amp;" (7-11)"</f>
        <v>北弗雷姆葛雷斯雪道 (7-11), 西弗雷姆葛雷斯雪道 (7-11), 通往原初洞窟的道路 (7-11)</v>
      </c>
      <c r="Q320" s="371"/>
      <c r="R320" s="86"/>
    </row>
    <row r="321" spans="1:18" x14ac:dyDescent="0.2">
      <c r="A321" s="82"/>
      <c r="B321" s="53" t="b">
        <f>OR(清单!B70, 清单!B114)</f>
        <v>0</v>
      </c>
      <c r="C321" s="53" t="str">
        <f ca="1">语言!A1467</f>
        <v>白豹</v>
      </c>
      <c r="D321" s="85">
        <v>2</v>
      </c>
      <c r="E321" s="84"/>
      <c r="F321" s="84"/>
      <c r="G321" s="84"/>
      <c r="H321" s="85"/>
      <c r="I321" s="85"/>
      <c r="J321" s="499" t="str">
        <f ca="1">道具!C$7</f>
        <v>ＳＰ恢复的李子（大）</v>
      </c>
      <c r="K321" s="371"/>
      <c r="L321" s="85" t="s">
        <v>47</v>
      </c>
      <c r="M321" s="84"/>
      <c r="N321" s="499" t="str">
        <f ca="1">Summon!$C$8</f>
        <v>双重睡眠之爪</v>
      </c>
      <c r="O321" s="371"/>
      <c r="P321" s="506" t="str">
        <f ca="1">语言!A$338&amp;" (37), "&amp;语言!A$343&amp;" (45)"</f>
        <v>通往白色森林的道路 (37), 冰龙口 (45)</v>
      </c>
      <c r="Q321" s="371"/>
      <c r="R321" s="86"/>
    </row>
    <row r="322" spans="1:18" x14ac:dyDescent="0.2">
      <c r="A322" s="82"/>
      <c r="B322" s="53" t="b">
        <f>清单!B96</f>
        <v>0</v>
      </c>
      <c r="C322" s="53" t="str">
        <f ca="1">语言!A1468</f>
        <v>雪蜥蜴</v>
      </c>
      <c r="D322" s="85">
        <v>4</v>
      </c>
      <c r="E322" s="84"/>
      <c r="F322" s="84"/>
      <c r="G322" s="84"/>
      <c r="H322" s="85"/>
      <c r="I322" s="85"/>
      <c r="J322" s="499" t="str">
        <f ca="1">道具!C$4</f>
        <v>ＨＰ恢复的葡萄（大）</v>
      </c>
      <c r="K322" s="371"/>
      <c r="L322" s="85" t="s">
        <v>46</v>
      </c>
      <c r="M322" s="84"/>
      <c r="N322" s="499" t="str">
        <f ca="1">Summon!$C$24</f>
        <v>突进</v>
      </c>
      <c r="O322" s="371"/>
      <c r="P322" s="506" t="str">
        <f ca="1">语言!A$339&amp;" (38)"</f>
        <v>白色森林 (38)</v>
      </c>
      <c r="Q322" s="371"/>
      <c r="R322" s="86"/>
    </row>
    <row r="323" spans="1:18" x14ac:dyDescent="0.2">
      <c r="A323" s="82"/>
      <c r="B323" s="53" t="b">
        <f>清单!B17</f>
        <v>0</v>
      </c>
      <c r="C323" s="53" t="str">
        <f ca="1">语言!A1469</f>
        <v>冰雪土拨鼠</v>
      </c>
      <c r="D323" s="85">
        <v>1</v>
      </c>
      <c r="E323" s="84"/>
      <c r="F323" s="84"/>
      <c r="G323" s="84"/>
      <c r="H323" s="84"/>
      <c r="I323" s="85"/>
      <c r="J323" s="499" t="str">
        <f ca="1">道具!C$541</f>
        <v>李子树液</v>
      </c>
      <c r="K323" s="371"/>
      <c r="L323" s="84" t="s">
        <v>48</v>
      </c>
      <c r="M323" s="84"/>
      <c r="N323" s="499" t="str">
        <f ca="1">Summon!$C$4</f>
        <v>抓击</v>
      </c>
      <c r="O323" s="371"/>
      <c r="P323" s="506" t="str">
        <f ca="1">语言!A$328&amp;" (1-4-7-11), "&amp;语言!A$329&amp;" (1-4-7-11), "&amp;语言!A$331&amp;" (1-4-7-11)"</f>
        <v>北弗雷姆葛雷斯雪道 (1-4-7-11), 西弗雷姆葛雷斯雪道 (1-4-7-11), 通往原初洞窟的道路 (1-4-7-11)</v>
      </c>
      <c r="Q323" s="371"/>
      <c r="R323" s="86"/>
    </row>
    <row r="324" spans="1:18" x14ac:dyDescent="0.2">
      <c r="A324" s="82"/>
      <c r="B324" s="53" t="b">
        <f>清单!B54</f>
        <v>0</v>
      </c>
      <c r="C324" s="53" t="str">
        <f ca="1">语言!A1470</f>
        <v>雪牦牛</v>
      </c>
      <c r="D324" s="85">
        <v>3</v>
      </c>
      <c r="E324" s="84"/>
      <c r="F324" s="84"/>
      <c r="G324" s="84"/>
      <c r="H324" s="85"/>
      <c r="I324" s="85"/>
      <c r="J324" s="499" t="str">
        <f ca="1">道具!C$542</f>
        <v>石榴树液</v>
      </c>
      <c r="K324" s="371"/>
      <c r="L324" s="85" t="s">
        <v>46</v>
      </c>
      <c r="M324" s="84"/>
      <c r="N324" s="499" t="str">
        <f ca="1">Summon!$C$24</f>
        <v>突进</v>
      </c>
      <c r="O324" s="371"/>
      <c r="P324" s="506" t="str">
        <f ca="1">语言!A$334&amp;" (20-23-26-29)"</f>
        <v>西史迪尔斯诺雪道 (20-23-26-29)</v>
      </c>
      <c r="Q324" s="371"/>
      <c r="R324" s="86"/>
    </row>
    <row r="325" spans="1:18" x14ac:dyDescent="0.2">
      <c r="A325" s="82"/>
      <c r="B325" s="53" t="b">
        <f>OR(清单!B680, 清单!B698)</f>
        <v>0</v>
      </c>
      <c r="C325" s="53" t="str">
        <f ca="1">语言!A1471</f>
        <v>尖刺蜥蜴</v>
      </c>
      <c r="D325" s="85">
        <v>4</v>
      </c>
      <c r="E325" s="84"/>
      <c r="F325" s="84"/>
      <c r="G325" s="84"/>
      <c r="H325" s="85"/>
      <c r="I325" s="85"/>
      <c r="J325" s="499" t="str">
        <f ca="1">道具!C$4</f>
        <v>ＨＰ恢复的葡萄（大）</v>
      </c>
      <c r="K325" s="371"/>
      <c r="L325" s="85" t="s">
        <v>47</v>
      </c>
      <c r="M325" s="84"/>
      <c r="N325" s="499" t="str">
        <f ca="1">Summon!$C$39</f>
        <v>高速大突进（全体）</v>
      </c>
      <c r="O325" s="371"/>
      <c r="P325" s="506" t="str">
        <f ca="1">语言!A$421&amp;" (35), "&amp;语言!A$422&amp;" (35), "&amp;语言!A$424&amp;" (35)"</f>
        <v>北威尔斯宾克沙道 (35), 东威尔斯宾克沙道 (35), 南威尔斯宾克废道 (35)</v>
      </c>
      <c r="Q325" s="371"/>
      <c r="R325" s="86"/>
    </row>
    <row r="326" spans="1:18" x14ac:dyDescent="0.2">
      <c r="A326" s="82"/>
      <c r="B326" s="53" t="b">
        <f>OR(清单!B164, 清单!B1101)</f>
        <v>0</v>
      </c>
      <c r="C326" s="53" t="str">
        <f ca="1">语言!A1472</f>
        <v>薯虫</v>
      </c>
      <c r="D326" s="85">
        <v>3</v>
      </c>
      <c r="E326" s="84"/>
      <c r="F326" s="84"/>
      <c r="G326" s="84"/>
      <c r="H326" s="84"/>
      <c r="I326" s="85"/>
      <c r="J326" s="499" t="str">
        <f ca="1">道具!C$4</f>
        <v>ＨＰ恢复的葡萄（大）</v>
      </c>
      <c r="K326" s="371"/>
      <c r="L326" s="85" t="s">
        <v>47</v>
      </c>
      <c r="M326" s="84"/>
      <c r="N326" s="499" t="str">
        <f ca="1">Summon!$C$24</f>
        <v>突进</v>
      </c>
      <c r="O326" s="371"/>
      <c r="P326" s="506" t="str">
        <f ca="1">语言!A$352&amp;" (15), "&amp;语言!A$480&amp;" (15)"</f>
        <v>夜啼之森 (15), 兽径 (15)</v>
      </c>
      <c r="Q326" s="371"/>
      <c r="R326" s="86"/>
    </row>
    <row r="327" spans="1:18" x14ac:dyDescent="0.2">
      <c r="A327" s="82"/>
      <c r="B327" s="53" t="b">
        <f>清单!B1022</f>
        <v>0</v>
      </c>
      <c r="C327" s="53" t="str">
        <f ca="1">语言!A1473</f>
        <v>蛞蝓怪</v>
      </c>
      <c r="D327" s="85">
        <v>3</v>
      </c>
      <c r="E327" s="84"/>
      <c r="F327" s="84"/>
      <c r="G327" s="85"/>
      <c r="H327" s="85"/>
      <c r="I327" s="85"/>
      <c r="J327" s="499" t="str">
        <f ca="1">道具!C$10</f>
        <v>ＢＰ恢复的石榴（大）</v>
      </c>
      <c r="K327" s="371"/>
      <c r="L327" s="85" t="s">
        <v>46</v>
      </c>
      <c r="M327" s="85"/>
      <c r="N327" s="499" t="str">
        <f ca="1">Summon!$C$155</f>
        <v>红之黏液</v>
      </c>
      <c r="O327" s="371"/>
      <c r="P327" s="506" t="str">
        <f ca="1">语言!A$470&amp;" (24)"</f>
        <v>下水道 (24)</v>
      </c>
      <c r="Q327" s="371"/>
      <c r="R327" s="86"/>
    </row>
    <row r="328" spans="1:18" x14ac:dyDescent="0.2">
      <c r="A328" s="82"/>
      <c r="B328" s="53" t="b">
        <f>清单!B779</f>
        <v>0</v>
      </c>
      <c r="C328" s="53" t="str">
        <f ca="1">语言!A1474</f>
        <v>石化杀手虫</v>
      </c>
      <c r="D328" s="85">
        <v>2</v>
      </c>
      <c r="E328" s="84"/>
      <c r="F328" s="84"/>
      <c r="G328" s="84"/>
      <c r="H328" s="84"/>
      <c r="I328" s="85"/>
      <c r="J328" s="499" t="str">
        <f ca="1">道具!C$541</f>
        <v>李子树液</v>
      </c>
      <c r="K328" s="371"/>
      <c r="L328" s="85" t="s">
        <v>47</v>
      </c>
      <c r="M328" s="84"/>
      <c r="N328" s="499" t="str">
        <f ca="1">Summon!$C$6</f>
        <v>失明之爪</v>
      </c>
      <c r="O328" s="371"/>
      <c r="P328" s="506" t="str">
        <f ca="1">语言!A$433&amp;" (46)"</f>
        <v>灰色沙丘遗迹 (46)</v>
      </c>
      <c r="Q328" s="371"/>
      <c r="R328" s="86"/>
    </row>
    <row r="329" spans="1:18" x14ac:dyDescent="0.2">
      <c r="A329" s="82"/>
      <c r="B329" s="53" t="b">
        <f>清单!B778</f>
        <v>0</v>
      </c>
      <c r="C329" s="53" t="str">
        <f ca="1">语言!A1475</f>
        <v>石化尖刺蜥蜴</v>
      </c>
      <c r="D329" s="85">
        <v>6</v>
      </c>
      <c r="E329" s="84"/>
      <c r="F329" s="84"/>
      <c r="G329" s="84"/>
      <c r="H329" s="84"/>
      <c r="I329" s="84"/>
      <c r="J329" s="499" t="str">
        <f ca="1">道具!C$4</f>
        <v>ＨＰ恢复的葡萄（大）</v>
      </c>
      <c r="K329" s="371"/>
      <c r="L329" s="85" t="s">
        <v>44</v>
      </c>
      <c r="M329" s="84"/>
      <c r="N329" s="499" t="str">
        <f ca="1">Summon!$C$39</f>
        <v>高速大突进（全体）</v>
      </c>
      <c r="O329" s="371"/>
      <c r="P329" s="506" t="str">
        <f ca="1">语言!A$433&amp;" (46)"</f>
        <v>灰色沙丘遗迹 (46)</v>
      </c>
      <c r="Q329" s="371"/>
      <c r="R329" s="86"/>
    </row>
    <row r="330" spans="1:18" x14ac:dyDescent="0.2">
      <c r="A330" s="82"/>
      <c r="B330" s="53" t="b">
        <f>清单!B780</f>
        <v>0</v>
      </c>
      <c r="C330" s="53" t="str">
        <f ca="1">语言!A1476</f>
        <v>石化双子蛇</v>
      </c>
      <c r="D330" s="85">
        <v>5</v>
      </c>
      <c r="E330" s="84"/>
      <c r="F330" s="84"/>
      <c r="G330" s="84"/>
      <c r="H330" s="84"/>
      <c r="I330" s="85"/>
      <c r="J330" s="499" t="str">
        <f ca="1">道具!C$26</f>
        <v>暗黑瓶</v>
      </c>
      <c r="K330" s="371"/>
      <c r="L330" s="85" t="s">
        <v>47</v>
      </c>
      <c r="M330" s="84"/>
      <c r="N330" s="499" t="str">
        <f ca="1">Summon!$C$45</f>
        <v>连刺</v>
      </c>
      <c r="O330" s="371"/>
      <c r="P330" s="506" t="str">
        <f ca="1">语言!A$433&amp;" (46)"</f>
        <v>灰色沙丘遗迹 (46)</v>
      </c>
      <c r="Q330" s="371"/>
      <c r="R330" s="86"/>
    </row>
    <row r="331" spans="1:18" x14ac:dyDescent="0.2">
      <c r="A331" s="82"/>
      <c r="B331" s="53" t="b">
        <f>OR(清单!B955, 清单!B1014)</f>
        <v>0</v>
      </c>
      <c r="C331" s="53" t="str">
        <f ca="1">语言!A1477</f>
        <v>狂暴游隼</v>
      </c>
      <c r="D331" s="85">
        <v>1</v>
      </c>
      <c r="E331" s="84"/>
      <c r="F331" s="84"/>
      <c r="G331" s="84"/>
      <c r="H331" s="84"/>
      <c r="I331" s="85"/>
      <c r="J331" s="499" t="str">
        <f ca="1">道具!C$542</f>
        <v>石榴树液</v>
      </c>
      <c r="K331" s="371"/>
      <c r="L331" s="85" t="s">
        <v>46</v>
      </c>
      <c r="M331" s="84"/>
      <c r="N331" s="499" t="str">
        <f ca="1">Summon!$C$116</f>
        <v>风斩</v>
      </c>
      <c r="O331" s="371"/>
      <c r="P331" s="506" t="str">
        <f ca="1">语言!A$462&amp;" (20), "&amp;语言!A$469&amp;" (18)"</f>
        <v>鸟葬洞窟 (20), 莫洛克的宅邸 (18)</v>
      </c>
      <c r="Q331" s="371"/>
      <c r="R331" s="86"/>
    </row>
    <row r="332" spans="1:18" x14ac:dyDescent="0.2">
      <c r="A332" s="82"/>
      <c r="B332" s="53" t="b">
        <f>清单!B512</f>
        <v>0</v>
      </c>
      <c r="C332" s="53" t="str">
        <f ca="1">语言!A1478</f>
        <v>盗贼I</v>
      </c>
      <c r="D332" s="85">
        <v>3</v>
      </c>
      <c r="E332" s="84"/>
      <c r="F332" s="84"/>
      <c r="G332" s="84"/>
      <c r="H332" s="84"/>
      <c r="I332" s="85"/>
      <c r="J332" s="499" t="str">
        <f ca="1">道具!C$94</f>
        <v>空空的钱包</v>
      </c>
      <c r="K332" s="371"/>
      <c r="L332" s="499" t="str">
        <f ca="1">语言!$A$1630</f>
        <v>无法捕获</v>
      </c>
      <c r="M332" s="371"/>
      <c r="N332" s="371"/>
      <c r="O332" s="371"/>
      <c r="P332" s="506" t="str">
        <f ca="1">语言!A$400&amp;" (25)"</f>
        <v>王家之墓 (25)</v>
      </c>
      <c r="Q332" s="371"/>
      <c r="R332" s="86"/>
    </row>
    <row r="333" spans="1:18" x14ac:dyDescent="0.2">
      <c r="A333" s="82"/>
      <c r="B333" s="53" t="b">
        <f>清单!B513</f>
        <v>0</v>
      </c>
      <c r="C333" s="53" t="str">
        <f ca="1">语言!A1479</f>
        <v>盗贼II</v>
      </c>
      <c r="D333" s="85">
        <v>4</v>
      </c>
      <c r="E333" s="84"/>
      <c r="F333" s="84"/>
      <c r="G333" s="84"/>
      <c r="H333" s="84"/>
      <c r="I333" s="85"/>
      <c r="J333" s="499" t="str">
        <f ca="1">道具!C$94</f>
        <v>空空的钱包</v>
      </c>
      <c r="K333" s="371"/>
      <c r="L333" s="499" t="str">
        <f ca="1">语言!$A$1630</f>
        <v>无法捕获</v>
      </c>
      <c r="M333" s="371"/>
      <c r="N333" s="371"/>
      <c r="O333" s="371"/>
      <c r="P333" s="506" t="str">
        <f ca="1">语言!A$400&amp;" (25)"</f>
        <v>王家之墓 (25)</v>
      </c>
      <c r="Q333" s="371"/>
      <c r="R333" s="86"/>
    </row>
    <row r="334" spans="1:18" x14ac:dyDescent="0.2">
      <c r="A334" s="82"/>
      <c r="B334" s="53" t="b">
        <f>清单!B227</f>
        <v>0</v>
      </c>
      <c r="C334" s="53" t="str">
        <f ca="1">语言!A1480</f>
        <v>魔导飞器（雷）</v>
      </c>
      <c r="D334" s="85">
        <v>1</v>
      </c>
      <c r="E334" s="84"/>
      <c r="F334" s="84"/>
      <c r="G334" s="84"/>
      <c r="H334" s="84"/>
      <c r="I334" s="85"/>
      <c r="J334" s="499" t="str">
        <f ca="1">道具!C$36</f>
        <v>雷之精灵石</v>
      </c>
      <c r="K334" s="371"/>
      <c r="L334" s="85" t="s">
        <v>50</v>
      </c>
      <c r="M334" s="84"/>
      <c r="N334" s="499" t="str">
        <f ca="1">Summon!$C$109</f>
        <v>雷击</v>
      </c>
      <c r="O334" s="371"/>
      <c r="P334" s="506" t="str">
        <f ca="1">语言!A$359&amp;" (40)"</f>
        <v>黑曜会之馆 (40)</v>
      </c>
      <c r="Q334" s="371"/>
      <c r="R334" s="86"/>
    </row>
    <row r="335" spans="1:18" x14ac:dyDescent="0.2">
      <c r="A335" s="82"/>
      <c r="B335" s="53" t="b">
        <f>清单!B433</f>
        <v>0</v>
      </c>
      <c r="C335" s="53" t="str">
        <f ca="1">语言!A1481</f>
        <v>魔导飞器（雷）・异型</v>
      </c>
      <c r="D335" s="85">
        <v>2</v>
      </c>
      <c r="E335" s="84"/>
      <c r="F335" s="84"/>
      <c r="G335" s="84"/>
      <c r="H335" s="85"/>
      <c r="I335" s="85"/>
      <c r="J335" s="499" t="str">
        <f ca="1">道具!C$37</f>
        <v>雷之精灵石（大）</v>
      </c>
      <c r="K335" s="371"/>
      <c r="L335" s="85" t="s">
        <v>47</v>
      </c>
      <c r="M335" s="84"/>
      <c r="N335" s="499" t="str">
        <f ca="1">Summon!$C$109</f>
        <v>雷击</v>
      </c>
      <c r="O335" s="371"/>
      <c r="P335" s="506" t="str">
        <f ca="1">语言!A$387&amp;" (46)"</f>
        <v>格兰波特地下水道 (46)</v>
      </c>
      <c r="Q335" s="371"/>
      <c r="R335" s="86"/>
    </row>
    <row r="336" spans="1:18" x14ac:dyDescent="0.2">
      <c r="A336" s="82"/>
      <c r="B336" s="53" t="b">
        <f>清单!B556</f>
        <v>0</v>
      </c>
      <c r="C336" s="53" t="str">
        <f ca="1">语言!A1482</f>
        <v>魔导机兵（雷）</v>
      </c>
      <c r="D336" s="85">
        <v>4</v>
      </c>
      <c r="E336" s="84"/>
      <c r="F336" s="84"/>
      <c r="G336" s="84"/>
      <c r="H336" s="84"/>
      <c r="I336" s="85"/>
      <c r="J336" s="499" t="str">
        <f ca="1">道具!C$36</f>
        <v>雷之精灵石</v>
      </c>
      <c r="K336" s="371"/>
      <c r="L336" s="85" t="s">
        <v>47</v>
      </c>
      <c r="M336" s="84"/>
      <c r="N336" s="499" t="str">
        <f ca="1">Summon!$C$110</f>
        <v>连续雷击</v>
      </c>
      <c r="O336" s="371"/>
      <c r="P336" s="506" t="str">
        <f ca="1">语言!A$403&amp;" (40)"</f>
        <v>伊冯的老家 (40)</v>
      </c>
      <c r="Q336" s="371"/>
      <c r="R336" s="86"/>
    </row>
    <row r="337" spans="1:18" x14ac:dyDescent="0.2">
      <c r="A337" s="82"/>
      <c r="B337" s="53" t="b">
        <f>OR(清单!B431, 清单!B1048)</f>
        <v>0</v>
      </c>
      <c r="C337" s="53" t="str">
        <f ca="1">语言!A1483</f>
        <v>魔导机兵（雷）・异型</v>
      </c>
      <c r="D337" s="85">
        <v>5</v>
      </c>
      <c r="E337" s="84"/>
      <c r="F337" s="84"/>
      <c r="G337" s="84"/>
      <c r="H337" s="84"/>
      <c r="I337" s="85"/>
      <c r="J337" s="499" t="str">
        <f ca="1">道具!C$37</f>
        <v>雷之精灵石（大）</v>
      </c>
      <c r="K337" s="371"/>
      <c r="L337" s="85" t="s">
        <v>51</v>
      </c>
      <c r="M337" s="84"/>
      <c r="N337" s="499" t="str">
        <f ca="1">Summon!$C$112</f>
        <v>雷击（全体）</v>
      </c>
      <c r="O337" s="371"/>
      <c r="P337" s="506" t="str">
        <f ca="1">语言!A$387&amp;" (46), "&amp;语言!A$473&amp;" (50)"</f>
        <v>格兰波特地下水道 (46), 龙咏神殿 (50)</v>
      </c>
      <c r="Q337" s="371"/>
      <c r="R337" s="86"/>
    </row>
    <row r="338" spans="1:18" x14ac:dyDescent="0.2">
      <c r="A338" s="82"/>
      <c r="B338" s="53" t="b">
        <f>清单!B197</f>
        <v>0</v>
      </c>
      <c r="C338" s="53" t="str">
        <f ca="1">语言!A1484</f>
        <v>古代遗物（雷兽）</v>
      </c>
      <c r="D338" s="85">
        <v>2</v>
      </c>
      <c r="E338" s="84"/>
      <c r="F338" s="84"/>
      <c r="G338" s="84"/>
      <c r="H338" s="84"/>
      <c r="I338" s="85"/>
      <c r="J338" s="499" t="str">
        <f ca="1">道具!C$37</f>
        <v>雷之精灵石（大）</v>
      </c>
      <c r="K338" s="371"/>
      <c r="L338" s="85" t="s">
        <v>47</v>
      </c>
      <c r="M338" s="84"/>
      <c r="N338" s="499" t="str">
        <f ca="1">Summon!$C$109</f>
        <v>雷击</v>
      </c>
      <c r="O338" s="371"/>
      <c r="P338" s="506" t="str">
        <f ca="1">语言!A$357&amp;" (25)"</f>
        <v>虚无的王座 (25)</v>
      </c>
      <c r="Q338" s="371"/>
      <c r="R338" s="86"/>
    </row>
    <row r="339" spans="1:18" x14ac:dyDescent="0.2">
      <c r="A339" s="82"/>
      <c r="B339" s="53" t="b">
        <f>OR(清单!B905, 清单!B1207)</f>
        <v>0</v>
      </c>
      <c r="C339" s="53" t="str">
        <f ca="1">语言!A1485</f>
        <v>古代遗物（雷兽）・异型</v>
      </c>
      <c r="D339" s="85">
        <v>2</v>
      </c>
      <c r="E339" s="84"/>
      <c r="F339" s="84"/>
      <c r="G339" s="84"/>
      <c r="H339" s="84"/>
      <c r="I339" s="85"/>
      <c r="J339" s="499" t="str">
        <f ca="1">道具!C$38</f>
        <v>雷之精灵石（特大）</v>
      </c>
      <c r="K339" s="371"/>
      <c r="L339" s="85" t="s">
        <v>50</v>
      </c>
      <c r="M339" s="84"/>
      <c r="N339" s="499" t="str">
        <f ca="1">Summon!$C$109</f>
        <v>雷击</v>
      </c>
      <c r="O339" s="371"/>
      <c r="P339" s="506" t="str">
        <f ca="1">语言!A$453&amp;" (50), "&amp;语言!A$494&amp;" (50)"</f>
        <v>豪武匠的祠堂 (50), 魔大公的祠堂 (50)</v>
      </c>
      <c r="Q339" s="371"/>
      <c r="R339" s="86"/>
    </row>
    <row r="340" spans="1:18" x14ac:dyDescent="0.2">
      <c r="A340" s="82"/>
      <c r="B340" s="53" t="b">
        <f>OR(清单!B198, 清单!B906, 清单!B1208)</f>
        <v>0</v>
      </c>
      <c r="C340" s="53" t="str">
        <f ca="1">语言!A1486</f>
        <v>古代遗物。雷兵</v>
      </c>
      <c r="D340" s="85">
        <v>7</v>
      </c>
      <c r="E340" s="84"/>
      <c r="F340" s="84"/>
      <c r="G340" s="84"/>
      <c r="H340" s="84"/>
      <c r="I340" s="85"/>
      <c r="J340" s="499" t="str">
        <f ca="1">道具!C$8</f>
        <v>ＳＰ全体恢复的李子</v>
      </c>
      <c r="K340" s="371"/>
      <c r="L340" s="85" t="s">
        <v>55</v>
      </c>
      <c r="M340" s="84"/>
      <c r="N340" s="499" t="str">
        <f ca="1">Summon!$C$114</f>
        <v>漩涡暴击之钟（全体）</v>
      </c>
      <c r="O340" s="371"/>
      <c r="P340" s="506" t="str">
        <f ca="1">语言!A$357&amp;" (25), "&amp;语言!A$453&amp;" (50), "&amp;语言!A$494&amp;" (50)"</f>
        <v>虚无的王座 (25), 豪武匠的祠堂 (50), 魔大公的祠堂 (50)</v>
      </c>
      <c r="Q340" s="371"/>
      <c r="R340" s="86"/>
    </row>
    <row r="341" spans="1:18" x14ac:dyDescent="0.2">
      <c r="A341" s="82"/>
      <c r="B341" s="53" t="b">
        <f>清单!B1012</f>
        <v>0</v>
      </c>
      <c r="C341" s="53" t="str">
        <f ca="1">语言!A1487</f>
        <v>魔导机（雷）</v>
      </c>
      <c r="D341" s="85">
        <v>1</v>
      </c>
      <c r="E341" s="84"/>
      <c r="F341" s="84"/>
      <c r="G341" s="84"/>
      <c r="H341" s="84"/>
      <c r="I341" s="84"/>
      <c r="J341" s="499" t="str">
        <f ca="1">道具!C$36</f>
        <v>雷之精灵石</v>
      </c>
      <c r="K341" s="371"/>
      <c r="L341" s="85" t="s">
        <v>46</v>
      </c>
      <c r="M341" s="84"/>
      <c r="N341" s="499" t="str">
        <f ca="1">Summon!$C$109</f>
        <v>雷击</v>
      </c>
      <c r="O341" s="371"/>
      <c r="P341" s="506" t="str">
        <f ca="1">语言!A$469&amp;" (18)"</f>
        <v>莫洛克的宅邸 (18)</v>
      </c>
      <c r="Q341" s="371"/>
      <c r="R341" s="86"/>
    </row>
    <row r="342" spans="1:18" x14ac:dyDescent="0.2">
      <c r="A342" s="82"/>
      <c r="B342" s="53" t="b">
        <f>清单!B432</f>
        <v>0</v>
      </c>
      <c r="C342" s="53" t="str">
        <f ca="1">语言!A1488</f>
        <v>魔导机（雷）・异型</v>
      </c>
      <c r="D342" s="85">
        <v>1</v>
      </c>
      <c r="E342" s="84"/>
      <c r="F342" s="84"/>
      <c r="G342" s="84"/>
      <c r="H342" s="84"/>
      <c r="I342" s="84"/>
      <c r="J342" s="499" t="str">
        <f ca="1">道具!C$37</f>
        <v>雷之精灵石（大）</v>
      </c>
      <c r="K342" s="371"/>
      <c r="L342" s="85" t="s">
        <v>50</v>
      </c>
      <c r="M342" s="84"/>
      <c r="N342" s="499" t="str">
        <f ca="1">Summon!$C$109</f>
        <v>雷击</v>
      </c>
      <c r="O342" s="371"/>
      <c r="P342" s="506" t="str">
        <f ca="1">语言!A$387&amp;" (46)"</f>
        <v>格兰波特地下水道 (46)</v>
      </c>
      <c r="Q342" s="371"/>
      <c r="R342" s="86"/>
    </row>
    <row r="343" spans="1:18" x14ac:dyDescent="0.2">
      <c r="A343" s="82"/>
      <c r="B343" s="53" t="b">
        <f>OR(清单!B467, 清单!B$1026)</f>
        <v>0</v>
      </c>
      <c r="C343" s="53" t="str">
        <f ca="1">语言!A1489</f>
        <v>雷之鬼火</v>
      </c>
      <c r="D343" s="85">
        <v>3</v>
      </c>
      <c r="E343" s="84"/>
      <c r="F343" s="84"/>
      <c r="G343" s="85"/>
      <c r="H343" s="85"/>
      <c r="I343" s="85"/>
      <c r="J343" s="499" t="str">
        <f ca="1">道具!C$36</f>
        <v>雷之精灵石</v>
      </c>
      <c r="K343" s="371"/>
      <c r="L343" s="85" t="s">
        <v>46</v>
      </c>
      <c r="M343" s="84"/>
      <c r="N343" s="499" t="str">
        <f ca="1">Summon!$C$109</f>
        <v>雷击</v>
      </c>
      <c r="O343" s="371"/>
      <c r="P343" s="506" t="str">
        <f ca="1">语言!A$392&amp;" (15), "&amp;语言!A$470&amp;" (24)"</f>
        <v>无垢巢穴 (15), 下水道 (24)</v>
      </c>
      <c r="Q343" s="371"/>
      <c r="R343" s="86"/>
    </row>
    <row r="344" spans="1:18" x14ac:dyDescent="0.2">
      <c r="A344" s="82"/>
      <c r="B344" s="53" t="b">
        <f>OR(清单!B985, 清单!B1004)</f>
        <v>0</v>
      </c>
      <c r="C344" s="53" t="str">
        <f ca="1">语言!A1490</f>
        <v>双手蛋</v>
      </c>
      <c r="D344" s="85">
        <v>3</v>
      </c>
      <c r="E344" s="84"/>
      <c r="F344" s="84"/>
      <c r="G344" s="84"/>
      <c r="H344" s="85"/>
      <c r="I344" s="85"/>
      <c r="J344" s="499" t="str">
        <f ca="1">道具!C$539</f>
        <v>混乱多之叶</v>
      </c>
      <c r="K344" s="371"/>
      <c r="L344" s="85" t="s">
        <v>49</v>
      </c>
      <c r="M344" s="85"/>
      <c r="N344" s="499" t="str">
        <f ca="1">Summon!$C$136</f>
        <v>ＨＰ治疗（大）</v>
      </c>
      <c r="O344" s="371"/>
      <c r="P344" s="506" t="str">
        <f ca="1">语言!A$466&amp;" (17-20-25-28), "&amp;语言!A$468&amp;" (17)"</f>
        <v>南库欧利克雷斯特崖道 (17-20-25-28), 通往莫洛克的宅邸的道路 (17)</v>
      </c>
      <c r="Q344" s="371"/>
      <c r="R344" s="86"/>
    </row>
    <row r="345" spans="1:18" x14ac:dyDescent="0.2">
      <c r="A345" s="82"/>
      <c r="B345" s="53" t="b">
        <f>OR(清单!B276, 清单!B282, 清单!B395, 清单!B429, 清单!B437, 清单!B559, 清单!B735, 清单!B922, 清单!B931, 清单!B1179, 清单!B1224, 清单!B1232)</f>
        <v>0</v>
      </c>
      <c r="C345" s="53" t="str">
        <f ca="1">语言!A1491</f>
        <v>食人蝙蝠</v>
      </c>
      <c r="D345" s="85">
        <v>1</v>
      </c>
      <c r="E345" s="84"/>
      <c r="F345" s="84"/>
      <c r="G345" s="84"/>
      <c r="H345" s="84"/>
      <c r="I345" s="85"/>
      <c r="J345" s="499" t="str">
        <f ca="1">道具!C$544</f>
        <v>神秘之花</v>
      </c>
      <c r="K345" s="371"/>
      <c r="L345" s="85" t="s">
        <v>46</v>
      </c>
      <c r="M345" s="84"/>
      <c r="N345" s="499" t="str">
        <f ca="1">Summon!$C$48</f>
        <v>睡眠之牙</v>
      </c>
      <c r="O345" s="371"/>
      <c r="P345" s="506" t="str">
        <f ca="1">语言!A$364&amp;" (45-46), "&amp;语言!A$381&amp;" (38), "&amp;语言!A$387&amp;" (45-46), "&amp;语言!A$403&amp;" (40), "&amp;语言!A$427&amp;" (32), "&amp;语言!A$454&amp;" (45), "&amp;语言!A$455&amp;" (46), "&amp;语言!A$490&amp;" (34), "&amp;语言!A$495&amp;" (45-46)"</f>
        <v>漆黑洞窟 (45-46), 海边洞窟 (38), 格兰波特地下水道 (45-46), 伊冯的老家 (40), 蜥蜴人的巢穴 (32), 通往领主宅邸的密道 (45), 领主的宅邸 (46), 被遗忘的洞窟 (34), 古代的遗迹 (45-46)</v>
      </c>
      <c r="Q345" s="371"/>
      <c r="R345" s="86"/>
    </row>
    <row r="346" spans="1:18" x14ac:dyDescent="0.2">
      <c r="A346" s="82"/>
      <c r="B346" s="53" t="b">
        <f>OR(清单!B749, 清单!B767, 清单!B773, 清单!B777)</f>
        <v>0</v>
      </c>
      <c r="C346" s="53" t="str">
        <f ca="1">语言!A1492</f>
        <v>毒蝎子</v>
      </c>
      <c r="D346" s="85">
        <v>3</v>
      </c>
      <c r="E346" s="84"/>
      <c r="F346" s="84"/>
      <c r="G346" s="84"/>
      <c r="H346" s="85"/>
      <c r="I346" s="85"/>
      <c r="J346" s="499" t="str">
        <f ca="1">道具!C$542</f>
        <v>石榴树液</v>
      </c>
      <c r="K346" s="371"/>
      <c r="L346" s="85" t="s">
        <v>51</v>
      </c>
      <c r="M346" s="84"/>
      <c r="N346" s="499" t="str">
        <f ca="1">Summon!$C$16</f>
        <v>剧毒之爪（全体）</v>
      </c>
      <c r="O346" s="371"/>
      <c r="P346" s="506" t="str">
        <f ca="1">语言!A$430&amp;" (45), "&amp;语言!A$432&amp;" (45), "&amp;语言!A$433&amp;" (45-46)"</f>
        <v>东马尔沙利姆沙道 (45), 通往灰色沙丘遗迹的道路 (45), 灰色沙丘遗迹 (45-46)</v>
      </c>
      <c r="Q346" s="371"/>
      <c r="R346" s="86"/>
    </row>
    <row r="347" spans="1:18" x14ac:dyDescent="0.2">
      <c r="A347" s="82"/>
      <c r="B347" s="53" t="b">
        <f>OR(清单!B192, 清单!B864, 清单!B1102)</f>
        <v>0</v>
      </c>
      <c r="C347" s="53" t="str">
        <f ca="1">语言!A1493</f>
        <v>风来草</v>
      </c>
      <c r="D347" s="85">
        <v>3</v>
      </c>
      <c r="E347" s="84"/>
      <c r="F347" s="84"/>
      <c r="G347" s="85"/>
      <c r="H347" s="85"/>
      <c r="I347" s="85"/>
      <c r="J347" s="499" t="str">
        <f ca="1">道具!C$539</f>
        <v>混乱多之叶</v>
      </c>
      <c r="K347" s="371"/>
      <c r="L347" s="85" t="s">
        <v>50</v>
      </c>
      <c r="M347" s="84"/>
      <c r="N347" s="499" t="str">
        <f ca="1">Summon!$C$79</f>
        <v>混乱之针（全体）</v>
      </c>
      <c r="O347" s="371"/>
      <c r="P347" s="506" t="str">
        <f ca="1">语言!A$356&amp;" (17-20-23-26), "&amp;语言!A$447&amp;" (23), "&amp;语言!A$480&amp;" (15)"</f>
        <v>西诺布尔寇德平原 (17-20-23-26), 黑暗之森 (23), 兽径 (15)</v>
      </c>
      <c r="Q347" s="371"/>
      <c r="R347" s="86"/>
    </row>
    <row r="348" spans="1:18" x14ac:dyDescent="0.2">
      <c r="A348" s="82"/>
      <c r="B348" s="53" t="b">
        <f>清单!B1013</f>
        <v>0</v>
      </c>
      <c r="C348" s="53" t="str">
        <f ca="1">语言!A1494</f>
        <v>凶暴的看门狗</v>
      </c>
      <c r="D348" s="85">
        <v>2</v>
      </c>
      <c r="E348" s="84"/>
      <c r="F348" s="84"/>
      <c r="G348" s="84"/>
      <c r="H348" s="84"/>
      <c r="I348" s="85"/>
      <c r="J348" s="499" t="str">
        <f ca="1">道具!C$539</f>
        <v>混乱多之叶</v>
      </c>
      <c r="K348" s="371"/>
      <c r="L348" s="85" t="s">
        <v>46</v>
      </c>
      <c r="M348" s="84"/>
      <c r="N348" s="499" t="str">
        <f ca="1">Summon!$C$4</f>
        <v>抓击</v>
      </c>
      <c r="O348" s="371"/>
      <c r="P348" s="506" t="str">
        <f ca="1">语言!A$469&amp;" (18)"</f>
        <v>莫洛克的宅邸 (18)</v>
      </c>
      <c r="Q348" s="371"/>
      <c r="R348" s="86"/>
    </row>
    <row r="349" spans="1:18" x14ac:dyDescent="0.2">
      <c r="A349" s="82"/>
      <c r="B349" s="53" t="b">
        <f>OR(清单!B110, 清单!B116, 清单!B121)</f>
        <v>0</v>
      </c>
      <c r="C349" s="53" t="str">
        <f ca="1">语言!A1495</f>
        <v>战狼</v>
      </c>
      <c r="D349" s="85">
        <v>3</v>
      </c>
      <c r="E349" s="84"/>
      <c r="F349" s="84"/>
      <c r="G349" s="84"/>
      <c r="H349" s="85"/>
      <c r="I349" s="85"/>
      <c r="J349" s="499" t="str">
        <f ca="1">道具!C$4</f>
        <v>ＨＰ恢复的葡萄（大）</v>
      </c>
      <c r="K349" s="371"/>
      <c r="L349" s="85" t="s">
        <v>51</v>
      </c>
      <c r="M349" s="84"/>
      <c r="N349" s="499" t="str">
        <f ca="1">Summon!$C$45</f>
        <v>连刺</v>
      </c>
      <c r="O349" s="371"/>
      <c r="P349" s="506" t="str">
        <f ca="1">语言!A$342&amp;" (45), "&amp;语言!A$343&amp;" (45)"</f>
        <v>南诺斯利奇雪道 (45), 冰龙口 (45)</v>
      </c>
      <c r="Q349" s="371"/>
      <c r="R349" s="86"/>
    </row>
    <row r="350" spans="1:18" x14ac:dyDescent="0.2">
      <c r="A350" s="82"/>
      <c r="B350" s="53" t="b">
        <f>OR(清单!B706, 清单!B758, 清单!B851)</f>
        <v>0</v>
      </c>
      <c r="C350" s="53" t="str">
        <f ca="1">语言!A1496</f>
        <v>战士骷髅</v>
      </c>
      <c r="D350" s="85">
        <v>2</v>
      </c>
      <c r="E350" s="84"/>
      <c r="F350" s="84"/>
      <c r="G350" s="84"/>
      <c r="H350" s="84"/>
      <c r="I350" s="85"/>
      <c r="J350" s="499" t="str">
        <f ca="1">道具!C$27</f>
        <v>混乱瓶</v>
      </c>
      <c r="K350" s="371"/>
      <c r="L350" s="85" t="s">
        <v>46</v>
      </c>
      <c r="M350" s="84"/>
      <c r="N350" s="499" t="str">
        <f ca="1">Summon!$C$4</f>
        <v>抓击</v>
      </c>
      <c r="O350" s="371"/>
      <c r="P350" s="506" t="str">
        <f ca="1">语言!A$425&amp;" (36), "&amp;语言!A$431&amp;" (50), "&amp;语言!A$445&amp;" (30)"</f>
        <v>黑市 (36), 马尔沙利姆地下墓地 (50), 边境河岸 (30)</v>
      </c>
      <c r="Q350" s="371"/>
      <c r="R350" s="86"/>
    </row>
    <row r="351" spans="1:18" x14ac:dyDescent="0.2">
      <c r="A351" s="82"/>
      <c r="B351" s="53" t="b">
        <f>OR(清单!B800, 清单!B808)</f>
        <v>0</v>
      </c>
      <c r="C351" s="53" t="str">
        <f ca="1">语言!A1497</f>
        <v>河蜂异种</v>
      </c>
      <c r="D351" s="85">
        <v>2</v>
      </c>
      <c r="E351" s="84"/>
      <c r="F351" s="84"/>
      <c r="G351" s="84"/>
      <c r="H351" s="85"/>
      <c r="I351" s="85"/>
      <c r="J351" s="499" t="str">
        <f ca="1">道具!C$537</f>
        <v>毒利米树之叶</v>
      </c>
      <c r="K351" s="371"/>
      <c r="L351" s="85" t="s">
        <v>48</v>
      </c>
      <c r="M351" s="84"/>
      <c r="N351" s="499" t="str">
        <f ca="1">Summon!$C$71</f>
        <v>毒针</v>
      </c>
      <c r="O351" s="371"/>
      <c r="P351" s="506" t="str">
        <f ca="1">语言!A$436&amp;" (7-11), "&amp;语言!A$437&amp;" (7-11), "&amp;语言!A$438&amp;" (20), "&amp;语言!A$439&amp;" (7-11)"</f>
        <v>西库利亚布鲁克川道 (7-11), 南库利亚布鲁克川道 (7-11), 双子瀑布 (20), 通往里欧洞窟的道路 (7-11)</v>
      </c>
      <c r="Q351" s="371"/>
      <c r="R351" s="86"/>
    </row>
    <row r="352" spans="1:18" x14ac:dyDescent="0.2">
      <c r="A352" s="82"/>
      <c r="B352" s="53" t="b">
        <f>清单!B924</f>
        <v>0</v>
      </c>
      <c r="C352" s="53" t="str">
        <f ca="1">语言!A1498</f>
        <v>维尔纳的士兵 I</v>
      </c>
      <c r="D352" s="85">
        <v>4</v>
      </c>
      <c r="E352" s="84"/>
      <c r="F352" s="84"/>
      <c r="G352" s="84"/>
      <c r="H352" s="85"/>
      <c r="I352" s="85"/>
      <c r="J352" s="499" t="str">
        <f ca="1">道具!C$5</f>
        <v>ＨＰ全体恢复的葡萄</v>
      </c>
      <c r="K352" s="371"/>
      <c r="L352" s="499" t="str">
        <f ca="1">语言!$A$1630</f>
        <v>无法捕获</v>
      </c>
      <c r="M352" s="371"/>
      <c r="N352" s="371"/>
      <c r="O352" s="371"/>
      <c r="P352" s="506" t="str">
        <f ca="1">语言!A$455&amp;" (46)"</f>
        <v>领主的宅邸 (46)</v>
      </c>
      <c r="Q352" s="371"/>
      <c r="R352" s="86"/>
    </row>
    <row r="353" spans="1:18" x14ac:dyDescent="0.2">
      <c r="A353" s="82"/>
      <c r="B353" s="53" t="b">
        <f>清单!B925</f>
        <v>0</v>
      </c>
      <c r="C353" s="53" t="str">
        <f ca="1">语言!A1499</f>
        <v>维尔纳的士兵 II</v>
      </c>
      <c r="D353" s="85">
        <v>2</v>
      </c>
      <c r="E353" s="84"/>
      <c r="F353" s="84"/>
      <c r="G353" s="84"/>
      <c r="H353" s="85"/>
      <c r="I353" s="85"/>
      <c r="J353" s="499" t="str">
        <f ca="1">道具!C$5</f>
        <v>ＨＰ全体恢复的葡萄</v>
      </c>
      <c r="K353" s="371"/>
      <c r="L353" s="499" t="str">
        <f ca="1">语言!$A$1630</f>
        <v>无法捕获</v>
      </c>
      <c r="M353" s="371"/>
      <c r="N353" s="371"/>
      <c r="O353" s="371"/>
      <c r="P353" s="506" t="str">
        <f ca="1">语言!A$455&amp;" (46)"</f>
        <v>领主的宅邸 (46)</v>
      </c>
      <c r="Q353" s="371"/>
      <c r="R353" s="86"/>
    </row>
    <row r="354" spans="1:18" x14ac:dyDescent="0.2">
      <c r="A354" s="82"/>
      <c r="B354" s="53" t="b">
        <f>清单!B926</f>
        <v>0</v>
      </c>
      <c r="C354" s="53" t="str">
        <f ca="1">语言!A1500</f>
        <v>维尔纳的士兵 III</v>
      </c>
      <c r="D354" s="85">
        <v>1</v>
      </c>
      <c r="E354" s="84"/>
      <c r="F354" s="84"/>
      <c r="G354" s="84"/>
      <c r="H354" s="85"/>
      <c r="I354" s="85"/>
      <c r="J354" s="499" t="str">
        <f ca="1">道具!C$10</f>
        <v>ＢＰ恢复的石榴（大）</v>
      </c>
      <c r="K354" s="371"/>
      <c r="L354" s="499" t="str">
        <f ca="1">语言!$A$1630</f>
        <v>无法捕获</v>
      </c>
      <c r="M354" s="371"/>
      <c r="N354" s="371"/>
      <c r="O354" s="371"/>
      <c r="P354" s="506" t="str">
        <f ca="1">语言!A$455&amp;" (46)"</f>
        <v>领主的宅邸 (46)</v>
      </c>
      <c r="Q354" s="371"/>
      <c r="R354" s="86"/>
    </row>
    <row r="355" spans="1:18" x14ac:dyDescent="0.2">
      <c r="A355" s="82"/>
      <c r="B355" s="53" t="b">
        <f>清单!B38</f>
        <v>0</v>
      </c>
      <c r="C355" s="53" t="str">
        <f ca="1">语言!A1501</f>
        <v>白蝙蝠</v>
      </c>
      <c r="D355" s="85">
        <v>1</v>
      </c>
      <c r="E355" s="84"/>
      <c r="F355" s="84"/>
      <c r="G355" s="84"/>
      <c r="H355" s="84"/>
      <c r="I355" s="85"/>
      <c r="J355" s="499" t="str">
        <f ca="1">道具!C$544</f>
        <v>神秘之花</v>
      </c>
      <c r="K355" s="371"/>
      <c r="L355" s="85" t="s">
        <v>48</v>
      </c>
      <c r="M355" s="84"/>
      <c r="N355" s="499" t="str">
        <f ca="1">Summon!$C$42</f>
        <v>咬噬</v>
      </c>
      <c r="O355" s="371"/>
      <c r="P355" s="506" t="str">
        <f ca="1">语言!A$332&amp;" (1-4-7-11)"</f>
        <v>原初洞窟 (1-4-7-11)</v>
      </c>
      <c r="Q355" s="371"/>
      <c r="R355" s="86"/>
    </row>
    <row r="356" spans="1:18" x14ac:dyDescent="0.2">
      <c r="A356" s="82"/>
      <c r="B356" s="53" t="b">
        <f>OR(清单!B57, 清单!B79)</f>
        <v>0</v>
      </c>
      <c r="C356" s="53" t="str">
        <f ca="1">语言!A1502</f>
        <v>白咆哮者</v>
      </c>
      <c r="D356" s="85">
        <v>1</v>
      </c>
      <c r="E356" s="84"/>
      <c r="F356" s="84"/>
      <c r="G356" s="84"/>
      <c r="H356" s="84"/>
      <c r="I356" s="85"/>
      <c r="J356" s="499" t="str">
        <f ca="1">道具!C$542</f>
        <v>石榴树液</v>
      </c>
      <c r="K356" s="371"/>
      <c r="L356" s="85" t="s">
        <v>46</v>
      </c>
      <c r="M356" s="84"/>
      <c r="N356" s="499" t="str">
        <f ca="1">Summon!$C$50</f>
        <v>刺（全体）</v>
      </c>
      <c r="O356" s="371"/>
      <c r="P356" s="506" t="str">
        <f ca="1">语言!A$334&amp;" (20-23), "&amp;语言!A$336&amp;" (20)"</f>
        <v>西史迪尔斯诺雪道 (20-23), 通往黑曜馆的道路 (20)</v>
      </c>
      <c r="Q356" s="371"/>
      <c r="R356" s="86"/>
    </row>
    <row r="357" spans="1:18" x14ac:dyDescent="0.2">
      <c r="A357" s="82"/>
      <c r="B357" s="53" t="b">
        <f>OR(清单!B508, 清单!B530)</f>
        <v>0</v>
      </c>
      <c r="C357" s="53" t="str">
        <f ca="1">语言!A1503</f>
        <v>野鼬鼠</v>
      </c>
      <c r="D357" s="85">
        <v>4</v>
      </c>
      <c r="E357" s="84"/>
      <c r="F357" s="84"/>
      <c r="G357" s="84"/>
      <c r="H357" s="85"/>
      <c r="I357" s="85"/>
      <c r="J357" s="499" t="str">
        <f ca="1">道具!C$14</f>
        <v>复活的橄榄</v>
      </c>
      <c r="K357" s="371"/>
      <c r="L357" s="85" t="s">
        <v>47</v>
      </c>
      <c r="M357" s="84"/>
      <c r="N357" s="499" t="str">
        <f ca="1">Summon!$C$87</f>
        <v>会心一击</v>
      </c>
      <c r="O357" s="371"/>
      <c r="P357" s="506" t="str">
        <f ca="1">语言!A$398&amp;" (25-30), "&amp;语言!A$399&amp;" (25-30), "&amp;语言!A$401&amp;" (26)"</f>
        <v>北斯托冈德山道 (25-30), 西斯托冈德山道 (25-30), 通往幻影之森的道路 (26)</v>
      </c>
      <c r="Q357" s="371"/>
      <c r="R357" s="86"/>
    </row>
    <row r="358" spans="1:18" x14ac:dyDescent="0.2">
      <c r="A358" s="82"/>
      <c r="B358" s="53" t="b">
        <f>清单!B83</f>
        <v>0</v>
      </c>
      <c r="C358" s="53" t="str">
        <f ca="1">语言!A1504</f>
        <v>魔导飞器（风）</v>
      </c>
      <c r="D358" s="85">
        <v>2</v>
      </c>
      <c r="E358" s="84"/>
      <c r="F358" s="84"/>
      <c r="G358" s="84"/>
      <c r="H358" s="84"/>
      <c r="I358" s="85"/>
      <c r="J358" s="499" t="str">
        <f ca="1">道具!C$39</f>
        <v>风之精灵石</v>
      </c>
      <c r="K358" s="371"/>
      <c r="L358" s="85" t="s">
        <v>46</v>
      </c>
      <c r="M358" s="84"/>
      <c r="N358" s="499" t="str">
        <f ca="1">Summon!$C$116</f>
        <v>风斩</v>
      </c>
      <c r="O358" s="371"/>
      <c r="P358" s="506" t="str">
        <f ca="1">语言!A$337&amp;" (21)"</f>
        <v>通往黑曜馆的密道 (21)</v>
      </c>
      <c r="Q358" s="371"/>
      <c r="R358" s="86"/>
    </row>
    <row r="359" spans="1:18" x14ac:dyDescent="0.2">
      <c r="A359" s="82"/>
      <c r="B359" s="53" t="b">
        <f>OR(清单!B1223, 清单!B1229)</f>
        <v>0</v>
      </c>
      <c r="C359" s="53" t="str">
        <f ca="1">语言!A1505</f>
        <v>魔导飞器（风）・异型</v>
      </c>
      <c r="D359" s="85">
        <v>2</v>
      </c>
      <c r="E359" s="84"/>
      <c r="F359" s="84"/>
      <c r="G359" s="84"/>
      <c r="H359" s="85"/>
      <c r="I359" s="85"/>
      <c r="J359" s="499" t="str">
        <f ca="1">道具!C$40</f>
        <v>风之精灵石（大）</v>
      </c>
      <c r="K359" s="371"/>
      <c r="L359" s="85" t="s">
        <v>47</v>
      </c>
      <c r="M359" s="84"/>
      <c r="N359" s="499" t="str">
        <f ca="1">Summon!$C$116</f>
        <v>风斩</v>
      </c>
      <c r="O359" s="371"/>
      <c r="P359" s="506" t="str">
        <f ca="1">语言!A$495&amp;" (45-46)"</f>
        <v>古代的遗迹 (45-46)</v>
      </c>
      <c r="Q359" s="371"/>
      <c r="R359" s="86"/>
    </row>
    <row r="360" spans="1:18" x14ac:dyDescent="0.2">
      <c r="A360" s="82"/>
      <c r="B360" s="53" t="b">
        <f>OR(清单!B314, 清单!B356, 清单!B852, 清单!B877, 清单!B1064, 清单!B1070)</f>
        <v>0</v>
      </c>
      <c r="C360" s="53" t="str">
        <f ca="1">语言!A1506</f>
        <v>风元素</v>
      </c>
      <c r="D360" s="85">
        <v>4</v>
      </c>
      <c r="E360" s="84"/>
      <c r="F360" s="84"/>
      <c r="G360" s="85"/>
      <c r="H360" s="85"/>
      <c r="I360" s="85"/>
      <c r="J360" s="499" t="str">
        <f ca="1">道具!C$42</f>
        <v>风之精灵石（特大）</v>
      </c>
      <c r="K360" s="371"/>
      <c r="L360" s="85" t="s">
        <v>50</v>
      </c>
      <c r="M360" s="84"/>
      <c r="N360" s="499" t="str">
        <f ca="1">Summon!$C$120</f>
        <v>风斩（全体）</v>
      </c>
      <c r="O360" s="371"/>
      <c r="P360" s="506" t="str">
        <f ca="1">语言!A$369&amp;" (45), "&amp;语言!A$377&amp;" (35), "&amp;语言!A$445&amp;" (30), "&amp;语言!A$448&amp;" (32), "&amp;语言!A$475&amp;" (45-46)"</f>
        <v>波隐岩窟 (45), 噬船海穴 (35), 边境河岸 (30), 利维耶拉之森 (32), 卢贝之森 (45-46)</v>
      </c>
      <c r="Q360" s="371"/>
      <c r="R360" s="86"/>
    </row>
    <row r="361" spans="1:18" x14ac:dyDescent="0.2">
      <c r="A361" s="82"/>
      <c r="B361" s="53" t="b">
        <f>OR(清单!B82, 清单!B515)</f>
        <v>0</v>
      </c>
      <c r="C361" s="53" t="str">
        <f ca="1">语言!A1507</f>
        <v>魔导机兵（风）</v>
      </c>
      <c r="D361" s="85">
        <v>3</v>
      </c>
      <c r="E361" s="84"/>
      <c r="F361" s="84"/>
      <c r="G361" s="84"/>
      <c r="H361" s="84"/>
      <c r="I361" s="85"/>
      <c r="J361" s="499" t="str">
        <f ca="1">道具!C$39</f>
        <v>风之精灵石</v>
      </c>
      <c r="K361" s="371"/>
      <c r="L361" s="85" t="s">
        <v>46</v>
      </c>
      <c r="M361" s="84"/>
      <c r="N361" s="499" t="str">
        <f ca="1">Summon!$C$120</f>
        <v>风斩（全体）</v>
      </c>
      <c r="O361" s="371"/>
      <c r="P361" s="506" t="str">
        <f ca="1">语言!A$337&amp;" (21), "&amp;语言!A$400&amp;" (25)"</f>
        <v>通往黑曜馆的密道 (21), 王家之墓 (25)</v>
      </c>
      <c r="Q361" s="371"/>
      <c r="R361" s="86"/>
    </row>
    <row r="362" spans="1:18" x14ac:dyDescent="0.2">
      <c r="A362" s="82"/>
      <c r="B362" s="53" t="b">
        <f>清单!B1222</f>
        <v>0</v>
      </c>
      <c r="C362" s="53" t="str">
        <f ca="1">语言!A1508</f>
        <v>魔导机兵（风）・异型</v>
      </c>
      <c r="D362" s="85">
        <v>3</v>
      </c>
      <c r="E362" s="84"/>
      <c r="F362" s="84"/>
      <c r="G362" s="84"/>
      <c r="H362" s="84"/>
      <c r="I362" s="85"/>
      <c r="J362" s="499" t="str">
        <f ca="1">道具!C$40</f>
        <v>风之精灵石（大）</v>
      </c>
      <c r="K362" s="371"/>
      <c r="L362" s="85" t="s">
        <v>51</v>
      </c>
      <c r="M362" s="84"/>
      <c r="N362" s="499" t="str">
        <f ca="1">Summon!$C$120</f>
        <v>风斩（全体）</v>
      </c>
      <c r="O362" s="371"/>
      <c r="P362" s="506" t="str">
        <f ca="1">语言!A$495&amp;" (45)"</f>
        <v>古代的遗迹 (45)</v>
      </c>
      <c r="Q362" s="371"/>
      <c r="R362" s="86"/>
    </row>
    <row r="363" spans="1:18" x14ac:dyDescent="0.2">
      <c r="A363" s="82"/>
      <c r="B363" s="53" t="b">
        <f>清单!B516</f>
        <v>0</v>
      </c>
      <c r="C363" s="53" t="str">
        <f ca="1">语言!A1509</f>
        <v>古代遗物（风兽）</v>
      </c>
      <c r="D363" s="85">
        <v>1</v>
      </c>
      <c r="E363" s="84"/>
      <c r="F363" s="84"/>
      <c r="G363" s="84"/>
      <c r="H363" s="84"/>
      <c r="I363" s="85"/>
      <c r="J363" s="499" t="str">
        <f ca="1">道具!C$40</f>
        <v>风之精灵石（大）</v>
      </c>
      <c r="K363" s="371"/>
      <c r="L363" s="85" t="s">
        <v>47</v>
      </c>
      <c r="M363" s="84"/>
      <c r="N363" s="499" t="str">
        <f ca="1">Summon!$C$116</f>
        <v>风斩</v>
      </c>
      <c r="O363" s="371"/>
      <c r="P363" s="506" t="str">
        <f ca="1">语言!A$400&amp;" (25)"</f>
        <v>王家之墓 (25)</v>
      </c>
      <c r="Q363" s="371"/>
      <c r="R363" s="86"/>
    </row>
    <row r="364" spans="1:18" x14ac:dyDescent="0.2">
      <c r="A364" s="82"/>
      <c r="B364" s="53" t="b">
        <f>OR(清单!B258, 清单!B589, 清单!B1050)</f>
        <v>0</v>
      </c>
      <c r="C364" s="53" t="str">
        <f ca="1">语言!A1510</f>
        <v>古代遗物（风兽）・异型</v>
      </c>
      <c r="D364" s="85">
        <v>2</v>
      </c>
      <c r="E364" s="84"/>
      <c r="F364" s="84"/>
      <c r="G364" s="84"/>
      <c r="H364" s="84"/>
      <c r="I364" s="85"/>
      <c r="J364" s="499" t="str">
        <f ca="1">道具!C$42</f>
        <v>风之精灵石（特大）</v>
      </c>
      <c r="K364" s="371"/>
      <c r="L364" s="85" t="s">
        <v>50</v>
      </c>
      <c r="M364" s="84"/>
      <c r="N364" s="499" t="str">
        <f ca="1">Summon!$C$116</f>
        <v>风斩</v>
      </c>
      <c r="O364" s="371"/>
      <c r="P364" s="506" t="str">
        <f ca="1">语言!A$363&amp;" (50), "&amp;语言!A$408&amp;" (50), "&amp;语言!A$473&amp;" (50)"</f>
        <v>占星师的祠堂 (50), 魔剑士的祠堂 (50), 龙咏神殿 (50)</v>
      </c>
      <c r="Q364" s="371"/>
      <c r="R364" s="86"/>
    </row>
    <row r="365" spans="1:18" x14ac:dyDescent="0.2">
      <c r="A365" s="82"/>
      <c r="B365" s="53" t="b">
        <f>OR(清单!B259, 清单!B590)</f>
        <v>0</v>
      </c>
      <c r="C365" s="53" t="str">
        <f ca="1">语言!A1511</f>
        <v>古代遗物・风兵</v>
      </c>
      <c r="D365" s="85">
        <v>7</v>
      </c>
      <c r="E365" s="84"/>
      <c r="F365" s="84"/>
      <c r="G365" s="84"/>
      <c r="H365" s="84"/>
      <c r="I365" s="85"/>
      <c r="J365" s="499" t="str">
        <f ca="1">道具!C$8</f>
        <v>ＳＰ全体恢复的李子</v>
      </c>
      <c r="K365" s="371"/>
      <c r="L365" s="85" t="s">
        <v>55</v>
      </c>
      <c r="M365" s="84"/>
      <c r="N365" s="499" t="str">
        <f ca="1">Summon!$C$123</f>
        <v>暴风雨之钟（全体）</v>
      </c>
      <c r="O365" s="371"/>
      <c r="P365" s="506" t="str">
        <f ca="1">语言!A$363&amp;" (50), "&amp;语言!A$408&amp;" (50)"</f>
        <v>占星师的祠堂 (50), 魔剑士的祠堂 (50)</v>
      </c>
      <c r="Q365" s="371"/>
      <c r="R365" s="86"/>
    </row>
    <row r="366" spans="1:18" x14ac:dyDescent="0.2">
      <c r="A366" s="82"/>
      <c r="B366" s="53" t="b">
        <f>OR(清单!B81, 清单!B514)</f>
        <v>0</v>
      </c>
      <c r="C366" s="53" t="str">
        <f ca="1">语言!A1512</f>
        <v>魔导机（风）</v>
      </c>
      <c r="D366" s="85">
        <v>1</v>
      </c>
      <c r="E366" s="84"/>
      <c r="F366" s="84"/>
      <c r="G366" s="84"/>
      <c r="H366" s="84"/>
      <c r="I366" s="84"/>
      <c r="J366" s="499" t="str">
        <f ca="1">道具!C$39</f>
        <v>风之精灵石</v>
      </c>
      <c r="K366" s="371"/>
      <c r="L366" s="85" t="s">
        <v>46</v>
      </c>
      <c r="M366" s="84"/>
      <c r="N366" s="499" t="str">
        <f ca="1">Summon!$C$116</f>
        <v>风斩</v>
      </c>
      <c r="O366" s="371"/>
      <c r="P366" s="506" t="str">
        <f ca="1">语言!A$337&amp;" (21), "&amp;语言!A$400&amp;" (25)"</f>
        <v>通往黑曜馆的密道 (21), 王家之墓 (25)</v>
      </c>
      <c r="Q366" s="371"/>
      <c r="R366" s="86"/>
    </row>
    <row r="367" spans="1:18" x14ac:dyDescent="0.2">
      <c r="A367" s="82"/>
      <c r="B367" s="53" t="b">
        <f>OR(清单!B1221, 清单!B$1228)</f>
        <v>0</v>
      </c>
      <c r="C367" s="53" t="str">
        <f ca="1">语言!A1513</f>
        <v>魔导机（风）・异型</v>
      </c>
      <c r="D367" s="85">
        <v>1</v>
      </c>
      <c r="E367" s="84"/>
      <c r="F367" s="84"/>
      <c r="G367" s="84"/>
      <c r="H367" s="84"/>
      <c r="I367" s="84"/>
      <c r="J367" s="499" t="str">
        <f ca="1">道具!C$40</f>
        <v>风之精灵石（大）</v>
      </c>
      <c r="K367" s="371"/>
      <c r="L367" s="85" t="s">
        <v>50</v>
      </c>
      <c r="M367" s="84"/>
      <c r="N367" s="499" t="str">
        <f ca="1">Summon!$C$116</f>
        <v>风斩</v>
      </c>
      <c r="O367" s="371"/>
      <c r="P367" s="506" t="str">
        <f ca="1">语言!A$495&amp;" (45-46)"</f>
        <v>古代的遗迹 (45-46)</v>
      </c>
      <c r="Q367" s="371"/>
      <c r="R367" s="86"/>
    </row>
    <row r="368" spans="1:18" x14ac:dyDescent="0.2">
      <c r="A368" s="82"/>
      <c r="B368" s="53" t="b">
        <f>OR(清单!B$468, 清单!B1027)</f>
        <v>0</v>
      </c>
      <c r="C368" s="53" t="str">
        <f ca="1">语言!A1514</f>
        <v>风之鬼火</v>
      </c>
      <c r="D368" s="85">
        <v>3</v>
      </c>
      <c r="E368" s="84"/>
      <c r="F368" s="84"/>
      <c r="G368" s="85"/>
      <c r="H368" s="85"/>
      <c r="I368" s="85"/>
      <c r="J368" s="499" t="str">
        <f ca="1">道具!C$39</f>
        <v>风之精灵石</v>
      </c>
      <c r="K368" s="371"/>
      <c r="L368" s="85" t="s">
        <v>46</v>
      </c>
      <c r="M368" s="84"/>
      <c r="N368" s="499" t="str">
        <f ca="1">Summon!$C$116</f>
        <v>风斩</v>
      </c>
      <c r="O368" s="371"/>
      <c r="P368" s="506" t="str">
        <f ca="1">语言!A$392&amp;" (15), "&amp;语言!A$470&amp;" (24)"</f>
        <v>无垢巢穴 (15), 下水道 (24)</v>
      </c>
      <c r="Q368" s="371"/>
      <c r="R368" s="86"/>
    </row>
    <row r="369" spans="1:18" x14ac:dyDescent="0.2">
      <c r="A369" s="82"/>
      <c r="B369" s="53" t="b">
        <f>清单!B573</f>
        <v>0</v>
      </c>
      <c r="C369" s="53" t="str">
        <f ca="1">语言!A1515</f>
        <v>蛇鸟</v>
      </c>
      <c r="D369" s="85">
        <v>3</v>
      </c>
      <c r="E369" s="84"/>
      <c r="F369" s="84"/>
      <c r="G369" s="84"/>
      <c r="H369" s="84"/>
      <c r="I369" s="85"/>
      <c r="J369" s="499" t="str">
        <f ca="1">道具!C$542</f>
        <v>石榴树液</v>
      </c>
      <c r="K369" s="371"/>
      <c r="L369" s="85" t="s">
        <v>50</v>
      </c>
      <c r="M369" s="84"/>
      <c r="N369" s="499" t="str">
        <f ca="1">Summon!$C$118</f>
        <v>剧毒之风</v>
      </c>
      <c r="O369" s="371"/>
      <c r="P369" s="506" t="str">
        <f ca="1">语言!A$406&amp;" (45)"</f>
        <v>西艾巴霍多山道 (45)</v>
      </c>
      <c r="Q369" s="371"/>
      <c r="R369" s="86"/>
    </row>
    <row r="370" spans="1:18" x14ac:dyDescent="0.2">
      <c r="A370" s="82"/>
      <c r="B370" s="53" t="b">
        <f>清单!B95</f>
        <v>0</v>
      </c>
      <c r="C370" s="53" t="str">
        <f ca="1">语言!A1516</f>
        <v>风来雪草</v>
      </c>
      <c r="D370" s="85">
        <v>3</v>
      </c>
      <c r="E370" s="84"/>
      <c r="F370" s="84"/>
      <c r="G370" s="85"/>
      <c r="H370" s="85"/>
      <c r="I370" s="85"/>
      <c r="J370" s="499" t="str">
        <f ca="1">道具!C$539</f>
        <v>混乱多之叶</v>
      </c>
      <c r="K370" s="371"/>
      <c r="L370" s="85" t="s">
        <v>46</v>
      </c>
      <c r="M370" s="84"/>
      <c r="N370" s="499" t="str">
        <f ca="1">Summon!$C$68</f>
        <v>针</v>
      </c>
      <c r="O370" s="371"/>
      <c r="P370" s="506" t="str">
        <f ca="1">语言!A$339&amp;" (38)"</f>
        <v>白色森林 (38)</v>
      </c>
      <c r="Q370" s="371"/>
      <c r="R370" s="86"/>
    </row>
    <row r="371" spans="1:18" x14ac:dyDescent="0.2">
      <c r="A371" s="82"/>
      <c r="B371" s="53" t="b">
        <f>OR(清单!B679, 清单!B697)</f>
        <v>0</v>
      </c>
      <c r="C371" s="53" t="str">
        <f ca="1">语言!A1517</f>
        <v>风来枯草</v>
      </c>
      <c r="D371" s="85">
        <v>1</v>
      </c>
      <c r="E371" s="84"/>
      <c r="F371" s="84"/>
      <c r="G371" s="84"/>
      <c r="H371" s="85"/>
      <c r="I371" s="85"/>
      <c r="J371" s="499" t="str">
        <f ca="1">道具!C$539</f>
        <v>混乱多之叶</v>
      </c>
      <c r="K371" s="371"/>
      <c r="L371" s="85" t="s">
        <v>50</v>
      </c>
      <c r="M371" s="84"/>
      <c r="N371" s="499" t="str">
        <f ca="1">Summon!$C$78</f>
        <v>睡眠之针（全体）</v>
      </c>
      <c r="O371" s="371"/>
      <c r="P371" s="506" t="str">
        <f ca="1">语言!A$421&amp;" (31-32-33-35), "&amp;语言!A$422&amp;" (31-32-33-35), "&amp;语言!A$424&amp;" (35)"</f>
        <v>北威尔斯宾克沙道 (31-32-33-35), 东威尔斯宾克沙道 (31-32-33-35), 南威尔斯宾克废道 (35)</v>
      </c>
      <c r="Q371" s="371"/>
      <c r="R371" s="86"/>
    </row>
    <row r="372" spans="1:18" x14ac:dyDescent="0.2">
      <c r="A372" s="82"/>
      <c r="B372" s="53" t="b">
        <f>OR(清单!B18, 清单!B35)</f>
        <v>0</v>
      </c>
      <c r="C372" s="53" t="str">
        <f ca="1">语言!A1518</f>
        <v>狼</v>
      </c>
      <c r="D372" s="85">
        <v>1</v>
      </c>
      <c r="E372" s="84"/>
      <c r="F372" s="84"/>
      <c r="G372" s="84"/>
      <c r="H372" s="84"/>
      <c r="I372" s="85"/>
      <c r="J372" s="499" t="str">
        <f ca="1">道具!C$3</f>
        <v>ＨＰ恢复的葡萄</v>
      </c>
      <c r="K372" s="371"/>
      <c r="L372" s="85" t="s">
        <v>48</v>
      </c>
      <c r="M372" s="84"/>
      <c r="N372" s="499" t="str">
        <f ca="1">Summon!$C$42</f>
        <v>咬噬</v>
      </c>
      <c r="O372" s="371"/>
      <c r="P372" s="506" t="str">
        <f ca="1">"Northen Flamegrace Wilds (7), Western Flamesgrace Wilds (7), Path to Cave of Origin (7), "&amp;语言!A$332&amp;" (1-4-7-11)"</f>
        <v>Northen Flamegrace Wilds (7), Western Flamesgrace Wilds (7), Path to Cave of Origin (7), 原初洞窟 (1-4-7-11)</v>
      </c>
      <c r="Q372" s="371"/>
      <c r="R372" s="86"/>
    </row>
    <row r="373" spans="1:18" x14ac:dyDescent="0.2">
      <c r="A373" s="82"/>
      <c r="B373" s="53" t="b">
        <f>OR(清单!B1039, 清单!B1057)</f>
        <v>0</v>
      </c>
      <c r="C373" s="53" t="str">
        <f ca="1">语言!A1519</f>
        <v>四丈蜘蛛</v>
      </c>
      <c r="D373" s="85">
        <v>5</v>
      </c>
      <c r="E373" s="84"/>
      <c r="F373" s="84"/>
      <c r="G373" s="84"/>
      <c r="H373" s="84"/>
      <c r="I373" s="85"/>
      <c r="J373" s="499" t="str">
        <f ca="1">道具!C$539</f>
        <v>混乱多之叶</v>
      </c>
      <c r="K373" s="371"/>
      <c r="L373" s="85" t="s">
        <v>50</v>
      </c>
      <c r="M373" s="84"/>
      <c r="N373" s="499" t="str">
        <f ca="1">Summon!$C$7</f>
        <v>睡眠之爪</v>
      </c>
      <c r="O373" s="371"/>
      <c r="P373" s="506" t="str">
        <f ca="1">语言!A$472&amp;" (45), "&amp;语言!A$472&amp;" (45)"</f>
        <v>南欧亚威尔崖道 (45), 南欧亚威尔崖道 (45)</v>
      </c>
      <c r="Q373" s="371"/>
      <c r="R373" s="86"/>
    </row>
    <row r="374" spans="1:18" x14ac:dyDescent="0.2">
      <c r="A374" s="82"/>
      <c r="B374" s="53" t="b">
        <f>清单!B273</f>
        <v>0</v>
      </c>
      <c r="C374" s="53" t="str">
        <f ca="1">语言!A1520</f>
        <v>黑炎教信徒（高级）I</v>
      </c>
      <c r="D374" s="85">
        <v>2</v>
      </c>
      <c r="E374" s="84"/>
      <c r="F374" s="84"/>
      <c r="G374" s="84"/>
      <c r="H374" s="84"/>
      <c r="I374" s="85"/>
      <c r="J374" s="499" t="str">
        <f ca="1">道具!C$111</f>
        <v>魔物香水</v>
      </c>
      <c r="K374" s="371"/>
      <c r="L374" s="499" t="str">
        <f ca="1">语言!$A$1630</f>
        <v>无法捕获</v>
      </c>
      <c r="M374" s="371"/>
      <c r="N374" s="371"/>
      <c r="O374" s="371"/>
      <c r="P374" s="506" t="str">
        <f ca="1">语言!A$364&amp;" (45)"</f>
        <v>漆黑洞窟 (45)</v>
      </c>
      <c r="Q374" s="371"/>
      <c r="R374" s="86"/>
    </row>
    <row r="375" spans="1:18" x14ac:dyDescent="0.2">
      <c r="A375" s="82"/>
      <c r="B375" s="53" t="b">
        <f>清单!B274</f>
        <v>0</v>
      </c>
      <c r="C375" s="53" t="str">
        <f ca="1">语言!A1521</f>
        <v>黑炎教信徒（高级）II</v>
      </c>
      <c r="D375" s="85">
        <v>4</v>
      </c>
      <c r="E375" s="84"/>
      <c r="F375" s="84"/>
      <c r="G375" s="84"/>
      <c r="H375" s="84"/>
      <c r="I375" s="85"/>
      <c r="J375" s="499" t="str">
        <f ca="1">道具!C$111</f>
        <v>魔物香水</v>
      </c>
      <c r="K375" s="371"/>
      <c r="L375" s="499" t="str">
        <f ca="1">语言!$A$1630</f>
        <v>无法捕获</v>
      </c>
      <c r="M375" s="371"/>
      <c r="N375" s="371"/>
      <c r="O375" s="371"/>
      <c r="P375" s="506" t="str">
        <f ca="1">语言!A$364&amp;" (45)"</f>
        <v>漆黑洞窟 (45)</v>
      </c>
      <c r="Q375" s="371"/>
      <c r="R375" s="86"/>
    </row>
    <row r="376" spans="1:18" x14ac:dyDescent="0.2">
      <c r="A376" s="90"/>
      <c r="B376" s="90"/>
      <c r="C376" s="90"/>
      <c r="D376" s="91"/>
      <c r="E376" s="91"/>
      <c r="F376" s="91"/>
      <c r="G376" s="91"/>
      <c r="H376" s="91"/>
      <c r="I376" s="91"/>
      <c r="J376" s="500"/>
      <c r="K376" s="371"/>
      <c r="L376" s="91"/>
      <c r="M376" s="91"/>
      <c r="N376" s="91"/>
      <c r="O376" s="91"/>
      <c r="P376" s="92"/>
      <c r="Q376" s="86"/>
      <c r="R376" s="86"/>
    </row>
    <row r="377" spans="1:18" x14ac:dyDescent="0.2">
      <c r="A377" s="520" t="str">
        <f ca="1">语言!$A$1522</f>
        <v>小boss</v>
      </c>
      <c r="B377" s="371"/>
      <c r="C377" s="371"/>
      <c r="D377" s="521" t="s">
        <v>61</v>
      </c>
      <c r="E377" s="371"/>
      <c r="F377" s="371"/>
      <c r="G377" s="371"/>
      <c r="H377" s="371"/>
      <c r="I377" s="371"/>
      <c r="J377" s="371"/>
      <c r="K377" s="371"/>
      <c r="L377" s="371"/>
      <c r="M377" s="371"/>
      <c r="N377" s="371"/>
      <c r="O377" s="371"/>
      <c r="P377" s="371"/>
      <c r="Q377" s="371"/>
      <c r="R377" s="86"/>
    </row>
    <row r="378" spans="1:18" x14ac:dyDescent="0.2">
      <c r="A378" s="82"/>
      <c r="B378" s="53" t="b">
        <f>清单!B$68</f>
        <v>0</v>
      </c>
      <c r="C378" s="93" t="str">
        <f ca="1">语言!A$1523</f>
        <v>贝西摩斯</v>
      </c>
      <c r="D378" s="85">
        <v>10</v>
      </c>
      <c r="E378" s="84"/>
      <c r="F378" s="84"/>
      <c r="G378" s="84"/>
      <c r="H378" s="85"/>
      <c r="I378" s="85"/>
      <c r="J378" s="499" t="str">
        <f ca="1">道具!C$13</f>
        <v>ＨＰ／ＳＰ／ＢＰ恢复的果酱</v>
      </c>
      <c r="K378" s="371"/>
      <c r="L378" s="85" t="s">
        <v>55</v>
      </c>
      <c r="M378" s="85"/>
      <c r="N378" s="499" t="str">
        <f ca="1">Summon!$C$142</f>
        <v>惊奇疗愈（全体）</v>
      </c>
      <c r="O378" s="371"/>
      <c r="P378" s="506" t="str">
        <f ca="1">语言!A$335&amp;" (35)"</f>
        <v>巨王灵庙 (35)</v>
      </c>
      <c r="Q378" s="371"/>
      <c r="R378" s="86"/>
    </row>
    <row r="379" spans="1:18" x14ac:dyDescent="0.2">
      <c r="A379" s="82"/>
      <c r="B379" s="53" t="b">
        <f>清单!B$585</f>
        <v>0</v>
      </c>
      <c r="C379" s="93" t="str">
        <f ca="1">语言!A$1524</f>
        <v>噬梦</v>
      </c>
      <c r="D379" s="85">
        <v>10</v>
      </c>
      <c r="E379" s="84"/>
      <c r="F379" s="84"/>
      <c r="G379" s="85"/>
      <c r="H379" s="85"/>
      <c r="I379" s="85"/>
      <c r="J379" s="499" t="str">
        <f ca="1">道具!C$13</f>
        <v>ＨＰ／ＳＰ／ＢＰ恢复的果酱</v>
      </c>
      <c r="K379" s="371"/>
      <c r="L379" s="85" t="s">
        <v>55</v>
      </c>
      <c r="M379" s="85"/>
      <c r="N379" s="499" t="str">
        <f ca="1">Summon!$C$151</f>
        <v>死亡云雾（全体）</v>
      </c>
      <c r="O379" s="371"/>
      <c r="P379" s="506" t="str">
        <f ca="1">语言!A$407&amp;" (55)"</f>
        <v>艾巴霍多地下坑道遗迹 (55)</v>
      </c>
      <c r="Q379" s="371"/>
      <c r="R379" s="86"/>
    </row>
    <row r="380" spans="1:18" x14ac:dyDescent="0.2">
      <c r="A380" s="82"/>
      <c r="B380" s="53" t="b">
        <f>清单!B$120</f>
        <v>0</v>
      </c>
      <c r="C380" s="93" t="str">
        <f ca="1">语言!A$1525</f>
        <v>恐狼</v>
      </c>
      <c r="D380" s="85">
        <v>10</v>
      </c>
      <c r="E380" s="84"/>
      <c r="F380" s="84"/>
      <c r="G380" s="84"/>
      <c r="H380" s="85"/>
      <c r="I380" s="85"/>
      <c r="J380" s="499" t="str">
        <f ca="1">道具!C$13</f>
        <v>ＨＰ／ＳＰ／ＢＰ恢复的果酱</v>
      </c>
      <c r="K380" s="371"/>
      <c r="L380" s="85" t="s">
        <v>55</v>
      </c>
      <c r="M380" s="84"/>
      <c r="N380" s="499" t="str">
        <f ca="1">Summon!$C$21</f>
        <v>乱抓击（全体）</v>
      </c>
      <c r="O380" s="371"/>
      <c r="P380" s="506" t="str">
        <f ca="1">语言!A$343&amp;" (45)"</f>
        <v>冰龙口 (45)</v>
      </c>
      <c r="Q380" s="371"/>
      <c r="R380" s="86"/>
    </row>
    <row r="381" spans="1:18" x14ac:dyDescent="0.2">
      <c r="A381" s="82"/>
      <c r="B381" s="53" t="b">
        <f>清单!B$901</f>
        <v>0</v>
      </c>
      <c r="C381" s="93" t="str">
        <f ca="1">语言!A$1526</f>
        <v>基加提亚斯</v>
      </c>
      <c r="D381" s="85">
        <v>10</v>
      </c>
      <c r="E381" s="84"/>
      <c r="F381" s="84"/>
      <c r="G381" s="84"/>
      <c r="H381" s="84"/>
      <c r="I381" s="85"/>
      <c r="J381" s="499" t="str">
        <f ca="1">道具!C$13</f>
        <v>ＨＰ／ＳＰ／ＢＰ恢复的果酱</v>
      </c>
      <c r="K381" s="371"/>
      <c r="L381" s="85" t="s">
        <v>55</v>
      </c>
      <c r="M381" s="84"/>
      <c r="N381" s="499" t="str">
        <f ca="1">Summon!$C$38</f>
        <v>一气呵成（全体）</v>
      </c>
      <c r="O381" s="371"/>
      <c r="P381" s="506" t="str">
        <f ca="1">语言!A$452&amp;" (50)"</f>
        <v>贵族的藏身处遗迹 (50)</v>
      </c>
      <c r="Q381" s="371"/>
      <c r="R381" s="86"/>
    </row>
    <row r="382" spans="1:18" x14ac:dyDescent="0.2">
      <c r="A382" s="82"/>
      <c r="B382" s="53" t="b">
        <f>清单!B$961</f>
        <v>0</v>
      </c>
      <c r="C382" s="93" t="str">
        <f ca="1">语言!A$1527</f>
        <v>亚耶罗巴特</v>
      </c>
      <c r="D382" s="85">
        <v>10</v>
      </c>
      <c r="E382" s="84"/>
      <c r="F382" s="84"/>
      <c r="G382" s="84"/>
      <c r="H382" s="85"/>
      <c r="I382" s="85"/>
      <c r="J382" s="499" t="str">
        <f ca="1">道具!C$13</f>
        <v>ＨＰ／ＳＰ／ＢＰ恢复的果酱</v>
      </c>
      <c r="K382" s="371"/>
      <c r="L382" s="85" t="s">
        <v>55</v>
      </c>
      <c r="M382" s="84"/>
      <c r="N382" s="499" t="str">
        <f ca="1">Summon!$C$97</f>
        <v>红莲之炎（全体）</v>
      </c>
      <c r="O382" s="371"/>
      <c r="P382" s="506" t="str">
        <f ca="1">语言!A$462&amp;" (20)"</f>
        <v>鸟葬洞窟 (20)</v>
      </c>
      <c r="Q382" s="371"/>
      <c r="R382" s="86"/>
    </row>
    <row r="383" spans="1:18" x14ac:dyDescent="0.2">
      <c r="A383" s="82"/>
      <c r="B383" s="53" t="b">
        <f>清单!B$761</f>
        <v>0</v>
      </c>
      <c r="C383" s="93" t="str">
        <f ca="1">语言!A$1528</f>
        <v>沙漠虫</v>
      </c>
      <c r="D383" s="85">
        <v>10</v>
      </c>
      <c r="E383" s="84"/>
      <c r="F383" s="84"/>
      <c r="G383" s="85"/>
      <c r="H383" s="85"/>
      <c r="I383" s="85"/>
      <c r="J383" s="499" t="str">
        <f ca="1">道具!C$13</f>
        <v>ＨＰ／ＳＰ／ＢＰ恢复的果酱</v>
      </c>
      <c r="K383" s="371"/>
      <c r="L383" s="85" t="s">
        <v>55</v>
      </c>
      <c r="M383" s="84"/>
      <c r="N383" s="499" t="str">
        <f ca="1">Summon!$C$93</f>
        <v>超级夹击（全体）</v>
      </c>
      <c r="O383" s="371"/>
      <c r="P383" s="506" t="str">
        <f ca="1">语言!A$431&amp;" (50)"</f>
        <v>马尔沙利姆地下墓地 (50)</v>
      </c>
      <c r="Q383" s="371"/>
      <c r="R383" s="86"/>
    </row>
    <row r="384" spans="1:18" x14ac:dyDescent="0.2">
      <c r="A384" s="82"/>
      <c r="B384" s="53" t="b">
        <f>清单!B$1000</f>
        <v>0</v>
      </c>
      <c r="C384" s="93" t="str">
        <f ca="1">语言!A$1529</f>
        <v>戴特摩尔</v>
      </c>
      <c r="D384" s="85">
        <v>10</v>
      </c>
      <c r="E384" s="84"/>
      <c r="F384" s="84"/>
      <c r="G384" s="84"/>
      <c r="H384" s="85"/>
      <c r="I384" s="85"/>
      <c r="J384" s="499" t="str">
        <f ca="1">道具!C$13</f>
        <v>ＨＰ／ＳＰ／ＢＰ恢复的果酱</v>
      </c>
      <c r="K384" s="371"/>
      <c r="L384" s="85" t="s">
        <v>55</v>
      </c>
      <c r="M384" s="85"/>
      <c r="N384" s="499" t="str">
        <f ca="1">Summon!$C$157</f>
        <v>极恶臭（全体）</v>
      </c>
      <c r="O384" s="371"/>
      <c r="P384" s="506" t="str">
        <f ca="1">语言!A$467&amp;" (30)"</f>
        <v>腐朽的开采所 (30)</v>
      </c>
      <c r="Q384" s="371"/>
      <c r="R384" s="86"/>
    </row>
    <row r="385" spans="1:18" x14ac:dyDescent="0.2">
      <c r="A385" s="82"/>
      <c r="B385" s="53" t="b">
        <f>清单!B$813</f>
        <v>0</v>
      </c>
      <c r="C385" s="93" t="str">
        <f ca="1">语言!A$1530</f>
        <v>人面蝶</v>
      </c>
      <c r="D385" s="85">
        <v>10</v>
      </c>
      <c r="E385" s="84"/>
      <c r="F385" s="84"/>
      <c r="G385" s="84"/>
      <c r="H385" s="85"/>
      <c r="I385" s="85"/>
      <c r="J385" s="499" t="str">
        <f ca="1">道具!C$13</f>
        <v>ＨＰ／ＳＰ／ＢＰ恢复的果酱</v>
      </c>
      <c r="K385" s="371"/>
      <c r="L385" s="85" t="s">
        <v>55</v>
      </c>
      <c r="M385" s="84"/>
      <c r="N385" s="499" t="str">
        <f ca="1">Summon!$C$121</f>
        <v>死亡之蝶（全体）</v>
      </c>
      <c r="O385" s="371"/>
      <c r="P385" s="506" t="str">
        <f ca="1">语言!A$438&amp;" (20)"</f>
        <v>双子瀑布 (20)</v>
      </c>
      <c r="Q385" s="371"/>
      <c r="R385" s="86"/>
    </row>
    <row r="386" spans="1:18" x14ac:dyDescent="0.2">
      <c r="A386" s="82"/>
      <c r="B386" s="53" t="b">
        <f>清单!B$204</f>
        <v>0</v>
      </c>
      <c r="C386" s="93" t="str">
        <f ca="1">语言!A$1531</f>
        <v>王座的守护者</v>
      </c>
      <c r="D386" s="85">
        <v>4</v>
      </c>
      <c r="E386" s="84"/>
      <c r="F386" s="84"/>
      <c r="G386" s="84"/>
      <c r="H386" s="84"/>
      <c r="I386" s="84"/>
      <c r="J386" s="499" t="str">
        <f ca="1">道具!C$8</f>
        <v>ＳＰ全体恢复的李子</v>
      </c>
      <c r="K386" s="371"/>
      <c r="L386" s="499" t="str">
        <f ca="1">语言!$A$1630</f>
        <v>无法捕获</v>
      </c>
      <c r="M386" s="371"/>
      <c r="N386" s="371"/>
      <c r="O386" s="371"/>
      <c r="P386" s="506" t="str">
        <f ca="1">语言!A$357&amp;" (25)"</f>
        <v>虚无的王座 (25)</v>
      </c>
      <c r="Q386" s="371"/>
      <c r="R386" s="86"/>
    </row>
    <row r="387" spans="1:18" x14ac:dyDescent="0.2">
      <c r="A387" s="82"/>
      <c r="B387" s="53" t="b">
        <f>清单!B$419</f>
        <v>0</v>
      </c>
      <c r="C387" s="93" t="str">
        <f ca="1">语言!A$1532</f>
        <v>翼蜥蜴重型种</v>
      </c>
      <c r="D387" s="85">
        <v>10</v>
      </c>
      <c r="E387" s="84"/>
      <c r="F387" s="84"/>
      <c r="G387" s="84"/>
      <c r="H387" s="84"/>
      <c r="I387" s="85"/>
      <c r="J387" s="499" t="str">
        <f ca="1">道具!C$13</f>
        <v>ＨＰ／ＳＰ／ＢＰ恢复的果酱</v>
      </c>
      <c r="K387" s="371"/>
      <c r="L387" s="85" t="s">
        <v>55</v>
      </c>
      <c r="M387" s="84"/>
      <c r="N387" s="499" t="str">
        <f ca="1">Summon!$C$36</f>
        <v>双重失明攻击（全体）</v>
      </c>
      <c r="O387" s="371"/>
      <c r="P387" s="506" t="str">
        <f ca="1">语言!A$386&amp;" (50)"</f>
        <v>腐王入江口 (50)</v>
      </c>
      <c r="Q387" s="371"/>
      <c r="R387" s="86"/>
    </row>
    <row r="388" spans="1:18" x14ac:dyDescent="0.2">
      <c r="A388" s="79"/>
      <c r="B388" s="79"/>
      <c r="C388" s="90"/>
      <c r="D388" s="91"/>
      <c r="E388" s="91"/>
      <c r="F388" s="91"/>
      <c r="G388" s="91"/>
      <c r="H388" s="91"/>
      <c r="I388" s="91"/>
      <c r="J388" s="500"/>
      <c r="K388" s="371"/>
      <c r="L388" s="91"/>
      <c r="M388" s="91"/>
      <c r="N388" s="500"/>
      <c r="O388" s="371"/>
      <c r="P388" s="92"/>
      <c r="Q388" s="86"/>
      <c r="R388" s="86"/>
    </row>
    <row r="389" spans="1:18" x14ac:dyDescent="0.2">
      <c r="A389" s="522" t="str">
        <f ca="1">语言!$A$1533</f>
        <v>boss &amp; 特殊怪</v>
      </c>
      <c r="B389" s="371"/>
      <c r="C389" s="371"/>
      <c r="D389" s="521" t="s">
        <v>62</v>
      </c>
      <c r="E389" s="371"/>
      <c r="F389" s="371"/>
      <c r="G389" s="371"/>
      <c r="H389" s="371"/>
      <c r="I389" s="371"/>
      <c r="J389" s="371"/>
      <c r="K389" s="371"/>
      <c r="L389" s="371"/>
      <c r="M389" s="371"/>
      <c r="N389" s="371"/>
      <c r="O389" s="371"/>
      <c r="P389" s="371"/>
      <c r="Q389" s="371"/>
      <c r="R389" s="86"/>
    </row>
    <row r="390" spans="1:18" x14ac:dyDescent="0.2">
      <c r="A390" s="82"/>
      <c r="B390" s="94" t="b">
        <f>清单!B41</f>
        <v>0</v>
      </c>
      <c r="C390" s="95" t="str">
        <f ca="1">语言!A1534</f>
        <v>圣火的守护者</v>
      </c>
      <c r="D390" s="96" t="s">
        <v>63</v>
      </c>
      <c r="E390" s="97"/>
      <c r="F390" s="97"/>
      <c r="G390" s="97"/>
      <c r="H390" s="97"/>
      <c r="I390" s="97"/>
      <c r="J390" s="501" t="str">
        <f ca="1">道具!C$8</f>
        <v>ＳＰ全体恢复的李子</v>
      </c>
      <c r="K390" s="371"/>
      <c r="L390" s="501" t="str">
        <f ca="1">语言!$A$1630</f>
        <v>无法捕获</v>
      </c>
      <c r="M390" s="371"/>
      <c r="N390" s="371"/>
      <c r="O390" s="371"/>
      <c r="P390" s="98" t="str">
        <f ca="1">语言!A$332&amp;" (1-4-7-11)"</f>
        <v>原初洞窟 (1-4-7-11)</v>
      </c>
      <c r="Q390" s="99" t="s">
        <v>64</v>
      </c>
      <c r="R390" s="86"/>
    </row>
    <row r="391" spans="1:18" x14ac:dyDescent="0.2">
      <c r="A391" s="82"/>
      <c r="B391" s="94" t="b">
        <f>清单!B42</f>
        <v>0</v>
      </c>
      <c r="C391" s="95" t="str">
        <f ca="1">语言!A1535</f>
        <v>黑鬼火</v>
      </c>
      <c r="D391" s="96" t="s">
        <v>65</v>
      </c>
      <c r="E391" s="97"/>
      <c r="F391" s="97"/>
      <c r="G391" s="97"/>
      <c r="H391" s="97"/>
      <c r="I391" s="96"/>
      <c r="J391" s="501" t="str">
        <f ca="1">道具!C$46</f>
        <v>暗之精灵石</v>
      </c>
      <c r="K391" s="371"/>
      <c r="L391" s="501" t="str">
        <f ca="1">语言!$A$1630</f>
        <v>无法捕获</v>
      </c>
      <c r="M391" s="371"/>
      <c r="N391" s="371"/>
      <c r="O391" s="371"/>
      <c r="P391" s="98" t="str">
        <f ca="1">语言!A$332&amp;" (1-4-7-11)"</f>
        <v>原初洞窟 (1-4-7-11)</v>
      </c>
      <c r="Q391" s="99" t="s">
        <v>64</v>
      </c>
      <c r="R391" s="86"/>
    </row>
    <row r="392" spans="1:18" x14ac:dyDescent="0.2">
      <c r="A392" s="82"/>
      <c r="B392" s="94" t="b">
        <f>清单!B178</f>
        <v>0</v>
      </c>
      <c r="C392" s="95" t="str">
        <f ca="1">语言!A1536</f>
        <v>拉赛尔</v>
      </c>
      <c r="D392" s="96" t="s">
        <v>65</v>
      </c>
      <c r="E392" s="97"/>
      <c r="F392" s="97"/>
      <c r="G392" s="97"/>
      <c r="H392" s="97"/>
      <c r="I392" s="97"/>
      <c r="J392" s="501" t="str">
        <f ca="1">道具!C$12</f>
        <v>ＨＰ／ＳＰ恢复的果酱</v>
      </c>
      <c r="K392" s="371"/>
      <c r="L392" s="501" t="str">
        <f ca="1">语言!$A$1630</f>
        <v>无法捕获</v>
      </c>
      <c r="M392" s="371"/>
      <c r="N392" s="371"/>
      <c r="O392" s="371"/>
      <c r="P392" s="98" t="str">
        <f ca="1">语言!A$353&amp;" (1-4-7-11)"</f>
        <v>地下研究室 (1-4-7-11)</v>
      </c>
      <c r="Q392" s="99" t="s">
        <v>66</v>
      </c>
      <c r="R392" s="100"/>
    </row>
    <row r="393" spans="1:18" x14ac:dyDescent="0.2">
      <c r="A393" s="82"/>
      <c r="B393" s="94" t="b">
        <f>清单!B179</f>
        <v>0</v>
      </c>
      <c r="C393" s="95" t="str">
        <f ca="1">语言!A1537</f>
        <v>蓝鬼火</v>
      </c>
      <c r="D393" s="96" t="s">
        <v>67</v>
      </c>
      <c r="E393" s="97"/>
      <c r="F393" s="97"/>
      <c r="G393" s="97"/>
      <c r="H393" s="97"/>
      <c r="I393" s="96"/>
      <c r="J393" s="501" t="str">
        <f ca="1">道具!C$33</f>
        <v>冰之精灵石</v>
      </c>
      <c r="K393" s="371"/>
      <c r="L393" s="501" t="str">
        <f ca="1">语言!$A$1630</f>
        <v>无法捕获</v>
      </c>
      <c r="M393" s="371"/>
      <c r="N393" s="371"/>
      <c r="O393" s="371"/>
      <c r="P393" s="98" t="str">
        <f ca="1">语言!A$353&amp;" (1-4-7-11)"</f>
        <v>地下研究室 (1-4-7-11)</v>
      </c>
      <c r="Q393" s="99" t="s">
        <v>66</v>
      </c>
      <c r="R393" s="100"/>
    </row>
    <row r="394" spans="1:18" x14ac:dyDescent="0.2">
      <c r="A394" s="82"/>
      <c r="B394" s="94" t="b">
        <f>清单!B328</f>
        <v>0</v>
      </c>
      <c r="C394" s="95" t="str">
        <f ca="1">语言!A1538</f>
        <v>米克</v>
      </c>
      <c r="D394" s="96" t="s">
        <v>68</v>
      </c>
      <c r="E394" s="97"/>
      <c r="F394" s="97"/>
      <c r="G394" s="97"/>
      <c r="H394" s="97"/>
      <c r="I394" s="96"/>
      <c r="J394" s="501" t="str">
        <f ca="1">道具!C$34</f>
        <v>冰之精灵石（大）</v>
      </c>
      <c r="K394" s="371"/>
      <c r="L394" s="501" t="str">
        <f ca="1">语言!$A$1630</f>
        <v>无法捕获</v>
      </c>
      <c r="M394" s="371"/>
      <c r="N394" s="371"/>
      <c r="O394" s="371"/>
      <c r="P394" s="98" t="str">
        <f ca="1">语言!A$371&amp;" (1-4-7-11)"</f>
        <v>麦亚洞窟 (1-4-7-11)</v>
      </c>
      <c r="Q394" s="99" t="s">
        <v>69</v>
      </c>
      <c r="R394" s="100"/>
    </row>
    <row r="395" spans="1:18" x14ac:dyDescent="0.2">
      <c r="A395" s="82"/>
      <c r="B395" s="94" t="b">
        <f>清单!B329</f>
        <v>0</v>
      </c>
      <c r="C395" s="95" t="str">
        <f ca="1">语言!A1539</f>
        <v>马克</v>
      </c>
      <c r="D395" s="96" t="s">
        <v>65</v>
      </c>
      <c r="E395" s="97"/>
      <c r="F395" s="97"/>
      <c r="G395" s="97"/>
      <c r="H395" s="97"/>
      <c r="I395" s="96"/>
      <c r="J395" s="501" t="str">
        <f ca="1">道具!C$7</f>
        <v>ＳＰ恢复的李子（大）</v>
      </c>
      <c r="K395" s="371"/>
      <c r="L395" s="501" t="str">
        <f ca="1">语言!$A$1630</f>
        <v>无法捕获</v>
      </c>
      <c r="M395" s="371"/>
      <c r="N395" s="371"/>
      <c r="O395" s="371"/>
      <c r="P395" s="98" t="str">
        <f ca="1">语言!A$371&amp;" (1-4-7-11)"</f>
        <v>麦亚洞窟 (1-4-7-11)</v>
      </c>
      <c r="Q395" s="99" t="s">
        <v>69</v>
      </c>
      <c r="R395" s="100"/>
    </row>
    <row r="396" spans="1:18" x14ac:dyDescent="0.2">
      <c r="A396" s="82"/>
      <c r="B396" s="94" t="b">
        <f>OR(清单!B475, 清单!B479)</f>
        <v>0</v>
      </c>
      <c r="C396" s="95" t="str">
        <f ca="1">语言!A1540</f>
        <v>山贼 I</v>
      </c>
      <c r="D396" s="96">
        <v>1</v>
      </c>
      <c r="E396" s="97"/>
      <c r="F396" s="97"/>
      <c r="G396" s="96"/>
      <c r="H396" s="96"/>
      <c r="I396" s="96"/>
      <c r="J396" s="501" t="str">
        <f ca="1">道具!C$3</f>
        <v>ＨＰ恢复的葡萄</v>
      </c>
      <c r="K396" s="371"/>
      <c r="L396" s="501" t="str">
        <f ca="1">语言!$A$1630</f>
        <v>无法捕获</v>
      </c>
      <c r="M396" s="371"/>
      <c r="N396" s="371"/>
      <c r="O396" s="371"/>
      <c r="P396" s="98" t="str">
        <f ca="1">语言!A$389&amp;", "&amp;语言!A$393&amp;" (1-4-7-11)"</f>
        <v>鹅卵石村, 通往山贼大本营的道路 (1-4-7-11)</v>
      </c>
      <c r="Q396" s="99" t="s">
        <v>70</v>
      </c>
      <c r="R396" s="100"/>
    </row>
    <row r="397" spans="1:18" x14ac:dyDescent="0.2">
      <c r="A397" s="82"/>
      <c r="B397" s="94" t="b">
        <f>OR(清单!B476, 清单!B480)</f>
        <v>0</v>
      </c>
      <c r="C397" s="95" t="str">
        <f ca="1">语言!A1541</f>
        <v>山贼 II</v>
      </c>
      <c r="D397" s="96">
        <v>2</v>
      </c>
      <c r="E397" s="97"/>
      <c r="F397" s="97"/>
      <c r="G397" s="96"/>
      <c r="H397" s="96"/>
      <c r="I397" s="96"/>
      <c r="J397" s="501" t="str">
        <f ca="1">道具!C$3</f>
        <v>ＨＰ恢复的葡萄</v>
      </c>
      <c r="K397" s="371"/>
      <c r="L397" s="501" t="str">
        <f ca="1">语言!$A$1630</f>
        <v>无法捕获</v>
      </c>
      <c r="M397" s="371"/>
      <c r="N397" s="371"/>
      <c r="O397" s="371"/>
      <c r="P397" s="98" t="str">
        <f ca="1">语言!A$389&amp;", "&amp;语言!A$393&amp;" (1-4-7-11)"</f>
        <v>鹅卵石村, 通往山贼大本营的道路 (1-4-7-11)</v>
      </c>
      <c r="Q397" s="99" t="s">
        <v>70</v>
      </c>
      <c r="R397" s="100"/>
    </row>
    <row r="398" spans="1:18" x14ac:dyDescent="0.2">
      <c r="A398" s="82"/>
      <c r="B398" s="94" t="b">
        <f>清单!B493</f>
        <v>0</v>
      </c>
      <c r="C398" s="95" t="str">
        <f ca="1">语言!A1542</f>
        <v>卡斯顿</v>
      </c>
      <c r="D398" s="96" t="s">
        <v>65</v>
      </c>
      <c r="E398" s="97"/>
      <c r="F398" s="97"/>
      <c r="G398" s="97"/>
      <c r="H398" s="97"/>
      <c r="I398" s="97"/>
      <c r="J398" s="501" t="str">
        <f ca="1">道具!C$5</f>
        <v>ＨＰ全体恢复的葡萄</v>
      </c>
      <c r="K398" s="371"/>
      <c r="L398" s="501" t="str">
        <f ca="1">语言!$A$1630</f>
        <v>无法捕获</v>
      </c>
      <c r="M398" s="371"/>
      <c r="N398" s="371"/>
      <c r="O398" s="371"/>
      <c r="P398" s="98" t="str">
        <f ca="1">语言!A$394&amp;" (1-4-7-11)"</f>
        <v>山贼大本营 (1-4-7-11)</v>
      </c>
      <c r="Q398" s="99" t="s">
        <v>70</v>
      </c>
      <c r="R398" s="100"/>
    </row>
    <row r="399" spans="1:18" x14ac:dyDescent="0.2">
      <c r="A399" s="82"/>
      <c r="B399" s="94" t="b">
        <f>清单!B494</f>
        <v>0</v>
      </c>
      <c r="C399" s="95" t="str">
        <f ca="1">语言!A1543</f>
        <v>山贼</v>
      </c>
      <c r="D399" s="96" t="s">
        <v>67</v>
      </c>
      <c r="E399" s="97"/>
      <c r="F399" s="97"/>
      <c r="G399" s="97"/>
      <c r="H399" s="97"/>
      <c r="I399" s="97"/>
      <c r="J399" s="502" t="str">
        <f ca="1">道具!C$268</f>
        <v>手斧</v>
      </c>
      <c r="K399" s="371"/>
      <c r="L399" s="501" t="str">
        <f ca="1">语言!$A$1630</f>
        <v>无法捕获</v>
      </c>
      <c r="M399" s="371"/>
      <c r="N399" s="371"/>
      <c r="O399" s="371"/>
      <c r="P399" s="98" t="str">
        <f ca="1">语言!A$394&amp;" (1-4-7-11)"</f>
        <v>山贼大本营 (1-4-7-11)</v>
      </c>
      <c r="Q399" s="99" t="s">
        <v>70</v>
      </c>
      <c r="R399" s="100"/>
    </row>
    <row r="400" spans="1:18" x14ac:dyDescent="0.2">
      <c r="A400" s="82"/>
      <c r="B400" s="94" t="b">
        <f>清单!B662</f>
        <v>0</v>
      </c>
      <c r="C400" s="95" t="str">
        <f ca="1">语言!A1544</f>
        <v>赫尔根尼修</v>
      </c>
      <c r="D400" s="96" t="s">
        <v>65</v>
      </c>
      <c r="E400" s="97"/>
      <c r="F400" s="97"/>
      <c r="G400" s="97"/>
      <c r="H400" s="97"/>
      <c r="I400" s="97"/>
      <c r="J400" s="502" t="str">
        <f ca="1">道具!C$117</f>
        <v>鼓胀的钱包</v>
      </c>
      <c r="K400" s="371"/>
      <c r="L400" s="501" t="str">
        <f ca="1">语言!$A$1630</f>
        <v>无法捕获</v>
      </c>
      <c r="M400" s="371"/>
      <c r="N400" s="371"/>
      <c r="O400" s="371"/>
      <c r="P400" s="98" t="str">
        <f ca="1">语言!A$419&amp;" (1-4-7-11)"</f>
        <v>桑谢德地下道 (1-4-7-11)</v>
      </c>
      <c r="Q400" s="99" t="s">
        <v>71</v>
      </c>
      <c r="R400" s="100"/>
    </row>
    <row r="401" spans="1:18" x14ac:dyDescent="0.2">
      <c r="A401" s="82"/>
      <c r="B401" s="94" t="b">
        <f>清单!B663</f>
        <v>0</v>
      </c>
      <c r="C401" s="95" t="str">
        <f ca="1">语言!A1545</f>
        <v>赫尔根尼修的手下</v>
      </c>
      <c r="D401" s="96" t="s">
        <v>72</v>
      </c>
      <c r="E401" s="97"/>
      <c r="F401" s="97"/>
      <c r="G401" s="97"/>
      <c r="H401" s="97"/>
      <c r="I401" s="96"/>
      <c r="J401" s="502" t="str">
        <f ca="1">道具!C$169</f>
        <v>长剑</v>
      </c>
      <c r="K401" s="371"/>
      <c r="L401" s="501" t="str">
        <f ca="1">语言!$A$1630</f>
        <v>无法捕获</v>
      </c>
      <c r="M401" s="371"/>
      <c r="N401" s="371"/>
      <c r="O401" s="371"/>
      <c r="P401" s="98" t="str">
        <f ca="1">语言!A$419&amp;" (1-4-7-11)"</f>
        <v>桑谢德地下道 (1-4-7-11)</v>
      </c>
      <c r="Q401" s="99" t="s">
        <v>71</v>
      </c>
      <c r="R401" s="100"/>
    </row>
    <row r="402" spans="1:18" x14ac:dyDescent="0.2">
      <c r="A402" s="82"/>
      <c r="B402" s="94" t="b">
        <f>清单!B824</f>
        <v>0</v>
      </c>
      <c r="C402" s="95" t="str">
        <f ca="1">语言!A1546</f>
        <v>赤链蛇</v>
      </c>
      <c r="D402" s="96" t="s">
        <v>65</v>
      </c>
      <c r="E402" s="97"/>
      <c r="F402" s="97"/>
      <c r="G402" s="97"/>
      <c r="H402" s="97"/>
      <c r="I402" s="97"/>
      <c r="J402" s="501" t="str">
        <f ca="1">道具!C$25</f>
        <v>毒瓶</v>
      </c>
      <c r="K402" s="371"/>
      <c r="L402" s="501" t="str">
        <f ca="1">语言!$A$1630</f>
        <v>无法捕获</v>
      </c>
      <c r="M402" s="371"/>
      <c r="N402" s="371"/>
      <c r="O402" s="371"/>
      <c r="P402" s="98" t="str">
        <f ca="1">语言!A$440&amp;" (1-4-7-11)"</f>
        <v>里欧洞窟 (1-4-7-11)</v>
      </c>
      <c r="Q402" s="99" t="s">
        <v>73</v>
      </c>
      <c r="R402" s="100"/>
    </row>
    <row r="403" spans="1:18" x14ac:dyDescent="0.2">
      <c r="A403" s="82"/>
      <c r="B403" s="94" t="b">
        <f>清单!B825</f>
        <v>0</v>
      </c>
      <c r="C403" s="95" t="str">
        <f ca="1">语言!A1547</f>
        <v>曼陀罗蛇</v>
      </c>
      <c r="D403" s="96" t="s">
        <v>67</v>
      </c>
      <c r="E403" s="97"/>
      <c r="F403" s="97"/>
      <c r="G403" s="97"/>
      <c r="H403" s="97"/>
      <c r="I403" s="97"/>
      <c r="J403" s="501" t="str">
        <f ca="1">道具!C$18</f>
        <v>毒治疗药草</v>
      </c>
      <c r="K403" s="371"/>
      <c r="L403" s="501" t="str">
        <f ca="1">语言!$A$1630</f>
        <v>无法捕获</v>
      </c>
      <c r="M403" s="371"/>
      <c r="N403" s="371"/>
      <c r="O403" s="371"/>
      <c r="P403" s="98" t="str">
        <f ca="1">语言!A$440&amp;" (4-7-11)"</f>
        <v>里欧洞窟 (4-7-11)</v>
      </c>
      <c r="Q403" s="99" t="s">
        <v>74</v>
      </c>
      <c r="R403" s="100"/>
    </row>
    <row r="404" spans="1:18" x14ac:dyDescent="0.2">
      <c r="A404" s="82"/>
      <c r="B404" s="94" t="b">
        <f>清单!B972</f>
        <v>0</v>
      </c>
      <c r="C404" s="95" t="str">
        <f ca="1">语言!A1548</f>
        <v>希斯柯特</v>
      </c>
      <c r="D404" s="96" t="s">
        <v>65</v>
      </c>
      <c r="E404" s="97"/>
      <c r="F404" s="97"/>
      <c r="G404" s="97"/>
      <c r="H404" s="97"/>
      <c r="I404" s="97"/>
      <c r="J404" s="501" t="str">
        <f ca="1">道具!C$10</f>
        <v>ＢＰ恢复的石榴（大）</v>
      </c>
      <c r="K404" s="371"/>
      <c r="L404" s="501" t="str">
        <f ca="1">语言!$A$1630</f>
        <v>无法捕获</v>
      </c>
      <c r="M404" s="371"/>
      <c r="N404" s="371"/>
      <c r="O404" s="371"/>
      <c r="P404" s="98" t="str">
        <f ca="1">语言!A$463&amp;" (1-4-7-11)"</f>
        <v>瑞布斯的宅邸 (1-4-7-11)</v>
      </c>
      <c r="Q404" s="99" t="s">
        <v>75</v>
      </c>
      <c r="R404" s="100"/>
    </row>
    <row r="405" spans="1:18" x14ac:dyDescent="0.2">
      <c r="A405" s="82"/>
      <c r="B405" s="94" t="b">
        <f>清单!B973</f>
        <v>0</v>
      </c>
      <c r="C405" s="95" t="str">
        <f ca="1">语言!A1549</f>
        <v>瑞布斯的士兵</v>
      </c>
      <c r="D405" s="96" t="s">
        <v>68</v>
      </c>
      <c r="E405" s="97"/>
      <c r="F405" s="97"/>
      <c r="G405" s="97"/>
      <c r="H405" s="97"/>
      <c r="I405" s="96"/>
      <c r="J405" s="501" t="str">
        <f ca="1">道具!C$14</f>
        <v>复活的橄榄</v>
      </c>
      <c r="K405" s="371"/>
      <c r="L405" s="501" t="str">
        <f ca="1">语言!$A$1630</f>
        <v>无法捕获</v>
      </c>
      <c r="M405" s="371"/>
      <c r="N405" s="371"/>
      <c r="O405" s="371"/>
      <c r="P405" s="98" t="str">
        <f ca="1">语言!A$463&amp;" (1-4-7-11)"</f>
        <v>瑞布斯的宅邸 (1-4-7-11)</v>
      </c>
      <c r="Q405" s="99" t="s">
        <v>75</v>
      </c>
      <c r="R405" s="100"/>
    </row>
    <row r="406" spans="1:18" x14ac:dyDescent="0.2">
      <c r="A406" s="82"/>
      <c r="B406" s="94" t="b">
        <f>清单!B1115</f>
        <v>0</v>
      </c>
      <c r="C406" s="95" t="str">
        <f ca="1">语言!A1550</f>
        <v>基萨鲁玛</v>
      </c>
      <c r="D406" s="96" t="s">
        <v>76</v>
      </c>
      <c r="E406" s="97"/>
      <c r="F406" s="97"/>
      <c r="G406" s="97"/>
      <c r="H406" s="97"/>
      <c r="I406" s="97"/>
      <c r="J406" s="501" t="str">
        <f ca="1">道具!C$5</f>
        <v>ＨＰ全体恢复的葡萄</v>
      </c>
      <c r="K406" s="371"/>
      <c r="L406" s="501" t="str">
        <f ca="1">语言!$A$1630</f>
        <v>无法捕获</v>
      </c>
      <c r="M406" s="371"/>
      <c r="N406" s="371"/>
      <c r="O406" s="371"/>
      <c r="P406" s="98" t="str">
        <f ca="1">语言!A$482&amp;" (1-4-7-11)"</f>
        <v>耳语之森 (1-4-7-11)</v>
      </c>
      <c r="Q406" s="99" t="s">
        <v>77</v>
      </c>
      <c r="R406" s="100"/>
    </row>
    <row r="407" spans="1:18" x14ac:dyDescent="0.2">
      <c r="A407" s="82"/>
      <c r="B407" s="94" t="b">
        <f>清单!B867</f>
        <v>0</v>
      </c>
      <c r="C407" s="95" t="str">
        <f ca="1">语言!A1551</f>
        <v>赫罗威涅</v>
      </c>
      <c r="D407" s="96">
        <v>5</v>
      </c>
      <c r="E407" s="97"/>
      <c r="F407" s="97"/>
      <c r="G407" s="97"/>
      <c r="H407" s="97"/>
      <c r="I407" s="97"/>
      <c r="J407" s="501" t="str">
        <f ca="1">道具!C$5</f>
        <v>ＨＰ全体恢复的葡萄</v>
      </c>
      <c r="K407" s="371"/>
      <c r="L407" s="501" t="str">
        <f ca="1">语言!$A$1630</f>
        <v>无法捕获</v>
      </c>
      <c r="M407" s="371"/>
      <c r="N407" s="371"/>
      <c r="O407" s="371"/>
      <c r="P407" s="98" t="str">
        <f ca="1">语言!A$447&amp;" (23)"</f>
        <v>黑暗之森 (23)</v>
      </c>
      <c r="Q407" s="99" t="s">
        <v>78</v>
      </c>
      <c r="R407" s="100"/>
    </row>
    <row r="408" spans="1:18" x14ac:dyDescent="0.2">
      <c r="A408" s="82"/>
      <c r="B408" s="94" t="b">
        <f>清单!B1029</f>
        <v>0</v>
      </c>
      <c r="C408" s="95" t="str">
        <f ca="1">语言!A1552</f>
        <v>基甸</v>
      </c>
      <c r="D408" s="96">
        <v>7</v>
      </c>
      <c r="E408" s="97"/>
      <c r="F408" s="97"/>
      <c r="G408" s="97"/>
      <c r="H408" s="97"/>
      <c r="I408" s="96"/>
      <c r="J408" s="503" t="str">
        <f ca="1">道具!C$219&amp;" (can't steal)"</f>
        <v>基甸的短剑 (can't steal)</v>
      </c>
      <c r="K408" s="371"/>
      <c r="L408" s="501" t="str">
        <f ca="1">语言!$A$1630</f>
        <v>无法捕获</v>
      </c>
      <c r="M408" s="371"/>
      <c r="N408" s="371"/>
      <c r="O408" s="371"/>
      <c r="P408" s="98" t="str">
        <f ca="1">语言!A$470&amp;" (24)"</f>
        <v>下水道 (24)</v>
      </c>
      <c r="Q408" s="99" t="s">
        <v>79</v>
      </c>
      <c r="R408" s="100"/>
    </row>
    <row r="409" spans="1:18" x14ac:dyDescent="0.2">
      <c r="A409" s="82"/>
      <c r="B409" s="94" t="b">
        <f>清单!B1030</f>
        <v>0</v>
      </c>
      <c r="C409" s="95" t="str">
        <f ca="1">语言!A1553</f>
        <v>傀儡骷髅特殊</v>
      </c>
      <c r="D409" s="96">
        <v>4</v>
      </c>
      <c r="E409" s="97"/>
      <c r="F409" s="97"/>
      <c r="G409" s="97"/>
      <c r="H409" s="97"/>
      <c r="I409" s="96"/>
      <c r="J409" s="503" t="str">
        <f ca="1">道具!C$9</f>
        <v>ＢＰ恢复的石榴</v>
      </c>
      <c r="K409" s="371"/>
      <c r="L409" s="501" t="str">
        <f ca="1">语言!$A$1630</f>
        <v>无法捕获</v>
      </c>
      <c r="M409" s="371"/>
      <c r="N409" s="371"/>
      <c r="O409" s="371"/>
      <c r="P409" s="98" t="str">
        <f ca="1">语言!A$470&amp;" (24)"</f>
        <v>下水道 (24)</v>
      </c>
      <c r="Q409" s="99" t="s">
        <v>79</v>
      </c>
      <c r="R409" s="100"/>
    </row>
    <row r="410" spans="1:18" x14ac:dyDescent="0.2">
      <c r="A410" s="82"/>
      <c r="B410" s="94" t="b">
        <f>清单!B1016</f>
        <v>0</v>
      </c>
      <c r="C410" s="95" t="str">
        <f ca="1">语言!A1554</f>
        <v>奥玛尔</v>
      </c>
      <c r="D410" s="96">
        <v>5</v>
      </c>
      <c r="E410" s="97"/>
      <c r="F410" s="97"/>
      <c r="G410" s="97"/>
      <c r="H410" s="97"/>
      <c r="I410" s="97"/>
      <c r="J410" s="501" t="str">
        <f ca="1">道具!C$258&amp;" (can't steal)"</f>
        <v>奥玛尔之斧 (can't steal)</v>
      </c>
      <c r="K410" s="371"/>
      <c r="L410" s="501" t="str">
        <f ca="1">语言!$A$1630</f>
        <v>无法捕获</v>
      </c>
      <c r="M410" s="371"/>
      <c r="N410" s="371"/>
      <c r="O410" s="371"/>
      <c r="P410" s="98" t="str">
        <f ca="1">语言!A$469&amp;" (18)"</f>
        <v>莫洛克的宅邸 (18)</v>
      </c>
      <c r="Q410" s="99" t="s">
        <v>80</v>
      </c>
      <c r="R410" s="86"/>
    </row>
    <row r="411" spans="1:18" x14ac:dyDescent="0.2">
      <c r="A411" s="82"/>
      <c r="B411" s="94" t="b">
        <f>清单!B1017</f>
        <v>0</v>
      </c>
      <c r="C411" s="95" t="str">
        <f ca="1">语言!A1555</f>
        <v>奥玛尔的部下</v>
      </c>
      <c r="D411" s="96">
        <v>4</v>
      </c>
      <c r="E411" s="97"/>
      <c r="F411" s="97"/>
      <c r="G411" s="97"/>
      <c r="H411" s="97"/>
      <c r="I411" s="96"/>
      <c r="J411" s="503" t="str">
        <f ca="1">道具!C$4</f>
        <v>ＨＰ恢复的葡萄（大）</v>
      </c>
      <c r="K411" s="371"/>
      <c r="L411" s="501" t="str">
        <f ca="1">语言!$A$1630</f>
        <v>无法捕获</v>
      </c>
      <c r="M411" s="371"/>
      <c r="N411" s="371"/>
      <c r="O411" s="371"/>
      <c r="P411" s="98" t="str">
        <f ca="1">语言!A$469&amp;" (18)"</f>
        <v>莫洛克的宅邸 (18)</v>
      </c>
      <c r="Q411" s="99" t="s">
        <v>80</v>
      </c>
      <c r="R411" s="86"/>
    </row>
    <row r="412" spans="1:18" x14ac:dyDescent="0.2">
      <c r="A412" s="82"/>
      <c r="B412" s="94" t="b">
        <f>清单!B1154</f>
        <v>0</v>
      </c>
      <c r="C412" s="95" t="str">
        <f ca="1">语言!A1556</f>
        <v>维克托里诺</v>
      </c>
      <c r="D412" s="96">
        <v>5</v>
      </c>
      <c r="E412" s="97"/>
      <c r="F412" s="97"/>
      <c r="G412" s="97"/>
      <c r="H412" s="97"/>
      <c r="I412" s="96"/>
      <c r="J412" s="503" t="str">
        <f ca="1">道具!C$9</f>
        <v>ＢＰ恢复的石榴</v>
      </c>
      <c r="K412" s="371"/>
      <c r="L412" s="501" t="str">
        <f ca="1">语言!$A$1630</f>
        <v>无法捕获</v>
      </c>
      <c r="M412" s="371"/>
      <c r="N412" s="371"/>
      <c r="O412" s="371"/>
      <c r="P412" s="98" t="str">
        <f ca="1">语言!A$483</f>
        <v>维克塔霍洛</v>
      </c>
      <c r="Q412" s="99" t="s">
        <v>81</v>
      </c>
      <c r="R412" s="86"/>
    </row>
    <row r="413" spans="1:18" x14ac:dyDescent="0.2">
      <c r="A413" s="82"/>
      <c r="B413" s="94" t="b">
        <f>清单!B1155</f>
        <v>0</v>
      </c>
      <c r="C413" s="95" t="str">
        <f ca="1">语言!A1557</f>
        <v>维克托里诺的手下</v>
      </c>
      <c r="D413" s="96">
        <v>2</v>
      </c>
      <c r="E413" s="97"/>
      <c r="F413" s="97"/>
      <c r="G413" s="97"/>
      <c r="H413" s="97"/>
      <c r="I413" s="96"/>
      <c r="J413" s="501" t="str">
        <f ca="1">道具!C$3</f>
        <v>ＨＰ恢复的葡萄</v>
      </c>
      <c r="K413" s="371"/>
      <c r="L413" s="501" t="str">
        <f ca="1">语言!$A$1630</f>
        <v>无法捕获</v>
      </c>
      <c r="M413" s="371"/>
      <c r="N413" s="371"/>
      <c r="O413" s="371"/>
      <c r="P413" s="98" t="str">
        <f ca="1">语言!A$483</f>
        <v>维克塔霍洛</v>
      </c>
      <c r="Q413" s="99" t="s">
        <v>81</v>
      </c>
      <c r="R413" s="86"/>
    </row>
    <row r="414" spans="1:18" x14ac:dyDescent="0.2">
      <c r="A414" s="82"/>
      <c r="B414" s="94" t="b">
        <f>清单!B1157</f>
        <v>0</v>
      </c>
      <c r="C414" s="95" t="str">
        <f ca="1">语言!A1558</f>
        <v>约书亚</v>
      </c>
      <c r="D414" s="96">
        <v>6</v>
      </c>
      <c r="E414" s="97"/>
      <c r="F414" s="97"/>
      <c r="G414" s="97"/>
      <c r="H414" s="97"/>
      <c r="I414" s="96"/>
      <c r="J414" s="501" t="str">
        <f ca="1">道具!C$7</f>
        <v>ＳＰ恢复的李子（大）</v>
      </c>
      <c r="K414" s="371"/>
      <c r="L414" s="501" t="str">
        <f ca="1">语言!$A$1630</f>
        <v>无法捕获</v>
      </c>
      <c r="M414" s="371"/>
      <c r="N414" s="371"/>
      <c r="O414" s="371"/>
      <c r="P414" s="98" t="str">
        <f ca="1">语言!A$483</f>
        <v>维克塔霍洛</v>
      </c>
      <c r="Q414" s="99" t="s">
        <v>81</v>
      </c>
      <c r="R414" s="86"/>
    </row>
    <row r="415" spans="1:18" x14ac:dyDescent="0.2">
      <c r="A415" s="82"/>
      <c r="B415" s="94" t="b">
        <f>清单!B1158</f>
        <v>0</v>
      </c>
      <c r="C415" s="95" t="str">
        <f ca="1">语言!A1559</f>
        <v>剑斗士（英俊）</v>
      </c>
      <c r="D415" s="96">
        <v>4</v>
      </c>
      <c r="E415" s="97"/>
      <c r="F415" s="97"/>
      <c r="G415" s="97"/>
      <c r="H415" s="97"/>
      <c r="I415" s="96"/>
      <c r="J415" s="501" t="str">
        <f ca="1">道具!C$34</f>
        <v>冰之精灵石（大）</v>
      </c>
      <c r="K415" s="371"/>
      <c r="L415" s="501" t="str">
        <f ca="1">语言!$A$1630</f>
        <v>无法捕获</v>
      </c>
      <c r="M415" s="371"/>
      <c r="N415" s="371"/>
      <c r="O415" s="371"/>
      <c r="P415" s="98" t="str">
        <f ca="1">语言!A$483</f>
        <v>维克塔霍洛</v>
      </c>
      <c r="Q415" s="99" t="s">
        <v>81</v>
      </c>
      <c r="R415" s="86"/>
    </row>
    <row r="416" spans="1:18" x14ac:dyDescent="0.2">
      <c r="A416" s="82"/>
      <c r="B416" s="94" t="b">
        <f>清单!B1160</f>
        <v>0</v>
      </c>
      <c r="C416" s="95" t="str">
        <f ca="1">语言!A1560</f>
        <v>阿奇博德</v>
      </c>
      <c r="D416" s="96">
        <v>7</v>
      </c>
      <c r="E416" s="97"/>
      <c r="F416" s="97"/>
      <c r="G416" s="97"/>
      <c r="H416" s="97"/>
      <c r="I416" s="96"/>
      <c r="J416" s="501" t="str">
        <f ca="1">道具!C$16</f>
        <v>复活的橄榄（大）</v>
      </c>
      <c r="K416" s="371"/>
      <c r="L416" s="501" t="str">
        <f ca="1">语言!$A$1630</f>
        <v>无法捕获</v>
      </c>
      <c r="M416" s="371"/>
      <c r="N416" s="371"/>
      <c r="O416" s="371"/>
      <c r="P416" s="98" t="str">
        <f ca="1">语言!A$483</f>
        <v>维克塔霍洛</v>
      </c>
      <c r="Q416" s="99" t="s">
        <v>81</v>
      </c>
      <c r="R416" s="86"/>
    </row>
    <row r="417" spans="1:18" x14ac:dyDescent="0.2">
      <c r="A417" s="82"/>
      <c r="B417" s="94" t="b">
        <f>清单!B1161</f>
        <v>0</v>
      </c>
      <c r="C417" s="95" t="str">
        <f ca="1">语言!A1561</f>
        <v>剑斗士（面具）</v>
      </c>
      <c r="D417" s="96">
        <v>5</v>
      </c>
      <c r="E417" s="97"/>
      <c r="F417" s="97"/>
      <c r="G417" s="97"/>
      <c r="H417" s="97"/>
      <c r="I417" s="96"/>
      <c r="J417" s="501" t="str">
        <f ca="1">道具!C$14</f>
        <v>复活的橄榄</v>
      </c>
      <c r="K417" s="371"/>
      <c r="L417" s="501" t="str">
        <f ca="1">语言!$A$1630</f>
        <v>无法捕获</v>
      </c>
      <c r="M417" s="371"/>
      <c r="N417" s="371"/>
      <c r="O417" s="371"/>
      <c r="P417" s="98" t="str">
        <f ca="1">语言!A$483</f>
        <v>维克塔霍洛</v>
      </c>
      <c r="Q417" s="99" t="s">
        <v>81</v>
      </c>
      <c r="R417" s="100"/>
    </row>
    <row r="418" spans="1:18" x14ac:dyDescent="0.2">
      <c r="A418" s="82"/>
      <c r="B418" s="94" t="b">
        <f>清单!B1163</f>
        <v>0</v>
      </c>
      <c r="C418" s="95" t="str">
        <f ca="1">语言!A1562</f>
        <v>古斯塔夫</v>
      </c>
      <c r="D418" s="96">
        <v>8</v>
      </c>
      <c r="E418" s="97"/>
      <c r="F418" s="97"/>
      <c r="G418" s="97"/>
      <c r="H418" s="97"/>
      <c r="I418" s="97"/>
      <c r="J418" s="503" t="str">
        <f ca="1">道具!C$344&amp;" (can't steal)"</f>
        <v>古斯塔夫之盾 (can't steal)</v>
      </c>
      <c r="K418" s="371"/>
      <c r="L418" s="501" t="str">
        <f ca="1">语言!$A$1630</f>
        <v>无法捕获</v>
      </c>
      <c r="M418" s="371"/>
      <c r="N418" s="371"/>
      <c r="O418" s="371"/>
      <c r="P418" s="98" t="str">
        <f ca="1">语言!A$483</f>
        <v>维克塔霍洛</v>
      </c>
      <c r="Q418" s="99" t="s">
        <v>81</v>
      </c>
      <c r="R418" s="100"/>
    </row>
    <row r="419" spans="1:18" x14ac:dyDescent="0.2">
      <c r="A419" s="82"/>
      <c r="B419" s="94" t="b">
        <f>清单!B1164</f>
        <v>0</v>
      </c>
      <c r="C419" s="95" t="str">
        <f ca="1">语言!A1563</f>
        <v>盾斗士</v>
      </c>
      <c r="D419" s="96">
        <v>5</v>
      </c>
      <c r="E419" s="97"/>
      <c r="F419" s="97"/>
      <c r="G419" s="97"/>
      <c r="H419" s="97"/>
      <c r="I419" s="96"/>
      <c r="J419" s="501" t="str">
        <f ca="1">道具!C$347</f>
        <v>尖刺盾</v>
      </c>
      <c r="K419" s="371"/>
      <c r="L419" s="501" t="str">
        <f ca="1">语言!$A$1630</f>
        <v>无法捕获</v>
      </c>
      <c r="M419" s="371"/>
      <c r="N419" s="371"/>
      <c r="O419" s="371"/>
      <c r="P419" s="98" t="str">
        <f ca="1">语言!A$483</f>
        <v>维克塔霍洛</v>
      </c>
      <c r="Q419" s="99" t="s">
        <v>81</v>
      </c>
      <c r="R419" s="100"/>
    </row>
    <row r="420" spans="1:18" x14ac:dyDescent="0.2">
      <c r="A420" s="82"/>
      <c r="B420" s="94" t="b">
        <f>清单!B89</f>
        <v>0</v>
      </c>
      <c r="C420" s="95" t="str">
        <f ca="1">语言!A1564</f>
        <v>左腕之男鲁弗斯</v>
      </c>
      <c r="D420" s="96">
        <v>7</v>
      </c>
      <c r="E420" s="97"/>
      <c r="F420" s="97"/>
      <c r="G420" s="97"/>
      <c r="H420" s="97"/>
      <c r="I420" s="96"/>
      <c r="J420" s="501" t="str">
        <f ca="1">道具!C$12</f>
        <v>ＨＰ／ＳＰ恢复的果酱</v>
      </c>
      <c r="K420" s="371"/>
      <c r="L420" s="501" t="str">
        <f ca="1">语言!$A$1630</f>
        <v>无法捕获</v>
      </c>
      <c r="M420" s="371"/>
      <c r="N420" s="371"/>
      <c r="O420" s="371"/>
      <c r="P420" s="98" t="str">
        <f ca="1">语言!A$337&amp;" (21)"</f>
        <v>通往黑曜馆的密道 (21)</v>
      </c>
      <c r="Q420" s="99" t="s">
        <v>82</v>
      </c>
      <c r="R420" s="86"/>
    </row>
    <row r="421" spans="1:18" x14ac:dyDescent="0.2">
      <c r="A421" s="82"/>
      <c r="B421" s="94" t="b">
        <f>清单!B90</f>
        <v>0</v>
      </c>
      <c r="C421" s="95" t="str">
        <f ca="1">语言!A1565</f>
        <v>黑曜会成员</v>
      </c>
      <c r="D421" s="96">
        <v>3</v>
      </c>
      <c r="E421" s="97"/>
      <c r="F421" s="97"/>
      <c r="G421" s="97"/>
      <c r="H421" s="97"/>
      <c r="I421" s="96"/>
      <c r="J421" s="501" t="str">
        <f ca="1">道具!C$7</f>
        <v>ＳＰ恢复的李子（大）</v>
      </c>
      <c r="K421" s="371"/>
      <c r="L421" s="501" t="str">
        <f ca="1">语言!$A$1630</f>
        <v>无法捕获</v>
      </c>
      <c r="M421" s="371"/>
      <c r="N421" s="371"/>
      <c r="O421" s="371"/>
      <c r="P421" s="98" t="str">
        <f ca="1">语言!A$337&amp;" (21)"</f>
        <v>通往黑曜馆的密道 (21)</v>
      </c>
      <c r="Q421" s="99" t="s">
        <v>82</v>
      </c>
      <c r="R421" s="86"/>
    </row>
    <row r="422" spans="1:18" x14ac:dyDescent="0.2">
      <c r="A422" s="82"/>
      <c r="B422" s="94" t="b">
        <f>清单!B377</f>
        <v>0</v>
      </c>
      <c r="C422" s="95" t="str">
        <f ca="1">语言!A1566</f>
        <v>凡妮莎</v>
      </c>
      <c r="D422" s="96">
        <v>5</v>
      </c>
      <c r="E422" s="97"/>
      <c r="F422" s="97"/>
      <c r="G422" s="97"/>
      <c r="H422" s="97"/>
      <c r="I422" s="97"/>
      <c r="J422" s="501" t="str">
        <f ca="1">道具!C$17</f>
        <v>复活的橄榄（特大）</v>
      </c>
      <c r="K422" s="371"/>
      <c r="L422" s="501" t="str">
        <f ca="1">语言!$A$1630</f>
        <v>无法捕获</v>
      </c>
      <c r="M422" s="371"/>
      <c r="N422" s="371"/>
      <c r="O422" s="371"/>
      <c r="P422" s="98" t="str">
        <f ca="1">语言!A$379&amp;" (24)"</f>
        <v>青碧洞窟 (24)</v>
      </c>
      <c r="Q422" s="99" t="s">
        <v>83</v>
      </c>
      <c r="R422" s="86"/>
    </row>
    <row r="423" spans="1:18" x14ac:dyDescent="0.2">
      <c r="A423" s="82"/>
      <c r="B423" s="94" t="b">
        <f>清单!B378</f>
        <v>0</v>
      </c>
      <c r="C423" s="95" t="str">
        <f ca="1">语言!A1567</f>
        <v>保镖</v>
      </c>
      <c r="D423" s="96">
        <v>6</v>
      </c>
      <c r="E423" s="97"/>
      <c r="F423" s="97"/>
      <c r="G423" s="97"/>
      <c r="H423" s="97"/>
      <c r="I423" s="96"/>
      <c r="J423" s="501" t="str">
        <f ca="1">道具!C$18</f>
        <v>毒治疗药草</v>
      </c>
      <c r="K423" s="371"/>
      <c r="L423" s="501" t="str">
        <f ca="1">语言!$A$1630</f>
        <v>无法捕获</v>
      </c>
      <c r="M423" s="371"/>
      <c r="N423" s="371"/>
      <c r="O423" s="371"/>
      <c r="P423" s="98" t="str">
        <f ca="1">语言!A$379&amp;" (24)"</f>
        <v>青碧洞窟 (24)</v>
      </c>
      <c r="Q423" s="99" t="s">
        <v>83</v>
      </c>
      <c r="R423" s="86"/>
    </row>
    <row r="424" spans="1:18" x14ac:dyDescent="0.2">
      <c r="A424" s="82"/>
      <c r="B424" s="94" t="b">
        <f>清单!B216</f>
        <v>0</v>
      </c>
      <c r="C424" s="95" t="str">
        <f ca="1">语言!A1568</f>
        <v>奥立克</v>
      </c>
      <c r="D424" s="96">
        <v>7</v>
      </c>
      <c r="E424" s="97"/>
      <c r="F424" s="97"/>
      <c r="G424" s="97"/>
      <c r="H424" s="97"/>
      <c r="I424" s="97"/>
      <c r="J424" s="501" t="str">
        <f ca="1">道具!C$8</f>
        <v>ＳＰ全体恢复的李子</v>
      </c>
      <c r="K424" s="371"/>
      <c r="L424" s="501" t="str">
        <f ca="1">语言!$A$1630</f>
        <v>无法捕获</v>
      </c>
      <c r="M424" s="371"/>
      <c r="N424" s="371"/>
      <c r="O424" s="371"/>
      <c r="P424" s="98" t="str">
        <f ca="1">语言!A$358&amp;" (22)"</f>
        <v>奥立克的宅邸 (22)</v>
      </c>
      <c r="Q424" s="99" t="s">
        <v>84</v>
      </c>
      <c r="R424" s="86"/>
    </row>
    <row r="425" spans="1:18" x14ac:dyDescent="0.2">
      <c r="A425" s="82"/>
      <c r="B425" s="94" t="b">
        <f>清单!B217</f>
        <v>0</v>
      </c>
      <c r="C425" s="95" t="str">
        <f ca="1">语言!A1569</f>
        <v>奥立克的部下</v>
      </c>
      <c r="D425" s="96">
        <v>4</v>
      </c>
      <c r="E425" s="97"/>
      <c r="F425" s="97"/>
      <c r="G425" s="97"/>
      <c r="H425" s="97"/>
      <c r="I425" s="96"/>
      <c r="J425" s="501" t="str">
        <f ca="1">道具!C$7</f>
        <v>ＳＰ恢复的李子（大）</v>
      </c>
      <c r="K425" s="371"/>
      <c r="L425" s="501" t="str">
        <f ca="1">语言!$A$1630</f>
        <v>无法捕获</v>
      </c>
      <c r="M425" s="371"/>
      <c r="N425" s="371"/>
      <c r="O425" s="371"/>
      <c r="P425" s="98" t="str">
        <f ca="1">语言!A$358&amp;" (22)"</f>
        <v>奥立克的宅邸 (22)</v>
      </c>
      <c r="Q425" s="99" t="s">
        <v>84</v>
      </c>
      <c r="R425" s="86"/>
    </row>
    <row r="426" spans="1:18" x14ac:dyDescent="0.2">
      <c r="A426" s="82"/>
      <c r="B426" s="94" t="b">
        <f>清单!B218</f>
        <v>0</v>
      </c>
      <c r="C426" s="95" t="str">
        <f ca="1">语言!A1570</f>
        <v>魔导机兵（奥立克型）</v>
      </c>
      <c r="D426" s="96">
        <v>8</v>
      </c>
      <c r="E426" s="97"/>
      <c r="F426" s="97"/>
      <c r="G426" s="97"/>
      <c r="H426" s="97"/>
      <c r="I426" s="96"/>
      <c r="J426" s="501" t="s">
        <v>85</v>
      </c>
      <c r="K426" s="371"/>
      <c r="L426" s="501" t="str">
        <f ca="1">语言!$A$1630</f>
        <v>无法捕获</v>
      </c>
      <c r="M426" s="371"/>
      <c r="N426" s="371"/>
      <c r="O426" s="371"/>
      <c r="P426" s="98" t="str">
        <f ca="1">语言!A$358&amp;" (22)"</f>
        <v>奥立克的宅邸 (22)</v>
      </c>
      <c r="Q426" s="99" t="s">
        <v>84</v>
      </c>
      <c r="R426" s="86"/>
    </row>
    <row r="427" spans="1:18" x14ac:dyDescent="0.2">
      <c r="A427" s="82"/>
      <c r="B427" s="94" t="b">
        <f>清单!B533</f>
        <v>0</v>
      </c>
      <c r="C427" s="95" t="str">
        <f ca="1">语言!A1571</f>
        <v>拟态魔物</v>
      </c>
      <c r="D427" s="96">
        <v>3</v>
      </c>
      <c r="E427" s="97"/>
      <c r="F427" s="97"/>
      <c r="G427" s="97"/>
      <c r="H427" s="97"/>
      <c r="I427" s="97"/>
      <c r="J427" s="501" t="str">
        <f ca="1">道具!C$12</f>
        <v>ＨＰ／ＳＰ恢复的果酱</v>
      </c>
      <c r="K427" s="371"/>
      <c r="L427" s="501" t="str">
        <f ca="1">语言!$A$1630</f>
        <v>无法捕获</v>
      </c>
      <c r="M427" s="371"/>
      <c r="N427" s="371"/>
      <c r="O427" s="371"/>
      <c r="P427" s="98" t="str">
        <f ca="1">语言!A$401&amp;" (26)"</f>
        <v>通往幻影之森的道路 (26)</v>
      </c>
      <c r="Q427" s="99" t="s">
        <v>86</v>
      </c>
      <c r="R427" s="86"/>
    </row>
    <row r="428" spans="1:18" x14ac:dyDescent="0.2">
      <c r="A428" s="82"/>
      <c r="B428" s="94"/>
      <c r="C428" s="95"/>
      <c r="D428" s="96"/>
      <c r="E428" s="97"/>
      <c r="F428" s="97"/>
      <c r="G428" s="97"/>
      <c r="H428" s="97"/>
      <c r="I428" s="97"/>
      <c r="J428" s="501"/>
      <c r="K428" s="371"/>
      <c r="L428" s="501"/>
      <c r="M428" s="371"/>
      <c r="N428" s="371"/>
      <c r="O428" s="371"/>
      <c r="P428" s="98"/>
      <c r="Q428" s="99"/>
      <c r="R428" s="86"/>
    </row>
    <row r="429" spans="1:18" x14ac:dyDescent="0.2">
      <c r="A429" s="82"/>
      <c r="B429" s="94" t="b">
        <f>清单!B543</f>
        <v>0</v>
      </c>
      <c r="C429" s="95" t="str">
        <f ca="1">语言!A1572</f>
        <v>森林之主</v>
      </c>
      <c r="D429" s="96">
        <v>7</v>
      </c>
      <c r="E429" s="97"/>
      <c r="F429" s="97"/>
      <c r="G429" s="97"/>
      <c r="H429" s="97"/>
      <c r="I429" s="96"/>
      <c r="J429" s="501" t="str">
        <f ca="1">道具!C$17</f>
        <v>复活的橄榄（特大）</v>
      </c>
      <c r="K429" s="371"/>
      <c r="L429" s="501" t="str">
        <f ca="1">语言!$A$1630</f>
        <v>无法捕获</v>
      </c>
      <c r="M429" s="371"/>
      <c r="N429" s="371"/>
      <c r="O429" s="371"/>
      <c r="P429" s="98" t="str">
        <f ca="1">语言!A$402&amp;" (27)"</f>
        <v>幻影之森 (27)</v>
      </c>
      <c r="Q429" s="99" t="s">
        <v>86</v>
      </c>
      <c r="R429" s="86"/>
    </row>
    <row r="430" spans="1:18" x14ac:dyDescent="0.2">
      <c r="A430" s="82"/>
      <c r="B430" s="94"/>
      <c r="C430" s="95"/>
      <c r="D430" s="96"/>
      <c r="E430" s="97"/>
      <c r="F430" s="97"/>
      <c r="G430" s="97"/>
      <c r="H430" s="97"/>
      <c r="I430" s="97"/>
      <c r="J430" s="501"/>
      <c r="K430" s="371"/>
      <c r="L430" s="501"/>
      <c r="M430" s="371"/>
      <c r="N430" s="371"/>
      <c r="O430" s="371"/>
      <c r="P430" s="98"/>
      <c r="Q430" s="99"/>
      <c r="R430" s="86"/>
    </row>
    <row r="431" spans="1:18" x14ac:dyDescent="0.2">
      <c r="A431" s="82"/>
      <c r="B431" s="94"/>
      <c r="C431" s="95"/>
      <c r="D431" s="96"/>
      <c r="E431" s="97"/>
      <c r="F431" s="97"/>
      <c r="G431" s="97"/>
      <c r="H431" s="97"/>
      <c r="I431" s="96"/>
      <c r="J431" s="501"/>
      <c r="K431" s="371"/>
      <c r="L431" s="501"/>
      <c r="M431" s="371"/>
      <c r="N431" s="371"/>
      <c r="O431" s="371"/>
      <c r="P431" s="98"/>
      <c r="Q431" s="99"/>
      <c r="R431" s="86"/>
    </row>
    <row r="432" spans="1:18" x14ac:dyDescent="0.2">
      <c r="A432" s="82"/>
      <c r="B432" s="94" t="b">
        <f>清单!B546</f>
        <v>0</v>
      </c>
      <c r="C432" s="95" t="str">
        <f ca="1">语言!A1573</f>
        <v>摇动的树木</v>
      </c>
      <c r="D432" s="96">
        <v>3</v>
      </c>
      <c r="E432" s="97"/>
      <c r="F432" s="97"/>
      <c r="G432" s="97"/>
      <c r="H432" s="96"/>
      <c r="I432" s="96"/>
      <c r="J432" s="501" t="s">
        <v>85</v>
      </c>
      <c r="K432" s="371"/>
      <c r="L432" s="501" t="str">
        <f ca="1">语言!$A$1630</f>
        <v>无法捕获</v>
      </c>
      <c r="M432" s="371"/>
      <c r="N432" s="371"/>
      <c r="O432" s="371"/>
      <c r="P432" s="98" t="str">
        <f ca="1">语言!A$402&amp;" (27)"</f>
        <v>幻影之森 (27)</v>
      </c>
      <c r="Q432" s="99" t="s">
        <v>86</v>
      </c>
      <c r="R432" s="86"/>
    </row>
    <row r="433" spans="1:18" x14ac:dyDescent="0.2">
      <c r="A433" s="82"/>
      <c r="B433" s="94" t="b">
        <f>清单!B547</f>
        <v>0</v>
      </c>
      <c r="C433" s="95" t="str">
        <f ca="1">语言!A1574</f>
        <v>猛毒菇</v>
      </c>
      <c r="D433" s="96">
        <v>4</v>
      </c>
      <c r="E433" s="97"/>
      <c r="F433" s="97"/>
      <c r="G433" s="97"/>
      <c r="H433" s="96"/>
      <c r="I433" s="96"/>
      <c r="J433" s="501" t="s">
        <v>85</v>
      </c>
      <c r="K433" s="371"/>
      <c r="L433" s="501" t="str">
        <f ca="1">语言!$A$1630</f>
        <v>无法捕获</v>
      </c>
      <c r="M433" s="371"/>
      <c r="N433" s="371"/>
      <c r="O433" s="371"/>
      <c r="P433" s="98" t="str">
        <f ca="1">语言!A$402&amp;" (27)"</f>
        <v>幻影之森 (27)</v>
      </c>
      <c r="Q433" s="99" t="s">
        <v>86</v>
      </c>
      <c r="R433" s="86"/>
    </row>
    <row r="434" spans="1:18" x14ac:dyDescent="0.2">
      <c r="A434" s="82"/>
      <c r="B434" s="94" t="b">
        <f>清单!B548</f>
        <v>0</v>
      </c>
      <c r="C434" s="95" t="str">
        <f ca="1">语言!A1575</f>
        <v>乱跑的菌类</v>
      </c>
      <c r="D434" s="96">
        <v>5</v>
      </c>
      <c r="E434" s="97"/>
      <c r="F434" s="97"/>
      <c r="G434" s="97"/>
      <c r="H434" s="96"/>
      <c r="I434" s="96"/>
      <c r="J434" s="501" t="s">
        <v>85</v>
      </c>
      <c r="K434" s="371"/>
      <c r="L434" s="501" t="str">
        <f ca="1">语言!$A$1630</f>
        <v>无法捕获</v>
      </c>
      <c r="M434" s="371"/>
      <c r="N434" s="371"/>
      <c r="O434" s="371"/>
      <c r="P434" s="98" t="str">
        <f ca="1">语言!A$402&amp;" (27)"</f>
        <v>幻影之森 (27)</v>
      </c>
      <c r="Q434" s="99" t="s">
        <v>86</v>
      </c>
      <c r="R434" s="86"/>
    </row>
    <row r="435" spans="1:18" x14ac:dyDescent="0.2">
      <c r="A435" s="82"/>
      <c r="B435" s="94" t="b">
        <f>清单!B397</f>
        <v>0</v>
      </c>
      <c r="C435" s="95" t="str">
        <f ca="1">语言!A1576</f>
        <v>神秘男子 I</v>
      </c>
      <c r="D435" s="96">
        <v>5</v>
      </c>
      <c r="E435" s="97"/>
      <c r="F435" s="97"/>
      <c r="G435" s="97"/>
      <c r="H435" s="97"/>
      <c r="I435" s="96"/>
      <c r="J435" s="502" t="str">
        <f ca="1">道具!C$320</f>
        <v>黑手杖</v>
      </c>
      <c r="K435" s="371"/>
      <c r="L435" s="501" t="str">
        <f ca="1">语言!$A$1630</f>
        <v>无法捕获</v>
      </c>
      <c r="M435" s="371"/>
      <c r="N435" s="371"/>
      <c r="O435" s="371"/>
      <c r="P435" s="98" t="str">
        <f ca="1">语言!A$381&amp;" (38)"</f>
        <v>海边洞窟 (38)</v>
      </c>
      <c r="Q435" s="99" t="s">
        <v>87</v>
      </c>
      <c r="R435" s="80"/>
    </row>
    <row r="436" spans="1:18" x14ac:dyDescent="0.2">
      <c r="A436" s="82"/>
      <c r="B436" s="94" t="b">
        <f>清单!B398</f>
        <v>0</v>
      </c>
      <c r="C436" s="95" t="str">
        <f ca="1">语言!A1577</f>
        <v>神秘男子 II</v>
      </c>
      <c r="D436" s="96">
        <v>4</v>
      </c>
      <c r="E436" s="97"/>
      <c r="F436" s="97"/>
      <c r="G436" s="97"/>
      <c r="H436" s="97"/>
      <c r="I436" s="97"/>
      <c r="J436" s="502" t="str">
        <f ca="1">道具!C$481</f>
        <v>精神手环</v>
      </c>
      <c r="K436" s="371"/>
      <c r="L436" s="501" t="str">
        <f ca="1">语言!$A$1630</f>
        <v>无法捕获</v>
      </c>
      <c r="M436" s="371"/>
      <c r="N436" s="371"/>
      <c r="O436" s="371"/>
      <c r="P436" s="98" t="str">
        <f ca="1">语言!A$381&amp;" (38)"</f>
        <v>海边洞窟 (38)</v>
      </c>
      <c r="Q436" s="99" t="s">
        <v>87</v>
      </c>
      <c r="R436" s="80"/>
    </row>
    <row r="437" spans="1:18" x14ac:dyDescent="0.2">
      <c r="A437" s="82"/>
      <c r="B437" s="94" t="b">
        <f>清单!B561</f>
        <v>0</v>
      </c>
      <c r="C437" s="95" t="str">
        <f ca="1">语言!A1578</f>
        <v>伊冯</v>
      </c>
      <c r="D437" s="96">
        <v>3</v>
      </c>
      <c r="E437" s="97"/>
      <c r="F437" s="97"/>
      <c r="G437" s="97"/>
      <c r="H437" s="96"/>
      <c r="I437" s="96"/>
      <c r="J437" s="501" t="str">
        <f ca="1">道具!C$11</f>
        <v>ＢＰ恢复的石榴（特大）</v>
      </c>
      <c r="K437" s="371"/>
      <c r="L437" s="501" t="str">
        <f ca="1">语言!$A$1630</f>
        <v>无法捕获</v>
      </c>
      <c r="M437" s="371"/>
      <c r="N437" s="371"/>
      <c r="O437" s="371"/>
      <c r="P437" s="98" t="str">
        <f ca="1">语言!A$403&amp;" (40)"</f>
        <v>伊冯的老家 (40)</v>
      </c>
      <c r="Q437" s="99" t="s">
        <v>88</v>
      </c>
      <c r="R437" s="86"/>
    </row>
    <row r="438" spans="1:18" x14ac:dyDescent="0.2">
      <c r="A438" s="82"/>
      <c r="B438" s="94"/>
      <c r="C438" s="102"/>
      <c r="D438" s="103"/>
      <c r="E438" s="97"/>
      <c r="F438" s="97"/>
      <c r="G438" s="97"/>
      <c r="H438" s="97"/>
      <c r="I438" s="103"/>
      <c r="J438" s="505"/>
      <c r="K438" s="371"/>
      <c r="L438" s="505"/>
      <c r="M438" s="371"/>
      <c r="N438" s="371"/>
      <c r="O438" s="371"/>
      <c r="P438" s="104"/>
      <c r="Q438" s="99"/>
      <c r="R438" s="86"/>
    </row>
    <row r="439" spans="1:18" x14ac:dyDescent="0.2">
      <c r="A439" s="82"/>
      <c r="B439" s="94"/>
      <c r="C439" s="102"/>
      <c r="D439" s="103"/>
      <c r="E439" s="97"/>
      <c r="F439" s="97"/>
      <c r="G439" s="97"/>
      <c r="H439" s="97"/>
      <c r="I439" s="97"/>
      <c r="J439" s="505"/>
      <c r="K439" s="371"/>
      <c r="L439" s="505"/>
      <c r="M439" s="371"/>
      <c r="N439" s="371"/>
      <c r="O439" s="371"/>
      <c r="P439" s="104"/>
      <c r="Q439" s="99"/>
      <c r="R439" s="86"/>
    </row>
    <row r="440" spans="1:18" x14ac:dyDescent="0.2">
      <c r="A440" s="82"/>
      <c r="B440" s="94" t="b">
        <f>清单!B564</f>
        <v>0</v>
      </c>
      <c r="C440" s="95" t="str">
        <f ca="1">语言!A1579</f>
        <v>特别研究员</v>
      </c>
      <c r="D440" s="96">
        <v>4</v>
      </c>
      <c r="E440" s="97"/>
      <c r="F440" s="97"/>
      <c r="G440" s="97"/>
      <c r="H440" s="97"/>
      <c r="I440" s="96"/>
      <c r="J440" s="501" t="str">
        <f ca="1">道具!C$5</f>
        <v>ＨＰ全体恢复的葡萄</v>
      </c>
      <c r="K440" s="371"/>
      <c r="L440" s="501" t="str">
        <f ca="1">语言!$A$1630</f>
        <v>无法捕获</v>
      </c>
      <c r="M440" s="371"/>
      <c r="N440" s="371"/>
      <c r="O440" s="371"/>
      <c r="P440" s="98" t="str">
        <f ca="1">语言!A$403&amp;" (40)"</f>
        <v>伊冯的老家 (40)</v>
      </c>
      <c r="Q440" s="99" t="s">
        <v>88</v>
      </c>
      <c r="R440" s="86"/>
    </row>
    <row r="441" spans="1:18" x14ac:dyDescent="0.2">
      <c r="A441" s="82"/>
      <c r="B441" s="94" t="b">
        <f>清单!B1182</f>
        <v>0</v>
      </c>
      <c r="C441" s="95" t="str">
        <f ca="1">语言!A1580</f>
        <v>猛毒虎</v>
      </c>
      <c r="D441" s="96">
        <v>6</v>
      </c>
      <c r="E441" s="97"/>
      <c r="F441" s="97"/>
      <c r="G441" s="97"/>
      <c r="H441" s="97"/>
      <c r="I441" s="96"/>
      <c r="J441" s="501" t="str">
        <f ca="1">道具!C$17</f>
        <v>复活的橄榄（特大）</v>
      </c>
      <c r="K441" s="371"/>
      <c r="L441" s="501" t="str">
        <f ca="1">语言!$A$1630</f>
        <v>无法捕获</v>
      </c>
      <c r="M441" s="371"/>
      <c r="N441" s="371"/>
      <c r="O441" s="371"/>
      <c r="P441" s="98" t="str">
        <f ca="1">语言!A$490&amp;" (34)"</f>
        <v>被遗忘的洞窟 (34)</v>
      </c>
      <c r="Q441" s="99" t="s">
        <v>89</v>
      </c>
      <c r="R441" s="86"/>
    </row>
    <row r="442" spans="1:18" x14ac:dyDescent="0.2">
      <c r="A442" s="82"/>
      <c r="B442" s="94" t="b">
        <f>清单!B718</f>
        <v>0</v>
      </c>
      <c r="C442" s="95" t="str">
        <f ca="1">语言!A1581</f>
        <v>沙漠大蜥蜴人 I</v>
      </c>
      <c r="D442" s="96">
        <v>4</v>
      </c>
      <c r="E442" s="97"/>
      <c r="F442" s="97"/>
      <c r="G442" s="97"/>
      <c r="H442" s="97"/>
      <c r="I442" s="97"/>
      <c r="J442" s="501" t="str">
        <f ca="1">道具!C$7</f>
        <v>ＳＰ恢复的李子（大）</v>
      </c>
      <c r="K442" s="371"/>
      <c r="L442" s="501"/>
      <c r="M442" s="371"/>
      <c r="N442" s="371"/>
      <c r="O442" s="371"/>
      <c r="P442" s="98"/>
      <c r="Q442" s="99" t="s">
        <v>90</v>
      </c>
      <c r="R442" s="86"/>
    </row>
    <row r="443" spans="1:18" x14ac:dyDescent="0.2">
      <c r="A443" s="82"/>
      <c r="B443" s="94" t="b">
        <f>清单!B719</f>
        <v>0</v>
      </c>
      <c r="C443" s="95" t="str">
        <f ca="1">语言!A1582</f>
        <v>沙漠大蜥蜴人 II</v>
      </c>
      <c r="D443" s="96">
        <v>5</v>
      </c>
      <c r="E443" s="97"/>
      <c r="F443" s="97"/>
      <c r="G443" s="97"/>
      <c r="H443" s="97"/>
      <c r="I443" s="97"/>
      <c r="J443" s="501" t="str">
        <f ca="1">道具!C$6</f>
        <v>ＳＰ恢复的李子</v>
      </c>
      <c r="K443" s="371"/>
      <c r="L443" s="501"/>
      <c r="M443" s="371"/>
      <c r="N443" s="371"/>
      <c r="O443" s="371"/>
      <c r="P443" s="98"/>
      <c r="Q443" s="99" t="s">
        <v>90</v>
      </c>
      <c r="R443" s="86"/>
    </row>
    <row r="444" spans="1:18" x14ac:dyDescent="0.2">
      <c r="A444" s="82"/>
      <c r="B444" s="94" t="b">
        <f>清单!B737</f>
        <v>0</v>
      </c>
      <c r="C444" s="95" t="str">
        <f ca="1">语言!A1583</f>
        <v>蜥蜴人的首领</v>
      </c>
      <c r="D444" s="96">
        <v>7</v>
      </c>
      <c r="E444" s="97"/>
      <c r="F444" s="97"/>
      <c r="G444" s="97"/>
      <c r="H444" s="97"/>
      <c r="I444" s="97"/>
      <c r="J444" s="501" t="str">
        <f ca="1">道具!C$248&amp;" (can't steal)"</f>
        <v>蜥蜴王之斧 (can't steal)</v>
      </c>
      <c r="K444" s="371"/>
      <c r="L444" s="501" t="str">
        <f ca="1">语言!$A$1630</f>
        <v>无法捕获</v>
      </c>
      <c r="M444" s="371"/>
      <c r="N444" s="371"/>
      <c r="O444" s="371"/>
      <c r="P444" s="98" t="str">
        <f ca="1">语言!A$427&amp;" (32)"</f>
        <v>蜥蜴人的巢穴 (32)</v>
      </c>
      <c r="Q444" s="99" t="s">
        <v>90</v>
      </c>
      <c r="R444" s="86"/>
    </row>
    <row r="445" spans="1:18" x14ac:dyDescent="0.2">
      <c r="A445" s="82"/>
      <c r="B445" s="94" t="b">
        <f>清单!B738</f>
        <v>0</v>
      </c>
      <c r="C445" s="95" t="str">
        <f ca="1">语言!A1584</f>
        <v>热沙大蜥蜴人</v>
      </c>
      <c r="D445" s="96">
        <v>3</v>
      </c>
      <c r="E445" s="97"/>
      <c r="F445" s="97"/>
      <c r="G445" s="97"/>
      <c r="H445" s="97"/>
      <c r="I445" s="96"/>
      <c r="J445" s="501" t="str">
        <f ca="1">道具!C$5</f>
        <v>ＨＰ全体恢复的葡萄</v>
      </c>
      <c r="K445" s="371"/>
      <c r="L445" s="501" t="str">
        <f ca="1">语言!$A$1630</f>
        <v>无法捕获</v>
      </c>
      <c r="M445" s="371"/>
      <c r="N445" s="371"/>
      <c r="O445" s="371"/>
      <c r="P445" s="98" t="str">
        <f ca="1">语言!A$427&amp;" (32)"</f>
        <v>蜥蜴人的巢穴 (32)</v>
      </c>
      <c r="Q445" s="99" t="s">
        <v>90</v>
      </c>
      <c r="R445" s="86"/>
    </row>
    <row r="446" spans="1:18" x14ac:dyDescent="0.2">
      <c r="A446" s="82"/>
      <c r="B446" s="94" t="b">
        <f>清单!B740</f>
        <v>0</v>
      </c>
      <c r="C446" s="95" t="str">
        <f ca="1">语言!A1585</f>
        <v>艾尔哈特</v>
      </c>
      <c r="D446" s="105">
        <v>6</v>
      </c>
      <c r="E446" s="97"/>
      <c r="F446" s="97"/>
      <c r="G446" s="97"/>
      <c r="H446" s="97"/>
      <c r="I446" s="97"/>
      <c r="J446" s="502" t="str">
        <f ca="1">道具!C$150</f>
        <v>神圣之刃</v>
      </c>
      <c r="K446" s="371"/>
      <c r="L446" s="501" t="str">
        <f ca="1">语言!$A$1630</f>
        <v>无法捕获</v>
      </c>
      <c r="M446" s="371"/>
      <c r="N446" s="371"/>
      <c r="O446" s="371"/>
      <c r="P446" s="98" t="str">
        <f ca="1">语言!A$427&amp;" (32)"</f>
        <v>蜥蜴人的巢穴 (32)</v>
      </c>
      <c r="Q446" s="99" t="s">
        <v>90</v>
      </c>
      <c r="R446" s="80"/>
    </row>
    <row r="447" spans="1:18" x14ac:dyDescent="0.2">
      <c r="A447" s="82"/>
      <c r="B447" s="94" t="b">
        <f>清单!B231</f>
        <v>0</v>
      </c>
      <c r="C447" s="95" t="str">
        <f ca="1">语言!A1586</f>
        <v>右腕之男阿尔巴斯</v>
      </c>
      <c r="D447" s="105">
        <v>8</v>
      </c>
      <c r="E447" s="97"/>
      <c r="F447" s="97"/>
      <c r="G447" s="97"/>
      <c r="H447" s="97"/>
      <c r="I447" s="97"/>
      <c r="J447" s="501" t="str">
        <f ca="1">道具!C$8</f>
        <v>ＳＰ全体恢复的李子</v>
      </c>
      <c r="K447" s="371"/>
      <c r="L447" s="501" t="str">
        <f ca="1">语言!$A$1630</f>
        <v>无法捕获</v>
      </c>
      <c r="M447" s="371"/>
      <c r="N447" s="371"/>
      <c r="O447" s="371"/>
      <c r="P447" s="98" t="str">
        <f ca="1">语言!A$359&amp;" (40)"</f>
        <v>黑曜会之馆 (40)</v>
      </c>
      <c r="Q447" s="99" t="s">
        <v>91</v>
      </c>
      <c r="R447" s="86"/>
    </row>
    <row r="448" spans="1:18" x14ac:dyDescent="0.2">
      <c r="A448" s="82"/>
      <c r="B448" s="94" t="b">
        <f>清单!B232</f>
        <v>0</v>
      </c>
      <c r="C448" s="95" t="str">
        <f ca="1">语言!A1587</f>
        <v>黑曜会干部</v>
      </c>
      <c r="D448" s="96">
        <v>4</v>
      </c>
      <c r="E448" s="97"/>
      <c r="F448" s="97"/>
      <c r="G448" s="97"/>
      <c r="H448" s="97"/>
      <c r="I448" s="96"/>
      <c r="J448" s="502" t="str">
        <f ca="1">道具!C$428</f>
        <v>黑曜会之服</v>
      </c>
      <c r="K448" s="371"/>
      <c r="L448" s="501" t="str">
        <f ca="1">语言!$A$1630</f>
        <v>无法捕获</v>
      </c>
      <c r="M448" s="371"/>
      <c r="N448" s="371"/>
      <c r="O448" s="371"/>
      <c r="P448" s="98" t="str">
        <f ca="1">语言!A$359&amp;" (40)"</f>
        <v>黑曜会之馆 (40)</v>
      </c>
      <c r="Q448" s="99" t="s">
        <v>91</v>
      </c>
      <c r="R448" s="80"/>
    </row>
    <row r="449" spans="1:18" x14ac:dyDescent="0.2">
      <c r="A449" s="82"/>
      <c r="B449" s="94" t="b">
        <f>清单!B879</f>
        <v>0</v>
      </c>
      <c r="C449" s="95" t="str">
        <f ca="1">语言!A1588</f>
        <v>米格尔</v>
      </c>
      <c r="D449" s="96">
        <v>7</v>
      </c>
      <c r="E449" s="97"/>
      <c r="F449" s="97"/>
      <c r="G449" s="97"/>
      <c r="H449" s="97"/>
      <c r="I449" s="96"/>
      <c r="J449" s="501" t="str">
        <f ca="1">道具!C$182&amp;" (can't steal)"</f>
        <v>米格尔之枪 (can't steal)</v>
      </c>
      <c r="K449" s="371"/>
      <c r="L449" s="501" t="str">
        <f ca="1">语言!$A$1630</f>
        <v>无法捕获</v>
      </c>
      <c r="M449" s="371"/>
      <c r="N449" s="371"/>
      <c r="O449" s="371"/>
      <c r="P449" s="98" t="str">
        <f ca="1">语言!A$448&amp;" (32)"</f>
        <v>利维耶拉之森 (32)</v>
      </c>
      <c r="Q449" s="99" t="s">
        <v>92</v>
      </c>
      <c r="R449" s="86"/>
    </row>
    <row r="450" spans="1:18" x14ac:dyDescent="0.2">
      <c r="A450" s="82"/>
      <c r="B450" s="94"/>
      <c r="C450" s="95"/>
      <c r="D450" s="96"/>
      <c r="E450" s="97"/>
      <c r="F450" s="97"/>
      <c r="G450" s="97"/>
      <c r="H450" s="97"/>
      <c r="I450" s="96"/>
      <c r="J450" s="501"/>
      <c r="K450" s="371"/>
      <c r="L450" s="501"/>
      <c r="M450" s="371"/>
      <c r="N450" s="371"/>
      <c r="O450" s="371"/>
      <c r="P450" s="98"/>
      <c r="Q450" s="99"/>
      <c r="R450" s="86"/>
    </row>
    <row r="451" spans="1:18" x14ac:dyDescent="0.2">
      <c r="A451" s="82"/>
      <c r="B451" s="94"/>
      <c r="C451" s="95"/>
      <c r="D451" s="96"/>
      <c r="E451" s="97"/>
      <c r="F451" s="97"/>
      <c r="G451" s="97"/>
      <c r="H451" s="97"/>
      <c r="I451" s="96"/>
      <c r="J451" s="501"/>
      <c r="K451" s="371"/>
      <c r="L451" s="501"/>
      <c r="M451" s="371"/>
      <c r="N451" s="371"/>
      <c r="O451" s="371"/>
      <c r="P451" s="98"/>
      <c r="Q451" s="99"/>
      <c r="R451" s="86"/>
    </row>
    <row r="452" spans="1:18" x14ac:dyDescent="0.2">
      <c r="A452" s="82"/>
      <c r="B452" s="94"/>
      <c r="C452" s="95"/>
      <c r="D452" s="96"/>
      <c r="E452" s="97"/>
      <c r="F452" s="97"/>
      <c r="G452" s="97"/>
      <c r="H452" s="97"/>
      <c r="I452" s="96"/>
      <c r="J452" s="501"/>
      <c r="K452" s="371"/>
      <c r="L452" s="501"/>
      <c r="M452" s="371"/>
      <c r="N452" s="371"/>
      <c r="O452" s="371"/>
      <c r="P452" s="98"/>
      <c r="Q452" s="99"/>
      <c r="R452" s="86"/>
    </row>
    <row r="453" spans="1:18" x14ac:dyDescent="0.2">
      <c r="A453" s="82"/>
      <c r="B453" s="94" t="b">
        <f>清单!B709</f>
        <v>0</v>
      </c>
      <c r="C453" s="95" t="str">
        <f ca="1">语言!A1589</f>
        <v>达留斯的手下 I</v>
      </c>
      <c r="D453" s="96">
        <v>3</v>
      </c>
      <c r="E453" s="97"/>
      <c r="F453" s="97"/>
      <c r="G453" s="97"/>
      <c r="H453" s="97"/>
      <c r="I453" s="97"/>
      <c r="J453" s="503" t="str">
        <f ca="1">道具!C$3</f>
        <v>ＨＰ恢复的葡萄</v>
      </c>
      <c r="K453" s="371"/>
      <c r="L453" s="501" t="str">
        <f ca="1">语言!$A$1630</f>
        <v>无法捕获</v>
      </c>
      <c r="M453" s="371"/>
      <c r="N453" s="371"/>
      <c r="O453" s="371"/>
      <c r="P453" s="98" t="str">
        <f ca="1">语言!A$425&amp;" (36)"</f>
        <v>黑市 (36)</v>
      </c>
      <c r="Q453" s="99" t="s">
        <v>93</v>
      </c>
      <c r="R453" s="86"/>
    </row>
    <row r="454" spans="1:18" x14ac:dyDescent="0.2">
      <c r="A454" s="82"/>
      <c r="B454" s="94" t="b">
        <f>清单!B710</f>
        <v>0</v>
      </c>
      <c r="C454" s="95" t="str">
        <f ca="1">语言!A1590</f>
        <v>达留斯的手下 II</v>
      </c>
      <c r="D454" s="96">
        <v>3</v>
      </c>
      <c r="E454" s="97"/>
      <c r="F454" s="97"/>
      <c r="G454" s="97"/>
      <c r="H454" s="97"/>
      <c r="I454" s="97"/>
      <c r="J454" s="503" t="str">
        <f ca="1">道具!C$14</f>
        <v>复活的橄榄</v>
      </c>
      <c r="K454" s="371"/>
      <c r="L454" s="501" t="str">
        <f ca="1">语言!$A$1630</f>
        <v>无法捕获</v>
      </c>
      <c r="M454" s="371"/>
      <c r="N454" s="371"/>
      <c r="O454" s="371"/>
      <c r="P454" s="98" t="str">
        <f ca="1">语言!A$425&amp;" (36)"</f>
        <v>黑市 (36)</v>
      </c>
      <c r="Q454" s="99" t="s">
        <v>93</v>
      </c>
      <c r="R454" s="86"/>
    </row>
    <row r="455" spans="1:18" x14ac:dyDescent="0.2">
      <c r="A455" s="82"/>
      <c r="B455" s="94" t="b">
        <f>清单!B712</f>
        <v>0</v>
      </c>
      <c r="C455" s="95" t="str">
        <f ca="1">语言!A1591</f>
        <v>盖雷斯</v>
      </c>
      <c r="D455" s="96">
        <v>5</v>
      </c>
      <c r="E455" s="97"/>
      <c r="F455" s="97"/>
      <c r="G455" s="97"/>
      <c r="H455" s="97"/>
      <c r="I455" s="97"/>
      <c r="J455" s="503" t="str">
        <f ca="1">道具!C$374&amp;" (can't steal)"</f>
        <v>盖雷斯的头盔 (can't steal)</v>
      </c>
      <c r="K455" s="371"/>
      <c r="L455" s="501" t="str">
        <f ca="1">语言!$A$1630</f>
        <v>无法捕获</v>
      </c>
      <c r="M455" s="371"/>
      <c r="N455" s="371"/>
      <c r="O455" s="371"/>
      <c r="P455" s="98" t="str">
        <f ca="1">语言!A$425&amp;" (36)"</f>
        <v>黑市 (36)</v>
      </c>
      <c r="Q455" s="99" t="s">
        <v>93</v>
      </c>
      <c r="R455" s="86"/>
    </row>
    <row r="456" spans="1:18" x14ac:dyDescent="0.2">
      <c r="A456" s="82"/>
      <c r="B456" s="94" t="b">
        <f>清单!B713</f>
        <v>0</v>
      </c>
      <c r="C456" s="95" t="str">
        <f ca="1">语言!A1592</f>
        <v>盗贼团干部</v>
      </c>
      <c r="D456" s="96">
        <v>5</v>
      </c>
      <c r="E456" s="97"/>
      <c r="F456" s="97"/>
      <c r="G456" s="97"/>
      <c r="H456" s="97"/>
      <c r="I456" s="96"/>
      <c r="J456" s="503" t="str">
        <f ca="1">道具!C$9</f>
        <v>ＢＰ恢复的石榴</v>
      </c>
      <c r="K456" s="371"/>
      <c r="L456" s="501" t="str">
        <f ca="1">语言!$A$1630</f>
        <v>无法捕获</v>
      </c>
      <c r="M456" s="371"/>
      <c r="N456" s="371"/>
      <c r="O456" s="371"/>
      <c r="P456" s="98" t="str">
        <f ca="1">语言!A$425&amp;" (36)"</f>
        <v>黑市 (36)</v>
      </c>
      <c r="Q456" s="99" t="s">
        <v>93</v>
      </c>
      <c r="R456" s="86"/>
    </row>
    <row r="457" spans="1:18" x14ac:dyDescent="0.2">
      <c r="A457" s="82"/>
      <c r="B457" s="94" t="b">
        <f>清单!B100</f>
        <v>0</v>
      </c>
      <c r="C457" s="95" t="str">
        <f ca="1">语言!A1593</f>
        <v>龙</v>
      </c>
      <c r="D457" s="96">
        <v>4</v>
      </c>
      <c r="E457" s="97"/>
      <c r="F457" s="97"/>
      <c r="G457" s="97"/>
      <c r="H457" s="97"/>
      <c r="I457" s="97"/>
      <c r="J457" s="501" t="str">
        <f ca="1">道具!C$12</f>
        <v>ＨＰ／ＳＰ恢复的果酱</v>
      </c>
      <c r="K457" s="371"/>
      <c r="L457" s="501" t="str">
        <f ca="1">语言!$A$1630</f>
        <v>无法捕获</v>
      </c>
      <c r="M457" s="371"/>
      <c r="N457" s="371"/>
      <c r="O457" s="371"/>
      <c r="P457" s="98" t="str">
        <f ca="1">语言!A$339&amp;" (38)"</f>
        <v>白色森林 (38)</v>
      </c>
      <c r="Q457" s="99" t="s">
        <v>94</v>
      </c>
      <c r="R457" s="86"/>
    </row>
    <row r="458" spans="1:18" x14ac:dyDescent="0.2">
      <c r="A458" s="82"/>
      <c r="B458" s="94" t="b">
        <f>清单!B285</f>
        <v>0</v>
      </c>
      <c r="C458" s="95" t="str">
        <f ca="1">语言!A1594</f>
        <v>玛提亚斯的随从 I</v>
      </c>
      <c r="D458" s="96">
        <v>4</v>
      </c>
      <c r="E458" s="97"/>
      <c r="F458" s="97"/>
      <c r="G458" s="97"/>
      <c r="H458" s="97"/>
      <c r="I458" s="96"/>
      <c r="J458" s="501" t="str">
        <f ca="1">道具!C$111</f>
        <v>魔物香水</v>
      </c>
      <c r="K458" s="371"/>
      <c r="L458" s="501" t="str">
        <f ca="1">语言!$A$1630</f>
        <v>无法捕获</v>
      </c>
      <c r="M458" s="371"/>
      <c r="N458" s="371"/>
      <c r="O458" s="371"/>
      <c r="P458" s="98" t="str">
        <f ca="1">语言!A$364&amp;" (46)"</f>
        <v>漆黑洞窟 (46)</v>
      </c>
      <c r="Q458" s="99" t="s">
        <v>95</v>
      </c>
      <c r="R458" s="86"/>
    </row>
    <row r="459" spans="1:18" x14ac:dyDescent="0.2">
      <c r="A459" s="82"/>
      <c r="B459" s="94" t="b">
        <f>清单!B286</f>
        <v>0</v>
      </c>
      <c r="C459" s="95" t="str">
        <f ca="1">语言!A1595</f>
        <v>玛提亚斯的随从 II</v>
      </c>
      <c r="D459" s="96">
        <v>3</v>
      </c>
      <c r="E459" s="97"/>
      <c r="F459" s="97"/>
      <c r="G459" s="97"/>
      <c r="H459" s="97"/>
      <c r="I459" s="96"/>
      <c r="J459" s="501" t="str">
        <f ca="1">道具!C$111</f>
        <v>魔物香水</v>
      </c>
      <c r="K459" s="371"/>
      <c r="L459" s="501" t="str">
        <f ca="1">语言!$A$1630</f>
        <v>无法捕获</v>
      </c>
      <c r="M459" s="371"/>
      <c r="N459" s="371"/>
      <c r="O459" s="371"/>
      <c r="P459" s="98" t="str">
        <f ca="1">语言!A$364&amp;" (46)"</f>
        <v>漆黑洞窟 (46)</v>
      </c>
      <c r="Q459" s="99" t="s">
        <v>95</v>
      </c>
      <c r="R459" s="86"/>
    </row>
    <row r="460" spans="1:18" x14ac:dyDescent="0.2">
      <c r="A460" s="82"/>
      <c r="B460" s="94" t="b">
        <f>清单!B288</f>
        <v>0</v>
      </c>
      <c r="C460" s="95" t="str">
        <f ca="1">语言!A1596</f>
        <v>马提亚斯</v>
      </c>
      <c r="D460" s="96">
        <v>4</v>
      </c>
      <c r="E460" s="97"/>
      <c r="F460" s="97"/>
      <c r="G460" s="97"/>
      <c r="H460" s="97"/>
      <c r="I460" s="96"/>
      <c r="J460" s="501" t="str">
        <f ca="1">道具!C$308&amp;" (can't steal)"</f>
        <v>马提亚斯之杖 (can't steal)</v>
      </c>
      <c r="K460" s="371"/>
      <c r="L460" s="501" t="str">
        <f ca="1">语言!$A$1630</f>
        <v>无法捕获</v>
      </c>
      <c r="M460" s="371"/>
      <c r="N460" s="371"/>
      <c r="O460" s="371"/>
      <c r="P460" s="98" t="str">
        <f ca="1">语言!A$364&amp;" (46)"</f>
        <v>漆黑洞窟 (46)</v>
      </c>
      <c r="Q460" s="99" t="s">
        <v>95</v>
      </c>
      <c r="R460" s="86"/>
    </row>
    <row r="461" spans="1:18" x14ac:dyDescent="0.2">
      <c r="A461" s="82"/>
      <c r="B461" s="94" t="b">
        <f>清单!B289</f>
        <v>0</v>
      </c>
      <c r="C461" s="95" t="str">
        <f ca="1">语言!A1597</f>
        <v>黑炎教信徒（干部）</v>
      </c>
      <c r="D461" s="96">
        <v>7</v>
      </c>
      <c r="E461" s="97"/>
      <c r="F461" s="97"/>
      <c r="G461" s="97"/>
      <c r="H461" s="97"/>
      <c r="I461" s="96"/>
      <c r="J461" s="501" t="s">
        <v>85</v>
      </c>
      <c r="K461" s="371"/>
      <c r="L461" s="501" t="str">
        <f ca="1">语言!$A$1630</f>
        <v>无法捕获</v>
      </c>
      <c r="M461" s="371"/>
      <c r="N461" s="371"/>
      <c r="O461" s="371"/>
      <c r="P461" s="98" t="str">
        <f ca="1">语言!A$364&amp;" (46)"</f>
        <v>漆黑洞窟 (46)</v>
      </c>
      <c r="Q461" s="99" t="s">
        <v>95</v>
      </c>
      <c r="R461" s="86"/>
    </row>
    <row r="462" spans="1:18" x14ac:dyDescent="0.2">
      <c r="A462" s="82"/>
      <c r="B462" s="94" t="b">
        <f>清单!B290</f>
        <v>0</v>
      </c>
      <c r="C462" s="95" t="str">
        <f ca="1">语言!A1598</f>
        <v>黑元素</v>
      </c>
      <c r="D462" s="96">
        <v>5</v>
      </c>
      <c r="E462" s="97"/>
      <c r="F462" s="97"/>
      <c r="G462" s="97"/>
      <c r="H462" s="97"/>
      <c r="I462" s="96"/>
      <c r="J462" s="501" t="s">
        <v>85</v>
      </c>
      <c r="K462" s="371"/>
      <c r="L462" s="501" t="str">
        <f ca="1">语言!$A$1630</f>
        <v>无法捕获</v>
      </c>
      <c r="M462" s="371"/>
      <c r="N462" s="371"/>
      <c r="O462" s="371"/>
      <c r="P462" s="98" t="str">
        <f ca="1">语言!A$364&amp;" (46)"</f>
        <v>漆黑洞窟 (46)</v>
      </c>
      <c r="Q462" s="99" t="s">
        <v>95</v>
      </c>
      <c r="R462" s="86"/>
    </row>
    <row r="463" spans="1:18" x14ac:dyDescent="0.2">
      <c r="A463" s="82"/>
      <c r="B463" s="94" t="b">
        <f>清单!B291</f>
        <v>0</v>
      </c>
      <c r="C463" s="95" t="str">
        <f ca="1">语言!A1599</f>
        <v>古代遗物（兽）・特殊</v>
      </c>
      <c r="D463" s="96">
        <v>6</v>
      </c>
      <c r="E463" s="97"/>
      <c r="F463" s="97"/>
      <c r="G463" s="97"/>
      <c r="H463" s="97"/>
      <c r="I463" s="96"/>
      <c r="J463" s="501" t="s">
        <v>85</v>
      </c>
      <c r="K463" s="371"/>
      <c r="L463" s="501" t="str">
        <f ca="1">语言!$A$1630</f>
        <v>无法捕获</v>
      </c>
      <c r="M463" s="371"/>
      <c r="N463" s="371"/>
      <c r="O463" s="371"/>
      <c r="P463" s="98" t="str">
        <f ca="1">语言!A$364&amp;" (46)"</f>
        <v>漆黑洞窟 (46)</v>
      </c>
      <c r="Q463" s="99" t="s">
        <v>95</v>
      </c>
      <c r="R463" s="86"/>
    </row>
    <row r="464" spans="1:18" x14ac:dyDescent="0.2">
      <c r="A464" s="82"/>
      <c r="B464" s="94" t="b">
        <f>清单!B1234</f>
        <v>0</v>
      </c>
      <c r="C464" s="95" t="str">
        <f ca="1">语言!A1600</f>
        <v>露西亚</v>
      </c>
      <c r="D464" s="96">
        <v>30</v>
      </c>
      <c r="E464" s="97"/>
      <c r="F464" s="97"/>
      <c r="G464" s="97"/>
      <c r="H464" s="97"/>
      <c r="I464" s="97"/>
      <c r="J464" s="501" t="str">
        <f ca="1">道具!C$11</f>
        <v>ＢＰ恢复的石榴（特大）</v>
      </c>
      <c r="K464" s="371"/>
      <c r="L464" s="501" t="str">
        <f ca="1">语言!$A$1630</f>
        <v>无法捕获</v>
      </c>
      <c r="M464" s="371"/>
      <c r="N464" s="371"/>
      <c r="O464" s="371"/>
      <c r="P464" s="98" t="str">
        <f ca="1">语言!A$495&amp;" (46)"</f>
        <v>古代的遗迹 (46)</v>
      </c>
      <c r="Q464" s="99" t="s">
        <v>96</v>
      </c>
      <c r="R464" s="86"/>
    </row>
    <row r="465" spans="1:18" x14ac:dyDescent="0.2">
      <c r="A465" s="82"/>
      <c r="B465" s="94"/>
      <c r="C465" s="95"/>
      <c r="D465" s="96">
        <v>15</v>
      </c>
      <c r="E465" s="97"/>
      <c r="F465" s="97"/>
      <c r="G465" s="97"/>
      <c r="H465" s="97"/>
      <c r="I465" s="97"/>
      <c r="J465" s="501"/>
      <c r="K465" s="371"/>
      <c r="L465" s="501"/>
      <c r="M465" s="371"/>
      <c r="N465" s="371"/>
      <c r="O465" s="371"/>
      <c r="P465" s="98"/>
      <c r="Q465" s="99"/>
      <c r="R465" s="86"/>
    </row>
    <row r="466" spans="1:18" x14ac:dyDescent="0.2">
      <c r="A466" s="82"/>
      <c r="B466" s="94"/>
      <c r="C466" s="95"/>
      <c r="D466" s="96">
        <v>8</v>
      </c>
      <c r="E466" s="97"/>
      <c r="F466" s="97"/>
      <c r="G466" s="97"/>
      <c r="H466" s="97"/>
      <c r="I466" s="96"/>
      <c r="J466" s="501"/>
      <c r="K466" s="371"/>
      <c r="L466" s="501"/>
      <c r="M466" s="371"/>
      <c r="N466" s="371"/>
      <c r="O466" s="371"/>
      <c r="P466" s="98"/>
      <c r="Q466" s="99"/>
      <c r="R466" s="86"/>
    </row>
    <row r="467" spans="1:18" x14ac:dyDescent="0.2">
      <c r="A467" s="82"/>
      <c r="B467" s="94" t="b">
        <f>清单!B439</f>
        <v>0</v>
      </c>
      <c r="C467" s="95" t="str">
        <f ca="1">语言!A1601</f>
        <v>埃斯梅拉达</v>
      </c>
      <c r="D467" s="96">
        <v>4</v>
      </c>
      <c r="E467" s="97"/>
      <c r="F467" s="97"/>
      <c r="G467" s="97"/>
      <c r="H467" s="97"/>
      <c r="I467" s="97"/>
      <c r="J467" s="502" t="str">
        <f ca="1">道具!C$208</f>
        <v>符文短刀</v>
      </c>
      <c r="K467" s="371"/>
      <c r="L467" s="501" t="str">
        <f ca="1">语言!$A$1630</f>
        <v>无法捕获</v>
      </c>
      <c r="M467" s="371"/>
      <c r="N467" s="371"/>
      <c r="O467" s="371"/>
      <c r="P467" s="98" t="str">
        <f ca="1">语言!A$387&amp;" (46)"</f>
        <v>格兰波特地下水道 (46)</v>
      </c>
      <c r="Q467" s="99" t="s">
        <v>97</v>
      </c>
      <c r="R467" s="86"/>
    </row>
    <row r="468" spans="1:18" x14ac:dyDescent="0.2">
      <c r="A468" s="82"/>
      <c r="B468" s="94"/>
      <c r="C468" s="95"/>
      <c r="D468" s="96"/>
      <c r="E468" s="97"/>
      <c r="F468" s="97"/>
      <c r="G468" s="97"/>
      <c r="H468" s="97"/>
      <c r="I468" s="97"/>
      <c r="J468" s="501"/>
      <c r="K468" s="371"/>
      <c r="L468" s="501"/>
      <c r="M468" s="371"/>
      <c r="N468" s="371"/>
      <c r="O468" s="371"/>
      <c r="P468" s="98"/>
      <c r="Q468" s="99"/>
      <c r="R468" s="86"/>
    </row>
    <row r="469" spans="1:18" x14ac:dyDescent="0.2">
      <c r="A469" s="82"/>
      <c r="B469" s="94"/>
      <c r="C469" s="95"/>
      <c r="D469" s="96"/>
      <c r="E469" s="97"/>
      <c r="F469" s="97"/>
      <c r="G469" s="97"/>
      <c r="H469" s="97"/>
      <c r="I469" s="97"/>
      <c r="J469" s="501"/>
      <c r="K469" s="371"/>
      <c r="L469" s="501"/>
      <c r="M469" s="371"/>
      <c r="N469" s="371"/>
      <c r="O469" s="371"/>
      <c r="P469" s="98"/>
      <c r="Q469" s="99"/>
      <c r="R469" s="86"/>
    </row>
    <row r="470" spans="1:18" x14ac:dyDescent="0.2">
      <c r="A470" s="82"/>
      <c r="B470" s="94" t="b">
        <f>清单!B933</f>
        <v>0</v>
      </c>
      <c r="C470" s="95" t="str">
        <f ca="1">语言!A1602</f>
        <v>维尔纳</v>
      </c>
      <c r="D470" s="96">
        <v>5</v>
      </c>
      <c r="E470" s="97"/>
      <c r="F470" s="97"/>
      <c r="G470" s="97"/>
      <c r="H470" s="97"/>
      <c r="I470" s="97"/>
      <c r="J470" s="501" t="str">
        <f ca="1">道具!C$139&amp;" (can't steal)"</f>
        <v>维尔纳之剑 (can't steal)</v>
      </c>
      <c r="K470" s="371"/>
      <c r="L470" s="501" t="str">
        <f ca="1">语言!$A$1630</f>
        <v>无法捕获</v>
      </c>
      <c r="M470" s="371"/>
      <c r="N470" s="371"/>
      <c r="O470" s="371"/>
      <c r="P470" s="98" t="str">
        <f ca="1">语言!A$455&amp;" (46)"</f>
        <v>领主的宅邸 (46)</v>
      </c>
      <c r="Q470" s="99" t="s">
        <v>98</v>
      </c>
      <c r="R470" s="86"/>
    </row>
    <row r="471" spans="1:18" x14ac:dyDescent="0.2">
      <c r="A471" s="82"/>
      <c r="B471" s="94" t="b">
        <f>清单!B613</f>
        <v>0</v>
      </c>
      <c r="C471" s="95" t="str">
        <f ca="1">语言!A1603</f>
        <v>席米恩</v>
      </c>
      <c r="D471" s="96">
        <v>3</v>
      </c>
      <c r="E471" s="97"/>
      <c r="F471" s="97"/>
      <c r="G471" s="97"/>
      <c r="H471" s="97"/>
      <c r="I471" s="96"/>
      <c r="J471" s="501" t="str">
        <f ca="1">道具!C$48</f>
        <v>暗之精灵石（特大）</v>
      </c>
      <c r="K471" s="371"/>
      <c r="L471" s="501" t="str">
        <f ca="1">语言!$A$1630</f>
        <v>无法捕获</v>
      </c>
      <c r="M471" s="371"/>
      <c r="N471" s="371"/>
      <c r="O471" s="371"/>
      <c r="P471" s="98" t="str">
        <f ca="1">语言!A$411&amp;" (46)"</f>
        <v>大剧场 -上层- (46)</v>
      </c>
      <c r="Q471" s="99" t="s">
        <v>99</v>
      </c>
      <c r="R471" s="86"/>
    </row>
    <row r="472" spans="1:18" x14ac:dyDescent="0.2">
      <c r="A472" s="82"/>
      <c r="B472" s="94" t="b">
        <f>清单!B614</f>
        <v>0</v>
      </c>
      <c r="C472" s="95" t="str">
        <f ca="1">语言!A1604</f>
        <v>傀儡人偶・父亲</v>
      </c>
      <c r="D472" s="96">
        <v>5</v>
      </c>
      <c r="E472" s="97"/>
      <c r="F472" s="97"/>
      <c r="G472" s="97"/>
      <c r="H472" s="97"/>
      <c r="I472" s="96"/>
      <c r="J472" s="501" t="str">
        <f ca="1">道具!C$464</f>
        <v>物理腰带</v>
      </c>
      <c r="K472" s="371"/>
      <c r="L472" s="501" t="str">
        <f ca="1">语言!$A$1630</f>
        <v>无法捕获</v>
      </c>
      <c r="M472" s="371"/>
      <c r="N472" s="371"/>
      <c r="O472" s="371"/>
      <c r="P472" s="98" t="str">
        <f ca="1">语言!A$411&amp;" (46)"</f>
        <v>大剧场 -上层- (46)</v>
      </c>
      <c r="Q472" s="99" t="s">
        <v>99</v>
      </c>
      <c r="R472" s="86"/>
    </row>
    <row r="473" spans="1:18" x14ac:dyDescent="0.2">
      <c r="A473" s="82"/>
      <c r="B473" s="94" t="b">
        <f>清单!B615</f>
        <v>0</v>
      </c>
      <c r="C473" s="95" t="str">
        <f ca="1">语言!A1605</f>
        <v>傀儡人偶・舞娘</v>
      </c>
      <c r="D473" s="96">
        <v>4</v>
      </c>
      <c r="E473" s="97"/>
      <c r="F473" s="97"/>
      <c r="G473" s="97"/>
      <c r="H473" s="97"/>
      <c r="I473" s="96"/>
      <c r="J473" s="501" t="str">
        <f ca="1">道具!C$465</f>
        <v>精神腰带</v>
      </c>
      <c r="K473" s="371"/>
      <c r="L473" s="501" t="str">
        <f ca="1">语言!$A$1630</f>
        <v>无法捕获</v>
      </c>
      <c r="M473" s="371"/>
      <c r="N473" s="371"/>
      <c r="O473" s="371"/>
      <c r="P473" s="98" t="str">
        <f ca="1">语言!A$411&amp;" (46)"</f>
        <v>大剧场 -上层- (46)</v>
      </c>
      <c r="Q473" s="99" t="s">
        <v>99</v>
      </c>
      <c r="R473" s="86"/>
    </row>
    <row r="474" spans="1:18" x14ac:dyDescent="0.2">
      <c r="A474" s="82"/>
      <c r="B474" s="94" t="b">
        <f>清单!B617</f>
        <v>0</v>
      </c>
      <c r="C474" s="95" t="str">
        <f ca="1">语言!A1606</f>
        <v>后颈之男席米恩</v>
      </c>
      <c r="D474" s="96">
        <v>6</v>
      </c>
      <c r="E474" s="97"/>
      <c r="F474" s="97"/>
      <c r="G474" s="97"/>
      <c r="H474" s="97"/>
      <c r="I474" s="97"/>
      <c r="J474" s="501" t="str">
        <f ca="1">道具!C$415&amp;" (can't steal)"</f>
        <v>执念大衣 (can't steal)</v>
      </c>
      <c r="K474" s="371"/>
      <c r="L474" s="501" t="str">
        <f ca="1">语言!$A$1630</f>
        <v>无法捕获</v>
      </c>
      <c r="M474" s="371"/>
      <c r="N474" s="371"/>
      <c r="O474" s="371"/>
      <c r="P474" s="98" t="str">
        <f ca="1">语言!A$411&amp;" (46)"</f>
        <v>大剧场 -上层- (46)</v>
      </c>
      <c r="Q474" s="99" t="s">
        <v>99</v>
      </c>
      <c r="R474" s="86"/>
    </row>
    <row r="475" spans="1:18" x14ac:dyDescent="0.2">
      <c r="A475" s="82"/>
      <c r="B475" s="94"/>
      <c r="C475" s="95"/>
      <c r="D475" s="96"/>
      <c r="E475" s="97"/>
      <c r="F475" s="97"/>
      <c r="G475" s="97"/>
      <c r="H475" s="97"/>
      <c r="I475" s="97"/>
      <c r="J475" s="501"/>
      <c r="K475" s="371"/>
      <c r="L475" s="501"/>
      <c r="M475" s="371"/>
      <c r="N475" s="371"/>
      <c r="O475" s="371"/>
      <c r="P475" s="98"/>
      <c r="Q475" s="99"/>
      <c r="R475" s="86"/>
    </row>
    <row r="476" spans="1:18" x14ac:dyDescent="0.2">
      <c r="A476" s="82"/>
      <c r="B476" s="94"/>
      <c r="C476" s="95"/>
      <c r="D476" s="96"/>
      <c r="E476" s="97"/>
      <c r="F476" s="97"/>
      <c r="G476" s="97"/>
      <c r="H476" s="97"/>
      <c r="I476" s="97"/>
      <c r="J476" s="501"/>
      <c r="K476" s="371"/>
      <c r="L476" s="501"/>
      <c r="M476" s="371"/>
      <c r="N476" s="371"/>
      <c r="O476" s="371"/>
      <c r="P476" s="98"/>
      <c r="Q476" s="99"/>
      <c r="R476" s="86"/>
    </row>
    <row r="477" spans="1:18" x14ac:dyDescent="0.2">
      <c r="A477" s="82"/>
      <c r="B477" s="94"/>
      <c r="C477" s="95"/>
      <c r="D477" s="96"/>
      <c r="E477" s="97"/>
      <c r="F477" s="97"/>
      <c r="G477" s="97"/>
      <c r="H477" s="97"/>
      <c r="I477" s="97"/>
      <c r="J477" s="501"/>
      <c r="K477" s="371"/>
      <c r="L477" s="501"/>
      <c r="M477" s="371"/>
      <c r="N477" s="371"/>
      <c r="O477" s="371"/>
      <c r="P477" s="98"/>
      <c r="Q477" s="99"/>
      <c r="R477" s="86"/>
    </row>
    <row r="478" spans="1:18" x14ac:dyDescent="0.2">
      <c r="A478" s="82"/>
      <c r="B478" s="94" t="b">
        <f>清单!B1072</f>
        <v>0</v>
      </c>
      <c r="C478" s="95" t="str">
        <f ca="1">语言!A1607</f>
        <v>天狗鹫</v>
      </c>
      <c r="D478" s="96">
        <v>4</v>
      </c>
      <c r="E478" s="97"/>
      <c r="F478" s="97"/>
      <c r="G478" s="97"/>
      <c r="H478" s="97"/>
      <c r="I478" s="97"/>
      <c r="J478" s="501" t="str">
        <f ca="1">道具!C$12</f>
        <v>ＨＰ／ＳＰ恢复的果酱</v>
      </c>
      <c r="K478" s="371"/>
      <c r="L478" s="501" t="str">
        <f ca="1">语言!$A$1630</f>
        <v>无法捕获</v>
      </c>
      <c r="M478" s="371"/>
      <c r="N478" s="371"/>
      <c r="O478" s="371"/>
      <c r="P478" s="98" t="str">
        <f ca="1">语言!A$475&amp;" (46)"</f>
        <v>卢贝之森 (46)</v>
      </c>
      <c r="Q478" s="99" t="s">
        <v>100</v>
      </c>
      <c r="R478" s="86"/>
    </row>
    <row r="479" spans="1:18" x14ac:dyDescent="0.2">
      <c r="A479" s="82"/>
      <c r="B479" s="94" t="b">
        <f>清单!B126</f>
        <v>0</v>
      </c>
      <c r="C479" s="95" t="str">
        <f ca="1">语言!A1608</f>
        <v>盗贼团的手下 I</v>
      </c>
      <c r="D479" s="101">
        <v>4</v>
      </c>
      <c r="E479" s="97"/>
      <c r="F479" s="97"/>
      <c r="G479" s="97"/>
      <c r="H479" s="97"/>
      <c r="I479" s="106"/>
      <c r="J479" s="503" t="str">
        <f ca="1">道具!C$9</f>
        <v>ＢＰ恢复的石榴</v>
      </c>
      <c r="K479" s="371"/>
      <c r="L479" s="501" t="str">
        <f ca="1">语言!$A$1630</f>
        <v>无法捕获</v>
      </c>
      <c r="M479" s="371"/>
      <c r="N479" s="371"/>
      <c r="O479" s="371"/>
      <c r="P479" s="98" t="str">
        <f ca="1">语言!A$340</f>
        <v>诺斯利奇</v>
      </c>
      <c r="Q479" s="99" t="s">
        <v>101</v>
      </c>
      <c r="R479" s="80"/>
    </row>
    <row r="480" spans="1:18" x14ac:dyDescent="0.2">
      <c r="A480" s="82"/>
      <c r="B480" s="94" t="b">
        <f>清单!B127</f>
        <v>0</v>
      </c>
      <c r="C480" s="95" t="str">
        <f ca="1">语言!A1609</f>
        <v>盗贼团的手下 II</v>
      </c>
      <c r="D480" s="101">
        <v>4</v>
      </c>
      <c r="E480" s="97"/>
      <c r="F480" s="97"/>
      <c r="G480" s="97"/>
      <c r="H480" s="97"/>
      <c r="I480" s="106"/>
      <c r="J480" s="503" t="str">
        <f ca="1">道具!C$6</f>
        <v>ＳＰ恢复的李子</v>
      </c>
      <c r="K480" s="371"/>
      <c r="L480" s="501" t="str">
        <f ca="1">语言!$A$1630</f>
        <v>无法捕获</v>
      </c>
      <c r="M480" s="371"/>
      <c r="N480" s="371"/>
      <c r="O480" s="371"/>
      <c r="P480" s="98" t="str">
        <f ca="1">语言!A$340</f>
        <v>诺斯利奇</v>
      </c>
      <c r="Q480" s="99" t="s">
        <v>101</v>
      </c>
      <c r="R480" s="80"/>
    </row>
    <row r="481" spans="1:18" x14ac:dyDescent="0.2">
      <c r="A481" s="82"/>
      <c r="B481" s="94" t="b">
        <f>清单!B143</f>
        <v>0</v>
      </c>
      <c r="C481" s="95" t="str">
        <f ca="1">语言!A1610</f>
        <v>达留斯</v>
      </c>
      <c r="D481" s="96">
        <v>4</v>
      </c>
      <c r="E481" s="97"/>
      <c r="F481" s="97"/>
      <c r="G481" s="97"/>
      <c r="H481" s="97"/>
      <c r="I481" s="97"/>
      <c r="J481" s="502" t="str">
        <f ca="1">道具!C$109</f>
        <v>鲜红的苹果</v>
      </c>
      <c r="K481" s="371"/>
      <c r="L481" s="501" t="str">
        <f ca="1">语言!$A$1630</f>
        <v>无法捕获</v>
      </c>
      <c r="M481" s="371"/>
      <c r="N481" s="371"/>
      <c r="O481" s="371"/>
      <c r="P481" s="98" t="str">
        <f ca="1">语言!A$344&amp;" (46)"</f>
        <v>废教会地下 (46)</v>
      </c>
      <c r="Q481" s="99" t="s">
        <v>101</v>
      </c>
      <c r="R481" s="80"/>
    </row>
    <row r="482" spans="1:18" x14ac:dyDescent="0.2">
      <c r="A482" s="82"/>
      <c r="B482" s="94" t="b">
        <f>清单!B784</f>
        <v>0</v>
      </c>
      <c r="C482" s="95" t="str">
        <f ca="1">语言!A1611</f>
        <v>红眼</v>
      </c>
      <c r="D482" s="96">
        <v>5</v>
      </c>
      <c r="E482" s="97"/>
      <c r="F482" s="97"/>
      <c r="G482" s="97"/>
      <c r="H482" s="97"/>
      <c r="I482" s="97"/>
      <c r="J482" s="501" t="str">
        <f ca="1">道具!C$17</f>
        <v>复活的橄榄（特大）</v>
      </c>
      <c r="K482" s="371"/>
      <c r="L482" s="501" t="str">
        <f ca="1">语言!$A$1630</f>
        <v>无法捕获</v>
      </c>
      <c r="M482" s="371"/>
      <c r="N482" s="371"/>
      <c r="O482" s="371"/>
      <c r="P482" s="98" t="str">
        <f ca="1">语言!A$433&amp;" (46)"</f>
        <v>灰色沙丘遗迹 (46)</v>
      </c>
      <c r="Q482" s="99" t="s">
        <v>102</v>
      </c>
      <c r="R482" s="86"/>
    </row>
    <row r="483" spans="1:18" x14ac:dyDescent="0.2">
      <c r="A483" s="82"/>
      <c r="B483" s="94"/>
      <c r="C483" s="95"/>
      <c r="D483" s="96"/>
      <c r="E483" s="97"/>
      <c r="F483" s="97"/>
      <c r="G483" s="97"/>
      <c r="H483" s="97"/>
      <c r="I483" s="97"/>
      <c r="J483" s="501"/>
      <c r="K483" s="371"/>
      <c r="L483" s="501"/>
      <c r="M483" s="371"/>
      <c r="N483" s="371"/>
      <c r="O483" s="371"/>
      <c r="P483" s="98"/>
      <c r="Q483" s="99"/>
      <c r="R483" s="86"/>
    </row>
    <row r="484" spans="1:18" x14ac:dyDescent="0.2">
      <c r="A484" s="82"/>
      <c r="B484" s="94"/>
      <c r="C484" s="95"/>
      <c r="D484" s="96"/>
      <c r="E484" s="97"/>
      <c r="F484" s="97"/>
      <c r="G484" s="97"/>
      <c r="H484" s="97"/>
      <c r="I484" s="97"/>
      <c r="J484" s="501"/>
      <c r="K484" s="371"/>
      <c r="L484" s="501"/>
      <c r="M484" s="371"/>
      <c r="N484" s="371"/>
      <c r="O484" s="371"/>
      <c r="P484" s="98"/>
      <c r="Q484" s="99"/>
      <c r="R484" s="86"/>
    </row>
    <row r="485" spans="1:18" x14ac:dyDescent="0.2">
      <c r="A485" s="82"/>
      <c r="B485" s="94" t="b">
        <f>清单!B266</f>
        <v>0</v>
      </c>
      <c r="C485" s="95" t="str">
        <f ca="1">语言!A1612</f>
        <v>占星师史黛欧拉</v>
      </c>
      <c r="D485" s="96">
        <v>7</v>
      </c>
      <c r="E485" s="97"/>
      <c r="F485" s="97"/>
      <c r="G485" s="97"/>
      <c r="H485" s="97"/>
      <c r="I485" s="97"/>
      <c r="J485" s="501" t="str">
        <f ca="1">道具!C$12</f>
        <v>ＨＰ／ＳＰ恢复的果酱</v>
      </c>
      <c r="K485" s="371"/>
      <c r="L485" s="501" t="str">
        <f ca="1">语言!$A$1630</f>
        <v>无法捕获</v>
      </c>
      <c r="M485" s="371"/>
      <c r="N485" s="371"/>
      <c r="O485" s="371"/>
      <c r="P485" s="98" t="str">
        <f ca="1">语言!A$363&amp;" (50)"</f>
        <v>占星师的祠堂 (50)</v>
      </c>
      <c r="Q485" s="99" t="s">
        <v>103</v>
      </c>
      <c r="R485" s="86"/>
    </row>
    <row r="486" spans="1:18" x14ac:dyDescent="0.2">
      <c r="A486" s="82"/>
      <c r="B486" s="94"/>
      <c r="C486" s="95"/>
      <c r="D486" s="96">
        <v>4</v>
      </c>
      <c r="E486" s="97"/>
      <c r="F486" s="97"/>
      <c r="G486" s="97"/>
      <c r="H486" s="97"/>
      <c r="I486" s="96"/>
      <c r="J486" s="501"/>
      <c r="K486" s="371"/>
      <c r="L486" s="523"/>
      <c r="M486" s="371"/>
      <c r="N486" s="371"/>
      <c r="O486" s="371"/>
      <c r="P486" s="107"/>
      <c r="Q486" s="99"/>
      <c r="R486" s="86"/>
    </row>
    <row r="487" spans="1:18" x14ac:dyDescent="0.2">
      <c r="A487" s="82"/>
      <c r="B487" s="94"/>
      <c r="C487" s="95"/>
      <c r="D487" s="96">
        <v>12</v>
      </c>
      <c r="E487" s="97"/>
      <c r="F487" s="97"/>
      <c r="G487" s="97"/>
      <c r="H487" s="97"/>
      <c r="I487" s="96"/>
      <c r="J487" s="501"/>
      <c r="K487" s="371"/>
      <c r="L487" s="523"/>
      <c r="M487" s="371"/>
      <c r="N487" s="371"/>
      <c r="O487" s="371"/>
      <c r="P487" s="107"/>
      <c r="Q487" s="99"/>
      <c r="R487" s="86"/>
    </row>
    <row r="488" spans="1:18" x14ac:dyDescent="0.2">
      <c r="A488" s="82"/>
      <c r="B488" s="94"/>
      <c r="C488" s="95"/>
      <c r="D488" s="96">
        <v>8</v>
      </c>
      <c r="E488" s="97"/>
      <c r="F488" s="97"/>
      <c r="G488" s="97"/>
      <c r="H488" s="97"/>
      <c r="I488" s="96"/>
      <c r="J488" s="501"/>
      <c r="K488" s="371"/>
      <c r="L488" s="523"/>
      <c r="M488" s="371"/>
      <c r="N488" s="371"/>
      <c r="O488" s="371"/>
      <c r="P488" s="107"/>
      <c r="Q488" s="99"/>
      <c r="R488" s="86"/>
    </row>
    <row r="489" spans="1:18" x14ac:dyDescent="0.2">
      <c r="A489" s="82"/>
      <c r="B489" s="94" t="b">
        <f>清单!B595</f>
        <v>0</v>
      </c>
      <c r="C489" s="94" t="str">
        <f ca="1">语言!A1613</f>
        <v>魔剑士巴罗格</v>
      </c>
      <c r="D489" s="96">
        <v>5</v>
      </c>
      <c r="E489" s="97"/>
      <c r="F489" s="97"/>
      <c r="G489" s="97"/>
      <c r="H489" s="97"/>
      <c r="I489" s="97"/>
      <c r="J489" s="501" t="str">
        <f ca="1">道具!C$12</f>
        <v>ＨＰ／ＳＰ恢复的果酱</v>
      </c>
      <c r="K489" s="371"/>
      <c r="L489" s="501" t="str">
        <f ca="1">语言!$A$1630</f>
        <v>无法捕获</v>
      </c>
      <c r="M489" s="371"/>
      <c r="N489" s="371"/>
      <c r="O489" s="371"/>
      <c r="P489" s="98" t="str">
        <f ca="1">语言!A$408&amp;" (50)"</f>
        <v>魔剑士的祠堂 (50)</v>
      </c>
      <c r="Q489" s="99" t="s">
        <v>104</v>
      </c>
      <c r="R489" s="86"/>
    </row>
    <row r="490" spans="1:18" x14ac:dyDescent="0.2">
      <c r="A490" s="82"/>
      <c r="B490" s="94" t="b">
        <f>清单!B911</f>
        <v>0</v>
      </c>
      <c r="C490" s="94" t="str">
        <f ca="1">语言!A1614</f>
        <v>豪武匠温希德</v>
      </c>
      <c r="D490" s="96">
        <v>5</v>
      </c>
      <c r="E490" s="97"/>
      <c r="F490" s="97"/>
      <c r="G490" s="97"/>
      <c r="H490" s="97"/>
      <c r="I490" s="96"/>
      <c r="J490" s="501" t="str">
        <f ca="1">道具!C$12</f>
        <v>ＨＰ／ＳＰ恢复的果酱</v>
      </c>
      <c r="K490" s="371"/>
      <c r="L490" s="501" t="str">
        <f ca="1">语言!$A$1630</f>
        <v>无法捕获</v>
      </c>
      <c r="M490" s="371"/>
      <c r="N490" s="371"/>
      <c r="O490" s="371"/>
      <c r="P490" s="98" t="str">
        <f ca="1">语言!A$453&amp;" (50)"</f>
        <v>豪武匠的祠堂 (50)</v>
      </c>
      <c r="Q490" s="99" t="s">
        <v>105</v>
      </c>
      <c r="R490" s="86"/>
    </row>
    <row r="491" spans="1:18" x14ac:dyDescent="0.2">
      <c r="A491" s="82"/>
      <c r="B491" s="94"/>
      <c r="C491" s="95"/>
      <c r="D491" s="96"/>
      <c r="E491" s="97"/>
      <c r="F491" s="97"/>
      <c r="G491" s="97"/>
      <c r="H491" s="97"/>
      <c r="I491" s="96"/>
      <c r="J491" s="501"/>
      <c r="K491" s="371"/>
      <c r="L491" s="501"/>
      <c r="M491" s="371"/>
      <c r="N491" s="371"/>
      <c r="O491" s="371"/>
      <c r="P491" s="98"/>
      <c r="Q491" s="99"/>
      <c r="R491" s="86"/>
    </row>
    <row r="492" spans="1:18" x14ac:dyDescent="0.2">
      <c r="A492" s="82"/>
      <c r="B492" s="94" t="b">
        <f>清单!B1211</f>
        <v>0</v>
      </c>
      <c r="C492" s="95" t="str">
        <f ca="1">语言!A1615</f>
        <v>魔大公德雷闪克</v>
      </c>
      <c r="D492" s="96">
        <v>4</v>
      </c>
      <c r="E492" s="97"/>
      <c r="F492" s="97"/>
      <c r="G492" s="97"/>
      <c r="H492" s="97"/>
      <c r="I492" s="97"/>
      <c r="J492" s="501" t="str">
        <f ca="1">道具!C$12</f>
        <v>ＨＰ／ＳＰ恢复的果酱</v>
      </c>
      <c r="K492" s="371"/>
      <c r="L492" s="501" t="str">
        <f ca="1">语言!$A$1630</f>
        <v>无法捕获</v>
      </c>
      <c r="M492" s="371"/>
      <c r="N492" s="371"/>
      <c r="O492" s="371"/>
      <c r="P492" s="98" t="str">
        <f ca="1">语言!A$494&amp;" (50)"</f>
        <v>魔大公的祠堂 (50)</v>
      </c>
      <c r="Q492" s="99" t="s">
        <v>106</v>
      </c>
      <c r="R492" s="86"/>
    </row>
    <row r="493" spans="1:18" x14ac:dyDescent="0.2">
      <c r="A493" s="82"/>
      <c r="B493" s="94"/>
      <c r="C493" s="95"/>
      <c r="D493" s="96"/>
      <c r="E493" s="97"/>
      <c r="F493" s="97"/>
      <c r="G493" s="97"/>
      <c r="H493" s="96"/>
      <c r="I493" s="96"/>
      <c r="J493" s="501"/>
      <c r="K493" s="371"/>
      <c r="L493" s="501"/>
      <c r="M493" s="371"/>
      <c r="N493" s="371"/>
      <c r="O493" s="371"/>
      <c r="P493" s="98"/>
      <c r="Q493" s="99"/>
      <c r="R493" s="86"/>
    </row>
    <row r="494" spans="1:18" x14ac:dyDescent="0.2">
      <c r="A494" s="82"/>
      <c r="B494" s="94"/>
      <c r="C494" s="95"/>
      <c r="D494" s="96"/>
      <c r="E494" s="97"/>
      <c r="F494" s="97"/>
      <c r="G494" s="97"/>
      <c r="H494" s="96"/>
      <c r="I494" s="96"/>
      <c r="J494" s="501"/>
      <c r="K494" s="371"/>
      <c r="L494" s="501"/>
      <c r="M494" s="371"/>
      <c r="N494" s="371"/>
      <c r="O494" s="371"/>
      <c r="P494" s="98"/>
      <c r="Q494" s="99"/>
      <c r="R494" s="86"/>
    </row>
    <row r="495" spans="1:18" x14ac:dyDescent="0.2">
      <c r="A495" s="82"/>
      <c r="B495" s="94"/>
      <c r="C495" s="95"/>
      <c r="D495" s="96"/>
      <c r="E495" s="97"/>
      <c r="F495" s="97"/>
      <c r="G495" s="97"/>
      <c r="H495" s="96"/>
      <c r="I495" s="96"/>
      <c r="J495" s="501"/>
      <c r="K495" s="371"/>
      <c r="L495" s="501"/>
      <c r="M495" s="371"/>
      <c r="N495" s="371"/>
      <c r="O495" s="371"/>
      <c r="P495" s="98"/>
      <c r="Q495" s="99"/>
      <c r="R495" s="86"/>
    </row>
    <row r="496" spans="1:18" x14ac:dyDescent="0.2">
      <c r="A496" s="82"/>
      <c r="B496" s="94" t="b">
        <f>清单!B30</f>
        <v>0</v>
      </c>
      <c r="C496" s="95" t="str">
        <f ca="1">语言!A1616</f>
        <v>冰之巨人约顿</v>
      </c>
      <c r="D496" s="96" t="s">
        <v>65</v>
      </c>
      <c r="E496" s="97"/>
      <c r="F496" s="97"/>
      <c r="G496" s="97"/>
      <c r="H496" s="97"/>
      <c r="I496" s="96"/>
      <c r="J496" s="501" t="str">
        <f ca="1">道具!F$68&amp;" (can't steal)"</f>
        <v>约顿之角 (can't steal)</v>
      </c>
      <c r="K496" s="371"/>
      <c r="L496" s="501" t="str">
        <f ca="1">语言!$A$1630</f>
        <v>无法捕获</v>
      </c>
      <c r="M496" s="371"/>
      <c r="N496" s="371"/>
      <c r="O496" s="371"/>
      <c r="P496" s="98" t="str">
        <f ca="1">语言!A$330&amp;" (25)"</f>
        <v>冰之洞窟 (25)</v>
      </c>
      <c r="Q496" s="99" t="s">
        <v>107</v>
      </c>
      <c r="R496" s="86"/>
    </row>
    <row r="497" spans="1:18" x14ac:dyDescent="0.2">
      <c r="A497" s="82"/>
      <c r="B497" s="94" t="b">
        <f>清单!B31</f>
        <v>0</v>
      </c>
      <c r="C497" s="95" t="str">
        <f ca="1">语言!A1617</f>
        <v>冰雪元素</v>
      </c>
      <c r="D497" s="96">
        <v>4</v>
      </c>
      <c r="E497" s="97"/>
      <c r="F497" s="97"/>
      <c r="G497" s="97"/>
      <c r="H497" s="97"/>
      <c r="I497" s="96"/>
      <c r="J497" s="501" t="str">
        <f ca="1">道具!C$34</f>
        <v>冰之精灵石（大）</v>
      </c>
      <c r="K497" s="371"/>
      <c r="L497" s="501" t="str">
        <f ca="1">语言!$A$1630</f>
        <v>无法捕获</v>
      </c>
      <c r="M497" s="371"/>
      <c r="N497" s="371"/>
      <c r="O497" s="371"/>
      <c r="P497" s="98" t="str">
        <f ca="1">语言!A$330&amp;" (25)"</f>
        <v>冰之洞窟 (25)</v>
      </c>
      <c r="Q497" s="99" t="s">
        <v>107</v>
      </c>
      <c r="R497" s="86"/>
    </row>
    <row r="498" spans="1:18" x14ac:dyDescent="0.2">
      <c r="A498" s="82"/>
      <c r="B498" s="94" t="b">
        <f>清单!B255</f>
        <v>0</v>
      </c>
      <c r="C498" s="95" t="str">
        <f ca="1">语言!A1618</f>
        <v>玛纳加尔姆</v>
      </c>
      <c r="D498" s="96">
        <v>6</v>
      </c>
      <c r="E498" s="97"/>
      <c r="F498" s="97"/>
      <c r="G498" s="97"/>
      <c r="H498" s="97"/>
      <c r="I498" s="96"/>
      <c r="J498" s="501" t="str">
        <f ca="1">道具!F$80&amp;" (can't steal)"</f>
        <v>大狼的獠牙 (can't steal)</v>
      </c>
      <c r="K498" s="371"/>
      <c r="L498" s="501" t="str">
        <f ca="1">语言!$A$1630</f>
        <v>无法捕获</v>
      </c>
      <c r="M498" s="371"/>
      <c r="N498" s="371"/>
      <c r="O498" s="371"/>
      <c r="P498" s="98" t="str">
        <f ca="1">语言!A$362&amp;" (58)"</f>
        <v>净化之森 (58)</v>
      </c>
      <c r="Q498" s="99" t="s">
        <v>108</v>
      </c>
      <c r="R498" s="86"/>
    </row>
    <row r="499" spans="1:18" x14ac:dyDescent="0.2">
      <c r="A499" s="82"/>
      <c r="B499" s="94" t="b">
        <f>清单!B256</f>
        <v>0</v>
      </c>
      <c r="C499" s="95" t="str">
        <f ca="1">语言!A1619</f>
        <v>骑士狼</v>
      </c>
      <c r="D499" s="96">
        <v>5</v>
      </c>
      <c r="E499" s="97"/>
      <c r="F499" s="97"/>
      <c r="G499" s="97"/>
      <c r="H499" s="96"/>
      <c r="I499" s="96"/>
      <c r="J499" s="501" t="str">
        <f ca="1">道具!C$5</f>
        <v>ＨＰ全体恢复的葡萄</v>
      </c>
      <c r="K499" s="371"/>
      <c r="L499" s="501" t="str">
        <f ca="1">语言!$A$1630</f>
        <v>无法捕获</v>
      </c>
      <c r="M499" s="371"/>
      <c r="N499" s="371"/>
      <c r="O499" s="371"/>
      <c r="P499" s="98" t="str">
        <f ca="1">语言!A$362&amp;" (58)"</f>
        <v>净化之森 (58)</v>
      </c>
      <c r="Q499" s="99" t="s">
        <v>108</v>
      </c>
      <c r="R499" s="86"/>
    </row>
    <row r="500" spans="1:18" x14ac:dyDescent="0.2">
      <c r="A500" s="82"/>
      <c r="B500" s="94" t="b">
        <f>清单!B359</f>
        <v>0</v>
      </c>
      <c r="C500" s="95" t="str">
        <f ca="1">语言!A1620</f>
        <v>海兽</v>
      </c>
      <c r="D500" s="96">
        <v>4</v>
      </c>
      <c r="E500" s="97"/>
      <c r="F500" s="97"/>
      <c r="G500" s="97"/>
      <c r="H500" s="97"/>
      <c r="I500" s="97"/>
      <c r="J500" s="501" t="str">
        <f ca="1">道具!C$17</f>
        <v>复活的橄榄（特大）</v>
      </c>
      <c r="K500" s="371"/>
      <c r="L500" s="501" t="str">
        <f ca="1">语言!$A$1630</f>
        <v>无法捕获</v>
      </c>
      <c r="M500" s="371"/>
      <c r="N500" s="371"/>
      <c r="O500" s="371"/>
      <c r="P500" s="98" t="str">
        <f ca="1">语言!A$377&amp;" (35)"</f>
        <v>噬船海穴 (35)</v>
      </c>
      <c r="Q500" s="99" t="s">
        <v>109</v>
      </c>
      <c r="R500" s="86"/>
    </row>
    <row r="501" spans="1:18" x14ac:dyDescent="0.2">
      <c r="A501" s="82"/>
      <c r="B501" s="94" t="b">
        <f>清单!B360</f>
        <v>0</v>
      </c>
      <c r="C501" s="95" t="str">
        <f ca="1">语言!A1621</f>
        <v>海泣海胆</v>
      </c>
      <c r="D501" s="96">
        <v>4</v>
      </c>
      <c r="E501" s="97"/>
      <c r="F501" s="97"/>
      <c r="G501" s="97"/>
      <c r="H501" s="97"/>
      <c r="I501" s="96"/>
      <c r="J501" s="501" t="str">
        <f ca="1">道具!C$7</f>
        <v>ＳＰ恢复的李子（大）</v>
      </c>
      <c r="K501" s="371"/>
      <c r="L501" s="501" t="str">
        <f ca="1">语言!$A$1630</f>
        <v>无法捕获</v>
      </c>
      <c r="M501" s="371"/>
      <c r="N501" s="371"/>
      <c r="O501" s="371"/>
      <c r="P501" s="98" t="str">
        <f ca="1">语言!A$377&amp;" (35)"</f>
        <v>噬船海穴 (35)</v>
      </c>
      <c r="Q501" s="99" t="s">
        <v>109</v>
      </c>
      <c r="R501" s="86"/>
    </row>
    <row r="502" spans="1:18" x14ac:dyDescent="0.2">
      <c r="A502" s="82"/>
      <c r="B502" s="94" t="b">
        <f>清单!B361</f>
        <v>0</v>
      </c>
      <c r="C502" s="95" t="str">
        <f ca="1">语言!A1622</f>
        <v>红锈海胆</v>
      </c>
      <c r="D502" s="96">
        <v>3</v>
      </c>
      <c r="E502" s="97"/>
      <c r="F502" s="97"/>
      <c r="G502" s="97"/>
      <c r="H502" s="97"/>
      <c r="I502" s="96"/>
      <c r="J502" s="501" t="str">
        <f ca="1">道具!C$10</f>
        <v>ＢＰ恢复的石榴（大）</v>
      </c>
      <c r="K502" s="371"/>
      <c r="L502" s="501" t="str">
        <f ca="1">语言!$A$1630</f>
        <v>无法捕获</v>
      </c>
      <c r="M502" s="371"/>
      <c r="N502" s="371"/>
      <c r="O502" s="371"/>
      <c r="P502" s="98" t="str">
        <f ca="1">语言!A$377&amp;" (35)"</f>
        <v>噬船海穴 (35)</v>
      </c>
      <c r="Q502" s="99" t="s">
        <v>109</v>
      </c>
      <c r="R502" s="86"/>
    </row>
    <row r="503" spans="1:18" x14ac:dyDescent="0.2">
      <c r="A503" s="82"/>
      <c r="B503" s="94" t="b">
        <f>清单!B692</f>
        <v>0</v>
      </c>
      <c r="C503" s="95" t="str">
        <f ca="1">语言!A1623</f>
        <v>巨大蛇</v>
      </c>
      <c r="D503" s="96">
        <v>5</v>
      </c>
      <c r="E503" s="97"/>
      <c r="F503" s="97"/>
      <c r="G503" s="97"/>
      <c r="H503" s="97"/>
      <c r="I503" s="96"/>
      <c r="J503" s="501" t="str">
        <f ca="1">道具!C$11</f>
        <v>ＢＰ恢复的石榴（特大）</v>
      </c>
      <c r="K503" s="371"/>
      <c r="L503" s="501" t="str">
        <f ca="1">语言!$A$1630</f>
        <v>无法捕获</v>
      </c>
      <c r="M503" s="371"/>
      <c r="N503" s="371"/>
      <c r="O503" s="371"/>
      <c r="P503" s="98" t="str">
        <f ca="1">语言!A$423&amp;" (40)"</f>
        <v>流沙洞窟 (40)</v>
      </c>
      <c r="Q503" s="99" t="s">
        <v>110</v>
      </c>
      <c r="R503" s="86"/>
    </row>
    <row r="504" spans="1:18" x14ac:dyDescent="0.2">
      <c r="A504" s="82"/>
      <c r="B504" s="94" t="b">
        <f>清单!B693</f>
        <v>0</v>
      </c>
      <c r="C504" s="95" t="str">
        <f ca="1">语言!A1624</f>
        <v>操蛇人</v>
      </c>
      <c r="D504" s="96">
        <v>5</v>
      </c>
      <c r="E504" s="97"/>
      <c r="F504" s="97"/>
      <c r="G504" s="97"/>
      <c r="H504" s="97"/>
      <c r="I504" s="97"/>
      <c r="J504" s="501" t="str">
        <f ca="1">道具!C$22</f>
        <v>睡眠治疗药草</v>
      </c>
      <c r="K504" s="371"/>
      <c r="L504" s="501" t="str">
        <f ca="1">语言!$A$1630</f>
        <v>无法捕获</v>
      </c>
      <c r="M504" s="371"/>
      <c r="N504" s="371"/>
      <c r="O504" s="371"/>
      <c r="P504" s="98" t="str">
        <f ca="1">语言!A$423&amp;" (40)"</f>
        <v>流沙洞窟 (40)</v>
      </c>
      <c r="Q504" s="99" t="s">
        <v>110</v>
      </c>
      <c r="R504" s="86"/>
    </row>
    <row r="505" spans="1:18" x14ac:dyDescent="0.2">
      <c r="A505" s="82"/>
      <c r="B505" s="94" t="b">
        <f>清单!B1095</f>
        <v>0</v>
      </c>
      <c r="C505" s="95" t="str">
        <f ca="1">语言!A1625</f>
        <v>碧眼之虎</v>
      </c>
      <c r="D505" s="96">
        <v>4</v>
      </c>
      <c r="E505" s="97"/>
      <c r="F505" s="97"/>
      <c r="G505" s="97"/>
      <c r="H505" s="97"/>
      <c r="I505" s="97"/>
      <c r="J505" s="501" t="str">
        <f ca="1">道具!C$8</f>
        <v>ＳＰ全体恢复的李子</v>
      </c>
      <c r="K505" s="371"/>
      <c r="L505" s="501" t="str">
        <f ca="1">语言!$A$1630</f>
        <v>无法捕获</v>
      </c>
      <c r="M505" s="371"/>
      <c r="N505" s="371"/>
      <c r="O505" s="371"/>
      <c r="P505" s="98" t="str">
        <f ca="1">语言!A$479&amp;" (11)"</f>
        <v>西希・沃尔基森道 (11)</v>
      </c>
      <c r="Q505" s="99" t="s">
        <v>111</v>
      </c>
      <c r="R505" s="86"/>
    </row>
    <row r="506" spans="1:18" x14ac:dyDescent="0.2">
      <c r="A506" s="82"/>
      <c r="B506" s="94" t="b">
        <f>清单!B1149</f>
        <v>0</v>
      </c>
      <c r="C506" s="95" t="str">
        <f ca="1">语言!A1626</f>
        <v>盗贼团头目</v>
      </c>
      <c r="D506" s="96">
        <v>5</v>
      </c>
      <c r="E506" s="97"/>
      <c r="F506" s="97"/>
      <c r="G506" s="97"/>
      <c r="H506" s="97"/>
      <c r="I506" s="96"/>
      <c r="J506" s="501" t="str">
        <f ca="1">道具!C$3</f>
        <v>ＨＰ恢复的葡萄</v>
      </c>
      <c r="K506" s="371"/>
      <c r="L506" s="501" t="str">
        <f ca="1">语言!$A$1630</f>
        <v>无法捕获</v>
      </c>
      <c r="M506" s="371"/>
      <c r="N506" s="371"/>
      <c r="O506" s="371"/>
      <c r="P506" s="98" t="str">
        <f ca="1">语言!A$488&amp;" (48)"</f>
        <v>不归之森 (48)</v>
      </c>
      <c r="Q506" s="99" t="s">
        <v>112</v>
      </c>
      <c r="R506" s="86"/>
    </row>
    <row r="507" spans="1:18" x14ac:dyDescent="0.2">
      <c r="A507" s="82"/>
      <c r="B507" s="94" t="b">
        <f>清单!B1144</f>
        <v>0</v>
      </c>
      <c r="C507" s="95" t="str">
        <f ca="1">语言!A1627</f>
        <v>食人花</v>
      </c>
      <c r="D507" s="96">
        <v>4</v>
      </c>
      <c r="E507" s="97"/>
      <c r="F507" s="97"/>
      <c r="G507" s="97"/>
      <c r="H507" s="97"/>
      <c r="I507" s="96"/>
      <c r="J507" s="501" t="str">
        <f ca="1">道具!C$12</f>
        <v>ＨＰ／ＳＰ恢复的果酱</v>
      </c>
      <c r="K507" s="371"/>
      <c r="L507" s="501" t="str">
        <f ca="1">语言!$A$1630</f>
        <v>无法捕获</v>
      </c>
      <c r="M507" s="371"/>
      <c r="N507" s="371"/>
      <c r="O507" s="371"/>
      <c r="P507" s="98" t="str">
        <f ca="1">语言!A$488&amp;" (48)"</f>
        <v>不归之森 (48)</v>
      </c>
      <c r="Q507" s="99" t="s">
        <v>113</v>
      </c>
      <c r="R507" s="86"/>
    </row>
    <row r="508" spans="1:18" x14ac:dyDescent="0.2">
      <c r="A508" s="82"/>
      <c r="B508" s="94"/>
      <c r="C508" s="95"/>
      <c r="D508" s="96"/>
      <c r="E508" s="97"/>
      <c r="F508" s="97"/>
      <c r="G508" s="97"/>
      <c r="H508" s="96"/>
      <c r="I508" s="96"/>
      <c r="J508" s="501"/>
      <c r="K508" s="371"/>
      <c r="L508" s="501"/>
      <c r="M508" s="371"/>
      <c r="N508" s="371"/>
      <c r="O508" s="371"/>
      <c r="P508" s="98"/>
      <c r="Q508" s="99"/>
      <c r="R508" s="86"/>
    </row>
    <row r="509" spans="1:18" x14ac:dyDescent="0.2">
      <c r="A509" s="82"/>
      <c r="B509" s="94"/>
      <c r="C509" s="95"/>
      <c r="D509" s="96"/>
      <c r="E509" s="97"/>
      <c r="F509" s="97"/>
      <c r="G509" s="96"/>
      <c r="H509" s="96"/>
      <c r="I509" s="96"/>
      <c r="J509" s="501"/>
      <c r="K509" s="371"/>
      <c r="L509" s="501"/>
      <c r="M509" s="371"/>
      <c r="N509" s="371"/>
      <c r="O509" s="371"/>
      <c r="P509" s="98"/>
      <c r="Q509" s="99"/>
      <c r="R509" s="86"/>
    </row>
    <row r="510" spans="1:18" x14ac:dyDescent="0.2">
      <c r="A510" s="82"/>
      <c r="B510" s="94" t="b">
        <f>清单!B1147</f>
        <v>0</v>
      </c>
      <c r="C510" s="95" t="str">
        <f ca="1">语言!A1628</f>
        <v>食人猛菌</v>
      </c>
      <c r="D510" s="96">
        <v>7</v>
      </c>
      <c r="E510" s="97"/>
      <c r="F510" s="97"/>
      <c r="G510" s="97"/>
      <c r="H510" s="97"/>
      <c r="I510" s="96"/>
      <c r="J510" s="501" t="str">
        <f ca="1">道具!C$8</f>
        <v>ＳＰ全体恢复的李子</v>
      </c>
      <c r="K510" s="371"/>
      <c r="L510" s="501" t="str">
        <f ca="1">语言!$A$1630</f>
        <v>无法捕获</v>
      </c>
      <c r="M510" s="371"/>
      <c r="N510" s="371"/>
      <c r="O510" s="371"/>
      <c r="P510" s="98" t="str">
        <f ca="1">语言!A$488&amp;" (48)"</f>
        <v>不归之森 (48)</v>
      </c>
      <c r="Q510" s="99" t="s">
        <v>113</v>
      </c>
      <c r="R510" s="86"/>
    </row>
    <row r="511" spans="1:18" x14ac:dyDescent="0.2">
      <c r="A511" s="108"/>
      <c r="B511" s="108"/>
      <c r="C511" s="108"/>
      <c r="D511" s="109"/>
      <c r="E511" s="109"/>
      <c r="F511" s="109"/>
      <c r="G511" s="109"/>
      <c r="H511" s="109"/>
      <c r="I511" s="109"/>
      <c r="J511" s="504"/>
      <c r="K511" s="371"/>
      <c r="L511" s="504"/>
      <c r="M511" s="371"/>
      <c r="N511" s="371"/>
      <c r="O511" s="371"/>
      <c r="P511" s="110"/>
      <c r="Q511" s="111"/>
      <c r="R511" s="111"/>
    </row>
  </sheetData>
  <mergeCells count="1405">
    <mergeCell ref="L420:O420"/>
    <mergeCell ref="L421:O421"/>
    <mergeCell ref="L403:O403"/>
    <mergeCell ref="L404:O404"/>
    <mergeCell ref="L405:O405"/>
    <mergeCell ref="L406:O406"/>
    <mergeCell ref="L407:O407"/>
    <mergeCell ref="L408:O408"/>
    <mergeCell ref="L409:O409"/>
    <mergeCell ref="L410:O410"/>
    <mergeCell ref="L411:O411"/>
    <mergeCell ref="L412:O412"/>
    <mergeCell ref="L413:O413"/>
    <mergeCell ref="L414:O414"/>
    <mergeCell ref="L415:O415"/>
    <mergeCell ref="L416:O416"/>
    <mergeCell ref="L417:O417"/>
    <mergeCell ref="L418:O418"/>
    <mergeCell ref="L419:O419"/>
    <mergeCell ref="P385:Q385"/>
    <mergeCell ref="N387:O387"/>
    <mergeCell ref="P387:Q387"/>
    <mergeCell ref="N388:O388"/>
    <mergeCell ref="L390:O390"/>
    <mergeCell ref="L391:O391"/>
    <mergeCell ref="L392:O392"/>
    <mergeCell ref="L393:O393"/>
    <mergeCell ref="L394:O394"/>
    <mergeCell ref="L395:O395"/>
    <mergeCell ref="L396:O396"/>
    <mergeCell ref="L397:O397"/>
    <mergeCell ref="L398:O398"/>
    <mergeCell ref="L399:O399"/>
    <mergeCell ref="L400:O400"/>
    <mergeCell ref="L401:O401"/>
    <mergeCell ref="L402:O402"/>
    <mergeCell ref="P342:Q342"/>
    <mergeCell ref="P343:Q343"/>
    <mergeCell ref="P344:Q344"/>
    <mergeCell ref="P345:Q345"/>
    <mergeCell ref="P346:Q346"/>
    <mergeCell ref="N378:O378"/>
    <mergeCell ref="N379:O379"/>
    <mergeCell ref="P379:Q379"/>
    <mergeCell ref="N380:O380"/>
    <mergeCell ref="P380:Q380"/>
    <mergeCell ref="N381:O381"/>
    <mergeCell ref="P381:Q381"/>
    <mergeCell ref="N382:O382"/>
    <mergeCell ref="P382:Q382"/>
    <mergeCell ref="N383:O383"/>
    <mergeCell ref="P383:Q383"/>
    <mergeCell ref="N384:O384"/>
    <mergeCell ref="P384:Q384"/>
    <mergeCell ref="P325:Q325"/>
    <mergeCell ref="P326:Q326"/>
    <mergeCell ref="P327:Q327"/>
    <mergeCell ref="P328:Q328"/>
    <mergeCell ref="P329:Q329"/>
    <mergeCell ref="P330:Q330"/>
    <mergeCell ref="P331:Q331"/>
    <mergeCell ref="P332:Q332"/>
    <mergeCell ref="P333:Q333"/>
    <mergeCell ref="P334:Q334"/>
    <mergeCell ref="P335:Q335"/>
    <mergeCell ref="P336:Q336"/>
    <mergeCell ref="P337:Q337"/>
    <mergeCell ref="P338:Q338"/>
    <mergeCell ref="P339:Q339"/>
    <mergeCell ref="P340:Q340"/>
    <mergeCell ref="P341:Q341"/>
    <mergeCell ref="N334:O334"/>
    <mergeCell ref="N335:O335"/>
    <mergeCell ref="N336:O336"/>
    <mergeCell ref="N337:O337"/>
    <mergeCell ref="N338:O338"/>
    <mergeCell ref="P298:Q298"/>
    <mergeCell ref="P299:Q299"/>
    <mergeCell ref="P300:Q300"/>
    <mergeCell ref="P301:Q301"/>
    <mergeCell ref="P302:Q302"/>
    <mergeCell ref="P303:Q303"/>
    <mergeCell ref="P304:Q304"/>
    <mergeCell ref="P305:Q305"/>
    <mergeCell ref="P306:Q306"/>
    <mergeCell ref="P307:Q307"/>
    <mergeCell ref="P308:Q308"/>
    <mergeCell ref="P309:Q309"/>
    <mergeCell ref="P310:Q310"/>
    <mergeCell ref="P311:Q311"/>
    <mergeCell ref="P312:Q312"/>
    <mergeCell ref="P313:Q313"/>
    <mergeCell ref="P314:Q314"/>
    <mergeCell ref="P315:Q315"/>
    <mergeCell ref="P316:Q316"/>
    <mergeCell ref="P317:Q317"/>
    <mergeCell ref="P318:Q318"/>
    <mergeCell ref="P319:Q319"/>
    <mergeCell ref="P320:Q320"/>
    <mergeCell ref="P321:Q321"/>
    <mergeCell ref="P322:Q322"/>
    <mergeCell ref="P323:Q323"/>
    <mergeCell ref="P324:Q324"/>
    <mergeCell ref="N317:O317"/>
    <mergeCell ref="N318:O318"/>
    <mergeCell ref="N319:O319"/>
    <mergeCell ref="N320:O320"/>
    <mergeCell ref="N321:O321"/>
    <mergeCell ref="N322:O322"/>
    <mergeCell ref="N323:O323"/>
    <mergeCell ref="N324:O324"/>
    <mergeCell ref="N325:O325"/>
    <mergeCell ref="N326:O326"/>
    <mergeCell ref="N327:O327"/>
    <mergeCell ref="N328:O328"/>
    <mergeCell ref="N329:O329"/>
    <mergeCell ref="N330:O330"/>
    <mergeCell ref="N331:O331"/>
    <mergeCell ref="L332:O332"/>
    <mergeCell ref="L333:O333"/>
    <mergeCell ref="N300:O300"/>
    <mergeCell ref="N301:O301"/>
    <mergeCell ref="N302:O302"/>
    <mergeCell ref="N303:O303"/>
    <mergeCell ref="N304:O304"/>
    <mergeCell ref="N305:O305"/>
    <mergeCell ref="N306:O306"/>
    <mergeCell ref="N307:O307"/>
    <mergeCell ref="N308:O308"/>
    <mergeCell ref="N309:O309"/>
    <mergeCell ref="N310:O310"/>
    <mergeCell ref="N311:O311"/>
    <mergeCell ref="N312:O312"/>
    <mergeCell ref="N313:O313"/>
    <mergeCell ref="N314:O314"/>
    <mergeCell ref="N315:O315"/>
    <mergeCell ref="N316:O316"/>
    <mergeCell ref="P291:Q291"/>
    <mergeCell ref="P292:Q292"/>
    <mergeCell ref="P293:Q293"/>
    <mergeCell ref="P294:Q294"/>
    <mergeCell ref="P295:Q295"/>
    <mergeCell ref="P296:Q296"/>
    <mergeCell ref="P297:Q297"/>
    <mergeCell ref="N290:O290"/>
    <mergeCell ref="N291:O291"/>
    <mergeCell ref="N292:O292"/>
    <mergeCell ref="N293:O293"/>
    <mergeCell ref="N294:O294"/>
    <mergeCell ref="N295:O295"/>
    <mergeCell ref="N296:O296"/>
    <mergeCell ref="N297:O297"/>
    <mergeCell ref="N298:O298"/>
    <mergeCell ref="N299:O299"/>
    <mergeCell ref="P274:Q274"/>
    <mergeCell ref="P275:Q275"/>
    <mergeCell ref="P276:Q276"/>
    <mergeCell ref="P277:Q277"/>
    <mergeCell ref="P278:Q278"/>
    <mergeCell ref="P279:Q279"/>
    <mergeCell ref="P280:Q280"/>
    <mergeCell ref="P281:Q281"/>
    <mergeCell ref="P282:Q282"/>
    <mergeCell ref="P283:Q283"/>
    <mergeCell ref="P284:Q284"/>
    <mergeCell ref="P285:Q285"/>
    <mergeCell ref="P286:Q286"/>
    <mergeCell ref="P287:Q287"/>
    <mergeCell ref="P288:Q288"/>
    <mergeCell ref="P289:Q289"/>
    <mergeCell ref="P290:Q290"/>
    <mergeCell ref="L283:O283"/>
    <mergeCell ref="N284:O284"/>
    <mergeCell ref="N285:O285"/>
    <mergeCell ref="N286:O286"/>
    <mergeCell ref="N287:O287"/>
    <mergeCell ref="N288:O288"/>
    <mergeCell ref="N289:O289"/>
    <mergeCell ref="P249:Q249"/>
    <mergeCell ref="P250:Q250"/>
    <mergeCell ref="P251:Q251"/>
    <mergeCell ref="P252:Q252"/>
    <mergeCell ref="P253:Q253"/>
    <mergeCell ref="P254:Q254"/>
    <mergeCell ref="P255:Q255"/>
    <mergeCell ref="P256:Q256"/>
    <mergeCell ref="P257:Q257"/>
    <mergeCell ref="P258:Q258"/>
    <mergeCell ref="P259:Q259"/>
    <mergeCell ref="P260:Q260"/>
    <mergeCell ref="P261:Q261"/>
    <mergeCell ref="P262:Q262"/>
    <mergeCell ref="P263:Q263"/>
    <mergeCell ref="P264:Q264"/>
    <mergeCell ref="P265:Q265"/>
    <mergeCell ref="P266:Q266"/>
    <mergeCell ref="P267:Q267"/>
    <mergeCell ref="P268:Q268"/>
    <mergeCell ref="P269:Q269"/>
    <mergeCell ref="P270:Q270"/>
    <mergeCell ref="P271:Q271"/>
    <mergeCell ref="P272:Q272"/>
    <mergeCell ref="P273:Q273"/>
    <mergeCell ref="N266:O266"/>
    <mergeCell ref="N267:O267"/>
    <mergeCell ref="N268:O268"/>
    <mergeCell ref="N269:O269"/>
    <mergeCell ref="N270:O270"/>
    <mergeCell ref="N271:O271"/>
    <mergeCell ref="N272:O272"/>
    <mergeCell ref="N273:O273"/>
    <mergeCell ref="L274:O274"/>
    <mergeCell ref="N275:O275"/>
    <mergeCell ref="L276:O276"/>
    <mergeCell ref="N277:O277"/>
    <mergeCell ref="N278:O278"/>
    <mergeCell ref="L279:O279"/>
    <mergeCell ref="N280:O280"/>
    <mergeCell ref="L281:O281"/>
    <mergeCell ref="N282:O282"/>
    <mergeCell ref="N249:O249"/>
    <mergeCell ref="N250:O250"/>
    <mergeCell ref="N251:O251"/>
    <mergeCell ref="N252:O252"/>
    <mergeCell ref="L253:O253"/>
    <mergeCell ref="L254:O254"/>
    <mergeCell ref="L255:O255"/>
    <mergeCell ref="N256:O256"/>
    <mergeCell ref="N257:O257"/>
    <mergeCell ref="N258:O258"/>
    <mergeCell ref="N259:O259"/>
    <mergeCell ref="N260:O260"/>
    <mergeCell ref="N261:O261"/>
    <mergeCell ref="N262:O262"/>
    <mergeCell ref="N263:O263"/>
    <mergeCell ref="N264:O264"/>
    <mergeCell ref="N265:O265"/>
    <mergeCell ref="P236:Q236"/>
    <mergeCell ref="P237:Q237"/>
    <mergeCell ref="P238:Q238"/>
    <mergeCell ref="P239:Q239"/>
    <mergeCell ref="P240:Q240"/>
    <mergeCell ref="P241:Q241"/>
    <mergeCell ref="P242:Q242"/>
    <mergeCell ref="P243:Q243"/>
    <mergeCell ref="P244:Q244"/>
    <mergeCell ref="P245:Q245"/>
    <mergeCell ref="P246:Q246"/>
    <mergeCell ref="P247:Q247"/>
    <mergeCell ref="P248:Q248"/>
    <mergeCell ref="N241:O241"/>
    <mergeCell ref="N242:O242"/>
    <mergeCell ref="L243:O243"/>
    <mergeCell ref="L244:O244"/>
    <mergeCell ref="L245:O245"/>
    <mergeCell ref="N246:O246"/>
    <mergeCell ref="N247:O247"/>
    <mergeCell ref="N248:O248"/>
    <mergeCell ref="L223:O223"/>
    <mergeCell ref="P223:Q223"/>
    <mergeCell ref="N224:O224"/>
    <mergeCell ref="P224:Q224"/>
    <mergeCell ref="N225:O225"/>
    <mergeCell ref="P225:Q225"/>
    <mergeCell ref="N226:O226"/>
    <mergeCell ref="P226:Q226"/>
    <mergeCell ref="P227:Q227"/>
    <mergeCell ref="P228:Q228"/>
    <mergeCell ref="P229:Q229"/>
    <mergeCell ref="P230:Q230"/>
    <mergeCell ref="P231:Q231"/>
    <mergeCell ref="P232:Q232"/>
    <mergeCell ref="P233:Q233"/>
    <mergeCell ref="P234:Q234"/>
    <mergeCell ref="P235:Q235"/>
    <mergeCell ref="N228:O228"/>
    <mergeCell ref="N229:O229"/>
    <mergeCell ref="N230:O230"/>
    <mergeCell ref="L231:O231"/>
    <mergeCell ref="L232:O232"/>
    <mergeCell ref="N233:O233"/>
    <mergeCell ref="L234:O234"/>
    <mergeCell ref="L235:O235"/>
    <mergeCell ref="L236:O236"/>
    <mergeCell ref="N237:O237"/>
    <mergeCell ref="N238:O238"/>
    <mergeCell ref="N239:O239"/>
    <mergeCell ref="N240:O240"/>
    <mergeCell ref="P205:Q205"/>
    <mergeCell ref="P206:Q206"/>
    <mergeCell ref="P207:Q207"/>
    <mergeCell ref="P208:Q208"/>
    <mergeCell ref="P209:Q209"/>
    <mergeCell ref="P210:Q210"/>
    <mergeCell ref="P211:Q211"/>
    <mergeCell ref="P212:Q212"/>
    <mergeCell ref="P213:Q213"/>
    <mergeCell ref="L218:O218"/>
    <mergeCell ref="P218:Q218"/>
    <mergeCell ref="L219:O219"/>
    <mergeCell ref="P219:Q219"/>
    <mergeCell ref="P220:Q220"/>
    <mergeCell ref="N220:O220"/>
    <mergeCell ref="N221:O221"/>
    <mergeCell ref="P221:Q221"/>
    <mergeCell ref="L222:O222"/>
    <mergeCell ref="P222:Q222"/>
    <mergeCell ref="L454:O454"/>
    <mergeCell ref="L455:O455"/>
    <mergeCell ref="L456:O456"/>
    <mergeCell ref="L457:O457"/>
    <mergeCell ref="L458:O458"/>
    <mergeCell ref="L459:O459"/>
    <mergeCell ref="L460:O460"/>
    <mergeCell ref="L461:O461"/>
    <mergeCell ref="L462:O462"/>
    <mergeCell ref="L463:O463"/>
    <mergeCell ref="L464:O464"/>
    <mergeCell ref="L465:O465"/>
    <mergeCell ref="L466:O466"/>
    <mergeCell ref="L467:O467"/>
    <mergeCell ref="L468:O468"/>
    <mergeCell ref="L469:O469"/>
    <mergeCell ref="L470:O470"/>
    <mergeCell ref="L437:O437"/>
    <mergeCell ref="L438:O438"/>
    <mergeCell ref="L439:O439"/>
    <mergeCell ref="L440:O440"/>
    <mergeCell ref="L441:O441"/>
    <mergeCell ref="L442:O442"/>
    <mergeCell ref="L443:O443"/>
    <mergeCell ref="L444:O444"/>
    <mergeCell ref="L445:O445"/>
    <mergeCell ref="L446:O446"/>
    <mergeCell ref="L447:O447"/>
    <mergeCell ref="L448:O448"/>
    <mergeCell ref="L449:O449"/>
    <mergeCell ref="L450:O450"/>
    <mergeCell ref="L451:O451"/>
    <mergeCell ref="L452:O452"/>
    <mergeCell ref="L453:O453"/>
    <mergeCell ref="L492:O492"/>
    <mergeCell ref="L493:O493"/>
    <mergeCell ref="L494:O494"/>
    <mergeCell ref="L495:O495"/>
    <mergeCell ref="L496:O496"/>
    <mergeCell ref="L497:O497"/>
    <mergeCell ref="L498:O498"/>
    <mergeCell ref="L506:O506"/>
    <mergeCell ref="L507:O507"/>
    <mergeCell ref="L508:O508"/>
    <mergeCell ref="L509:O509"/>
    <mergeCell ref="L510:O510"/>
    <mergeCell ref="L511:O511"/>
    <mergeCell ref="L499:O499"/>
    <mergeCell ref="L500:O500"/>
    <mergeCell ref="L501:O501"/>
    <mergeCell ref="L502:O502"/>
    <mergeCell ref="L503:O503"/>
    <mergeCell ref="L504:O504"/>
    <mergeCell ref="L505:O505"/>
    <mergeCell ref="L475:O475"/>
    <mergeCell ref="L476:O476"/>
    <mergeCell ref="L477:O477"/>
    <mergeCell ref="L478:O478"/>
    <mergeCell ref="L479:O479"/>
    <mergeCell ref="L480:O480"/>
    <mergeCell ref="L481:O481"/>
    <mergeCell ref="L482:O482"/>
    <mergeCell ref="L483:O483"/>
    <mergeCell ref="L484:O484"/>
    <mergeCell ref="L485:O485"/>
    <mergeCell ref="L486:O486"/>
    <mergeCell ref="L487:O487"/>
    <mergeCell ref="L488:O488"/>
    <mergeCell ref="L489:O489"/>
    <mergeCell ref="L490:O490"/>
    <mergeCell ref="L491:O491"/>
    <mergeCell ref="P378:Q378"/>
    <mergeCell ref="N367:O367"/>
    <mergeCell ref="N368:O368"/>
    <mergeCell ref="N369:O369"/>
    <mergeCell ref="N370:O370"/>
    <mergeCell ref="N371:O371"/>
    <mergeCell ref="N372:O372"/>
    <mergeCell ref="N373:O373"/>
    <mergeCell ref="N385:O385"/>
    <mergeCell ref="L386:O386"/>
    <mergeCell ref="P386:Q386"/>
    <mergeCell ref="A389:C389"/>
    <mergeCell ref="D389:Q389"/>
    <mergeCell ref="L471:O471"/>
    <mergeCell ref="L472:O472"/>
    <mergeCell ref="L473:O473"/>
    <mergeCell ref="L474:O474"/>
    <mergeCell ref="L422:O422"/>
    <mergeCell ref="L423:O423"/>
    <mergeCell ref="L424:O424"/>
    <mergeCell ref="L425:O425"/>
    <mergeCell ref="L426:O426"/>
    <mergeCell ref="L427:O427"/>
    <mergeCell ref="L428:O428"/>
    <mergeCell ref="L429:O429"/>
    <mergeCell ref="L430:O430"/>
    <mergeCell ref="L431:O431"/>
    <mergeCell ref="L432:O432"/>
    <mergeCell ref="L433:O433"/>
    <mergeCell ref="L434:O434"/>
    <mergeCell ref="L435:O435"/>
    <mergeCell ref="L436:O436"/>
    <mergeCell ref="L353:O353"/>
    <mergeCell ref="L354:O354"/>
    <mergeCell ref="N355:O355"/>
    <mergeCell ref="N356:O356"/>
    <mergeCell ref="N357:O357"/>
    <mergeCell ref="N358:O358"/>
    <mergeCell ref="N359:O359"/>
    <mergeCell ref="N360:O360"/>
    <mergeCell ref="N361:O361"/>
    <mergeCell ref="N362:O362"/>
    <mergeCell ref="N363:O363"/>
    <mergeCell ref="N364:O364"/>
    <mergeCell ref="N365:O365"/>
    <mergeCell ref="N366:O366"/>
    <mergeCell ref="L374:O374"/>
    <mergeCell ref="L375:O375"/>
    <mergeCell ref="A377:C377"/>
    <mergeCell ref="D377:Q377"/>
    <mergeCell ref="P353:Q353"/>
    <mergeCell ref="P354:Q354"/>
    <mergeCell ref="P355:Q355"/>
    <mergeCell ref="P356:Q356"/>
    <mergeCell ref="P357:Q357"/>
    <mergeCell ref="P358:Q358"/>
    <mergeCell ref="P359:Q359"/>
    <mergeCell ref="P360:Q360"/>
    <mergeCell ref="P368:Q368"/>
    <mergeCell ref="P369:Q369"/>
    <mergeCell ref="P370:Q370"/>
    <mergeCell ref="P371:Q371"/>
    <mergeCell ref="P372:Q372"/>
    <mergeCell ref="P373:Q373"/>
    <mergeCell ref="P374:Q374"/>
    <mergeCell ref="P375:Q375"/>
    <mergeCell ref="P361:Q361"/>
    <mergeCell ref="P362:Q362"/>
    <mergeCell ref="P363:Q363"/>
    <mergeCell ref="P364:Q364"/>
    <mergeCell ref="P365:Q365"/>
    <mergeCell ref="P366:Q366"/>
    <mergeCell ref="P367:Q367"/>
    <mergeCell ref="N216:O216"/>
    <mergeCell ref="P216:Q216"/>
    <mergeCell ref="N217:O217"/>
    <mergeCell ref="P217:Q217"/>
    <mergeCell ref="N211:O211"/>
    <mergeCell ref="N212:O212"/>
    <mergeCell ref="N213:O213"/>
    <mergeCell ref="N214:O214"/>
    <mergeCell ref="P214:Q214"/>
    <mergeCell ref="N215:O215"/>
    <mergeCell ref="P215:Q215"/>
    <mergeCell ref="P347:Q347"/>
    <mergeCell ref="P348:Q348"/>
    <mergeCell ref="P349:Q349"/>
    <mergeCell ref="P350:Q350"/>
    <mergeCell ref="P351:Q351"/>
    <mergeCell ref="P352:Q352"/>
    <mergeCell ref="N339:O339"/>
    <mergeCell ref="N340:O340"/>
    <mergeCell ref="N341:O341"/>
    <mergeCell ref="N342:O342"/>
    <mergeCell ref="N343:O343"/>
    <mergeCell ref="N344:O344"/>
    <mergeCell ref="N345:O345"/>
    <mergeCell ref="N346:O346"/>
    <mergeCell ref="N347:O347"/>
    <mergeCell ref="N348:O348"/>
    <mergeCell ref="N349:O349"/>
    <mergeCell ref="N350:O350"/>
    <mergeCell ref="N351:O351"/>
    <mergeCell ref="L352:O352"/>
    <mergeCell ref="N227:O227"/>
    <mergeCell ref="N201:O201"/>
    <mergeCell ref="N202:O202"/>
    <mergeCell ref="N203:O203"/>
    <mergeCell ref="P198:Q198"/>
    <mergeCell ref="P199:Q199"/>
    <mergeCell ref="P200:Q200"/>
    <mergeCell ref="P201:Q201"/>
    <mergeCell ref="P202:Q202"/>
    <mergeCell ref="P203:Q203"/>
    <mergeCell ref="P204:Q204"/>
    <mergeCell ref="N204:O204"/>
    <mergeCell ref="N205:O205"/>
    <mergeCell ref="N206:O206"/>
    <mergeCell ref="N207:O207"/>
    <mergeCell ref="N208:O208"/>
    <mergeCell ref="N209:O209"/>
    <mergeCell ref="N210:O210"/>
    <mergeCell ref="N191:O191"/>
    <mergeCell ref="N192:O192"/>
    <mergeCell ref="N193:O193"/>
    <mergeCell ref="N194:O194"/>
    <mergeCell ref="N195:O195"/>
    <mergeCell ref="N196:O196"/>
    <mergeCell ref="P191:Q191"/>
    <mergeCell ref="P192:Q192"/>
    <mergeCell ref="P193:Q193"/>
    <mergeCell ref="P194:Q194"/>
    <mergeCell ref="P195:Q195"/>
    <mergeCell ref="P196:Q196"/>
    <mergeCell ref="P197:Q197"/>
    <mergeCell ref="N197:O197"/>
    <mergeCell ref="N198:O198"/>
    <mergeCell ref="N199:O199"/>
    <mergeCell ref="N200:O200"/>
    <mergeCell ref="L64:O64"/>
    <mergeCell ref="L65:O65"/>
    <mergeCell ref="N66:O66"/>
    <mergeCell ref="N67:O67"/>
    <mergeCell ref="N68:O68"/>
    <mergeCell ref="N69:O69"/>
    <mergeCell ref="P69:Q69"/>
    <mergeCell ref="N70:O70"/>
    <mergeCell ref="P70:Q70"/>
    <mergeCell ref="N187:O187"/>
    <mergeCell ref="P187:Q187"/>
    <mergeCell ref="N188:O188"/>
    <mergeCell ref="P188:Q188"/>
    <mergeCell ref="N189:O189"/>
    <mergeCell ref="P189:Q189"/>
    <mergeCell ref="P190:Q190"/>
    <mergeCell ref="N190:O190"/>
    <mergeCell ref="N54:O54"/>
    <mergeCell ref="N55:O55"/>
    <mergeCell ref="N56:O56"/>
    <mergeCell ref="N57:O57"/>
    <mergeCell ref="N58:O58"/>
    <mergeCell ref="P53:Q53"/>
    <mergeCell ref="P54:Q54"/>
    <mergeCell ref="P55:Q55"/>
    <mergeCell ref="P56:Q56"/>
    <mergeCell ref="P57:Q57"/>
    <mergeCell ref="P58:Q58"/>
    <mergeCell ref="P59:Q59"/>
    <mergeCell ref="N59:O59"/>
    <mergeCell ref="N60:O60"/>
    <mergeCell ref="N61:O61"/>
    <mergeCell ref="N62:O62"/>
    <mergeCell ref="N63:O63"/>
    <mergeCell ref="P67:Q67"/>
    <mergeCell ref="P68:Q68"/>
    <mergeCell ref="P60:Q60"/>
    <mergeCell ref="P61:Q61"/>
    <mergeCell ref="P62:Q62"/>
    <mergeCell ref="P63:Q63"/>
    <mergeCell ref="P64:Q64"/>
    <mergeCell ref="P65:Q65"/>
    <mergeCell ref="P66:Q66"/>
    <mergeCell ref="L42:O42"/>
    <mergeCell ref="P42:Q42"/>
    <mergeCell ref="L43:O43"/>
    <mergeCell ref="P43:Q43"/>
    <mergeCell ref="L44:O44"/>
    <mergeCell ref="P44:Q44"/>
    <mergeCell ref="P45:Q45"/>
    <mergeCell ref="L45:O45"/>
    <mergeCell ref="N46:O46"/>
    <mergeCell ref="P46:Q46"/>
    <mergeCell ref="N47:O47"/>
    <mergeCell ref="P47:Q47"/>
    <mergeCell ref="N48:O48"/>
    <mergeCell ref="P48:Q48"/>
    <mergeCell ref="N49:O49"/>
    <mergeCell ref="P49:Q49"/>
    <mergeCell ref="N50:O50"/>
    <mergeCell ref="P50:Q50"/>
    <mergeCell ref="N51:O51"/>
    <mergeCell ref="P51:Q51"/>
    <mergeCell ref="P52:Q52"/>
    <mergeCell ref="N52:O52"/>
    <mergeCell ref="N53:O53"/>
    <mergeCell ref="J27:K27"/>
    <mergeCell ref="J28:K28"/>
    <mergeCell ref="N27:O27"/>
    <mergeCell ref="P27:Q27"/>
    <mergeCell ref="N28:O28"/>
    <mergeCell ref="P28:Q28"/>
    <mergeCell ref="N29:O29"/>
    <mergeCell ref="P29:Q29"/>
    <mergeCell ref="P30:Q30"/>
    <mergeCell ref="N30:O30"/>
    <mergeCell ref="N31:O31"/>
    <mergeCell ref="L32:O32"/>
    <mergeCell ref="L33:O33"/>
    <mergeCell ref="N34:O34"/>
    <mergeCell ref="L35:O35"/>
    <mergeCell ref="L36:O36"/>
    <mergeCell ref="L37:O37"/>
    <mergeCell ref="J22:K22"/>
    <mergeCell ref="P22:Q22"/>
    <mergeCell ref="P23:Q23"/>
    <mergeCell ref="J15:K15"/>
    <mergeCell ref="J16:K16"/>
    <mergeCell ref="J17:K17"/>
    <mergeCell ref="J18:K18"/>
    <mergeCell ref="J19:K19"/>
    <mergeCell ref="L21:O21"/>
    <mergeCell ref="L22:O22"/>
    <mergeCell ref="N23:O23"/>
    <mergeCell ref="N24:O24"/>
    <mergeCell ref="P24:Q24"/>
    <mergeCell ref="N25:O25"/>
    <mergeCell ref="P25:Q25"/>
    <mergeCell ref="N26:O26"/>
    <mergeCell ref="P26:Q26"/>
    <mergeCell ref="J20:K20"/>
    <mergeCell ref="J23:K23"/>
    <mergeCell ref="J24:K24"/>
    <mergeCell ref="J25:K25"/>
    <mergeCell ref="J26:K26"/>
    <mergeCell ref="P10:Q10"/>
    <mergeCell ref="N11:O11"/>
    <mergeCell ref="P11:Q11"/>
    <mergeCell ref="P12:Q12"/>
    <mergeCell ref="J8:K8"/>
    <mergeCell ref="J9:K9"/>
    <mergeCell ref="J10:K10"/>
    <mergeCell ref="J11:K11"/>
    <mergeCell ref="J12:K12"/>
    <mergeCell ref="J13:K13"/>
    <mergeCell ref="J14:K14"/>
    <mergeCell ref="P20:Q20"/>
    <mergeCell ref="P21:Q21"/>
    <mergeCell ref="P13:Q13"/>
    <mergeCell ref="P14:Q14"/>
    <mergeCell ref="P15:Q15"/>
    <mergeCell ref="P16:Q16"/>
    <mergeCell ref="P17:Q17"/>
    <mergeCell ref="P18:Q18"/>
    <mergeCell ref="P19:Q19"/>
    <mergeCell ref="J21:K21"/>
    <mergeCell ref="N12:O12"/>
    <mergeCell ref="N13:O13"/>
    <mergeCell ref="N14:O14"/>
    <mergeCell ref="N15:O15"/>
    <mergeCell ref="N16:O16"/>
    <mergeCell ref="N17:O17"/>
    <mergeCell ref="N18:O18"/>
    <mergeCell ref="A1:B1"/>
    <mergeCell ref="D1:J1"/>
    <mergeCell ref="K1:N1"/>
    <mergeCell ref="E2:I2"/>
    <mergeCell ref="J2:K2"/>
    <mergeCell ref="L2:O2"/>
    <mergeCell ref="P2:Q2"/>
    <mergeCell ref="J3:K3"/>
    <mergeCell ref="N3:O3"/>
    <mergeCell ref="A4:C4"/>
    <mergeCell ref="D4:Q4"/>
    <mergeCell ref="J5:K5"/>
    <mergeCell ref="P5:Q5"/>
    <mergeCell ref="J6:K6"/>
    <mergeCell ref="P6:Q6"/>
    <mergeCell ref="N5:O5"/>
    <mergeCell ref="N6:O6"/>
    <mergeCell ref="J7:K7"/>
    <mergeCell ref="N7:O7"/>
    <mergeCell ref="P7:Q7"/>
    <mergeCell ref="N8:O8"/>
    <mergeCell ref="P8:Q8"/>
    <mergeCell ref="N9:O9"/>
    <mergeCell ref="P9:Q9"/>
    <mergeCell ref="N10:O10"/>
    <mergeCell ref="P175:Q175"/>
    <mergeCell ref="N175:O175"/>
    <mergeCell ref="N176:O176"/>
    <mergeCell ref="N177:O177"/>
    <mergeCell ref="N178:O178"/>
    <mergeCell ref="N179:O179"/>
    <mergeCell ref="N180:O180"/>
    <mergeCell ref="N181:O181"/>
    <mergeCell ref="N182:O182"/>
    <mergeCell ref="N183:O183"/>
    <mergeCell ref="N184:O184"/>
    <mergeCell ref="N185:O185"/>
    <mergeCell ref="P185:Q185"/>
    <mergeCell ref="N186:O186"/>
    <mergeCell ref="P186:Q186"/>
    <mergeCell ref="N19:O19"/>
    <mergeCell ref="N20:O20"/>
    <mergeCell ref="P38:Q38"/>
    <mergeCell ref="P39:Q39"/>
    <mergeCell ref="P31:Q31"/>
    <mergeCell ref="P32:Q32"/>
    <mergeCell ref="P33:Q33"/>
    <mergeCell ref="P34:Q34"/>
    <mergeCell ref="P35:Q35"/>
    <mergeCell ref="P36:Q36"/>
    <mergeCell ref="P37:Q37"/>
    <mergeCell ref="N38:O38"/>
    <mergeCell ref="L39:O39"/>
    <mergeCell ref="L40:O40"/>
    <mergeCell ref="P40:Q40"/>
    <mergeCell ref="L41:O41"/>
    <mergeCell ref="P41:Q41"/>
    <mergeCell ref="P164:Q164"/>
    <mergeCell ref="P165:Q165"/>
    <mergeCell ref="P166:Q166"/>
    <mergeCell ref="P167:Q167"/>
    <mergeCell ref="P168:Q168"/>
    <mergeCell ref="N168:O168"/>
    <mergeCell ref="N169:O169"/>
    <mergeCell ref="N170:O170"/>
    <mergeCell ref="N171:O171"/>
    <mergeCell ref="N172:O172"/>
    <mergeCell ref="N173:O173"/>
    <mergeCell ref="N174:O174"/>
    <mergeCell ref="P169:Q169"/>
    <mergeCell ref="P170:Q170"/>
    <mergeCell ref="P171:Q171"/>
    <mergeCell ref="P172:Q172"/>
    <mergeCell ref="P173:Q173"/>
    <mergeCell ref="P174:Q174"/>
    <mergeCell ref="N153:O153"/>
    <mergeCell ref="N154:O154"/>
    <mergeCell ref="N155:O155"/>
    <mergeCell ref="N156:O156"/>
    <mergeCell ref="P156:Q156"/>
    <mergeCell ref="N157:O157"/>
    <mergeCell ref="P157:Q157"/>
    <mergeCell ref="P183:Q183"/>
    <mergeCell ref="P184:Q184"/>
    <mergeCell ref="P176:Q176"/>
    <mergeCell ref="P177:Q177"/>
    <mergeCell ref="P178:Q178"/>
    <mergeCell ref="P179:Q179"/>
    <mergeCell ref="P180:Q180"/>
    <mergeCell ref="P181:Q181"/>
    <mergeCell ref="P182:Q182"/>
    <mergeCell ref="N158:O158"/>
    <mergeCell ref="P158:Q158"/>
    <mergeCell ref="N159:O159"/>
    <mergeCell ref="P159:Q159"/>
    <mergeCell ref="N160:O160"/>
    <mergeCell ref="P160:Q160"/>
    <mergeCell ref="P161:Q161"/>
    <mergeCell ref="N161:O161"/>
    <mergeCell ref="N162:O162"/>
    <mergeCell ref="N163:O163"/>
    <mergeCell ref="N164:O164"/>
    <mergeCell ref="N165:O165"/>
    <mergeCell ref="N166:O166"/>
    <mergeCell ref="N167:O167"/>
    <mergeCell ref="P162:Q162"/>
    <mergeCell ref="P163:Q163"/>
    <mergeCell ref="N143:O143"/>
    <mergeCell ref="N144:O144"/>
    <mergeCell ref="N145:O145"/>
    <mergeCell ref="P140:Q140"/>
    <mergeCell ref="P141:Q141"/>
    <mergeCell ref="P142:Q142"/>
    <mergeCell ref="P143:Q143"/>
    <mergeCell ref="P144:Q144"/>
    <mergeCell ref="P145:Q145"/>
    <mergeCell ref="P146:Q146"/>
    <mergeCell ref="N146:O146"/>
    <mergeCell ref="N147:O147"/>
    <mergeCell ref="N148:O148"/>
    <mergeCell ref="N149:O149"/>
    <mergeCell ref="N150:O150"/>
    <mergeCell ref="N151:O151"/>
    <mergeCell ref="N152:O152"/>
    <mergeCell ref="N133:O133"/>
    <mergeCell ref="N134:O134"/>
    <mergeCell ref="N135:O135"/>
    <mergeCell ref="N136:O136"/>
    <mergeCell ref="N137:O137"/>
    <mergeCell ref="N138:O138"/>
    <mergeCell ref="P133:Q133"/>
    <mergeCell ref="P134:Q134"/>
    <mergeCell ref="P135:Q135"/>
    <mergeCell ref="P136:Q136"/>
    <mergeCell ref="P137:Q137"/>
    <mergeCell ref="P138:Q138"/>
    <mergeCell ref="P139:Q139"/>
    <mergeCell ref="N139:O139"/>
    <mergeCell ref="N140:O140"/>
    <mergeCell ref="N141:O141"/>
    <mergeCell ref="N142:O142"/>
    <mergeCell ref="P117:Q117"/>
    <mergeCell ref="N117:O117"/>
    <mergeCell ref="N118:O118"/>
    <mergeCell ref="N119:O119"/>
    <mergeCell ref="N120:O120"/>
    <mergeCell ref="N121:O121"/>
    <mergeCell ref="N122:O122"/>
    <mergeCell ref="N123:O123"/>
    <mergeCell ref="N124:O124"/>
    <mergeCell ref="N125:O125"/>
    <mergeCell ref="N126:O126"/>
    <mergeCell ref="N127:O127"/>
    <mergeCell ref="P127:Q127"/>
    <mergeCell ref="N128:O128"/>
    <mergeCell ref="P128:Q128"/>
    <mergeCell ref="P154:Q154"/>
    <mergeCell ref="P155:Q155"/>
    <mergeCell ref="P147:Q147"/>
    <mergeCell ref="P148:Q148"/>
    <mergeCell ref="P149:Q149"/>
    <mergeCell ref="P150:Q150"/>
    <mergeCell ref="P151:Q151"/>
    <mergeCell ref="P152:Q152"/>
    <mergeCell ref="P153:Q153"/>
    <mergeCell ref="N129:O129"/>
    <mergeCell ref="P129:Q129"/>
    <mergeCell ref="N130:O130"/>
    <mergeCell ref="P130:Q130"/>
    <mergeCell ref="N131:O131"/>
    <mergeCell ref="P131:Q131"/>
    <mergeCell ref="P132:Q132"/>
    <mergeCell ref="N132:O132"/>
    <mergeCell ref="N107:O107"/>
    <mergeCell ref="N108:O108"/>
    <mergeCell ref="N109:O109"/>
    <mergeCell ref="P104:Q104"/>
    <mergeCell ref="P105:Q105"/>
    <mergeCell ref="P106:Q106"/>
    <mergeCell ref="P107:Q107"/>
    <mergeCell ref="P108:Q108"/>
    <mergeCell ref="P109:Q109"/>
    <mergeCell ref="P110:Q110"/>
    <mergeCell ref="N110:O110"/>
    <mergeCell ref="N111:O111"/>
    <mergeCell ref="N112:O112"/>
    <mergeCell ref="N113:O113"/>
    <mergeCell ref="N114:O114"/>
    <mergeCell ref="N115:O115"/>
    <mergeCell ref="N116:O116"/>
    <mergeCell ref="P111:Q111"/>
    <mergeCell ref="P112:Q112"/>
    <mergeCell ref="P113:Q113"/>
    <mergeCell ref="P114:Q114"/>
    <mergeCell ref="P115:Q115"/>
    <mergeCell ref="P116:Q116"/>
    <mergeCell ref="N90:O90"/>
    <mergeCell ref="N91:O91"/>
    <mergeCell ref="N92:O92"/>
    <mergeCell ref="N93:O93"/>
    <mergeCell ref="N94:O94"/>
    <mergeCell ref="N95:O95"/>
    <mergeCell ref="N96:O96"/>
    <mergeCell ref="N97:O97"/>
    <mergeCell ref="N98:O98"/>
    <mergeCell ref="P98:Q98"/>
    <mergeCell ref="N99:O99"/>
    <mergeCell ref="P99:Q99"/>
    <mergeCell ref="P125:Q125"/>
    <mergeCell ref="P126:Q126"/>
    <mergeCell ref="P118:Q118"/>
    <mergeCell ref="P119:Q119"/>
    <mergeCell ref="P120:Q120"/>
    <mergeCell ref="P121:Q121"/>
    <mergeCell ref="P122:Q122"/>
    <mergeCell ref="P123:Q123"/>
    <mergeCell ref="P124:Q124"/>
    <mergeCell ref="N100:O100"/>
    <mergeCell ref="P100:Q100"/>
    <mergeCell ref="N101:O101"/>
    <mergeCell ref="P101:Q101"/>
    <mergeCell ref="N102:O102"/>
    <mergeCell ref="P102:Q102"/>
    <mergeCell ref="P103:Q103"/>
    <mergeCell ref="N103:O103"/>
    <mergeCell ref="N104:O104"/>
    <mergeCell ref="N105:O105"/>
    <mergeCell ref="N106:O106"/>
    <mergeCell ref="P81:Q81"/>
    <mergeCell ref="N81:O81"/>
    <mergeCell ref="N82:O82"/>
    <mergeCell ref="N83:O83"/>
    <mergeCell ref="N84:O84"/>
    <mergeCell ref="N85:O85"/>
    <mergeCell ref="N86:O86"/>
    <mergeCell ref="N87:O87"/>
    <mergeCell ref="P82:Q82"/>
    <mergeCell ref="P83:Q83"/>
    <mergeCell ref="P84:Q84"/>
    <mergeCell ref="P85:Q85"/>
    <mergeCell ref="P86:Q86"/>
    <mergeCell ref="P87:Q87"/>
    <mergeCell ref="P88:Q88"/>
    <mergeCell ref="N88:O88"/>
    <mergeCell ref="N89:O89"/>
    <mergeCell ref="J369:K369"/>
    <mergeCell ref="J370:K370"/>
    <mergeCell ref="J371:K371"/>
    <mergeCell ref="P96:Q96"/>
    <mergeCell ref="P97:Q97"/>
    <mergeCell ref="P89:Q89"/>
    <mergeCell ref="P90:Q90"/>
    <mergeCell ref="P91:Q91"/>
    <mergeCell ref="P92:Q92"/>
    <mergeCell ref="P93:Q93"/>
    <mergeCell ref="P94:Q94"/>
    <mergeCell ref="P95:Q95"/>
    <mergeCell ref="N71:O71"/>
    <mergeCell ref="P71:Q71"/>
    <mergeCell ref="N72:O72"/>
    <mergeCell ref="P72:Q72"/>
    <mergeCell ref="N73:O73"/>
    <mergeCell ref="P73:Q73"/>
    <mergeCell ref="P74:Q74"/>
    <mergeCell ref="N74:O74"/>
    <mergeCell ref="N75:O75"/>
    <mergeCell ref="N76:O76"/>
    <mergeCell ref="N77:O77"/>
    <mergeCell ref="N78:O78"/>
    <mergeCell ref="N79:O79"/>
    <mergeCell ref="N80:O80"/>
    <mergeCell ref="P75:Q75"/>
    <mergeCell ref="P76:Q76"/>
    <mergeCell ref="P77:Q77"/>
    <mergeCell ref="P78:Q78"/>
    <mergeCell ref="P79:Q79"/>
    <mergeCell ref="P80:Q80"/>
    <mergeCell ref="J352:K352"/>
    <mergeCell ref="J353:K353"/>
    <mergeCell ref="J354:K354"/>
    <mergeCell ref="J355:K355"/>
    <mergeCell ref="J356:K356"/>
    <mergeCell ref="J357:K357"/>
    <mergeCell ref="J358:K358"/>
    <mergeCell ref="J359:K359"/>
    <mergeCell ref="J360:K360"/>
    <mergeCell ref="J361:K361"/>
    <mergeCell ref="J362:K362"/>
    <mergeCell ref="J363:K363"/>
    <mergeCell ref="J364:K364"/>
    <mergeCell ref="J365:K365"/>
    <mergeCell ref="J366:K366"/>
    <mergeCell ref="J367:K367"/>
    <mergeCell ref="J368:K368"/>
    <mergeCell ref="J335:K335"/>
    <mergeCell ref="J336:K336"/>
    <mergeCell ref="J337:K337"/>
    <mergeCell ref="J338:K338"/>
    <mergeCell ref="J339:K339"/>
    <mergeCell ref="J340:K340"/>
    <mergeCell ref="J341:K341"/>
    <mergeCell ref="J342:K342"/>
    <mergeCell ref="J343:K343"/>
    <mergeCell ref="J344:K344"/>
    <mergeCell ref="J345:K345"/>
    <mergeCell ref="J346:K346"/>
    <mergeCell ref="J347:K347"/>
    <mergeCell ref="J348:K348"/>
    <mergeCell ref="J349:K349"/>
    <mergeCell ref="J350:K350"/>
    <mergeCell ref="J351:K351"/>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55:K455"/>
    <mergeCell ref="J456:K456"/>
    <mergeCell ref="J457:K457"/>
    <mergeCell ref="J458:K458"/>
    <mergeCell ref="J459:K459"/>
    <mergeCell ref="J460:K460"/>
    <mergeCell ref="J461:K461"/>
    <mergeCell ref="J462:K462"/>
    <mergeCell ref="J463:K463"/>
    <mergeCell ref="J464:K464"/>
    <mergeCell ref="J465:K465"/>
    <mergeCell ref="J466:K466"/>
    <mergeCell ref="J467:K467"/>
    <mergeCell ref="J468:K468"/>
    <mergeCell ref="J469:K469"/>
    <mergeCell ref="J470:K470"/>
    <mergeCell ref="J471:K471"/>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454:K454"/>
    <mergeCell ref="J491:K491"/>
    <mergeCell ref="J492:K492"/>
    <mergeCell ref="J493:K493"/>
    <mergeCell ref="J494:K494"/>
    <mergeCell ref="J495:K495"/>
    <mergeCell ref="J496:K496"/>
    <mergeCell ref="J497:K497"/>
    <mergeCell ref="J498:K498"/>
    <mergeCell ref="J499:K499"/>
    <mergeCell ref="J507:K507"/>
    <mergeCell ref="J508:K508"/>
    <mergeCell ref="J509:K509"/>
    <mergeCell ref="J510:K510"/>
    <mergeCell ref="J511:K511"/>
    <mergeCell ref="J500:K500"/>
    <mergeCell ref="J501:K501"/>
    <mergeCell ref="J502:K502"/>
    <mergeCell ref="J503:K503"/>
    <mergeCell ref="J504:K504"/>
    <mergeCell ref="J505:K505"/>
    <mergeCell ref="J506:K506"/>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08:K408"/>
    <mergeCell ref="J409:K409"/>
    <mergeCell ref="J410:K410"/>
    <mergeCell ref="J411:K411"/>
    <mergeCell ref="J412:K412"/>
    <mergeCell ref="J413:K413"/>
    <mergeCell ref="J414:K414"/>
    <mergeCell ref="J415:K415"/>
    <mergeCell ref="J416:K416"/>
    <mergeCell ref="J417:K417"/>
    <mergeCell ref="J418:K418"/>
    <mergeCell ref="J419:K419"/>
    <mergeCell ref="J420:K420"/>
    <mergeCell ref="J421:K421"/>
    <mergeCell ref="J422:K422"/>
    <mergeCell ref="J472:K472"/>
    <mergeCell ref="J473:K473"/>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372:K372"/>
    <mergeCell ref="J373:K373"/>
    <mergeCell ref="J374:K374"/>
    <mergeCell ref="J375:K375"/>
    <mergeCell ref="J376:K376"/>
    <mergeCell ref="J378:K378"/>
    <mergeCell ref="J379:K379"/>
    <mergeCell ref="J380:K380"/>
    <mergeCell ref="J381:K381"/>
    <mergeCell ref="J382:K382"/>
    <mergeCell ref="J383:K383"/>
    <mergeCell ref="J384:K384"/>
    <mergeCell ref="J385:K385"/>
    <mergeCell ref="J386:K386"/>
    <mergeCell ref="J387:K387"/>
    <mergeCell ref="J388:K388"/>
    <mergeCell ref="J390:K390"/>
  </mergeCells>
  <phoneticPr fontId="65" type="noConversion"/>
  <hyperlinks>
    <hyperlink ref="C1" location="Enemies!A4" display="Normal Enemies" xr:uid="{00000000-0004-0000-0100-000000000000}"/>
    <hyperlink ref="D1" location="Enemies!A377" display="Mini Bosses" xr:uid="{00000000-0004-0000-0100-000001000000}"/>
    <hyperlink ref="K1" location="Enemies!A389" display="Boss &amp; Unique" xr:uid="{00000000-0004-0000-0100-000002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W2097"/>
  <sheetViews>
    <sheetView workbookViewId="0">
      <pane ySplit="2" topLeftCell="A3" activePane="bottomLeft" state="frozen"/>
      <selection pane="bottomLeft" activeCell="B4" sqref="B4:V4"/>
    </sheetView>
  </sheetViews>
  <sheetFormatPr defaultColWidth="12.5703125" defaultRowHeight="15.75" customHeight="1" x14ac:dyDescent="0.2"/>
  <cols>
    <col min="1" max="1" width="2.5703125" customWidth="1"/>
    <col min="2" max="2" width="26.42578125" customWidth="1"/>
    <col min="3" max="3" width="2.5703125" customWidth="1"/>
    <col min="4" max="4" width="25.140625" customWidth="1"/>
    <col min="5" max="5" width="2.5703125" customWidth="1"/>
    <col min="6" max="6" width="25.140625" customWidth="1"/>
    <col min="7" max="7" width="2.5703125" customWidth="1"/>
    <col min="8" max="8" width="3.28515625" customWidth="1"/>
    <col min="9" max="14" width="2.5703125" customWidth="1"/>
    <col min="15" max="15" width="25.140625" customWidth="1"/>
    <col min="16" max="16" width="2.5703125" customWidth="1"/>
    <col min="17" max="17" width="3.28515625" customWidth="1"/>
    <col min="18" max="18" width="2.5703125" customWidth="1"/>
    <col min="19" max="19" width="20.140625" customWidth="1"/>
    <col min="20" max="21" width="2.5703125" customWidth="1"/>
    <col min="22" max="22" width="63.85546875" customWidth="1"/>
    <col min="23" max="23" width="2.5703125" customWidth="1"/>
  </cols>
  <sheetData>
    <row r="1" spans="1:23" ht="18" x14ac:dyDescent="0.2">
      <c r="A1" s="112"/>
      <c r="B1" s="113" t="s">
        <v>114</v>
      </c>
      <c r="C1" s="112"/>
      <c r="D1" s="113" t="str">
        <f ca="1">语言!$A$46&amp;" / "&amp;语言!$A$50</f>
        <v>购买 / 偷取</v>
      </c>
      <c r="E1" s="112"/>
      <c r="F1" s="112" t="str">
        <f ca="1">语言!$A$45&amp;" / "&amp;语言!$A$49</f>
        <v>探查 / 打听</v>
      </c>
      <c r="G1" s="112"/>
      <c r="H1" s="524" t="str">
        <f ca="1">语言!$A$47&amp;" / "&amp;语言!$A$51</f>
        <v>比试 / 唆使</v>
      </c>
      <c r="I1" s="371"/>
      <c r="J1" s="371"/>
      <c r="K1" s="371"/>
      <c r="L1" s="371"/>
      <c r="M1" s="371"/>
      <c r="N1" s="371"/>
      <c r="O1" s="371"/>
      <c r="P1" s="112"/>
      <c r="Q1" s="524" t="str">
        <f ca="1">语言!$A$44&amp;" / "&amp;语言!$A$48</f>
        <v>引导 / 诱惑</v>
      </c>
      <c r="R1" s="371"/>
      <c r="S1" s="371"/>
      <c r="T1" s="114"/>
      <c r="U1" s="112"/>
      <c r="V1" s="112" t="s">
        <v>11</v>
      </c>
      <c r="W1" s="112"/>
    </row>
    <row r="2" spans="1:23" ht="12.75" x14ac:dyDescent="0.2">
      <c r="A2" s="115"/>
      <c r="B2" s="116"/>
      <c r="C2" s="115"/>
      <c r="D2" s="116"/>
      <c r="E2" s="115"/>
      <c r="F2" s="115"/>
      <c r="G2" s="115"/>
      <c r="H2" s="117" t="s">
        <v>115</v>
      </c>
      <c r="I2" s="115" t="s">
        <v>116</v>
      </c>
      <c r="J2" s="525" t="str">
        <f ca="1">语言!$A$10</f>
        <v>弱点</v>
      </c>
      <c r="K2" s="371"/>
      <c r="L2" s="371"/>
      <c r="M2" s="371"/>
      <c r="N2" s="371"/>
      <c r="O2" s="115" t="str">
        <f ca="1">语言!$A$13</f>
        <v>掉落物</v>
      </c>
      <c r="P2" s="115"/>
      <c r="Q2" s="117" t="s">
        <v>115</v>
      </c>
      <c r="R2" s="115"/>
      <c r="S2" s="115" t="s">
        <v>117</v>
      </c>
      <c r="T2" s="117" t="s">
        <v>118</v>
      </c>
      <c r="U2" s="115"/>
      <c r="V2" s="115"/>
      <c r="W2" s="115"/>
    </row>
    <row r="3" spans="1:23" ht="23.25" x14ac:dyDescent="0.2">
      <c r="A3" s="526" t="str">
        <f ca="1">语言!$A$324</f>
        <v>弗洛斯特兰多地区</v>
      </c>
      <c r="B3" s="371"/>
      <c r="C3" s="527"/>
      <c r="D3" s="371"/>
      <c r="E3" s="371"/>
      <c r="F3" s="371"/>
      <c r="G3" s="371"/>
      <c r="H3" s="371"/>
      <c r="I3" s="371"/>
      <c r="J3" s="371"/>
      <c r="K3" s="371"/>
      <c r="L3" s="371"/>
      <c r="M3" s="371"/>
      <c r="N3" s="371"/>
      <c r="O3" s="371"/>
      <c r="P3" s="371"/>
      <c r="Q3" s="371"/>
      <c r="R3" s="371"/>
      <c r="S3" s="371"/>
      <c r="T3" s="371"/>
      <c r="U3" s="371"/>
      <c r="V3" s="371"/>
      <c r="W3" s="371"/>
    </row>
    <row r="4" spans="1:23" ht="18" x14ac:dyDescent="0.2">
      <c r="A4" s="118"/>
      <c r="B4" s="528" t="str">
        <f ca="1">语言!$A$323&amp;" 1"</f>
        <v>Tier 1</v>
      </c>
      <c r="C4" s="371"/>
      <c r="D4" s="371"/>
      <c r="E4" s="371"/>
      <c r="F4" s="371"/>
      <c r="G4" s="371"/>
      <c r="H4" s="371"/>
      <c r="I4" s="371"/>
      <c r="J4" s="371"/>
      <c r="K4" s="371"/>
      <c r="L4" s="371"/>
      <c r="M4" s="371"/>
      <c r="N4" s="371"/>
      <c r="O4" s="371"/>
      <c r="P4" s="371"/>
      <c r="Q4" s="371"/>
      <c r="R4" s="371"/>
      <c r="S4" s="371"/>
      <c r="T4" s="371"/>
      <c r="U4" s="371"/>
      <c r="V4" s="371"/>
      <c r="W4" s="119"/>
    </row>
    <row r="5" spans="1:23" ht="12.75" x14ac:dyDescent="0.2">
      <c r="A5" s="120"/>
      <c r="B5" s="529" t="str">
        <f ca="1">语言!$A$325</f>
        <v>弗雷姆葛雷斯</v>
      </c>
      <c r="C5" s="371"/>
      <c r="D5" s="371"/>
      <c r="E5" s="371"/>
      <c r="F5" s="371"/>
      <c r="G5" s="371"/>
      <c r="H5" s="371"/>
      <c r="I5" s="371"/>
      <c r="J5" s="371"/>
      <c r="K5" s="371"/>
      <c r="L5" s="371"/>
      <c r="M5" s="371"/>
      <c r="N5" s="371"/>
      <c r="O5" s="371"/>
      <c r="P5" s="371"/>
      <c r="Q5" s="371"/>
      <c r="R5" s="371"/>
      <c r="S5" s="371"/>
      <c r="T5" s="371"/>
      <c r="U5" s="371"/>
      <c r="V5" s="371"/>
      <c r="W5" s="121"/>
    </row>
    <row r="6" spans="1:23" ht="12.75" x14ac:dyDescent="0.2">
      <c r="A6" s="122"/>
      <c r="B6" s="533" t="str">
        <f ca="1">语言!$A$2102</f>
        <v>市民</v>
      </c>
      <c r="C6" s="123" t="b">
        <v>0</v>
      </c>
      <c r="D6" s="19" t="str">
        <f ca="1">道具!$C$6</f>
        <v>ＳＰ恢复的李子</v>
      </c>
      <c r="E6" s="532" t="b">
        <v>0</v>
      </c>
      <c r="F6" s="379" t="str">
        <f ca="1">语言!$A$33&amp;"
"&amp;道具!$C$7</f>
        <v>隐藏道具的资讯
ＳＰ恢复的李子（大）</v>
      </c>
      <c r="G6" s="532" t="b">
        <v>0</v>
      </c>
      <c r="H6" s="530" t="s">
        <v>45</v>
      </c>
      <c r="I6" s="379">
        <v>2</v>
      </c>
      <c r="J6" s="379"/>
      <c r="K6" s="379"/>
      <c r="L6" s="379"/>
      <c r="M6" s="379"/>
      <c r="N6" s="379"/>
      <c r="O6" s="379" t="str">
        <f ca="1">道具!$C$6</f>
        <v>ＳＰ恢复的李子</v>
      </c>
      <c r="P6" s="532"/>
      <c r="Q6" s="530" t="s">
        <v>45</v>
      </c>
      <c r="R6" s="17"/>
      <c r="S6" s="17" t="str">
        <f ca="1">Summon!$I$70</f>
        <v>乱射</v>
      </c>
      <c r="T6" s="530">
        <v>9</v>
      </c>
      <c r="U6" s="532"/>
      <c r="V6" s="379"/>
      <c r="W6" s="121"/>
    </row>
    <row r="7" spans="1:23" ht="12.75" x14ac:dyDescent="0.2">
      <c r="A7" s="122"/>
      <c r="B7" s="531"/>
      <c r="C7" s="124" t="b">
        <v>0</v>
      </c>
      <c r="D7" s="125" t="str">
        <f ca="1">道具!$C$3</f>
        <v>ＨＰ恢复的葡萄</v>
      </c>
      <c r="E7" s="531"/>
      <c r="F7" s="531"/>
      <c r="G7" s="531"/>
      <c r="H7" s="531"/>
      <c r="I7" s="531"/>
      <c r="J7" s="531"/>
      <c r="K7" s="531"/>
      <c r="L7" s="531"/>
      <c r="M7" s="531"/>
      <c r="N7" s="531"/>
      <c r="O7" s="531"/>
      <c r="P7" s="531"/>
      <c r="Q7" s="531"/>
      <c r="R7" s="126"/>
      <c r="S7" s="126" t="str">
        <f ca="1">Summon!$I$4</f>
        <v>战斗</v>
      </c>
      <c r="T7" s="531"/>
      <c r="U7" s="531"/>
      <c r="V7" s="531"/>
      <c r="W7" s="121"/>
    </row>
    <row r="8" spans="1:23" ht="12.75" x14ac:dyDescent="0.2">
      <c r="A8" s="122"/>
      <c r="B8" s="533" t="str">
        <f ca="1">语言!$A$1760&amp;" (2)"</f>
        <v>被怀疑的男子 (2)</v>
      </c>
      <c r="C8" s="532" t="b">
        <v>0</v>
      </c>
      <c r="D8" s="402" t="str">
        <f ca="1">道具!$C$4</f>
        <v>ＨＰ恢复的葡萄（大）</v>
      </c>
      <c r="E8" s="532" t="b">
        <v>0</v>
      </c>
      <c r="F8" s="379" t="str">
        <f ca="1">语言!$A$23</f>
        <v>无</v>
      </c>
      <c r="G8" s="532" t="b">
        <v>0</v>
      </c>
      <c r="H8" s="530" t="s">
        <v>57</v>
      </c>
      <c r="I8" s="379">
        <v>3</v>
      </c>
      <c r="J8" s="379"/>
      <c r="K8" s="379"/>
      <c r="L8" s="379"/>
      <c r="M8" s="379"/>
      <c r="N8" s="379"/>
      <c r="O8" s="379" t="str">
        <f ca="1">道具!$C$228</f>
        <v>迷惑短剑</v>
      </c>
      <c r="P8" s="532"/>
      <c r="Q8" s="534" t="s">
        <v>119</v>
      </c>
      <c r="R8" s="534" t="s">
        <v>119</v>
      </c>
      <c r="S8" s="534" t="s">
        <v>119</v>
      </c>
      <c r="T8" s="534" t="s">
        <v>119</v>
      </c>
      <c r="U8" s="535"/>
      <c r="V8" s="379" t="str">
        <f ca="1">"NPC at this location after quest: "&amp;支线!$C$9&amp;"
("&amp;语言!$A$45&amp;" / "&amp;语言!$A$49&amp;" solution only)"</f>
        <v>NPC at this location after quest: 被冤枉的囚犯
(探查 / 打听 solution only)</v>
      </c>
      <c r="W8" s="121"/>
    </row>
    <row r="9" spans="1:23" ht="12.75" x14ac:dyDescent="0.2">
      <c r="A9" s="122"/>
      <c r="B9" s="531"/>
      <c r="C9" s="531"/>
      <c r="D9" s="531"/>
      <c r="E9" s="531"/>
      <c r="F9" s="531"/>
      <c r="G9" s="531"/>
      <c r="H9" s="531"/>
      <c r="I9" s="531"/>
      <c r="J9" s="531"/>
      <c r="K9" s="531"/>
      <c r="L9" s="531"/>
      <c r="M9" s="531"/>
      <c r="N9" s="531"/>
      <c r="O9" s="531"/>
      <c r="P9" s="531"/>
      <c r="Q9" s="531"/>
      <c r="R9" s="531"/>
      <c r="S9" s="531"/>
      <c r="T9" s="531"/>
      <c r="U9" s="531"/>
      <c r="V9" s="531"/>
      <c r="W9" s="121"/>
    </row>
    <row r="10" spans="1:23" ht="12.75" x14ac:dyDescent="0.2">
      <c r="A10" s="122"/>
      <c r="B10" s="533" t="str">
        <f ca="1">语言!$A$1983&amp;" (1)"</f>
        <v>迈尔斯 (1)</v>
      </c>
      <c r="C10" s="532" t="b">
        <v>0</v>
      </c>
      <c r="D10" s="402" t="str">
        <f ca="1">道具!$C$4</f>
        <v>ＨＰ恢复的葡萄（大）</v>
      </c>
      <c r="E10" s="532" t="b">
        <v>0</v>
      </c>
      <c r="F10" s="379" t="str">
        <f ca="1">语言!$A$23</f>
        <v>无</v>
      </c>
      <c r="G10" s="532" t="b">
        <v>0</v>
      </c>
      <c r="H10" s="530" t="s">
        <v>46</v>
      </c>
      <c r="I10" s="379">
        <v>3</v>
      </c>
      <c r="J10" s="379"/>
      <c r="K10" s="379"/>
      <c r="L10" s="379"/>
      <c r="M10" s="379"/>
      <c r="N10" s="379"/>
      <c r="O10" s="379" t="str">
        <f ca="1">道具!$C$4</f>
        <v>ＨＰ恢复的葡萄（大）</v>
      </c>
      <c r="P10" s="532"/>
      <c r="Q10" s="530" t="s">
        <v>46</v>
      </c>
      <c r="R10" s="17"/>
      <c r="S10" s="17" t="str">
        <f ca="1">Summon!$I$173</f>
        <v>攻击力提升</v>
      </c>
      <c r="T10" s="530">
        <v>8</v>
      </c>
      <c r="U10" s="532"/>
      <c r="V10" s="379" t="str">
        <f ca="1">"NPC available after "&amp;语言!$A$35&amp;" chapter 1
Move to Stillsnow after quest: "&amp;支线!$C$8</f>
        <v>NPC available after 欧菲莉亚 chapter 1
Move to Stillsnow after quest: 圣火骑士迈尔斯（１）</v>
      </c>
      <c r="W10" s="121"/>
    </row>
    <row r="11" spans="1:23" ht="12.75" x14ac:dyDescent="0.2">
      <c r="A11" s="122"/>
      <c r="B11" s="371"/>
      <c r="C11" s="371"/>
      <c r="D11" s="371"/>
      <c r="E11" s="371"/>
      <c r="F11" s="371"/>
      <c r="G11" s="371"/>
      <c r="H11" s="371"/>
      <c r="I11" s="371"/>
      <c r="J11" s="371"/>
      <c r="K11" s="371"/>
      <c r="L11" s="371"/>
      <c r="M11" s="371"/>
      <c r="N11" s="371"/>
      <c r="O11" s="371"/>
      <c r="P11" s="371"/>
      <c r="Q11" s="371"/>
      <c r="R11" s="17"/>
      <c r="S11" s="17" t="str">
        <f ca="1">Summon!$I$6</f>
        <v>斩击</v>
      </c>
      <c r="T11" s="371"/>
      <c r="U11" s="371"/>
      <c r="V11" s="371"/>
      <c r="W11" s="121"/>
    </row>
    <row r="12" spans="1:23" ht="12.75" x14ac:dyDescent="0.2">
      <c r="A12" s="122"/>
      <c r="B12" s="531"/>
      <c r="C12" s="531"/>
      <c r="D12" s="531"/>
      <c r="E12" s="531"/>
      <c r="F12" s="531"/>
      <c r="G12" s="531"/>
      <c r="H12" s="531"/>
      <c r="I12" s="531"/>
      <c r="J12" s="531"/>
      <c r="K12" s="531"/>
      <c r="L12" s="531"/>
      <c r="M12" s="531"/>
      <c r="N12" s="531"/>
      <c r="O12" s="531"/>
      <c r="P12" s="531"/>
      <c r="Q12" s="531"/>
      <c r="R12" s="126"/>
      <c r="S12" s="126" t="str">
        <f ca="1">Summon!$I$4</f>
        <v>战斗</v>
      </c>
      <c r="T12" s="531"/>
      <c r="U12" s="531"/>
      <c r="V12" s="531"/>
      <c r="W12" s="121"/>
    </row>
    <row r="13" spans="1:23" ht="12.75" x14ac:dyDescent="0.2">
      <c r="A13" s="122"/>
      <c r="B13" s="533" t="str">
        <f ca="1">语言!$A$1983&amp;" (4)"</f>
        <v>迈尔斯 (4)</v>
      </c>
      <c r="C13" s="123" t="b">
        <v>0</v>
      </c>
      <c r="D13" s="19" t="str">
        <f ca="1">道具!$C$4</f>
        <v>ＨＰ恢复的葡萄（大）</v>
      </c>
      <c r="E13" s="532" t="b">
        <v>0</v>
      </c>
      <c r="F13" s="379" t="str">
        <f ca="1">语言!$A$23</f>
        <v>无</v>
      </c>
      <c r="G13" s="532" t="b">
        <v>0</v>
      </c>
      <c r="H13" s="530" t="s">
        <v>46</v>
      </c>
      <c r="I13" s="379">
        <v>3</v>
      </c>
      <c r="J13" s="379"/>
      <c r="K13" s="379"/>
      <c r="L13" s="379"/>
      <c r="M13" s="379"/>
      <c r="N13" s="379"/>
      <c r="O13" s="379" t="str">
        <f ca="1">道具!$C$4</f>
        <v>ＨＰ恢复的葡萄（大）</v>
      </c>
      <c r="P13" s="532"/>
      <c r="Q13" s="530" t="s">
        <v>46</v>
      </c>
      <c r="R13" s="17"/>
      <c r="S13" s="17" t="str">
        <f ca="1">Summon!$I$173</f>
        <v>攻击力提升</v>
      </c>
      <c r="T13" s="530">
        <v>8</v>
      </c>
      <c r="U13" s="532"/>
      <c r="V13" s="379" t="str">
        <f ca="1">"NPC at this location after quest: "&amp;支线!$C$19</f>
        <v>NPC at this location after quest: 圣火骑士迈尔斯（３）</v>
      </c>
      <c r="W13" s="121"/>
    </row>
    <row r="14" spans="1:23" ht="12.75" x14ac:dyDescent="0.2">
      <c r="A14" s="122"/>
      <c r="B14" s="371"/>
      <c r="C14" s="123" t="b">
        <v>0</v>
      </c>
      <c r="D14" s="19" t="str">
        <f ca="1">道具!$C$148</f>
        <v>天使军刀</v>
      </c>
      <c r="E14" s="371"/>
      <c r="F14" s="371"/>
      <c r="G14" s="371"/>
      <c r="H14" s="371"/>
      <c r="I14" s="371"/>
      <c r="J14" s="371"/>
      <c r="K14" s="371"/>
      <c r="L14" s="371"/>
      <c r="M14" s="371"/>
      <c r="N14" s="371"/>
      <c r="O14" s="371"/>
      <c r="P14" s="371"/>
      <c r="Q14" s="371"/>
      <c r="R14" s="17"/>
      <c r="S14" s="17" t="str">
        <f ca="1">Summon!$I$6</f>
        <v>斩击</v>
      </c>
      <c r="T14" s="371"/>
      <c r="U14" s="371"/>
      <c r="V14" s="371"/>
      <c r="W14" s="121"/>
    </row>
    <row r="15" spans="1:23" ht="12.75" x14ac:dyDescent="0.2">
      <c r="A15" s="122"/>
      <c r="B15" s="531"/>
      <c r="C15" s="124"/>
      <c r="D15" s="125"/>
      <c r="E15" s="531"/>
      <c r="F15" s="531"/>
      <c r="G15" s="531"/>
      <c r="H15" s="531"/>
      <c r="I15" s="531"/>
      <c r="J15" s="531"/>
      <c r="K15" s="531"/>
      <c r="L15" s="531"/>
      <c r="M15" s="531"/>
      <c r="N15" s="531"/>
      <c r="O15" s="531"/>
      <c r="P15" s="531"/>
      <c r="Q15" s="531"/>
      <c r="R15" s="126"/>
      <c r="S15" s="126" t="str">
        <f ca="1">Summon!$I$4</f>
        <v>战斗</v>
      </c>
      <c r="T15" s="531"/>
      <c r="U15" s="531"/>
      <c r="V15" s="531"/>
      <c r="W15" s="121"/>
    </row>
    <row r="16" spans="1:23" ht="12.75" x14ac:dyDescent="0.2">
      <c r="A16" s="122"/>
      <c r="B16" s="533" t="str">
        <f ca="1">语言!$A$1975</f>
        <v>商人</v>
      </c>
      <c r="C16" s="123" t="b">
        <v>0</v>
      </c>
      <c r="D16" s="19" t="str">
        <f ca="1">道具!$C$126</f>
        <v>旧硬币</v>
      </c>
      <c r="E16" s="532" t="b">
        <v>0</v>
      </c>
      <c r="F16" s="379" t="str">
        <f ca="1">语言!$A$23</f>
        <v>无</v>
      </c>
      <c r="G16" s="532" t="b">
        <v>0</v>
      </c>
      <c r="H16" s="530" t="s">
        <v>45</v>
      </c>
      <c r="I16" s="379">
        <v>2</v>
      </c>
      <c r="J16" s="379"/>
      <c r="K16" s="379"/>
      <c r="L16" s="379"/>
      <c r="M16" s="379"/>
      <c r="N16" s="379"/>
      <c r="O16" s="379" t="str">
        <f ca="1">道具!$C$29</f>
        <v>睡眠瓶</v>
      </c>
      <c r="P16" s="532"/>
      <c r="Q16" s="530" t="s">
        <v>45</v>
      </c>
      <c r="R16" s="17"/>
      <c r="S16" s="17" t="str">
        <f ca="1">Summon!$I$144</f>
        <v>睡眠药</v>
      </c>
      <c r="T16" s="530">
        <v>9</v>
      </c>
      <c r="U16" s="532"/>
      <c r="V16" s="379"/>
      <c r="W16" s="121"/>
    </row>
    <row r="17" spans="1:23" ht="12.75" x14ac:dyDescent="0.2">
      <c r="A17" s="122"/>
      <c r="B17" s="371"/>
      <c r="C17" s="123" t="b">
        <v>0</v>
      </c>
      <c r="D17" s="19" t="str">
        <f ca="1">道具!$C$442</f>
        <v>安宁之服</v>
      </c>
      <c r="E17" s="371"/>
      <c r="F17" s="371"/>
      <c r="G17" s="371"/>
      <c r="H17" s="371"/>
      <c r="I17" s="371"/>
      <c r="J17" s="371"/>
      <c r="K17" s="371"/>
      <c r="L17" s="371"/>
      <c r="M17" s="371"/>
      <c r="N17" s="371"/>
      <c r="O17" s="371"/>
      <c r="P17" s="371"/>
      <c r="Q17" s="371"/>
      <c r="R17" s="17"/>
      <c r="S17" s="17" t="str">
        <f ca="1">Summon!$I$64</f>
        <v>精准射击</v>
      </c>
      <c r="T17" s="371"/>
      <c r="U17" s="371"/>
      <c r="V17" s="371"/>
      <c r="W17" s="121"/>
    </row>
    <row r="18" spans="1:23" ht="12.75" x14ac:dyDescent="0.2">
      <c r="A18" s="122"/>
      <c r="B18" s="531"/>
      <c r="C18" s="124"/>
      <c r="D18" s="125"/>
      <c r="E18" s="531"/>
      <c r="F18" s="531"/>
      <c r="G18" s="531"/>
      <c r="H18" s="531"/>
      <c r="I18" s="531"/>
      <c r="J18" s="531"/>
      <c r="K18" s="531"/>
      <c r="L18" s="531"/>
      <c r="M18" s="531"/>
      <c r="N18" s="531"/>
      <c r="O18" s="531"/>
      <c r="P18" s="531"/>
      <c r="Q18" s="531"/>
      <c r="R18" s="126"/>
      <c r="S18" s="126" t="str">
        <f ca="1">Summon!$I$4</f>
        <v>战斗</v>
      </c>
      <c r="T18" s="531"/>
      <c r="U18" s="531"/>
      <c r="V18" s="531"/>
      <c r="W18" s="121"/>
    </row>
    <row r="19" spans="1:23" ht="12.75" x14ac:dyDescent="0.2">
      <c r="A19" s="122"/>
      <c r="B19" s="533" t="str">
        <f ca="1">语言!$A$2128</f>
        <v>目击的女子</v>
      </c>
      <c r="C19" s="123" t="b">
        <v>0</v>
      </c>
      <c r="D19" s="19" t="str">
        <f ca="1">道具!$C$19</f>
        <v>沉默治疗药草</v>
      </c>
      <c r="E19" s="532" t="b">
        <v>0</v>
      </c>
      <c r="F19" s="379" t="str">
        <f ca="1">道具!$I$6</f>
        <v>杀人事件的真相</v>
      </c>
      <c r="G19" s="532" t="b">
        <v>0</v>
      </c>
      <c r="H19" s="530" t="s">
        <v>45</v>
      </c>
      <c r="I19" s="379">
        <v>2</v>
      </c>
      <c r="J19" s="379"/>
      <c r="K19" s="379"/>
      <c r="L19" s="379"/>
      <c r="M19" s="379"/>
      <c r="N19" s="379"/>
      <c r="O19" s="379" t="str">
        <f ca="1">道具!$C$19</f>
        <v>沉默治疗药草</v>
      </c>
      <c r="P19" s="532"/>
      <c r="Q19" s="530" t="s">
        <v>45</v>
      </c>
      <c r="R19" s="17"/>
      <c r="S19" s="17" t="str">
        <f ca="1">Summon!$I$118</f>
        <v>恢复ＨＰ的葡萄</v>
      </c>
      <c r="T19" s="530">
        <v>9</v>
      </c>
      <c r="U19" s="532"/>
      <c r="V19" s="379" t="str">
        <f ca="1">"NPC available after "&amp;语言!$A$35&amp;" chapter 1
"&amp;语言!$A$44&amp;" / "&amp;语言!$A$48&amp;" available after quest: "&amp;支线!$C$9</f>
        <v>NPC available after 欧菲莉亚 chapter 1
引导 / 诱惑 available after quest: 被冤枉的囚犯</v>
      </c>
      <c r="W19" s="121"/>
    </row>
    <row r="20" spans="1:23" ht="12.75" x14ac:dyDescent="0.2">
      <c r="A20" s="122"/>
      <c r="B20" s="371"/>
      <c r="C20" s="123" t="b">
        <v>0</v>
      </c>
      <c r="D20" s="19" t="str">
        <f ca="1">道具!$C$331</f>
        <v>复合杖</v>
      </c>
      <c r="E20" s="371"/>
      <c r="F20" s="371"/>
      <c r="G20" s="371"/>
      <c r="H20" s="371"/>
      <c r="I20" s="371"/>
      <c r="J20" s="371"/>
      <c r="K20" s="371"/>
      <c r="L20" s="371"/>
      <c r="M20" s="371"/>
      <c r="N20" s="371"/>
      <c r="O20" s="371"/>
      <c r="P20" s="371"/>
      <c r="Q20" s="371"/>
      <c r="R20" s="17"/>
      <c r="S20" s="17" t="str">
        <f ca="1">Summon!$I$64</f>
        <v>精准射击</v>
      </c>
      <c r="T20" s="371"/>
      <c r="U20" s="371"/>
      <c r="V20" s="371"/>
      <c r="W20" s="121"/>
    </row>
    <row r="21" spans="1:23" ht="12.75" x14ac:dyDescent="0.2">
      <c r="A21" s="122"/>
      <c r="B21" s="531"/>
      <c r="C21" s="124"/>
      <c r="D21" s="125"/>
      <c r="E21" s="531"/>
      <c r="F21" s="531"/>
      <c r="G21" s="531"/>
      <c r="H21" s="531"/>
      <c r="I21" s="531"/>
      <c r="J21" s="531"/>
      <c r="K21" s="531"/>
      <c r="L21" s="531"/>
      <c r="M21" s="531"/>
      <c r="N21" s="531"/>
      <c r="O21" s="531"/>
      <c r="P21" s="531"/>
      <c r="Q21" s="531"/>
      <c r="R21" s="126"/>
      <c r="S21" s="126" t="str">
        <f ca="1">Summon!$I$4</f>
        <v>战斗</v>
      </c>
      <c r="T21" s="531"/>
      <c r="U21" s="531"/>
      <c r="V21" s="531"/>
      <c r="W21" s="121"/>
    </row>
    <row r="22" spans="1:23" ht="12.75" x14ac:dyDescent="0.2">
      <c r="A22" s="122"/>
      <c r="B22" s="533" t="str">
        <f ca="1">语言!$A$1992</f>
        <v>嘟嘟囔囔的老人</v>
      </c>
      <c r="C22" s="123" t="b">
        <v>0</v>
      </c>
      <c r="D22" s="19" t="str">
        <f ca="1">道具!$C$8</f>
        <v>ＳＰ全体恢复的李子</v>
      </c>
      <c r="E22" s="532" t="b">
        <v>0</v>
      </c>
      <c r="F22" s="379" t="str">
        <f ca="1">道具!$I$60</f>
        <v>冰之巨人沉眠之处</v>
      </c>
      <c r="G22" s="532" t="b">
        <v>0</v>
      </c>
      <c r="H22" s="530" t="s">
        <v>55</v>
      </c>
      <c r="I22" s="379">
        <v>6</v>
      </c>
      <c r="J22" s="379"/>
      <c r="K22" s="379"/>
      <c r="L22" s="379"/>
      <c r="M22" s="379"/>
      <c r="N22" s="379"/>
      <c r="O22" s="379" t="str">
        <f ca="1">道具!$C$336</f>
        <v>历战之盾</v>
      </c>
      <c r="P22" s="532"/>
      <c r="Q22" s="530" t="s">
        <v>55</v>
      </c>
      <c r="R22" s="17"/>
      <c r="S22" s="17" t="str">
        <f ca="1">Summon!$I$57</f>
        <v>粉碎</v>
      </c>
      <c r="T22" s="530">
        <v>4</v>
      </c>
      <c r="U22" s="532"/>
      <c r="V22" s="379" t="str">
        <f ca="1">"NPC available after "&amp;语言!$A$35&amp;" chapter 1
"&amp;语言!$A$44&amp;" / "&amp;语言!$A$48&amp;" available after quest: "&amp;支线!$C$10</f>
        <v>NPC available after 欧菲莉亚 chapter 1
引导 / 诱惑 available after quest: 沉睡在冻土的巨人</v>
      </c>
      <c r="W22" s="121"/>
    </row>
    <row r="23" spans="1:23" ht="12.75" x14ac:dyDescent="0.2">
      <c r="A23" s="122"/>
      <c r="B23" s="371"/>
      <c r="C23" s="123" t="b">
        <v>0</v>
      </c>
      <c r="D23" s="19" t="str">
        <f ca="1">道具!$C$12</f>
        <v>ＨＰ／ＳＰ恢复的果酱</v>
      </c>
      <c r="E23" s="371"/>
      <c r="F23" s="371"/>
      <c r="G23" s="371"/>
      <c r="H23" s="371"/>
      <c r="I23" s="371"/>
      <c r="J23" s="371"/>
      <c r="K23" s="371"/>
      <c r="L23" s="371"/>
      <c r="M23" s="371"/>
      <c r="N23" s="371"/>
      <c r="O23" s="371"/>
      <c r="P23" s="371"/>
      <c r="Q23" s="371"/>
      <c r="R23" s="17"/>
      <c r="S23" s="17" t="str">
        <f ca="1">Summon!$I$61</f>
        <v>全力斩击</v>
      </c>
      <c r="T23" s="371"/>
      <c r="U23" s="371"/>
      <c r="V23" s="371"/>
      <c r="W23" s="121"/>
    </row>
    <row r="24" spans="1:23" ht="12.75" x14ac:dyDescent="0.2">
      <c r="A24" s="122"/>
      <c r="B24" s="531"/>
      <c r="C24" s="124"/>
      <c r="D24" s="125"/>
      <c r="E24" s="531"/>
      <c r="F24" s="531"/>
      <c r="G24" s="531"/>
      <c r="H24" s="531"/>
      <c r="I24" s="531"/>
      <c r="J24" s="531"/>
      <c r="K24" s="531"/>
      <c r="L24" s="531"/>
      <c r="M24" s="531"/>
      <c r="N24" s="531"/>
      <c r="O24" s="531"/>
      <c r="P24" s="531"/>
      <c r="Q24" s="531"/>
      <c r="R24" s="126"/>
      <c r="S24" s="126" t="str">
        <f ca="1">Summon!$I$4</f>
        <v>战斗</v>
      </c>
      <c r="T24" s="531"/>
      <c r="U24" s="531"/>
      <c r="V24" s="531"/>
      <c r="W24" s="121"/>
    </row>
    <row r="25" spans="1:23" ht="12.75" x14ac:dyDescent="0.2">
      <c r="A25" s="122"/>
      <c r="B25" s="533" t="str">
        <f ca="1">语言!$A$1774</f>
        <v>不安的居民</v>
      </c>
      <c r="C25" s="123" t="b">
        <v>0</v>
      </c>
      <c r="D25" s="19" t="str">
        <f ca="1">道具!$C$3</f>
        <v>ＨＰ恢复的葡萄</v>
      </c>
      <c r="E25" s="532" t="b">
        <v>0</v>
      </c>
      <c r="F25" s="379" t="str">
        <f ca="1">语言!$A$23</f>
        <v>无</v>
      </c>
      <c r="G25" s="532" t="b">
        <v>0</v>
      </c>
      <c r="H25" s="530" t="s">
        <v>45</v>
      </c>
      <c r="I25" s="379">
        <v>2</v>
      </c>
      <c r="J25" s="379"/>
      <c r="K25" s="379"/>
      <c r="L25" s="379"/>
      <c r="M25" s="379"/>
      <c r="N25" s="379"/>
      <c r="O25" s="379" t="str">
        <f ca="1">道具!$C$3</f>
        <v>ＨＰ恢复的葡萄</v>
      </c>
      <c r="P25" s="532"/>
      <c r="Q25" s="530" t="s">
        <v>45</v>
      </c>
      <c r="R25" s="17"/>
      <c r="S25" s="17" t="str">
        <f ca="1">Summon!$I$46</f>
        <v>睡眠猛击</v>
      </c>
      <c r="T25" s="530">
        <v>9</v>
      </c>
      <c r="U25" s="532"/>
      <c r="V25" s="379" t="str">
        <f ca="1">"NPC available after "&amp;语言!$A$35&amp;" chapter 1"</f>
        <v>NPC available after 欧菲莉亚 chapter 1</v>
      </c>
      <c r="W25" s="121"/>
    </row>
    <row r="26" spans="1:23" ht="12.75" x14ac:dyDescent="0.2">
      <c r="A26" s="122"/>
      <c r="B26" s="371"/>
      <c r="C26" s="123" t="b">
        <v>0</v>
      </c>
      <c r="D26" s="19" t="str">
        <f ca="1">道具!$C$6</f>
        <v>ＳＰ恢复的李子</v>
      </c>
      <c r="E26" s="371"/>
      <c r="F26" s="371"/>
      <c r="G26" s="371"/>
      <c r="H26" s="371"/>
      <c r="I26" s="371"/>
      <c r="J26" s="371"/>
      <c r="K26" s="371"/>
      <c r="L26" s="371"/>
      <c r="M26" s="371"/>
      <c r="N26" s="371"/>
      <c r="O26" s="371"/>
      <c r="P26" s="371"/>
      <c r="Q26" s="371"/>
      <c r="R26" s="17"/>
      <c r="S26" s="17" t="str">
        <f ca="1">Summon!$I$42</f>
        <v>猛击</v>
      </c>
      <c r="T26" s="371"/>
      <c r="U26" s="371"/>
      <c r="V26" s="371"/>
      <c r="W26" s="121"/>
    </row>
    <row r="27" spans="1:23" ht="12.75" x14ac:dyDescent="0.2">
      <c r="A27" s="122"/>
      <c r="B27" s="531"/>
      <c r="C27" s="124"/>
      <c r="D27" s="125"/>
      <c r="E27" s="531"/>
      <c r="F27" s="531"/>
      <c r="G27" s="531"/>
      <c r="H27" s="531"/>
      <c r="I27" s="531"/>
      <c r="J27" s="531"/>
      <c r="K27" s="531"/>
      <c r="L27" s="531"/>
      <c r="M27" s="531"/>
      <c r="N27" s="531"/>
      <c r="O27" s="531"/>
      <c r="P27" s="531"/>
      <c r="Q27" s="531"/>
      <c r="R27" s="126"/>
      <c r="S27" s="126" t="str">
        <f ca="1">Summon!$I$4</f>
        <v>战斗</v>
      </c>
      <c r="T27" s="531"/>
      <c r="U27" s="531"/>
      <c r="V27" s="531"/>
      <c r="W27" s="121"/>
    </row>
    <row r="28" spans="1:23" ht="12.75" x14ac:dyDescent="0.2">
      <c r="A28" s="122"/>
      <c r="B28" s="533" t="str">
        <f ca="1">语言!$A$1846</f>
        <v>醉心于研究的学者</v>
      </c>
      <c r="C28" s="123" t="b">
        <v>0</v>
      </c>
      <c r="D28" s="19" t="str">
        <f ca="1">道具!$C$30</f>
        <v>火之精灵石</v>
      </c>
      <c r="E28" s="532" t="b">
        <v>0</v>
      </c>
      <c r="F28" s="379" t="str">
        <f ca="1">语言!$A$23</f>
        <v>无</v>
      </c>
      <c r="G28" s="532" t="b">
        <v>0</v>
      </c>
      <c r="H28" s="530" t="s">
        <v>45</v>
      </c>
      <c r="I28" s="379">
        <v>2</v>
      </c>
      <c r="J28" s="379"/>
      <c r="K28" s="379"/>
      <c r="L28" s="379"/>
      <c r="M28" s="379"/>
      <c r="N28" s="379"/>
      <c r="O28" s="379" t="str">
        <f ca="1">道具!$C$6</f>
        <v>ＳＰ恢复的李子</v>
      </c>
      <c r="P28" s="532"/>
      <c r="Q28" s="530" t="s">
        <v>45</v>
      </c>
      <c r="R28" s="17"/>
      <c r="S28" s="17" t="str">
        <f ca="1">Summon!$I$87</f>
        <v>大冰冻魔法</v>
      </c>
      <c r="T28" s="530">
        <v>9</v>
      </c>
      <c r="U28" s="532"/>
      <c r="V28" s="379" t="str">
        <f ca="1">"NPC available after "&amp;语言!$A$35&amp;" chapter 1
"&amp;语言!$A$44&amp;" / "&amp;语言!$A$48&amp;" available after quest: "&amp;支线!$C$10</f>
        <v>NPC available after 欧菲莉亚 chapter 1
引导 / 诱惑 available after quest: 沉睡在冻土的巨人</v>
      </c>
      <c r="W28" s="121"/>
    </row>
    <row r="29" spans="1:23" ht="12.75" x14ac:dyDescent="0.2">
      <c r="A29" s="122"/>
      <c r="B29" s="371"/>
      <c r="C29" s="123" t="b">
        <v>0</v>
      </c>
      <c r="D29" s="19" t="str">
        <f ca="1">道具!$C$31</f>
        <v>火之精灵石（大）</v>
      </c>
      <c r="E29" s="371"/>
      <c r="F29" s="371"/>
      <c r="G29" s="371"/>
      <c r="H29" s="371"/>
      <c r="I29" s="371"/>
      <c r="J29" s="371"/>
      <c r="K29" s="371"/>
      <c r="L29" s="371"/>
      <c r="M29" s="371"/>
      <c r="N29" s="371"/>
      <c r="O29" s="371"/>
      <c r="P29" s="371"/>
      <c r="Q29" s="371"/>
      <c r="R29" s="17"/>
      <c r="S29" s="17" t="str">
        <f ca="1">Summon!$I$86</f>
        <v>冰冻魔法</v>
      </c>
      <c r="T29" s="371"/>
      <c r="U29" s="371"/>
      <c r="V29" s="371"/>
      <c r="W29" s="121"/>
    </row>
    <row r="30" spans="1:23" ht="12.75" x14ac:dyDescent="0.2">
      <c r="A30" s="122"/>
      <c r="B30" s="531"/>
      <c r="C30" s="124"/>
      <c r="D30" s="125"/>
      <c r="E30" s="531"/>
      <c r="F30" s="531"/>
      <c r="G30" s="531"/>
      <c r="H30" s="531"/>
      <c r="I30" s="531"/>
      <c r="J30" s="531"/>
      <c r="K30" s="531"/>
      <c r="L30" s="531"/>
      <c r="M30" s="531"/>
      <c r="N30" s="531"/>
      <c r="O30" s="531"/>
      <c r="P30" s="531"/>
      <c r="Q30" s="531"/>
      <c r="R30" s="126"/>
      <c r="S30" s="126" t="str">
        <f ca="1">Summon!$I$4</f>
        <v>战斗</v>
      </c>
      <c r="T30" s="531"/>
      <c r="U30" s="531"/>
      <c r="V30" s="531"/>
      <c r="W30" s="121"/>
    </row>
    <row r="31" spans="1:23" ht="12.75" x14ac:dyDescent="0.2">
      <c r="A31" s="122"/>
      <c r="B31" s="533" t="str">
        <f ca="1">语言!$A$1851</f>
        <v>醉醺醺的士兵</v>
      </c>
      <c r="C31" s="123" t="b">
        <v>0</v>
      </c>
      <c r="D31" s="19" t="str">
        <f ca="1">"* "&amp;道具!$F$34</f>
        <v>* 监狱的钥匙</v>
      </c>
      <c r="E31" s="532" t="b">
        <v>0</v>
      </c>
      <c r="F31" s="379" t="str">
        <f ca="1">语言!$A$23</f>
        <v>无</v>
      </c>
      <c r="G31" s="532" t="b">
        <v>0</v>
      </c>
      <c r="H31" s="530" t="s">
        <v>49</v>
      </c>
      <c r="I31" s="379">
        <v>4</v>
      </c>
      <c r="J31" s="379"/>
      <c r="K31" s="379"/>
      <c r="L31" s="379"/>
      <c r="M31" s="379"/>
      <c r="N31" s="379"/>
      <c r="O31" s="379" t="str">
        <f ca="1">道具!$C$42</f>
        <v>风之精灵石（特大）</v>
      </c>
      <c r="P31" s="532"/>
      <c r="Q31" s="530" t="s">
        <v>49</v>
      </c>
      <c r="R31" s="17"/>
      <c r="S31" s="17" t="str">
        <f ca="1">Summon!$I$151</f>
        <v>臭气</v>
      </c>
      <c r="T31" s="530">
        <v>7</v>
      </c>
      <c r="U31" s="532"/>
      <c r="V31" s="379" t="str">
        <f ca="1">"NPC available after "&amp;语言!$A$35&amp;" chapter 1"</f>
        <v>NPC available after 欧菲莉亚 chapter 1</v>
      </c>
      <c r="W31" s="121"/>
    </row>
    <row r="32" spans="1:23" ht="12.75" x14ac:dyDescent="0.2">
      <c r="A32" s="122"/>
      <c r="B32" s="371"/>
      <c r="C32" s="123" t="b">
        <v>0</v>
      </c>
      <c r="D32" s="19" t="str">
        <f ca="1">道具!$C$82</f>
        <v>一段麻绳</v>
      </c>
      <c r="E32" s="371"/>
      <c r="F32" s="371"/>
      <c r="G32" s="371"/>
      <c r="H32" s="371"/>
      <c r="I32" s="371"/>
      <c r="J32" s="371"/>
      <c r="K32" s="371"/>
      <c r="L32" s="371"/>
      <c r="M32" s="371"/>
      <c r="N32" s="371"/>
      <c r="O32" s="371"/>
      <c r="P32" s="371"/>
      <c r="Q32" s="371"/>
      <c r="R32" s="17"/>
      <c r="S32" s="17" t="str">
        <f ca="1">Summon!$I$104</f>
        <v>丢空瓶</v>
      </c>
      <c r="T32" s="371"/>
      <c r="U32" s="371"/>
      <c r="V32" s="371"/>
      <c r="W32" s="121"/>
    </row>
    <row r="33" spans="1:23" ht="12.75" x14ac:dyDescent="0.2">
      <c r="A33" s="122"/>
      <c r="B33" s="531"/>
      <c r="C33" s="124"/>
      <c r="D33" s="125"/>
      <c r="E33" s="531"/>
      <c r="F33" s="531"/>
      <c r="G33" s="531"/>
      <c r="H33" s="531"/>
      <c r="I33" s="531"/>
      <c r="J33" s="531"/>
      <c r="K33" s="531"/>
      <c r="L33" s="531"/>
      <c r="M33" s="531"/>
      <c r="N33" s="531"/>
      <c r="O33" s="531"/>
      <c r="P33" s="531"/>
      <c r="Q33" s="531"/>
      <c r="R33" s="126"/>
      <c r="S33" s="126" t="str">
        <f ca="1">Summon!$I$4</f>
        <v>战斗</v>
      </c>
      <c r="T33" s="531"/>
      <c r="U33" s="531"/>
      <c r="V33" s="531"/>
      <c r="W33" s="121"/>
    </row>
    <row r="34" spans="1:23" ht="12.75" x14ac:dyDescent="0.2">
      <c r="A34" s="122"/>
      <c r="B34" s="533" t="str">
        <f ca="1">语言!$A$2087</f>
        <v>酒馆的客人</v>
      </c>
      <c r="C34" s="123" t="b">
        <v>0</v>
      </c>
      <c r="D34" s="19" t="str">
        <f ca="1">道具!$C$3</f>
        <v>ＨＰ恢复的葡萄</v>
      </c>
      <c r="E34" s="532" t="b">
        <v>0</v>
      </c>
      <c r="F34" s="379" t="str">
        <f ca="1">语言!$A$23</f>
        <v>无</v>
      </c>
      <c r="G34" s="532" t="b">
        <v>0</v>
      </c>
      <c r="H34" s="530" t="s">
        <v>45</v>
      </c>
      <c r="I34" s="379">
        <v>2</v>
      </c>
      <c r="J34" s="379"/>
      <c r="K34" s="379"/>
      <c r="L34" s="379"/>
      <c r="M34" s="379"/>
      <c r="N34" s="379"/>
      <c r="O34" s="379" t="str">
        <f ca="1">道具!$C$3</f>
        <v>ＨＰ恢复的葡萄</v>
      </c>
      <c r="P34" s="532"/>
      <c r="Q34" s="530" t="s">
        <v>45</v>
      </c>
      <c r="R34" s="17"/>
      <c r="S34" s="17" t="str">
        <f ca="1">Summon!$I$96</f>
        <v>卷起龙卷风</v>
      </c>
      <c r="T34" s="530">
        <v>9</v>
      </c>
      <c r="U34" s="532"/>
      <c r="V34" s="379"/>
      <c r="W34" s="121"/>
    </row>
    <row r="35" spans="1:23" ht="12.75" x14ac:dyDescent="0.2">
      <c r="A35" s="122"/>
      <c r="B35" s="531"/>
      <c r="C35" s="124" t="b">
        <v>0</v>
      </c>
      <c r="D35" s="125" t="str">
        <f ca="1">道具!$C$501</f>
        <v>灵敏耳环</v>
      </c>
      <c r="E35" s="531"/>
      <c r="F35" s="531"/>
      <c r="G35" s="531"/>
      <c r="H35" s="531"/>
      <c r="I35" s="531"/>
      <c r="J35" s="531"/>
      <c r="K35" s="531"/>
      <c r="L35" s="531"/>
      <c r="M35" s="531"/>
      <c r="N35" s="531"/>
      <c r="O35" s="531"/>
      <c r="P35" s="531"/>
      <c r="Q35" s="531"/>
      <c r="R35" s="126"/>
      <c r="S35" s="126" t="str">
        <f ca="1">Summon!$I$4</f>
        <v>战斗</v>
      </c>
      <c r="T35" s="531"/>
      <c r="U35" s="531"/>
      <c r="V35" s="531"/>
      <c r="W35" s="121"/>
    </row>
    <row r="36" spans="1:23" ht="12.75" x14ac:dyDescent="0.2">
      <c r="A36" s="122"/>
      <c r="B36" s="533" t="str">
        <f ca="1">语言!$A$1941</f>
        <v>圣火骑士</v>
      </c>
      <c r="C36" s="123" t="b">
        <v>0</v>
      </c>
      <c r="D36" s="19" t="str">
        <f ca="1">道具!$C$33</f>
        <v>冰之精灵石</v>
      </c>
      <c r="E36" s="532" t="b">
        <v>0</v>
      </c>
      <c r="F36" s="379" t="str">
        <f ca="1">语言!$A$33&amp;"
"&amp;道具!$C$539</f>
        <v>隐藏道具的资讯
混乱多之叶</v>
      </c>
      <c r="G36" s="532" t="b">
        <v>0</v>
      </c>
      <c r="H36" s="530" t="s">
        <v>57</v>
      </c>
      <c r="I36" s="379">
        <v>3</v>
      </c>
      <c r="J36" s="379"/>
      <c r="K36" s="379"/>
      <c r="L36" s="379"/>
      <c r="M36" s="379"/>
      <c r="N36" s="379"/>
      <c r="O36" s="379" t="str">
        <f ca="1">道具!$C$3</f>
        <v>ＨＰ恢复的葡萄</v>
      </c>
      <c r="P36" s="532"/>
      <c r="Q36" s="530" t="s">
        <v>57</v>
      </c>
      <c r="R36" s="17"/>
      <c r="S36" s="17" t="str">
        <f ca="1">Summon!$I$20</f>
        <v>横扫</v>
      </c>
      <c r="T36" s="530">
        <v>8</v>
      </c>
      <c r="U36" s="532"/>
      <c r="V36" s="379"/>
      <c r="W36" s="121"/>
    </row>
    <row r="37" spans="1:23" ht="12.75" x14ac:dyDescent="0.2">
      <c r="A37" s="122"/>
      <c r="B37" s="371"/>
      <c r="C37" s="123" t="b">
        <v>0</v>
      </c>
      <c r="D37" s="19" t="str">
        <f ca="1">道具!$C$34</f>
        <v>冰之精灵石（大）</v>
      </c>
      <c r="E37" s="371"/>
      <c r="F37" s="371"/>
      <c r="G37" s="371"/>
      <c r="H37" s="371"/>
      <c r="I37" s="371"/>
      <c r="J37" s="371"/>
      <c r="K37" s="371"/>
      <c r="L37" s="371"/>
      <c r="M37" s="371"/>
      <c r="N37" s="371"/>
      <c r="O37" s="371"/>
      <c r="P37" s="371"/>
      <c r="Q37" s="371"/>
      <c r="R37" s="17"/>
      <c r="S37" s="17" t="str">
        <f ca="1">Summon!$I$6</f>
        <v>斩击</v>
      </c>
      <c r="T37" s="371"/>
      <c r="U37" s="371"/>
      <c r="V37" s="371"/>
      <c r="W37" s="121"/>
    </row>
    <row r="38" spans="1:23" ht="12.75" x14ac:dyDescent="0.2">
      <c r="A38" s="122"/>
      <c r="B38" s="531"/>
      <c r="C38" s="124"/>
      <c r="D38" s="125"/>
      <c r="E38" s="531"/>
      <c r="F38" s="531"/>
      <c r="G38" s="531"/>
      <c r="H38" s="531"/>
      <c r="I38" s="531"/>
      <c r="J38" s="531"/>
      <c r="K38" s="531"/>
      <c r="L38" s="531"/>
      <c r="M38" s="531"/>
      <c r="N38" s="531"/>
      <c r="O38" s="531"/>
      <c r="P38" s="531"/>
      <c r="Q38" s="531"/>
      <c r="R38" s="126"/>
      <c r="S38" s="126" t="str">
        <f ca="1">Summon!$I$4</f>
        <v>战斗</v>
      </c>
      <c r="T38" s="531"/>
      <c r="U38" s="531"/>
      <c r="V38" s="531"/>
      <c r="W38" s="121"/>
    </row>
    <row r="39" spans="1:23" ht="12.75" x14ac:dyDescent="0.2">
      <c r="A39" s="122"/>
      <c r="B39" s="533" t="str">
        <f ca="1">语言!$A$2064</f>
        <v>怕冷的居民</v>
      </c>
      <c r="C39" s="123" t="b">
        <v>0</v>
      </c>
      <c r="D39" s="19" t="str">
        <f ca="1">道具!$C$14</f>
        <v>复活的橄榄</v>
      </c>
      <c r="E39" s="532" t="b">
        <v>0</v>
      </c>
      <c r="F39" s="379" t="str">
        <f ca="1">语言!$A$23</f>
        <v>无</v>
      </c>
      <c r="G39" s="532" t="b">
        <v>0</v>
      </c>
      <c r="H39" s="530" t="s">
        <v>45</v>
      </c>
      <c r="I39" s="379">
        <v>2</v>
      </c>
      <c r="J39" s="379"/>
      <c r="K39" s="379"/>
      <c r="L39" s="379"/>
      <c r="M39" s="379"/>
      <c r="N39" s="379"/>
      <c r="O39" s="379" t="str">
        <f ca="1">道具!$C$442</f>
        <v>安宁之服</v>
      </c>
      <c r="P39" s="532"/>
      <c r="Q39" s="530" t="s">
        <v>45</v>
      </c>
      <c r="R39" s="17"/>
      <c r="S39" s="17" t="str">
        <f ca="1">Summon!$I$68</f>
        <v>恐慌之矢</v>
      </c>
      <c r="T39" s="530">
        <v>9</v>
      </c>
      <c r="U39" s="532"/>
      <c r="V39" s="379" t="str">
        <f ca="1">"NPC available after "&amp;语言!$A$35&amp;" chapter 1"</f>
        <v>NPC available after 欧菲莉亚 chapter 1</v>
      </c>
      <c r="W39" s="121"/>
    </row>
    <row r="40" spans="1:23" ht="12.75" x14ac:dyDescent="0.2">
      <c r="A40" s="122"/>
      <c r="B40" s="531"/>
      <c r="C40" s="124" t="b">
        <v>0</v>
      </c>
      <c r="D40" s="125" t="str">
        <f ca="1">道具!$C$19</f>
        <v>沉默治疗药草</v>
      </c>
      <c r="E40" s="531"/>
      <c r="F40" s="531"/>
      <c r="G40" s="531"/>
      <c r="H40" s="531"/>
      <c r="I40" s="531"/>
      <c r="J40" s="531"/>
      <c r="K40" s="531"/>
      <c r="L40" s="531"/>
      <c r="M40" s="531"/>
      <c r="N40" s="531"/>
      <c r="O40" s="531"/>
      <c r="P40" s="531"/>
      <c r="Q40" s="531"/>
      <c r="R40" s="126"/>
      <c r="S40" s="126" t="str">
        <f ca="1">Summon!$I$4</f>
        <v>战斗</v>
      </c>
      <c r="T40" s="531"/>
      <c r="U40" s="531"/>
      <c r="V40" s="531"/>
      <c r="W40" s="121"/>
    </row>
    <row r="41" spans="1:23" ht="12.75" x14ac:dyDescent="0.2">
      <c r="A41" s="122"/>
      <c r="B41" s="533" t="str">
        <f ca="1">语言!$A$2102</f>
        <v>市民</v>
      </c>
      <c r="C41" s="123" t="b">
        <v>0</v>
      </c>
      <c r="D41" s="19" t="str">
        <f ca="1">道具!$C$26</f>
        <v>暗黑瓶</v>
      </c>
      <c r="E41" s="532" t="b">
        <v>0</v>
      </c>
      <c r="F41" s="379" t="str">
        <f ca="1">语言!$A$33&amp;"
"&amp;道具!$C$46</f>
        <v>隐藏道具的资讯
暗之精灵石</v>
      </c>
      <c r="G41" s="532" t="b">
        <v>0</v>
      </c>
      <c r="H41" s="530" t="s">
        <v>45</v>
      </c>
      <c r="I41" s="379">
        <v>2</v>
      </c>
      <c r="J41" s="379"/>
      <c r="K41" s="379"/>
      <c r="L41" s="379"/>
      <c r="M41" s="379"/>
      <c r="N41" s="379"/>
      <c r="O41" s="379" t="str">
        <f ca="1">道具!$C$14</f>
        <v>复活的橄榄</v>
      </c>
      <c r="P41" s="532"/>
      <c r="Q41" s="530" t="s">
        <v>45</v>
      </c>
      <c r="R41" s="17"/>
      <c r="S41" s="17" t="str">
        <f ca="1">Summon!$I$171</f>
        <v>圣职者的哲学</v>
      </c>
      <c r="T41" s="530">
        <v>9</v>
      </c>
      <c r="U41" s="532"/>
      <c r="V41" s="379"/>
      <c r="W41" s="121"/>
    </row>
    <row r="42" spans="1:23" ht="12.75" x14ac:dyDescent="0.2">
      <c r="A42" s="122"/>
      <c r="B42" s="371"/>
      <c r="C42" s="123" t="b">
        <v>0</v>
      </c>
      <c r="D42" s="19" t="str">
        <f ca="1">道具!$C$27</f>
        <v>混乱瓶</v>
      </c>
      <c r="E42" s="371"/>
      <c r="F42" s="371"/>
      <c r="G42" s="371"/>
      <c r="H42" s="371"/>
      <c r="I42" s="371"/>
      <c r="J42" s="371"/>
      <c r="K42" s="371"/>
      <c r="L42" s="371"/>
      <c r="M42" s="371"/>
      <c r="N42" s="371"/>
      <c r="O42" s="371"/>
      <c r="P42" s="371"/>
      <c r="Q42" s="371"/>
      <c r="R42" s="17"/>
      <c r="S42" s="17" t="str">
        <f ca="1">Summon!$I$80</f>
        <v>大火焰魔法</v>
      </c>
      <c r="T42" s="371"/>
      <c r="U42" s="371"/>
      <c r="V42" s="371"/>
      <c r="W42" s="121"/>
    </row>
    <row r="43" spans="1:23" ht="12.75" x14ac:dyDescent="0.2">
      <c r="A43" s="122"/>
      <c r="B43" s="531"/>
      <c r="C43" s="124"/>
      <c r="D43" s="125"/>
      <c r="E43" s="531"/>
      <c r="F43" s="531"/>
      <c r="G43" s="531"/>
      <c r="H43" s="531"/>
      <c r="I43" s="531"/>
      <c r="J43" s="531"/>
      <c r="K43" s="531"/>
      <c r="L43" s="531"/>
      <c r="M43" s="531"/>
      <c r="N43" s="531"/>
      <c r="O43" s="531"/>
      <c r="P43" s="531"/>
      <c r="Q43" s="531"/>
      <c r="R43" s="126"/>
      <c r="S43" s="126" t="str">
        <f ca="1">Summon!$I$94</f>
        <v>疾风魔法</v>
      </c>
      <c r="T43" s="531"/>
      <c r="U43" s="531"/>
      <c r="V43" s="531"/>
      <c r="W43" s="121"/>
    </row>
    <row r="44" spans="1:23" ht="12.75" x14ac:dyDescent="0.2">
      <c r="A44" s="122"/>
      <c r="B44" s="533" t="str">
        <f ca="1">语言!$A$2102</f>
        <v>市民</v>
      </c>
      <c r="C44" s="123" t="b">
        <v>0</v>
      </c>
      <c r="D44" s="19" t="str">
        <f ca="1">道具!$C$538</f>
        <v>睡眠花之叶</v>
      </c>
      <c r="E44" s="532" t="b">
        <v>0</v>
      </c>
      <c r="F44" s="379" t="str">
        <f ca="1">语言!$A$33&amp;"
"&amp;道具!$C$532</f>
        <v>隐藏道具的资讯
含毒的素材</v>
      </c>
      <c r="G44" s="532" t="b">
        <v>0</v>
      </c>
      <c r="H44" s="530" t="s">
        <v>45</v>
      </c>
      <c r="I44" s="379">
        <v>2</v>
      </c>
      <c r="J44" s="379"/>
      <c r="K44" s="379"/>
      <c r="L44" s="379"/>
      <c r="M44" s="379"/>
      <c r="N44" s="379"/>
      <c r="O44" s="379" t="str">
        <f ca="1">道具!$C$21</f>
        <v>混乱治疗药草</v>
      </c>
      <c r="P44" s="532"/>
      <c r="Q44" s="534" t="s">
        <v>119</v>
      </c>
      <c r="R44" s="534" t="s">
        <v>119</v>
      </c>
      <c r="S44" s="534" t="s">
        <v>119</v>
      </c>
      <c r="T44" s="534" t="s">
        <v>119</v>
      </c>
      <c r="U44" s="532"/>
      <c r="V44" s="379"/>
      <c r="W44" s="121"/>
    </row>
    <row r="45" spans="1:23" ht="12.75" x14ac:dyDescent="0.2">
      <c r="A45" s="122"/>
      <c r="B45" s="371"/>
      <c r="C45" s="123" t="b">
        <v>0</v>
      </c>
      <c r="D45" s="19" t="str">
        <f ca="1">道具!$C$22</f>
        <v>睡眠治疗药草</v>
      </c>
      <c r="E45" s="371"/>
      <c r="F45" s="371"/>
      <c r="G45" s="371"/>
      <c r="H45" s="371"/>
      <c r="I45" s="371"/>
      <c r="J45" s="371"/>
      <c r="K45" s="371"/>
      <c r="L45" s="371"/>
      <c r="M45" s="371"/>
      <c r="N45" s="371"/>
      <c r="O45" s="371"/>
      <c r="P45" s="371"/>
      <c r="Q45" s="371"/>
      <c r="R45" s="371"/>
      <c r="S45" s="371"/>
      <c r="T45" s="371"/>
      <c r="U45" s="371"/>
      <c r="V45" s="371"/>
      <c r="W45" s="121"/>
    </row>
    <row r="46" spans="1:23" ht="12.75" x14ac:dyDescent="0.2">
      <c r="A46" s="129"/>
      <c r="B46" s="531"/>
      <c r="C46" s="124" t="b">
        <v>0</v>
      </c>
      <c r="D46" s="125" t="str">
        <f ca="1">道具!$C$29</f>
        <v>睡眠瓶</v>
      </c>
      <c r="E46" s="531"/>
      <c r="F46" s="531"/>
      <c r="G46" s="531"/>
      <c r="H46" s="531"/>
      <c r="I46" s="531"/>
      <c r="J46" s="531"/>
      <c r="K46" s="531"/>
      <c r="L46" s="531"/>
      <c r="M46" s="531"/>
      <c r="N46" s="531"/>
      <c r="O46" s="531"/>
      <c r="P46" s="531"/>
      <c r="Q46" s="531"/>
      <c r="R46" s="531"/>
      <c r="S46" s="531"/>
      <c r="T46" s="531"/>
      <c r="U46" s="531"/>
      <c r="V46" s="531"/>
      <c r="W46" s="121"/>
    </row>
    <row r="47" spans="1:23" ht="12.75" x14ac:dyDescent="0.2">
      <c r="A47" s="129"/>
      <c r="B47" s="533" t="str">
        <f ca="1">语言!$A$2060</f>
        <v>佣兵</v>
      </c>
      <c r="C47" s="123" t="b">
        <v>0</v>
      </c>
      <c r="D47" s="19" t="str">
        <f ca="1">道具!$C$165</f>
        <v>银制剑</v>
      </c>
      <c r="E47" s="532" t="b">
        <v>0</v>
      </c>
      <c r="F47" s="379" t="str">
        <f ca="1">语言!$A$23</f>
        <v>无</v>
      </c>
      <c r="G47" s="532" t="b">
        <v>0</v>
      </c>
      <c r="H47" s="530" t="s">
        <v>46</v>
      </c>
      <c r="I47" s="379">
        <v>3</v>
      </c>
      <c r="J47" s="379"/>
      <c r="K47" s="379"/>
      <c r="L47" s="379"/>
      <c r="M47" s="379"/>
      <c r="N47" s="379"/>
      <c r="O47" s="379" t="str">
        <f ca="1">道具!$C$7</f>
        <v>ＳＰ恢复的李子（大）</v>
      </c>
      <c r="P47" s="532"/>
      <c r="Q47" s="534" t="s">
        <v>119</v>
      </c>
      <c r="R47" s="534" t="s">
        <v>119</v>
      </c>
      <c r="S47" s="534" t="s">
        <v>119</v>
      </c>
      <c r="T47" s="534" t="s">
        <v>119</v>
      </c>
      <c r="U47" s="532"/>
      <c r="V47" s="379" t="str">
        <f ca="1">"Behind other NPC ("&amp;语言!$A$47&amp;" / "&amp;语言!$A$51&amp;")"</f>
        <v>Behind other NPC (比试 / 唆使)</v>
      </c>
      <c r="W47" s="121"/>
    </row>
    <row r="48" spans="1:23" ht="12.75" x14ac:dyDescent="0.2">
      <c r="A48" s="122"/>
      <c r="B48" s="371"/>
      <c r="C48" s="123" t="b">
        <v>0</v>
      </c>
      <c r="D48" s="19" t="str">
        <f ca="1">道具!$C$390</f>
        <v>帽盔</v>
      </c>
      <c r="E48" s="371"/>
      <c r="F48" s="371"/>
      <c r="G48" s="371"/>
      <c r="H48" s="371"/>
      <c r="I48" s="371"/>
      <c r="J48" s="371"/>
      <c r="K48" s="371"/>
      <c r="L48" s="371"/>
      <c r="M48" s="371"/>
      <c r="N48" s="371"/>
      <c r="O48" s="371"/>
      <c r="P48" s="371"/>
      <c r="Q48" s="371"/>
      <c r="R48" s="371"/>
      <c r="S48" s="371"/>
      <c r="T48" s="371"/>
      <c r="U48" s="371"/>
      <c r="V48" s="371"/>
      <c r="W48" s="121"/>
    </row>
    <row r="49" spans="1:23" ht="12.75" x14ac:dyDescent="0.2">
      <c r="A49" s="122"/>
      <c r="B49" s="531"/>
      <c r="C49" s="124" t="b">
        <v>0</v>
      </c>
      <c r="D49" s="125" t="str">
        <f ca="1">道具!$C$441</f>
        <v>铁制背心</v>
      </c>
      <c r="E49" s="531"/>
      <c r="F49" s="531"/>
      <c r="G49" s="531"/>
      <c r="H49" s="531"/>
      <c r="I49" s="531"/>
      <c r="J49" s="531"/>
      <c r="K49" s="531"/>
      <c r="L49" s="531"/>
      <c r="M49" s="531"/>
      <c r="N49" s="531"/>
      <c r="O49" s="531"/>
      <c r="P49" s="531"/>
      <c r="Q49" s="531"/>
      <c r="R49" s="531"/>
      <c r="S49" s="531"/>
      <c r="T49" s="531"/>
      <c r="U49" s="531"/>
      <c r="V49" s="531"/>
      <c r="W49" s="121"/>
    </row>
    <row r="50" spans="1:23" ht="12.75" x14ac:dyDescent="0.2">
      <c r="A50" s="122"/>
      <c r="B50" s="533" t="str">
        <f ca="1">语言!$A$1829</f>
        <v>神官</v>
      </c>
      <c r="C50" s="532" t="b">
        <v>0</v>
      </c>
      <c r="D50" s="402" t="str">
        <f ca="1">道具!$C$6</f>
        <v>ＳＰ恢复的李子</v>
      </c>
      <c r="E50" s="532" t="b">
        <v>0</v>
      </c>
      <c r="F50" s="379" t="str">
        <f ca="1">语言!$A$29</f>
        <v>「引导」必须等级降低资讯</v>
      </c>
      <c r="G50" s="532" t="b">
        <v>0</v>
      </c>
      <c r="H50" s="530" t="s">
        <v>45</v>
      </c>
      <c r="I50" s="379">
        <v>2</v>
      </c>
      <c r="J50" s="379"/>
      <c r="K50" s="379"/>
      <c r="L50" s="379"/>
      <c r="M50" s="379"/>
      <c r="N50" s="379"/>
      <c r="O50" s="379" t="str">
        <f ca="1">道具!$C$6</f>
        <v>ＳＰ恢复的李子</v>
      </c>
      <c r="P50" s="532"/>
      <c r="Q50" s="530" t="s">
        <v>45</v>
      </c>
      <c r="R50" s="17"/>
      <c r="S50" s="17" t="str">
        <f ca="1">Summon!$I$174</f>
        <v>防御力提升</v>
      </c>
      <c r="T50" s="530">
        <v>9</v>
      </c>
      <c r="U50" s="532"/>
      <c r="V50" s="379"/>
      <c r="W50" s="121"/>
    </row>
    <row r="51" spans="1:23" ht="12.75" x14ac:dyDescent="0.2">
      <c r="A51" s="122"/>
      <c r="B51" s="371"/>
      <c r="C51" s="371"/>
      <c r="D51" s="371"/>
      <c r="E51" s="371"/>
      <c r="F51" s="371"/>
      <c r="G51" s="371"/>
      <c r="H51" s="371"/>
      <c r="I51" s="371"/>
      <c r="J51" s="371"/>
      <c r="K51" s="371"/>
      <c r="L51" s="371"/>
      <c r="M51" s="371"/>
      <c r="N51" s="371"/>
      <c r="O51" s="371"/>
      <c r="P51" s="371"/>
      <c r="Q51" s="371"/>
      <c r="R51" s="17"/>
      <c r="S51" s="17" t="str">
        <f ca="1">Summon!$I$87</f>
        <v>大冰冻魔法</v>
      </c>
      <c r="T51" s="371"/>
      <c r="U51" s="371"/>
      <c r="V51" s="371"/>
      <c r="W51" s="121"/>
    </row>
    <row r="52" spans="1:23" ht="12.75" x14ac:dyDescent="0.2">
      <c r="A52" s="120"/>
      <c r="B52" s="529" t="str">
        <f ca="1">语言!$A$326</f>
        <v>弗雷姆葛雷斯 -大圣堂前-</v>
      </c>
      <c r="C52" s="371"/>
      <c r="D52" s="371"/>
      <c r="E52" s="371"/>
      <c r="F52" s="371"/>
      <c r="G52" s="371"/>
      <c r="H52" s="371"/>
      <c r="I52" s="371"/>
      <c r="J52" s="371"/>
      <c r="K52" s="371"/>
      <c r="L52" s="371"/>
      <c r="M52" s="371"/>
      <c r="N52" s="371"/>
      <c r="O52" s="371"/>
      <c r="P52" s="371"/>
      <c r="Q52" s="371"/>
      <c r="R52" s="371"/>
      <c r="S52" s="371"/>
      <c r="T52" s="371"/>
      <c r="U52" s="371"/>
      <c r="V52" s="371"/>
      <c r="W52" s="121"/>
    </row>
    <row r="53" spans="1:23" ht="12.75" x14ac:dyDescent="0.2">
      <c r="A53" s="122"/>
      <c r="B53" s="533" t="str">
        <f ca="1">语言!$A$2102</f>
        <v>市民</v>
      </c>
      <c r="C53" s="128" t="b">
        <v>0</v>
      </c>
      <c r="D53" s="19" t="str">
        <f ca="1">道具!$C$448</f>
        <v>传统舞娘衣服</v>
      </c>
      <c r="E53" s="535" t="b">
        <v>0</v>
      </c>
      <c r="F53" s="379" t="str">
        <f ca="1">语言!$A$24</f>
        <v>旅店的折扣资讯</v>
      </c>
      <c r="G53" s="535" t="b">
        <v>0</v>
      </c>
      <c r="H53" s="530" t="s">
        <v>45</v>
      </c>
      <c r="I53" s="379">
        <v>2</v>
      </c>
      <c r="J53" s="379"/>
      <c r="K53" s="379"/>
      <c r="L53" s="379"/>
      <c r="M53" s="379"/>
      <c r="N53" s="379"/>
      <c r="O53" s="379" t="str">
        <f ca="1">道具!$C$21</f>
        <v>混乱治疗药草</v>
      </c>
      <c r="P53" s="535"/>
      <c r="Q53" s="530" t="s">
        <v>45</v>
      </c>
      <c r="R53" s="17"/>
      <c r="S53" s="17" t="str">
        <f ca="1">Summon!$I$121</f>
        <v>ＨＰ疗愈</v>
      </c>
      <c r="T53" s="530">
        <v>9</v>
      </c>
      <c r="U53" s="535"/>
      <c r="V53" s="379"/>
      <c r="W53" s="121"/>
    </row>
    <row r="54" spans="1:23" ht="12.75" x14ac:dyDescent="0.2">
      <c r="A54" s="122"/>
      <c r="B54" s="371"/>
      <c r="C54" s="128" t="b">
        <v>0</v>
      </c>
      <c r="D54" s="19" t="str">
        <f ca="1">道具!$C$391</f>
        <v>饰环</v>
      </c>
      <c r="E54" s="371"/>
      <c r="F54" s="371"/>
      <c r="G54" s="371"/>
      <c r="H54" s="371"/>
      <c r="I54" s="371"/>
      <c r="J54" s="371"/>
      <c r="K54" s="371"/>
      <c r="L54" s="371"/>
      <c r="M54" s="371"/>
      <c r="N54" s="371"/>
      <c r="O54" s="371"/>
      <c r="P54" s="371"/>
      <c r="Q54" s="371"/>
      <c r="R54" s="17"/>
      <c r="S54" s="17" t="str">
        <f ca="1">Summon!$I$129</f>
        <v>恢复ＳＰ的李子</v>
      </c>
      <c r="T54" s="371"/>
      <c r="U54" s="371"/>
      <c r="V54" s="371"/>
      <c r="W54" s="121"/>
    </row>
    <row r="55" spans="1:23" ht="12.75" x14ac:dyDescent="0.2">
      <c r="A55" s="122"/>
      <c r="B55" s="531"/>
      <c r="C55" s="130"/>
      <c r="D55" s="125"/>
      <c r="E55" s="531"/>
      <c r="F55" s="531"/>
      <c r="G55" s="531"/>
      <c r="H55" s="531"/>
      <c r="I55" s="531"/>
      <c r="J55" s="531"/>
      <c r="K55" s="531"/>
      <c r="L55" s="531"/>
      <c r="M55" s="531"/>
      <c r="N55" s="531"/>
      <c r="O55" s="531"/>
      <c r="P55" s="531"/>
      <c r="Q55" s="531"/>
      <c r="R55" s="126"/>
      <c r="S55" s="126" t="str">
        <f ca="1">Summon!$I$4</f>
        <v>战斗</v>
      </c>
      <c r="T55" s="531"/>
      <c r="U55" s="531"/>
      <c r="V55" s="531"/>
      <c r="W55" s="121"/>
    </row>
    <row r="56" spans="1:23" ht="12.75" x14ac:dyDescent="0.2">
      <c r="A56" s="122"/>
      <c r="B56" s="533" t="str">
        <f ca="1">语言!$A$1760&amp;" (1)"</f>
        <v>被怀疑的男子 (1)</v>
      </c>
      <c r="C56" s="532" t="b">
        <v>0</v>
      </c>
      <c r="D56" s="402" t="str">
        <f ca="1">道具!$C$4</f>
        <v>ＨＰ恢复的葡萄（大）</v>
      </c>
      <c r="E56" s="532" t="b">
        <v>0</v>
      </c>
      <c r="F56" s="379" t="str">
        <f ca="1">语言!$A$23</f>
        <v>无</v>
      </c>
      <c r="G56" s="532" t="b">
        <v>0</v>
      </c>
      <c r="H56" s="530" t="s">
        <v>57</v>
      </c>
      <c r="I56" s="379">
        <v>3</v>
      </c>
      <c r="J56" s="379"/>
      <c r="K56" s="379"/>
      <c r="L56" s="379"/>
      <c r="M56" s="379"/>
      <c r="N56" s="379"/>
      <c r="O56" s="379" t="str">
        <f ca="1">道具!$C$228</f>
        <v>迷惑短剑</v>
      </c>
      <c r="P56" s="532"/>
      <c r="Q56" s="534" t="s">
        <v>119</v>
      </c>
      <c r="R56" s="534" t="s">
        <v>119</v>
      </c>
      <c r="S56" s="534" t="s">
        <v>119</v>
      </c>
      <c r="T56" s="534" t="s">
        <v>119</v>
      </c>
      <c r="U56" s="535"/>
      <c r="V56" s="379" t="str">
        <f ca="1">"NPC available after "&amp;语言!$A$35&amp;" chapter 1
Moves to "&amp;语言!$A$325&amp;" or "&amp;语言!$A$366&amp;" after quest: "&amp;支线!$C$9</f>
        <v>NPC available after 欧菲莉亚 chapter 1
Moves to 弗雷姆葛雷斯 or 利布尔泰德 after quest: 被冤枉的囚犯</v>
      </c>
      <c r="W56" s="121"/>
    </row>
    <row r="57" spans="1:23" ht="12.75" x14ac:dyDescent="0.2">
      <c r="A57" s="122"/>
      <c r="B57" s="531"/>
      <c r="C57" s="531"/>
      <c r="D57" s="531"/>
      <c r="E57" s="531"/>
      <c r="F57" s="531"/>
      <c r="G57" s="531"/>
      <c r="H57" s="531"/>
      <c r="I57" s="531"/>
      <c r="J57" s="531"/>
      <c r="K57" s="531"/>
      <c r="L57" s="531"/>
      <c r="M57" s="531"/>
      <c r="N57" s="531"/>
      <c r="O57" s="531"/>
      <c r="P57" s="531"/>
      <c r="Q57" s="531"/>
      <c r="R57" s="531"/>
      <c r="S57" s="531"/>
      <c r="T57" s="531"/>
      <c r="U57" s="531"/>
      <c r="V57" s="531"/>
      <c r="W57" s="121"/>
    </row>
    <row r="58" spans="1:23" ht="12.75" x14ac:dyDescent="0.2">
      <c r="A58" s="122"/>
      <c r="B58" s="533" t="str">
        <f ca="1">语言!$A$2102</f>
        <v>市民</v>
      </c>
      <c r="C58" s="128" t="b">
        <v>0</v>
      </c>
      <c r="D58" s="19" t="str">
        <f ca="1">道具!$C$9</f>
        <v>ＢＰ恢复的石榴</v>
      </c>
      <c r="E58" s="535" t="b">
        <v>0</v>
      </c>
      <c r="F58" s="379" t="str">
        <f ca="1">语言!$A$33&amp;"
"&amp;道具!$C$33</f>
        <v>隐藏道具的资讯
冰之精灵石</v>
      </c>
      <c r="G58" s="535" t="b">
        <v>0</v>
      </c>
      <c r="H58" s="530" t="s">
        <v>45</v>
      </c>
      <c r="I58" s="379">
        <v>2</v>
      </c>
      <c r="J58" s="379"/>
      <c r="K58" s="379"/>
      <c r="L58" s="379"/>
      <c r="M58" s="379"/>
      <c r="N58" s="379"/>
      <c r="O58" s="379" t="str">
        <f ca="1">道具!$C$9</f>
        <v>ＢＰ恢复的石榴</v>
      </c>
      <c r="P58" s="535"/>
      <c r="Q58" s="530" t="s">
        <v>45</v>
      </c>
      <c r="R58" s="17"/>
      <c r="S58" s="17" t="str">
        <f ca="1">Summon!$I$21</f>
        <v>乱斩</v>
      </c>
      <c r="T58" s="530">
        <v>9</v>
      </c>
      <c r="U58" s="535"/>
      <c r="V58" s="379"/>
      <c r="W58" s="121"/>
    </row>
    <row r="59" spans="1:23" ht="12.75" x14ac:dyDescent="0.2">
      <c r="A59" s="122"/>
      <c r="B59" s="371"/>
      <c r="C59" s="128" t="b">
        <v>0</v>
      </c>
      <c r="D59" s="19" t="str">
        <f ca="1">道具!$C$20</f>
        <v>黑暗治疗药草</v>
      </c>
      <c r="E59" s="371"/>
      <c r="F59" s="371"/>
      <c r="G59" s="371"/>
      <c r="H59" s="371"/>
      <c r="I59" s="371"/>
      <c r="J59" s="371"/>
      <c r="K59" s="371"/>
      <c r="L59" s="371"/>
      <c r="M59" s="371"/>
      <c r="N59" s="371"/>
      <c r="O59" s="371"/>
      <c r="P59" s="371"/>
      <c r="Q59" s="371"/>
      <c r="R59" s="17"/>
      <c r="S59" s="17" t="str">
        <f ca="1">Summon!$I$157</f>
        <v>攻击力下降</v>
      </c>
      <c r="T59" s="371"/>
      <c r="U59" s="371"/>
      <c r="V59" s="371"/>
      <c r="W59" s="121"/>
    </row>
    <row r="60" spans="1:23" ht="12.75" x14ac:dyDescent="0.2">
      <c r="A60" s="122"/>
      <c r="B60" s="531"/>
      <c r="C60" s="130"/>
      <c r="D60" s="125"/>
      <c r="E60" s="531"/>
      <c r="F60" s="531"/>
      <c r="G60" s="531"/>
      <c r="H60" s="531"/>
      <c r="I60" s="531"/>
      <c r="J60" s="531"/>
      <c r="K60" s="531"/>
      <c r="L60" s="531"/>
      <c r="M60" s="531"/>
      <c r="N60" s="531"/>
      <c r="O60" s="531"/>
      <c r="P60" s="531"/>
      <c r="Q60" s="531"/>
      <c r="R60" s="126"/>
      <c r="S60" s="126" t="str">
        <f ca="1">Summon!$I$4</f>
        <v>战斗</v>
      </c>
      <c r="T60" s="531"/>
      <c r="U60" s="531"/>
      <c r="V60" s="531"/>
      <c r="W60" s="121"/>
    </row>
    <row r="61" spans="1:23" ht="12.75" x14ac:dyDescent="0.2">
      <c r="A61" s="122"/>
      <c r="B61" s="533" t="str">
        <f ca="1">语言!$A$1941</f>
        <v>圣火骑士</v>
      </c>
      <c r="C61" s="128" t="b">
        <v>0</v>
      </c>
      <c r="D61" s="19" t="str">
        <f ca="1">道具!$C$43</f>
        <v>光之精灵石</v>
      </c>
      <c r="E61" s="535" t="b">
        <v>0</v>
      </c>
      <c r="F61" s="379" t="str">
        <f ca="1">语言!$A$33&amp;"
"&amp;道具!$C$495</f>
        <v>隐藏道具的资讯
体力耳环</v>
      </c>
      <c r="G61" s="535" t="b">
        <v>0</v>
      </c>
      <c r="H61" s="530" t="s">
        <v>49</v>
      </c>
      <c r="I61" s="379">
        <v>4</v>
      </c>
      <c r="J61" s="379"/>
      <c r="K61" s="379"/>
      <c r="L61" s="379"/>
      <c r="M61" s="379"/>
      <c r="N61" s="379"/>
      <c r="O61" s="379" t="str">
        <f ca="1">道具!$C$438</f>
        <v>雪隐斗篷</v>
      </c>
      <c r="P61" s="535"/>
      <c r="Q61" s="530" t="s">
        <v>49</v>
      </c>
      <c r="R61" s="17"/>
      <c r="S61" s="17" t="str">
        <f ca="1">Summon!$I$65</f>
        <v>剧毒之矢</v>
      </c>
      <c r="T61" s="530">
        <v>7</v>
      </c>
      <c r="U61" s="535"/>
      <c r="V61" s="379"/>
      <c r="W61" s="121"/>
    </row>
    <row r="62" spans="1:23" ht="12.75" x14ac:dyDescent="0.2">
      <c r="A62" s="122"/>
      <c r="B62" s="371"/>
      <c r="C62" s="128" t="b">
        <v>0</v>
      </c>
      <c r="D62" s="19" t="str">
        <f ca="1">道具!$C$44</f>
        <v>光之精灵石（大）</v>
      </c>
      <c r="E62" s="371"/>
      <c r="F62" s="371"/>
      <c r="G62" s="371"/>
      <c r="H62" s="371"/>
      <c r="I62" s="371"/>
      <c r="J62" s="371"/>
      <c r="K62" s="371"/>
      <c r="L62" s="371"/>
      <c r="M62" s="371"/>
      <c r="N62" s="371"/>
      <c r="O62" s="371"/>
      <c r="P62" s="371"/>
      <c r="Q62" s="371"/>
      <c r="R62" s="17"/>
      <c r="S62" s="17" t="str">
        <f ca="1">Summon!$I$64</f>
        <v>精准射击</v>
      </c>
      <c r="T62" s="371"/>
      <c r="U62" s="371"/>
      <c r="V62" s="371"/>
      <c r="W62" s="121"/>
    </row>
    <row r="63" spans="1:23" ht="12.75" x14ac:dyDescent="0.2">
      <c r="A63" s="122"/>
      <c r="B63" s="371"/>
      <c r="C63" s="128"/>
      <c r="D63" s="19"/>
      <c r="E63" s="371"/>
      <c r="F63" s="371"/>
      <c r="G63" s="371"/>
      <c r="H63" s="371"/>
      <c r="I63" s="371"/>
      <c r="J63" s="371"/>
      <c r="K63" s="371"/>
      <c r="L63" s="371"/>
      <c r="M63" s="371"/>
      <c r="N63" s="371"/>
      <c r="O63" s="371"/>
      <c r="P63" s="371"/>
      <c r="Q63" s="371"/>
      <c r="R63" s="17"/>
      <c r="S63" s="17" t="str">
        <f ca="1">Summon!$I$4</f>
        <v>战斗</v>
      </c>
      <c r="T63" s="371"/>
      <c r="U63" s="371"/>
      <c r="V63" s="371"/>
      <c r="W63" s="121"/>
    </row>
    <row r="64" spans="1:23" ht="12.75" x14ac:dyDescent="0.2">
      <c r="A64" s="120"/>
      <c r="B64" s="529" t="str">
        <f ca="1">语言!$A$327</f>
        <v>弗雷姆葛雷斯 -大圣堂-</v>
      </c>
      <c r="C64" s="371"/>
      <c r="D64" s="371"/>
      <c r="E64" s="371"/>
      <c r="F64" s="371"/>
      <c r="G64" s="371"/>
      <c r="H64" s="371"/>
      <c r="I64" s="371"/>
      <c r="J64" s="371"/>
      <c r="K64" s="371"/>
      <c r="L64" s="371"/>
      <c r="M64" s="371"/>
      <c r="N64" s="371"/>
      <c r="O64" s="371"/>
      <c r="P64" s="371"/>
      <c r="Q64" s="371"/>
      <c r="R64" s="371"/>
      <c r="S64" s="371"/>
      <c r="T64" s="371"/>
      <c r="U64" s="371"/>
      <c r="V64" s="371"/>
      <c r="W64" s="121"/>
    </row>
    <row r="65" spans="1:23" ht="12.75" x14ac:dyDescent="0.2">
      <c r="A65" s="122"/>
      <c r="B65" s="533" t="str">
        <f ca="1">语言!$A$1829</f>
        <v>神官</v>
      </c>
      <c r="C65" s="123" t="b">
        <v>0</v>
      </c>
      <c r="D65" s="19" t="str">
        <f ca="1">道具!$C$75</f>
        <v>增强会心的坚果</v>
      </c>
      <c r="E65" s="532" t="b">
        <v>0</v>
      </c>
      <c r="F65" s="379" t="str">
        <f ca="1">语言!$A$33&amp;"
"&amp;道具!$C$160</f>
        <v>隐藏道具的资讯
重刃</v>
      </c>
      <c r="G65" s="532" t="b">
        <v>0</v>
      </c>
      <c r="H65" s="530" t="s">
        <v>45</v>
      </c>
      <c r="I65" s="379">
        <v>2</v>
      </c>
      <c r="J65" s="379"/>
      <c r="K65" s="379"/>
      <c r="L65" s="379"/>
      <c r="M65" s="379"/>
      <c r="N65" s="379"/>
      <c r="O65" s="379" t="str">
        <f ca="1">道具!$C$6</f>
        <v>ＳＰ恢复的李子</v>
      </c>
      <c r="P65" s="532"/>
      <c r="Q65" s="530" t="s">
        <v>45</v>
      </c>
      <c r="R65" s="17"/>
      <c r="S65" s="17" t="str">
        <f ca="1">Summon!$I$117</f>
        <v>祈祷</v>
      </c>
      <c r="T65" s="530">
        <v>9</v>
      </c>
      <c r="U65" s="532"/>
      <c r="V65" s="379"/>
      <c r="W65" s="121"/>
    </row>
    <row r="66" spans="1:23" ht="12.75" x14ac:dyDescent="0.2">
      <c r="A66" s="122"/>
      <c r="B66" s="371"/>
      <c r="C66" s="123" t="b">
        <v>0</v>
      </c>
      <c r="D66" s="19" t="str">
        <f ca="1">道具!$C$502</f>
        <v>会心耳环</v>
      </c>
      <c r="E66" s="371"/>
      <c r="F66" s="371"/>
      <c r="G66" s="371"/>
      <c r="H66" s="371"/>
      <c r="I66" s="371"/>
      <c r="J66" s="371"/>
      <c r="K66" s="371"/>
      <c r="L66" s="371"/>
      <c r="M66" s="371"/>
      <c r="N66" s="371"/>
      <c r="O66" s="371"/>
      <c r="P66" s="371"/>
      <c r="Q66" s="371"/>
      <c r="R66" s="17"/>
      <c r="S66" s="17" t="str">
        <f ca="1">Summon!$I$129</f>
        <v>恢复ＳＰ的李子</v>
      </c>
      <c r="T66" s="371"/>
      <c r="U66" s="371"/>
      <c r="V66" s="371"/>
      <c r="W66" s="121"/>
    </row>
    <row r="67" spans="1:23" ht="12.75" x14ac:dyDescent="0.2">
      <c r="A67" s="122"/>
      <c r="B67" s="531"/>
      <c r="C67" s="124"/>
      <c r="D67" s="125"/>
      <c r="E67" s="531"/>
      <c r="F67" s="531"/>
      <c r="G67" s="531"/>
      <c r="H67" s="531"/>
      <c r="I67" s="531"/>
      <c r="J67" s="531"/>
      <c r="K67" s="531"/>
      <c r="L67" s="531"/>
      <c r="M67" s="531"/>
      <c r="N67" s="531"/>
      <c r="O67" s="531"/>
      <c r="P67" s="531"/>
      <c r="Q67" s="531"/>
      <c r="R67" s="126"/>
      <c r="S67" s="126" t="str">
        <f ca="1">Summon!$I$4</f>
        <v>战斗</v>
      </c>
      <c r="T67" s="531"/>
      <c r="U67" s="531"/>
      <c r="V67" s="531"/>
      <c r="W67" s="121"/>
    </row>
    <row r="68" spans="1:23" ht="12.75" x14ac:dyDescent="0.2">
      <c r="A68" s="122"/>
      <c r="B68" s="533" t="str">
        <f ca="1">语言!$A$1991</f>
        <v>母亲</v>
      </c>
      <c r="C68" s="123" t="b">
        <v>0</v>
      </c>
      <c r="D68" s="19" t="str">
        <f ca="1">道具!$C$9</f>
        <v>ＢＰ恢复的石榴</v>
      </c>
      <c r="E68" s="532" t="b">
        <v>0</v>
      </c>
      <c r="F68" s="379" t="str">
        <f ca="1">语言!$A$33&amp;"
"&amp;道具!$C$127</f>
        <v>隐藏道具的资讯
放了铜块的麻袋</v>
      </c>
      <c r="G68" s="532" t="b">
        <v>0</v>
      </c>
      <c r="H68" s="530" t="s">
        <v>45</v>
      </c>
      <c r="I68" s="379">
        <v>2</v>
      </c>
      <c r="J68" s="379"/>
      <c r="K68" s="379"/>
      <c r="L68" s="379"/>
      <c r="M68" s="379"/>
      <c r="N68" s="379"/>
      <c r="O68" s="379" t="str">
        <f ca="1">道具!$C$9</f>
        <v>ＢＰ恢复的石榴</v>
      </c>
      <c r="P68" s="532"/>
      <c r="Q68" s="530" t="s">
        <v>45</v>
      </c>
      <c r="R68" s="17"/>
      <c r="S68" s="17" t="str">
        <f ca="1">Summon!$I$158</f>
        <v>防御力下降</v>
      </c>
      <c r="T68" s="530">
        <v>9</v>
      </c>
      <c r="U68" s="532"/>
      <c r="V68" s="379" t="str">
        <f ca="1">"NPC available after "&amp;语言!$A$35&amp;" chapter 1"</f>
        <v>NPC available after 欧菲莉亚 chapter 1</v>
      </c>
      <c r="W68" s="121"/>
    </row>
    <row r="69" spans="1:23" ht="12.75" x14ac:dyDescent="0.2">
      <c r="A69" s="122"/>
      <c r="B69" s="371"/>
      <c r="C69" s="123" t="b">
        <v>0</v>
      </c>
      <c r="D69" s="19" t="str">
        <f ca="1">道具!$C$14</f>
        <v>复活的橄榄</v>
      </c>
      <c r="E69" s="371"/>
      <c r="F69" s="371"/>
      <c r="G69" s="371"/>
      <c r="H69" s="371"/>
      <c r="I69" s="371"/>
      <c r="J69" s="371"/>
      <c r="K69" s="371"/>
      <c r="L69" s="371"/>
      <c r="M69" s="371"/>
      <c r="N69" s="371"/>
      <c r="O69" s="371"/>
      <c r="P69" s="371"/>
      <c r="Q69" s="371"/>
      <c r="R69" s="17"/>
      <c r="S69" s="17" t="str">
        <f ca="1">Summon!$I$42</f>
        <v>猛击</v>
      </c>
      <c r="T69" s="371"/>
      <c r="U69" s="371"/>
      <c r="V69" s="371"/>
      <c r="W69" s="121"/>
    </row>
    <row r="70" spans="1:23" ht="12.75" x14ac:dyDescent="0.2">
      <c r="A70" s="122"/>
      <c r="B70" s="531"/>
      <c r="C70" s="124"/>
      <c r="D70" s="125"/>
      <c r="E70" s="531"/>
      <c r="F70" s="531"/>
      <c r="G70" s="531"/>
      <c r="H70" s="531"/>
      <c r="I70" s="531"/>
      <c r="J70" s="531"/>
      <c r="K70" s="531"/>
      <c r="L70" s="531"/>
      <c r="M70" s="531"/>
      <c r="N70" s="531"/>
      <c r="O70" s="531"/>
      <c r="P70" s="531"/>
      <c r="Q70" s="531"/>
      <c r="R70" s="126"/>
      <c r="S70" s="126" t="str">
        <f ca="1">Summon!$I$4</f>
        <v>战斗</v>
      </c>
      <c r="T70" s="531"/>
      <c r="U70" s="531"/>
      <c r="V70" s="531"/>
      <c r="W70" s="121"/>
    </row>
    <row r="71" spans="1:23" ht="12.75" x14ac:dyDescent="0.2">
      <c r="A71" s="122"/>
      <c r="B71" s="533" t="str">
        <f ca="1">语言!$A$1812</f>
        <v>少年</v>
      </c>
      <c r="C71" s="532" t="b">
        <v>0</v>
      </c>
      <c r="D71" s="402" t="str">
        <f ca="1">道具!$C$84</f>
        <v>糖果</v>
      </c>
      <c r="E71" s="532" t="b">
        <v>0</v>
      </c>
      <c r="F71" s="379" t="str">
        <f ca="1">语言!$A$33&amp;"
"&amp;道具!$C$56</f>
        <v>隐藏道具的资讯
增强物攻的坚果</v>
      </c>
      <c r="G71" s="532"/>
      <c r="H71" s="534" t="s">
        <v>119</v>
      </c>
      <c r="I71" s="534" t="s">
        <v>119</v>
      </c>
      <c r="J71" s="534" t="s">
        <v>119</v>
      </c>
      <c r="K71" s="534" t="s">
        <v>119</v>
      </c>
      <c r="L71" s="534" t="s">
        <v>119</v>
      </c>
      <c r="M71" s="534" t="s">
        <v>119</v>
      </c>
      <c r="N71" s="534" t="s">
        <v>119</v>
      </c>
      <c r="O71" s="534" t="s">
        <v>119</v>
      </c>
      <c r="P71" s="532"/>
      <c r="Q71" s="534" t="s">
        <v>119</v>
      </c>
      <c r="R71" s="534" t="s">
        <v>119</v>
      </c>
      <c r="S71" s="534" t="s">
        <v>119</v>
      </c>
      <c r="T71" s="534" t="s">
        <v>119</v>
      </c>
      <c r="U71" s="532"/>
      <c r="V71" s="379" t="str">
        <f ca="1">"NPC available after "&amp;语言!$A$35&amp;" chapter 1"</f>
        <v>NPC available after 欧菲莉亚 chapter 1</v>
      </c>
      <c r="W71" s="121"/>
    </row>
    <row r="72" spans="1:23" ht="12.75" x14ac:dyDescent="0.2">
      <c r="A72" s="122"/>
      <c r="B72" s="531"/>
      <c r="C72" s="531"/>
      <c r="D72" s="531"/>
      <c r="E72" s="531"/>
      <c r="F72" s="531"/>
      <c r="G72" s="531"/>
      <c r="H72" s="531"/>
      <c r="I72" s="531"/>
      <c r="J72" s="531"/>
      <c r="K72" s="531"/>
      <c r="L72" s="531"/>
      <c r="M72" s="531"/>
      <c r="N72" s="531"/>
      <c r="O72" s="531"/>
      <c r="P72" s="531"/>
      <c r="Q72" s="531"/>
      <c r="R72" s="531"/>
      <c r="S72" s="531"/>
      <c r="T72" s="531"/>
      <c r="U72" s="531"/>
      <c r="V72" s="531"/>
      <c r="W72" s="121"/>
    </row>
    <row r="73" spans="1:23" ht="12.75" x14ac:dyDescent="0.2">
      <c r="A73" s="122"/>
      <c r="B73" s="533" t="str">
        <f ca="1">语言!$A$1955&amp;" (1)"</f>
        <v>莉安娜 (1)</v>
      </c>
      <c r="C73" s="532" t="b">
        <v>0</v>
      </c>
      <c r="D73" s="402" t="str">
        <f ca="1">道具!$C$303</f>
        <v>大主教之杖</v>
      </c>
      <c r="E73" s="532" t="b">
        <v>0</v>
      </c>
      <c r="F73" s="379" t="str">
        <f ca="1">语言!$A$23</f>
        <v>无</v>
      </c>
      <c r="G73" s="532" t="b">
        <v>0</v>
      </c>
      <c r="H73" s="530" t="s">
        <v>57</v>
      </c>
      <c r="I73" s="379">
        <v>3</v>
      </c>
      <c r="J73" s="379"/>
      <c r="K73" s="379"/>
      <c r="L73" s="379"/>
      <c r="M73" s="379"/>
      <c r="N73" s="379"/>
      <c r="O73" s="379" t="str">
        <f ca="1">道具!$C$10</f>
        <v>ＢＰ恢复的石榴（大）</v>
      </c>
      <c r="P73" s="532"/>
      <c r="Q73" s="530" t="s">
        <v>57</v>
      </c>
      <c r="R73" s="17"/>
      <c r="S73" s="17" t="str">
        <f ca="1">Summon!$I$121</f>
        <v>ＨＰ疗愈</v>
      </c>
      <c r="T73" s="530">
        <v>8</v>
      </c>
      <c r="U73" s="532"/>
      <c r="V73" s="379" t="str">
        <f ca="1">"NPC available after both "&amp;语言!$A$35&amp;" &amp; "&amp;语言!$A$42&amp;" chapter 4
See her in "&amp;语言!$A$360&amp;" upon starting quest: "&amp;支线!$C$11</f>
        <v>NPC available after both 欧菲莉亚 &amp; 海茵特 chapter 4
See her in 维斯帕米尔 upon starting quest: 莉安娜和爱丽莎，在那之后</v>
      </c>
      <c r="W73" s="121"/>
    </row>
    <row r="74" spans="1:23" ht="12.75" x14ac:dyDescent="0.2">
      <c r="A74" s="122"/>
      <c r="B74" s="371"/>
      <c r="C74" s="371"/>
      <c r="D74" s="371"/>
      <c r="E74" s="371"/>
      <c r="F74" s="371"/>
      <c r="G74" s="371"/>
      <c r="H74" s="371"/>
      <c r="I74" s="371"/>
      <c r="J74" s="371"/>
      <c r="K74" s="371"/>
      <c r="L74" s="371"/>
      <c r="M74" s="371"/>
      <c r="N74" s="371"/>
      <c r="O74" s="371"/>
      <c r="P74" s="371"/>
      <c r="Q74" s="371"/>
      <c r="R74" s="17"/>
      <c r="S74" s="17" t="str">
        <f ca="1">Summon!$I$72</f>
        <v>殴打</v>
      </c>
      <c r="T74" s="371"/>
      <c r="U74" s="371"/>
      <c r="V74" s="371"/>
      <c r="W74" s="121"/>
    </row>
    <row r="75" spans="1:23" ht="12.75" x14ac:dyDescent="0.2">
      <c r="A75" s="122"/>
      <c r="B75" s="531"/>
      <c r="C75" s="531"/>
      <c r="D75" s="531"/>
      <c r="E75" s="531"/>
      <c r="F75" s="531"/>
      <c r="G75" s="531"/>
      <c r="H75" s="531"/>
      <c r="I75" s="531"/>
      <c r="J75" s="531"/>
      <c r="K75" s="531"/>
      <c r="L75" s="531"/>
      <c r="M75" s="531"/>
      <c r="N75" s="531"/>
      <c r="O75" s="531"/>
      <c r="P75" s="531"/>
      <c r="Q75" s="531"/>
      <c r="R75" s="126"/>
      <c r="S75" s="126" t="str">
        <f ca="1">Summon!$I$4</f>
        <v>战斗</v>
      </c>
      <c r="T75" s="531"/>
      <c r="U75" s="531"/>
      <c r="V75" s="531"/>
      <c r="W75" s="121"/>
    </row>
    <row r="76" spans="1:23" ht="12.75" x14ac:dyDescent="0.2">
      <c r="A76" s="122"/>
      <c r="B76" s="533" t="str">
        <f ca="1">语言!$A$1829</f>
        <v>神官</v>
      </c>
      <c r="C76" s="123" t="b">
        <v>0</v>
      </c>
      <c r="D76" s="19" t="str">
        <f ca="1">道具!$C$30</f>
        <v>火之精灵石</v>
      </c>
      <c r="E76" s="532" t="b">
        <v>0</v>
      </c>
      <c r="F76" s="379" t="str">
        <f ca="1">语言!$A$28</f>
        <v>武器店商品追加资讯</v>
      </c>
      <c r="G76" s="532" t="b">
        <v>0</v>
      </c>
      <c r="H76" s="530" t="s">
        <v>46</v>
      </c>
      <c r="I76" s="379">
        <v>3</v>
      </c>
      <c r="J76" s="379"/>
      <c r="K76" s="379"/>
      <c r="L76" s="379"/>
      <c r="M76" s="379"/>
      <c r="N76" s="379"/>
      <c r="O76" s="379" t="str">
        <f ca="1">道具!$C$10</f>
        <v>ＢＰ恢复的石榴（大）</v>
      </c>
      <c r="P76" s="532"/>
      <c r="Q76" s="530" t="s">
        <v>46</v>
      </c>
      <c r="R76" s="17"/>
      <c r="S76" s="17" t="str">
        <f ca="1">Summon!$I$176</f>
        <v>精神提升</v>
      </c>
      <c r="T76" s="530">
        <v>8</v>
      </c>
      <c r="U76" s="532"/>
      <c r="V76" s="379"/>
      <c r="W76" s="121"/>
    </row>
    <row r="77" spans="1:23" ht="12.75" x14ac:dyDescent="0.2">
      <c r="A77" s="122"/>
      <c r="B77" s="371"/>
      <c r="C77" s="123" t="b">
        <v>0</v>
      </c>
      <c r="D77" s="19" t="str">
        <f ca="1">道具!$C$31</f>
        <v>火之精灵石（大）</v>
      </c>
      <c r="E77" s="371"/>
      <c r="F77" s="371"/>
      <c r="G77" s="371"/>
      <c r="H77" s="371"/>
      <c r="I77" s="371"/>
      <c r="J77" s="371"/>
      <c r="K77" s="371"/>
      <c r="L77" s="371"/>
      <c r="M77" s="371"/>
      <c r="N77" s="371"/>
      <c r="O77" s="371"/>
      <c r="P77" s="371"/>
      <c r="Q77" s="371"/>
      <c r="R77" s="17"/>
      <c r="S77" s="17" t="str">
        <f ca="1">Summon!$I$87</f>
        <v>大冰冻魔法</v>
      </c>
      <c r="T77" s="371"/>
      <c r="U77" s="371"/>
      <c r="V77" s="371"/>
      <c r="W77" s="121"/>
    </row>
    <row r="78" spans="1:23" ht="12.75" x14ac:dyDescent="0.2">
      <c r="A78" s="122"/>
      <c r="B78" s="531"/>
      <c r="C78" s="124"/>
      <c r="D78" s="125"/>
      <c r="E78" s="531"/>
      <c r="F78" s="531"/>
      <c r="G78" s="531"/>
      <c r="H78" s="531"/>
      <c r="I78" s="531"/>
      <c r="J78" s="531"/>
      <c r="K78" s="531"/>
      <c r="L78" s="531"/>
      <c r="M78" s="531"/>
      <c r="N78" s="531"/>
      <c r="O78" s="531"/>
      <c r="P78" s="531"/>
      <c r="Q78" s="531"/>
      <c r="R78" s="126"/>
      <c r="S78" s="126" t="str">
        <f ca="1">Summon!$I$4</f>
        <v>战斗</v>
      </c>
      <c r="T78" s="531"/>
      <c r="U78" s="531"/>
      <c r="V78" s="531"/>
      <c r="W78" s="121"/>
    </row>
    <row r="79" spans="1:23" ht="12.75" x14ac:dyDescent="0.2">
      <c r="A79" s="122"/>
      <c r="B79" s="533" t="str">
        <f ca="1">语言!$A$1882</f>
        <v>前圣火骑士</v>
      </c>
      <c r="C79" s="123" t="b">
        <v>0</v>
      </c>
      <c r="D79" s="19" t="str">
        <f ca="1">道具!$C$19</f>
        <v>沉默治疗药草</v>
      </c>
      <c r="E79" s="532" t="b">
        <v>0</v>
      </c>
      <c r="F79" s="379" t="str">
        <f ca="1">道具!$I$42</f>
        <v>某圣火骑士的传闻</v>
      </c>
      <c r="G79" s="532" t="b">
        <v>0</v>
      </c>
      <c r="H79" s="530" t="s">
        <v>50</v>
      </c>
      <c r="I79" s="379">
        <v>4</v>
      </c>
      <c r="J79" s="379"/>
      <c r="K79" s="379"/>
      <c r="L79" s="379"/>
      <c r="M79" s="379"/>
      <c r="N79" s="379"/>
      <c r="O79" s="379" t="str">
        <f ca="1">道具!$C$186</f>
        <v>刺猬长枪</v>
      </c>
      <c r="P79" s="532"/>
      <c r="Q79" s="534" t="s">
        <v>119</v>
      </c>
      <c r="R79" s="534" t="s">
        <v>119</v>
      </c>
      <c r="S79" s="534" t="s">
        <v>119</v>
      </c>
      <c r="T79" s="534" t="s">
        <v>119</v>
      </c>
      <c r="U79" s="532"/>
      <c r="V79" s="379" t="str">
        <f ca="1">"NPC available after "&amp;语言!$A$35&amp;" chapter 1"</f>
        <v>NPC available after 欧菲莉亚 chapter 1</v>
      </c>
      <c r="W79" s="121"/>
    </row>
    <row r="80" spans="1:23" ht="12.75" x14ac:dyDescent="0.2">
      <c r="A80" s="122"/>
      <c r="B80" s="371"/>
      <c r="C80" s="123" t="b">
        <v>0</v>
      </c>
      <c r="D80" s="19" t="str">
        <f ca="1">道具!$C$21</f>
        <v>混乱治疗药草</v>
      </c>
      <c r="E80" s="371"/>
      <c r="F80" s="371"/>
      <c r="G80" s="371"/>
      <c r="H80" s="371"/>
      <c r="I80" s="371"/>
      <c r="J80" s="371"/>
      <c r="K80" s="371"/>
      <c r="L80" s="371"/>
      <c r="M80" s="371"/>
      <c r="N80" s="371"/>
      <c r="O80" s="371"/>
      <c r="P80" s="371"/>
      <c r="Q80" s="371"/>
      <c r="R80" s="371"/>
      <c r="S80" s="371"/>
      <c r="T80" s="371"/>
      <c r="U80" s="371"/>
      <c r="V80" s="371"/>
      <c r="W80" s="121"/>
    </row>
    <row r="81" spans="1:23" ht="12.75" x14ac:dyDescent="0.2">
      <c r="A81" s="122"/>
      <c r="B81" s="531"/>
      <c r="C81" s="124" t="b">
        <v>0</v>
      </c>
      <c r="D81" s="125" t="str">
        <f ca="1">道具!$C$23</f>
        <v>恐怖治疗药草</v>
      </c>
      <c r="E81" s="531"/>
      <c r="F81" s="531"/>
      <c r="G81" s="531"/>
      <c r="H81" s="531"/>
      <c r="I81" s="531"/>
      <c r="J81" s="531"/>
      <c r="K81" s="531"/>
      <c r="L81" s="531"/>
      <c r="M81" s="531"/>
      <c r="N81" s="531"/>
      <c r="O81" s="531"/>
      <c r="P81" s="531"/>
      <c r="Q81" s="531"/>
      <c r="R81" s="531"/>
      <c r="S81" s="531"/>
      <c r="T81" s="531"/>
      <c r="U81" s="531"/>
      <c r="V81" s="531"/>
      <c r="W81" s="121"/>
    </row>
    <row r="82" spans="1:23" ht="12.75" x14ac:dyDescent="0.2">
      <c r="A82" s="122"/>
      <c r="B82" s="533" t="str">
        <f ca="1">语言!$A$1829</f>
        <v>神官</v>
      </c>
      <c r="C82" s="123" t="b">
        <v>0</v>
      </c>
      <c r="D82" s="19" t="str">
        <f ca="1">道具!$C$6</f>
        <v>ＳＰ恢复的李子</v>
      </c>
      <c r="E82" s="532" t="b">
        <v>0</v>
      </c>
      <c r="F82" s="379" t="str">
        <f ca="1">语言!$A$33&amp;"
"&amp;道具!$C$14</f>
        <v>隐藏道具的资讯
复活的橄榄</v>
      </c>
      <c r="G82" s="532" t="b">
        <v>0</v>
      </c>
      <c r="H82" s="530" t="s">
        <v>45</v>
      </c>
      <c r="I82" s="379">
        <v>2</v>
      </c>
      <c r="J82" s="379"/>
      <c r="K82" s="379"/>
      <c r="L82" s="379"/>
      <c r="M82" s="379"/>
      <c r="N82" s="379"/>
      <c r="O82" s="379" t="str">
        <f ca="1">道具!$C$20</f>
        <v>黑暗治疗药草</v>
      </c>
      <c r="P82" s="532"/>
      <c r="Q82" s="530" t="s">
        <v>45</v>
      </c>
      <c r="R82" s="17"/>
      <c r="S82" s="17" t="str">
        <f ca="1">Summon!$I$87</f>
        <v>大冰冻魔法</v>
      </c>
      <c r="T82" s="530">
        <v>9</v>
      </c>
      <c r="U82" s="532"/>
      <c r="V82" s="379"/>
      <c r="W82" s="121"/>
    </row>
    <row r="83" spans="1:23" ht="12.75" x14ac:dyDescent="0.2">
      <c r="A83" s="122"/>
      <c r="B83" s="371"/>
      <c r="C83" s="123" t="b">
        <v>0</v>
      </c>
      <c r="D83" s="19" t="str">
        <f ca="1">道具!$C$7</f>
        <v>ＳＰ恢复的李子（大）</v>
      </c>
      <c r="E83" s="371"/>
      <c r="F83" s="371"/>
      <c r="G83" s="371"/>
      <c r="H83" s="371"/>
      <c r="I83" s="371"/>
      <c r="J83" s="371"/>
      <c r="K83" s="371"/>
      <c r="L83" s="371"/>
      <c r="M83" s="371"/>
      <c r="N83" s="371"/>
      <c r="O83" s="371"/>
      <c r="P83" s="371"/>
      <c r="Q83" s="371"/>
      <c r="R83" s="17"/>
      <c r="S83" s="17" t="str">
        <f ca="1">Summon!$I$4</f>
        <v>战斗</v>
      </c>
      <c r="T83" s="371"/>
      <c r="U83" s="371"/>
      <c r="V83" s="371"/>
      <c r="W83" s="121"/>
    </row>
    <row r="84" spans="1:23" ht="12.75" x14ac:dyDescent="0.2">
      <c r="A84" s="120"/>
      <c r="B84" s="529" t="str">
        <f ca="1">语言!$A$331</f>
        <v>通往原初洞窟的道路</v>
      </c>
      <c r="C84" s="371"/>
      <c r="D84" s="371"/>
      <c r="E84" s="371"/>
      <c r="F84" s="371"/>
      <c r="G84" s="371"/>
      <c r="H84" s="371"/>
      <c r="I84" s="371"/>
      <c r="J84" s="371"/>
      <c r="K84" s="371"/>
      <c r="L84" s="371"/>
      <c r="M84" s="371"/>
      <c r="N84" s="371"/>
      <c r="O84" s="371"/>
      <c r="P84" s="371"/>
      <c r="Q84" s="371"/>
      <c r="R84" s="371"/>
      <c r="S84" s="371"/>
      <c r="T84" s="371"/>
      <c r="U84" s="371"/>
      <c r="V84" s="371"/>
      <c r="W84" s="121"/>
    </row>
    <row r="85" spans="1:23" ht="12.75" x14ac:dyDescent="0.2">
      <c r="A85" s="122"/>
      <c r="B85" s="536" t="str">
        <f ca="1">语言!$A$1941</f>
        <v>圣火骑士</v>
      </c>
      <c r="C85" s="532"/>
      <c r="D85" s="537" t="s">
        <v>119</v>
      </c>
      <c r="E85" s="532"/>
      <c r="F85" s="534" t="s">
        <v>119</v>
      </c>
      <c r="G85" s="532"/>
      <c r="H85" s="534" t="s">
        <v>119</v>
      </c>
      <c r="I85" s="534" t="s">
        <v>119</v>
      </c>
      <c r="J85" s="534" t="s">
        <v>119</v>
      </c>
      <c r="K85" s="534" t="s">
        <v>119</v>
      </c>
      <c r="L85" s="534" t="s">
        <v>119</v>
      </c>
      <c r="M85" s="534" t="s">
        <v>119</v>
      </c>
      <c r="N85" s="534" t="s">
        <v>119</v>
      </c>
      <c r="O85" s="534" t="s">
        <v>119</v>
      </c>
      <c r="P85" s="532"/>
      <c r="Q85" s="530" t="s">
        <v>45</v>
      </c>
      <c r="R85" s="17"/>
      <c r="S85" s="17" t="str">
        <f ca="1">Summon!$I$117</f>
        <v>祈祷</v>
      </c>
      <c r="T85" s="530">
        <v>9</v>
      </c>
      <c r="U85" s="532"/>
      <c r="V85" s="379" t="str">
        <f ca="1">"NPC available upon starting "&amp;语言!$A$35&amp;" chapter 1
Can't "&amp;语言!$A$48&amp;", only "&amp;语言!$A$44&amp;""</f>
        <v>NPC available upon starting 欧菲莉亚 chapter 1
Can't 诱惑, only 引导</v>
      </c>
      <c r="W85" s="121"/>
    </row>
    <row r="86" spans="1:23" ht="12.75" x14ac:dyDescent="0.2">
      <c r="A86" s="122"/>
      <c r="B86" s="371"/>
      <c r="C86" s="371"/>
      <c r="D86" s="371"/>
      <c r="E86" s="371"/>
      <c r="F86" s="371"/>
      <c r="G86" s="371"/>
      <c r="H86" s="371"/>
      <c r="I86" s="371"/>
      <c r="J86" s="371"/>
      <c r="K86" s="371"/>
      <c r="L86" s="371"/>
      <c r="M86" s="371"/>
      <c r="N86" s="371"/>
      <c r="O86" s="371"/>
      <c r="P86" s="371"/>
      <c r="Q86" s="371"/>
      <c r="R86" s="17"/>
      <c r="S86" s="17" t="str">
        <f ca="1">Summon!$I$20</f>
        <v>横扫</v>
      </c>
      <c r="T86" s="371"/>
      <c r="U86" s="371"/>
      <c r="V86" s="371"/>
      <c r="W86" s="121"/>
    </row>
    <row r="87" spans="1:23" ht="12.75" x14ac:dyDescent="0.2">
      <c r="A87" s="122"/>
      <c r="B87" s="531"/>
      <c r="C87" s="531"/>
      <c r="D87" s="531"/>
      <c r="E87" s="531"/>
      <c r="F87" s="531"/>
      <c r="G87" s="531"/>
      <c r="H87" s="531"/>
      <c r="I87" s="531"/>
      <c r="J87" s="531"/>
      <c r="K87" s="531"/>
      <c r="L87" s="531"/>
      <c r="M87" s="531"/>
      <c r="N87" s="531"/>
      <c r="O87" s="531"/>
      <c r="P87" s="531"/>
      <c r="Q87" s="531"/>
      <c r="R87" s="126"/>
      <c r="S87" s="126" t="str">
        <f ca="1">Summon!$I$4</f>
        <v>战斗</v>
      </c>
      <c r="T87" s="531"/>
      <c r="U87" s="531"/>
      <c r="V87" s="531"/>
      <c r="W87" s="121"/>
    </row>
    <row r="88" spans="1:23" ht="12.75" x14ac:dyDescent="0.2">
      <c r="A88" s="122"/>
      <c r="B88" s="536" t="str">
        <f ca="1">语言!$A$1941</f>
        <v>圣火骑士</v>
      </c>
      <c r="C88" s="532"/>
      <c r="D88" s="537" t="s">
        <v>119</v>
      </c>
      <c r="E88" s="532"/>
      <c r="F88" s="534" t="s">
        <v>119</v>
      </c>
      <c r="G88" s="532"/>
      <c r="H88" s="534" t="s">
        <v>119</v>
      </c>
      <c r="I88" s="534" t="s">
        <v>119</v>
      </c>
      <c r="J88" s="534" t="s">
        <v>119</v>
      </c>
      <c r="K88" s="534" t="s">
        <v>119</v>
      </c>
      <c r="L88" s="534" t="s">
        <v>119</v>
      </c>
      <c r="M88" s="534" t="s">
        <v>119</v>
      </c>
      <c r="N88" s="534" t="s">
        <v>119</v>
      </c>
      <c r="O88" s="534" t="s">
        <v>119</v>
      </c>
      <c r="P88" s="532"/>
      <c r="Q88" s="530" t="s">
        <v>45</v>
      </c>
      <c r="R88" s="17"/>
      <c r="S88" s="17" t="str">
        <f ca="1">Summon!$I$17</f>
        <v>连续斩</v>
      </c>
      <c r="T88" s="530">
        <v>9</v>
      </c>
      <c r="U88" s="532"/>
      <c r="V88" s="379" t="str">
        <f ca="1">"NPC available upon starting "&amp;语言!$A$35&amp;" chapter 1
Can't "&amp;语言!$A$48&amp;", only "&amp;语言!$A$44&amp;""</f>
        <v>NPC available upon starting 欧菲莉亚 chapter 1
Can't 诱惑, only 引导</v>
      </c>
      <c r="W88" s="121"/>
    </row>
    <row r="89" spans="1:23" ht="12.75" x14ac:dyDescent="0.2">
      <c r="A89" s="122"/>
      <c r="B89" s="371"/>
      <c r="C89" s="371"/>
      <c r="D89" s="371"/>
      <c r="E89" s="371"/>
      <c r="F89" s="371"/>
      <c r="G89" s="371"/>
      <c r="H89" s="371"/>
      <c r="I89" s="371"/>
      <c r="J89" s="371"/>
      <c r="K89" s="371"/>
      <c r="L89" s="371"/>
      <c r="M89" s="371"/>
      <c r="N89" s="371"/>
      <c r="O89" s="371"/>
      <c r="P89" s="371"/>
      <c r="Q89" s="371"/>
      <c r="R89" s="17"/>
      <c r="S89" s="17" t="str">
        <f ca="1">Summon!$I$23</f>
        <v>一闪</v>
      </c>
      <c r="T89" s="371"/>
      <c r="U89" s="371"/>
      <c r="V89" s="371"/>
      <c r="W89" s="121"/>
    </row>
    <row r="90" spans="1:23" ht="12.75" x14ac:dyDescent="0.2">
      <c r="A90" s="122"/>
      <c r="B90" s="371"/>
      <c r="C90" s="371"/>
      <c r="D90" s="371"/>
      <c r="E90" s="371"/>
      <c r="F90" s="371"/>
      <c r="G90" s="371"/>
      <c r="H90" s="371"/>
      <c r="I90" s="371"/>
      <c r="J90" s="371"/>
      <c r="K90" s="371"/>
      <c r="L90" s="371"/>
      <c r="M90" s="371"/>
      <c r="N90" s="371"/>
      <c r="O90" s="371"/>
      <c r="P90" s="371"/>
      <c r="Q90" s="371"/>
      <c r="R90" s="17"/>
      <c r="S90" s="17" t="str">
        <f ca="1">Summon!$I$4</f>
        <v>战斗</v>
      </c>
      <c r="T90" s="371"/>
      <c r="U90" s="371"/>
      <c r="V90" s="371"/>
      <c r="W90" s="121"/>
    </row>
    <row r="91" spans="1:23" ht="18" x14ac:dyDescent="0.2">
      <c r="A91" s="118"/>
      <c r="B91" s="528" t="str">
        <f ca="1">语言!$A$323&amp;" 2"</f>
        <v>Tier 2</v>
      </c>
      <c r="C91" s="371"/>
      <c r="D91" s="371"/>
      <c r="E91" s="371"/>
      <c r="F91" s="371"/>
      <c r="G91" s="371"/>
      <c r="H91" s="371"/>
      <c r="I91" s="371"/>
      <c r="J91" s="371"/>
      <c r="K91" s="371"/>
      <c r="L91" s="371"/>
      <c r="M91" s="371"/>
      <c r="N91" s="371"/>
      <c r="O91" s="371"/>
      <c r="P91" s="371"/>
      <c r="Q91" s="371"/>
      <c r="R91" s="371"/>
      <c r="S91" s="371"/>
      <c r="T91" s="371"/>
      <c r="U91" s="371"/>
      <c r="V91" s="371"/>
      <c r="W91" s="119"/>
    </row>
    <row r="92" spans="1:23" ht="12.75" x14ac:dyDescent="0.2">
      <c r="A92" s="120"/>
      <c r="B92" s="529" t="str">
        <f ca="1">语言!$A$333</f>
        <v>史迪尔斯诺</v>
      </c>
      <c r="C92" s="371"/>
      <c r="D92" s="371"/>
      <c r="E92" s="371"/>
      <c r="F92" s="371"/>
      <c r="G92" s="371"/>
      <c r="H92" s="371"/>
      <c r="I92" s="371"/>
      <c r="J92" s="371"/>
      <c r="K92" s="371"/>
      <c r="L92" s="371"/>
      <c r="M92" s="371"/>
      <c r="N92" s="371"/>
      <c r="O92" s="371"/>
      <c r="P92" s="371"/>
      <c r="Q92" s="371"/>
      <c r="R92" s="371"/>
      <c r="S92" s="371"/>
      <c r="T92" s="371"/>
      <c r="U92" s="371"/>
      <c r="V92" s="371"/>
      <c r="W92" s="121"/>
    </row>
    <row r="93" spans="1:23" ht="12.75" x14ac:dyDescent="0.2">
      <c r="A93" s="122"/>
      <c r="B93" s="533" t="str">
        <f ca="1">语言!$A$2120</f>
        <v>村民</v>
      </c>
      <c r="C93" s="532" t="b">
        <v>0</v>
      </c>
      <c r="D93" s="402" t="str">
        <f ca="1">"* "&amp;道具!$F$48</f>
        <v>* 合适的麻秆</v>
      </c>
      <c r="E93" s="532" t="b">
        <v>0</v>
      </c>
      <c r="F93" s="379" t="str">
        <f ca="1">语言!$A$27</f>
        <v>杂货店商品追加资讯</v>
      </c>
      <c r="G93" s="532" t="b">
        <v>0</v>
      </c>
      <c r="H93" s="530" t="s">
        <v>48</v>
      </c>
      <c r="I93" s="379">
        <v>2</v>
      </c>
      <c r="J93" s="379"/>
      <c r="K93" s="379"/>
      <c r="L93" s="379"/>
      <c r="M93" s="379"/>
      <c r="N93" s="379"/>
      <c r="O93" s="379" t="str">
        <f ca="1">道具!$C$539</f>
        <v>混乱多之叶</v>
      </c>
      <c r="P93" s="532"/>
      <c r="Q93" s="530" t="s">
        <v>48</v>
      </c>
      <c r="R93" s="17"/>
      <c r="S93" s="17" t="str">
        <f ca="1">Summon!$I$70</f>
        <v>乱射</v>
      </c>
      <c r="T93" s="530">
        <v>9</v>
      </c>
      <c r="U93" s="532"/>
      <c r="V93" s="379"/>
      <c r="W93" s="121"/>
    </row>
    <row r="94" spans="1:23" ht="12.75" x14ac:dyDescent="0.2">
      <c r="A94" s="122"/>
      <c r="B94" s="371"/>
      <c r="C94" s="371"/>
      <c r="D94" s="371"/>
      <c r="E94" s="371"/>
      <c r="F94" s="371"/>
      <c r="G94" s="371"/>
      <c r="H94" s="371"/>
      <c r="I94" s="371"/>
      <c r="J94" s="371"/>
      <c r="K94" s="371"/>
      <c r="L94" s="371"/>
      <c r="M94" s="371"/>
      <c r="N94" s="371"/>
      <c r="O94" s="371"/>
      <c r="P94" s="371"/>
      <c r="Q94" s="371"/>
      <c r="R94" s="17"/>
      <c r="S94" s="17" t="str">
        <f ca="1">Summon!$I$64</f>
        <v>精准射击</v>
      </c>
      <c r="T94" s="371"/>
      <c r="U94" s="371"/>
      <c r="V94" s="371"/>
      <c r="W94" s="121"/>
    </row>
    <row r="95" spans="1:23" ht="12.75" x14ac:dyDescent="0.2">
      <c r="A95" s="122"/>
      <c r="B95" s="531"/>
      <c r="C95" s="531"/>
      <c r="D95" s="531"/>
      <c r="E95" s="531"/>
      <c r="F95" s="531"/>
      <c r="G95" s="531"/>
      <c r="H95" s="531"/>
      <c r="I95" s="531"/>
      <c r="J95" s="531"/>
      <c r="K95" s="531"/>
      <c r="L95" s="531"/>
      <c r="M95" s="531"/>
      <c r="N95" s="531"/>
      <c r="O95" s="531"/>
      <c r="P95" s="531"/>
      <c r="Q95" s="531"/>
      <c r="R95" s="126"/>
      <c r="S95" s="126" t="str">
        <f ca="1">Summon!$I$4</f>
        <v>战斗</v>
      </c>
      <c r="T95" s="531"/>
      <c r="U95" s="531"/>
      <c r="V95" s="531"/>
      <c r="W95" s="121"/>
    </row>
    <row r="96" spans="1:23" ht="12.75" x14ac:dyDescent="0.2">
      <c r="A96" s="122"/>
      <c r="B96" s="533" t="str">
        <f ca="1">语言!$A$1812</f>
        <v>少年</v>
      </c>
      <c r="C96" s="123" t="b">
        <v>0</v>
      </c>
      <c r="D96" s="19" t="str">
        <f ca="1">道具!$C$3</f>
        <v>ＨＰ恢复的葡萄</v>
      </c>
      <c r="E96" s="532" t="b">
        <v>0</v>
      </c>
      <c r="F96" s="379" t="str">
        <f ca="1">语言!$A$33&amp;"
"&amp;道具!$C$12</f>
        <v>隐藏道具的资讯
ＨＰ／ＳＰ恢复的果酱</v>
      </c>
      <c r="G96" s="532"/>
      <c r="H96" s="534" t="s">
        <v>119</v>
      </c>
      <c r="I96" s="534" t="s">
        <v>119</v>
      </c>
      <c r="J96" s="534" t="s">
        <v>119</v>
      </c>
      <c r="K96" s="534" t="s">
        <v>119</v>
      </c>
      <c r="L96" s="534" t="s">
        <v>119</v>
      </c>
      <c r="M96" s="534" t="s">
        <v>119</v>
      </c>
      <c r="N96" s="534" t="s">
        <v>119</v>
      </c>
      <c r="O96" s="534" t="s">
        <v>119</v>
      </c>
      <c r="P96" s="532"/>
      <c r="Q96" s="534" t="s">
        <v>119</v>
      </c>
      <c r="R96" s="534" t="s">
        <v>119</v>
      </c>
      <c r="S96" s="534" t="s">
        <v>119</v>
      </c>
      <c r="T96" s="534" t="s">
        <v>119</v>
      </c>
      <c r="U96" s="532"/>
      <c r="V96" s="379"/>
      <c r="W96" s="121"/>
    </row>
    <row r="97" spans="1:23" ht="12.75" x14ac:dyDescent="0.2">
      <c r="A97" s="122"/>
      <c r="B97" s="531"/>
      <c r="C97" s="124" t="b">
        <v>0</v>
      </c>
      <c r="D97" s="125" t="str">
        <f ca="1">道具!$C$6</f>
        <v>ＳＰ恢复的李子</v>
      </c>
      <c r="E97" s="531"/>
      <c r="F97" s="531"/>
      <c r="G97" s="531"/>
      <c r="H97" s="531"/>
      <c r="I97" s="531"/>
      <c r="J97" s="531"/>
      <c r="K97" s="531"/>
      <c r="L97" s="531"/>
      <c r="M97" s="531"/>
      <c r="N97" s="531"/>
      <c r="O97" s="531"/>
      <c r="P97" s="531"/>
      <c r="Q97" s="531"/>
      <c r="R97" s="531"/>
      <c r="S97" s="531"/>
      <c r="T97" s="531"/>
      <c r="U97" s="531"/>
      <c r="V97" s="531"/>
      <c r="W97" s="121"/>
    </row>
    <row r="98" spans="1:23" ht="12.75" x14ac:dyDescent="0.2">
      <c r="A98" s="122"/>
      <c r="B98" s="533" t="str">
        <f ca="1">语言!$A$1896</f>
        <v>少女</v>
      </c>
      <c r="C98" s="123" t="b">
        <v>0</v>
      </c>
      <c r="D98" s="19" t="str">
        <f ca="1">道具!$C$33</f>
        <v>冰之精灵石</v>
      </c>
      <c r="E98" s="532" t="b">
        <v>0</v>
      </c>
      <c r="F98" s="379" t="str">
        <f ca="1">语言!$A$33&amp;"
"&amp;道具!$C$34</f>
        <v>隐藏道具的资讯
冰之精灵石（大）</v>
      </c>
      <c r="G98" s="532"/>
      <c r="H98" s="534" t="s">
        <v>119</v>
      </c>
      <c r="I98" s="534" t="s">
        <v>119</v>
      </c>
      <c r="J98" s="534" t="s">
        <v>119</v>
      </c>
      <c r="K98" s="534" t="s">
        <v>119</v>
      </c>
      <c r="L98" s="534" t="s">
        <v>119</v>
      </c>
      <c r="M98" s="534" t="s">
        <v>119</v>
      </c>
      <c r="N98" s="534" t="s">
        <v>119</v>
      </c>
      <c r="O98" s="534" t="s">
        <v>119</v>
      </c>
      <c r="P98" s="532"/>
      <c r="Q98" s="534" t="s">
        <v>119</v>
      </c>
      <c r="R98" s="534" t="s">
        <v>119</v>
      </c>
      <c r="S98" s="534" t="s">
        <v>119</v>
      </c>
      <c r="T98" s="534" t="s">
        <v>119</v>
      </c>
      <c r="U98" s="532"/>
      <c r="V98" s="379"/>
      <c r="W98" s="121"/>
    </row>
    <row r="99" spans="1:23" ht="12.75" x14ac:dyDescent="0.2">
      <c r="A99" s="122"/>
      <c r="B99" s="531"/>
      <c r="C99" s="124" t="b">
        <v>0</v>
      </c>
      <c r="D99" s="125" t="str">
        <f ca="1">道具!$C$34</f>
        <v>冰之精灵石（大）</v>
      </c>
      <c r="E99" s="531"/>
      <c r="F99" s="531"/>
      <c r="G99" s="531"/>
      <c r="H99" s="531"/>
      <c r="I99" s="531"/>
      <c r="J99" s="531"/>
      <c r="K99" s="531"/>
      <c r="L99" s="531"/>
      <c r="M99" s="531"/>
      <c r="N99" s="531"/>
      <c r="O99" s="531"/>
      <c r="P99" s="531"/>
      <c r="Q99" s="531"/>
      <c r="R99" s="531"/>
      <c r="S99" s="531"/>
      <c r="T99" s="531"/>
      <c r="U99" s="531"/>
      <c r="V99" s="531"/>
      <c r="W99" s="121"/>
    </row>
    <row r="100" spans="1:23" ht="12.75" x14ac:dyDescent="0.2">
      <c r="A100" s="122"/>
      <c r="B100" s="533" t="str">
        <f ca="1">语言!$A$1779&amp;" (1)"</f>
        <v>侍女亚莉安娜 (1)</v>
      </c>
      <c r="C100" s="123" t="b">
        <v>0</v>
      </c>
      <c r="D100" s="19" t="str">
        <f ca="1">道具!$C$539</f>
        <v>混乱多之叶</v>
      </c>
      <c r="E100" s="532" t="b">
        <v>0</v>
      </c>
      <c r="F100" s="379" t="str">
        <f ca="1">语言!$A$23</f>
        <v>无</v>
      </c>
      <c r="G100" s="532" t="b">
        <v>0</v>
      </c>
      <c r="H100" s="530" t="s">
        <v>45</v>
      </c>
      <c r="I100" s="379">
        <v>2</v>
      </c>
      <c r="J100" s="379"/>
      <c r="K100" s="379"/>
      <c r="L100" s="379"/>
      <c r="M100" s="379"/>
      <c r="N100" s="379"/>
      <c r="O100" s="379" t="str">
        <f ca="1">道具!$C$34</f>
        <v>冰之精灵石（大）</v>
      </c>
      <c r="P100" s="532"/>
      <c r="Q100" s="530" t="s">
        <v>45</v>
      </c>
      <c r="R100" s="17"/>
      <c r="S100" s="17" t="str">
        <f ca="1">Summon!$I$42</f>
        <v>猛击</v>
      </c>
      <c r="T100" s="530">
        <v>9</v>
      </c>
      <c r="U100" s="532"/>
      <c r="V100" s="379" t="str">
        <f ca="1">"NPC available after both "&amp;语言!$A$39&amp;" &amp; "&amp;语言!$A$42&amp;" chapter 4
Moves to "&amp;语言!$A$396&amp;" after quest: "&amp;支线!$C$16</f>
        <v>NPC available after both 普里姆萝洁 &amp; 海茵特 chapter 4
Moves to 斯托冈德 -下街- after quest: 亚莉安娜，在那之后（１）</v>
      </c>
      <c r="W100" s="121"/>
    </row>
    <row r="101" spans="1:23" ht="12.75" x14ac:dyDescent="0.2">
      <c r="A101" s="122"/>
      <c r="B101" s="371"/>
      <c r="C101" s="123" t="b">
        <v>0</v>
      </c>
      <c r="D101" s="19" t="str">
        <f ca="1">道具!$C$538</f>
        <v>睡眠花之叶</v>
      </c>
      <c r="E101" s="371"/>
      <c r="F101" s="371"/>
      <c r="G101" s="371"/>
      <c r="H101" s="371"/>
      <c r="I101" s="371"/>
      <c r="J101" s="371"/>
      <c r="K101" s="371"/>
      <c r="L101" s="371"/>
      <c r="M101" s="371"/>
      <c r="N101" s="371"/>
      <c r="O101" s="371"/>
      <c r="P101" s="371"/>
      <c r="Q101" s="371"/>
      <c r="R101" s="17"/>
      <c r="S101" s="17" t="str">
        <f ca="1">Summon!$I$4</f>
        <v>战斗</v>
      </c>
      <c r="T101" s="371"/>
      <c r="U101" s="371"/>
      <c r="V101" s="371"/>
      <c r="W101" s="121"/>
    </row>
    <row r="102" spans="1:23" ht="12.75" x14ac:dyDescent="0.2">
      <c r="A102" s="122"/>
      <c r="B102" s="531"/>
      <c r="C102" s="124" t="b">
        <v>0</v>
      </c>
      <c r="D102" s="125" t="str">
        <f ca="1">道具!$C$480</f>
        <v>体力手环</v>
      </c>
      <c r="E102" s="531"/>
      <c r="F102" s="531"/>
      <c r="G102" s="531"/>
      <c r="H102" s="531"/>
      <c r="I102" s="531"/>
      <c r="J102" s="531"/>
      <c r="K102" s="531"/>
      <c r="L102" s="531"/>
      <c r="M102" s="531"/>
      <c r="N102" s="531"/>
      <c r="O102" s="531"/>
      <c r="P102" s="531"/>
      <c r="Q102" s="531"/>
      <c r="R102" s="126"/>
      <c r="S102" s="126"/>
      <c r="T102" s="531"/>
      <c r="U102" s="531"/>
      <c r="V102" s="531"/>
      <c r="W102" s="121"/>
    </row>
    <row r="103" spans="1:23" ht="12.75" x14ac:dyDescent="0.2">
      <c r="A103" s="122"/>
      <c r="B103" s="533" t="str">
        <f ca="1">语言!$A$1987</f>
        <v>眯眯眼的高利贷商人</v>
      </c>
      <c r="C103" s="123" t="b">
        <v>0</v>
      </c>
      <c r="D103" s="19" t="str">
        <f ca="1">道具!$C$47</f>
        <v>暗之精灵石（大）</v>
      </c>
      <c r="E103" s="532" t="b">
        <v>0</v>
      </c>
      <c r="F103" s="379" t="str">
        <f ca="1">语言!$A$33&amp;"
"&amp;道具!$C$120</f>
        <v>隐藏道具的资讯
放了银块的皮袋</v>
      </c>
      <c r="G103" s="532" t="b">
        <v>0</v>
      </c>
      <c r="H103" s="530" t="s">
        <v>46</v>
      </c>
      <c r="I103" s="379">
        <v>3</v>
      </c>
      <c r="J103" s="379"/>
      <c r="K103" s="379"/>
      <c r="L103" s="379"/>
      <c r="M103" s="379"/>
      <c r="N103" s="379"/>
      <c r="O103" s="379" t="str">
        <f ca="1">道具!$C$482</f>
        <v>守护手环</v>
      </c>
      <c r="P103" s="532"/>
      <c r="Q103" s="530" t="s">
        <v>46</v>
      </c>
      <c r="R103" s="17"/>
      <c r="S103" s="17" t="str">
        <f ca="1">Summon!$I$179</f>
        <v>速度提升</v>
      </c>
      <c r="T103" s="530">
        <v>8</v>
      </c>
      <c r="U103" s="532"/>
      <c r="V103" s="379" t="str">
        <f ca="1">语言!$A$44&amp;" / "&amp;语言!$A$48&amp;" available after quest:
"&amp;支线!$C$15&amp;" ("&amp;语言!$A$47&amp;" / "&amp;语言!$A$51&amp;" solution only)"</f>
        <v>引导 / 诱惑 available after quest:
年轻人的旅途 (比试 / 唆使 solution only)</v>
      </c>
      <c r="W103" s="121"/>
    </row>
    <row r="104" spans="1:23" ht="12.75" x14ac:dyDescent="0.2">
      <c r="A104" s="122"/>
      <c r="B104" s="371"/>
      <c r="C104" s="123" t="b">
        <v>0</v>
      </c>
      <c r="D104" s="19" t="str">
        <f ca="1">道具!$C$533</f>
        <v>含毒的素材（扩散）</v>
      </c>
      <c r="E104" s="371"/>
      <c r="F104" s="371"/>
      <c r="G104" s="371"/>
      <c r="H104" s="371"/>
      <c r="I104" s="371"/>
      <c r="J104" s="371"/>
      <c r="K104" s="371"/>
      <c r="L104" s="371"/>
      <c r="M104" s="371"/>
      <c r="N104" s="371"/>
      <c r="O104" s="371"/>
      <c r="P104" s="371"/>
      <c r="Q104" s="371"/>
      <c r="R104" s="17"/>
      <c r="S104" s="17" t="str">
        <f ca="1">Summon!$I$61</f>
        <v>全力斩击</v>
      </c>
      <c r="T104" s="371"/>
      <c r="U104" s="371"/>
      <c r="V104" s="371"/>
      <c r="W104" s="121"/>
    </row>
    <row r="105" spans="1:23" ht="12.75" x14ac:dyDescent="0.2">
      <c r="A105" s="122"/>
      <c r="B105" s="531"/>
      <c r="C105" s="124" t="b">
        <v>0</v>
      </c>
      <c r="D105" s="125" t="str">
        <f ca="1">道具!$C$25</f>
        <v>毒瓶</v>
      </c>
      <c r="E105" s="531"/>
      <c r="F105" s="531"/>
      <c r="G105" s="531"/>
      <c r="H105" s="531"/>
      <c r="I105" s="531"/>
      <c r="J105" s="531"/>
      <c r="K105" s="531"/>
      <c r="L105" s="531"/>
      <c r="M105" s="531"/>
      <c r="N105" s="531"/>
      <c r="O105" s="531"/>
      <c r="P105" s="531"/>
      <c r="Q105" s="531"/>
      <c r="R105" s="126"/>
      <c r="S105" s="126" t="str">
        <f ca="1">Summon!$I$4</f>
        <v>战斗</v>
      </c>
      <c r="T105" s="531"/>
      <c r="U105" s="531"/>
      <c r="V105" s="531"/>
      <c r="W105" s="121"/>
    </row>
    <row r="106" spans="1:23" ht="22.5" customHeight="1" x14ac:dyDescent="0.2">
      <c r="A106" s="122"/>
      <c r="B106" s="533" t="str">
        <f ca="1">语言!$A$2026</f>
        <v>差劲的父亲 /
改过自新的父亲</v>
      </c>
      <c r="C106" s="123" t="b">
        <v>0</v>
      </c>
      <c r="D106" s="19" t="str">
        <f ca="1">道具!$C$40</f>
        <v>风之精灵石（大）</v>
      </c>
      <c r="E106" s="532" t="b">
        <v>0</v>
      </c>
      <c r="F106" s="379" t="str">
        <f ca="1">语言!$A$23</f>
        <v>无</v>
      </c>
      <c r="G106" s="532" t="b">
        <v>0</v>
      </c>
      <c r="H106" s="530" t="s">
        <v>48</v>
      </c>
      <c r="I106" s="379">
        <v>2</v>
      </c>
      <c r="J106" s="379"/>
      <c r="K106" s="379"/>
      <c r="L106" s="379"/>
      <c r="M106" s="379"/>
      <c r="N106" s="379"/>
      <c r="O106" s="379" t="str">
        <f ca="1">道具!$C$40</f>
        <v>风之精灵石（大）</v>
      </c>
      <c r="P106" s="532"/>
      <c r="Q106" s="530" t="s">
        <v>48</v>
      </c>
      <c r="R106" s="17"/>
      <c r="S106" s="17" t="str">
        <f ca="1">Summon!$I$48</f>
        <v>连掷短剑</v>
      </c>
      <c r="T106" s="530">
        <v>9</v>
      </c>
      <c r="U106" s="532"/>
      <c r="V106" s="379" t="str">
        <f ca="1">"Name changes after quest: "&amp;支线!$C$15&amp;" ("&amp;语言!$A$47&amp;" / "&amp;语言!$A$51&amp;" solution only)
"&amp;语言!$A$44&amp;" / "&amp;语言!$A$48&amp;" available after quest: "&amp;支线!$C$15&amp;"
("&amp;语言!$A$47&amp;" / "&amp;语言!$A$51&amp;" solution only)"</f>
        <v>Name changes after quest: 年轻人的旅途 (比试 / 唆使 solution only)
引导 / 诱惑 available after quest: 年轻人的旅途
(比试 / 唆使 solution only)</v>
      </c>
      <c r="W106" s="121"/>
    </row>
    <row r="107" spans="1:23" ht="22.5" customHeight="1" x14ac:dyDescent="0.2">
      <c r="A107" s="122"/>
      <c r="B107" s="531"/>
      <c r="C107" s="124" t="b">
        <v>0</v>
      </c>
      <c r="D107" s="125" t="str">
        <f ca="1">道具!$C$487</f>
        <v>会心手环</v>
      </c>
      <c r="E107" s="531"/>
      <c r="F107" s="531"/>
      <c r="G107" s="531"/>
      <c r="H107" s="531"/>
      <c r="I107" s="531"/>
      <c r="J107" s="531"/>
      <c r="K107" s="531"/>
      <c r="L107" s="531"/>
      <c r="M107" s="531"/>
      <c r="N107" s="531"/>
      <c r="O107" s="531"/>
      <c r="P107" s="531"/>
      <c r="Q107" s="531"/>
      <c r="R107" s="126"/>
      <c r="S107" s="126" t="str">
        <f ca="1">Summon!$I$4</f>
        <v>战斗</v>
      </c>
      <c r="T107" s="531"/>
      <c r="U107" s="531"/>
      <c r="V107" s="531"/>
      <c r="W107" s="121"/>
    </row>
    <row r="108" spans="1:23" ht="12.75" x14ac:dyDescent="0.2">
      <c r="A108" s="122"/>
      <c r="B108" s="533" t="str">
        <f ca="1">语言!$A$1927</f>
        <v>绞尽脑汁的发明家</v>
      </c>
      <c r="C108" s="123" t="b">
        <v>0</v>
      </c>
      <c r="D108" s="19" t="str">
        <f ca="1">道具!$C$488</f>
        <v>体力戒指</v>
      </c>
      <c r="E108" s="532" t="b">
        <v>0</v>
      </c>
      <c r="F108" s="379" t="str">
        <f ca="1">语言!$A$23</f>
        <v>无</v>
      </c>
      <c r="G108" s="532" t="b">
        <v>0</v>
      </c>
      <c r="H108" s="530" t="s">
        <v>45</v>
      </c>
      <c r="I108" s="379">
        <v>2</v>
      </c>
      <c r="J108" s="379"/>
      <c r="K108" s="379"/>
      <c r="L108" s="379"/>
      <c r="M108" s="379"/>
      <c r="N108" s="379"/>
      <c r="O108" s="379" t="str">
        <f ca="1">道具!$C$534</f>
        <v>超含毒的素材</v>
      </c>
      <c r="P108" s="532"/>
      <c r="Q108" s="530" t="s">
        <v>45</v>
      </c>
      <c r="R108" s="17"/>
      <c r="S108" s="17" t="str">
        <f ca="1">Summon!$I$78</f>
        <v>火焰魔法</v>
      </c>
      <c r="T108" s="530">
        <v>9</v>
      </c>
      <c r="U108" s="532"/>
      <c r="V108" s="379"/>
      <c r="W108" s="121"/>
    </row>
    <row r="109" spans="1:23" ht="12.75" x14ac:dyDescent="0.2">
      <c r="A109" s="122"/>
      <c r="B109" s="531"/>
      <c r="C109" s="124" t="b">
        <v>0</v>
      </c>
      <c r="D109" s="125" t="str">
        <f ca="1">道具!$C$533</f>
        <v>含毒的素材（扩散）</v>
      </c>
      <c r="E109" s="531"/>
      <c r="F109" s="531"/>
      <c r="G109" s="531"/>
      <c r="H109" s="531"/>
      <c r="I109" s="531"/>
      <c r="J109" s="531"/>
      <c r="K109" s="531"/>
      <c r="L109" s="531"/>
      <c r="M109" s="531"/>
      <c r="N109" s="531"/>
      <c r="O109" s="531"/>
      <c r="P109" s="531"/>
      <c r="Q109" s="531"/>
      <c r="R109" s="126"/>
      <c r="S109" s="126" t="str">
        <f ca="1">Summon!$I$4</f>
        <v>战斗</v>
      </c>
      <c r="T109" s="531"/>
      <c r="U109" s="531"/>
      <c r="V109" s="531"/>
      <c r="W109" s="121"/>
    </row>
    <row r="110" spans="1:23" ht="22.5" customHeight="1" x14ac:dyDescent="0.2">
      <c r="A110" s="122"/>
      <c r="B110" s="533" t="str">
        <f ca="1">语言!$A$2032&amp;" (1)"</f>
        <v>烦恼的少女 /
年轻女歌手 /
梦想家少女 (1)</v>
      </c>
      <c r="C110" s="123" t="b">
        <v>0</v>
      </c>
      <c r="D110" s="19" t="str">
        <f ca="1">道具!$C$528</f>
        <v>药的素材</v>
      </c>
      <c r="E110" s="532" t="b">
        <v>0</v>
      </c>
      <c r="F110" s="379" t="str">
        <f ca="1">语言!$A$23</f>
        <v>无</v>
      </c>
      <c r="G110" s="532" t="b">
        <v>0</v>
      </c>
      <c r="H110" s="530" t="s">
        <v>45</v>
      </c>
      <c r="I110" s="379">
        <v>2</v>
      </c>
      <c r="J110" s="379"/>
      <c r="K110" s="379"/>
      <c r="L110" s="379"/>
      <c r="M110" s="379"/>
      <c r="N110" s="379"/>
      <c r="O110" s="379" t="str">
        <f ca="1">道具!$C$4</f>
        <v>ＨＰ恢复的葡萄（大）</v>
      </c>
      <c r="P110" s="532"/>
      <c r="Q110" s="530" t="s">
        <v>45</v>
      </c>
      <c r="R110" s="17"/>
      <c r="S110" s="17" t="str">
        <f ca="1">Summon!$I$42</f>
        <v>猛击</v>
      </c>
      <c r="T110" s="530">
        <v>9</v>
      </c>
      <c r="U110" s="532"/>
      <c r="V110" s="379" t="str">
        <f ca="1">语言!$A$44&amp;" / "&amp;语言!$A$48&amp;" available after quest: "&amp;支线!$C$15&amp;"
Moves to "&amp;语言!$A$464&amp;" after quest: "&amp;支线!$C$15&amp;" ("&amp;语言!$A$44&amp;" / "&amp;语言!$A$48&amp;" solution only)
Name changes after quest: "&amp;支线!$C$15&amp;" (2 differents names for 2 solutions)"</f>
        <v>引导 / 诱惑 available after quest: 年轻人的旅途
Moves to 库欧利克雷斯特 after quest: 年轻人的旅途 (引导 / 诱惑 solution only)
Name changes after quest: 年轻人的旅途 (2 differents names for 2 solutions)</v>
      </c>
      <c r="W110" s="121"/>
    </row>
    <row r="111" spans="1:23" ht="22.5" customHeight="1" x14ac:dyDescent="0.2">
      <c r="A111" s="122"/>
      <c r="B111" s="531"/>
      <c r="C111" s="124" t="b">
        <v>0</v>
      </c>
      <c r="D111" s="125" t="str">
        <f ca="1">道具!$C$221</f>
        <v>新月匕首</v>
      </c>
      <c r="E111" s="531"/>
      <c r="F111" s="531"/>
      <c r="G111" s="531"/>
      <c r="H111" s="531"/>
      <c r="I111" s="531"/>
      <c r="J111" s="531"/>
      <c r="K111" s="531"/>
      <c r="L111" s="531"/>
      <c r="M111" s="531"/>
      <c r="N111" s="531"/>
      <c r="O111" s="531"/>
      <c r="P111" s="531"/>
      <c r="Q111" s="531"/>
      <c r="R111" s="126"/>
      <c r="S111" s="126" t="str">
        <f ca="1">Summon!$I$4</f>
        <v>战斗</v>
      </c>
      <c r="T111" s="531"/>
      <c r="U111" s="531"/>
      <c r="V111" s="531"/>
      <c r="W111" s="121"/>
    </row>
    <row r="112" spans="1:23" ht="12.75" x14ac:dyDescent="0.2">
      <c r="A112" s="122"/>
      <c r="B112" s="533" t="str">
        <f ca="1">语言!$A$1983&amp;" (2)"</f>
        <v>迈尔斯 (2)</v>
      </c>
      <c r="C112" s="532" t="b">
        <v>0</v>
      </c>
      <c r="D112" s="402" t="str">
        <f ca="1">道具!$C$4</f>
        <v>ＨＰ恢复的葡萄（大）</v>
      </c>
      <c r="E112" s="532" t="b">
        <v>0</v>
      </c>
      <c r="F112" s="379" t="str">
        <f ca="1">语言!$A$23</f>
        <v>无</v>
      </c>
      <c r="G112" s="532" t="b">
        <v>0</v>
      </c>
      <c r="H112" s="530" t="s">
        <v>46</v>
      </c>
      <c r="I112" s="379">
        <v>3</v>
      </c>
      <c r="J112" s="379"/>
      <c r="K112" s="379"/>
      <c r="L112" s="379"/>
      <c r="M112" s="379"/>
      <c r="N112" s="379"/>
      <c r="O112" s="379" t="str">
        <f ca="1">道具!$C$4</f>
        <v>ＨＰ恢复的葡萄（大）</v>
      </c>
      <c r="P112" s="532"/>
      <c r="Q112" s="530" t="s">
        <v>46</v>
      </c>
      <c r="R112" s="17"/>
      <c r="S112" s="17" t="str">
        <f ca="1">Summon!$I$173</f>
        <v>攻击力提升</v>
      </c>
      <c r="T112" s="530">
        <v>8</v>
      </c>
      <c r="U112" s="532"/>
      <c r="V112" s="379" t="str">
        <f ca="1">"NPC at this location after quest: "&amp;支线!$C$8&amp;"
Move to "&amp;语言!$A$340&amp;" after quest: "&amp;支线!$C$13</f>
        <v>NPC at this location after quest: 圣火骑士迈尔斯（１）
Move to 诺斯利奇 after quest: 圣火骑士迈尔斯（２）</v>
      </c>
      <c r="W112" s="121"/>
    </row>
    <row r="113" spans="1:23" ht="12.75" x14ac:dyDescent="0.2">
      <c r="A113" s="122"/>
      <c r="B113" s="371"/>
      <c r="C113" s="371"/>
      <c r="D113" s="371"/>
      <c r="E113" s="371"/>
      <c r="F113" s="371"/>
      <c r="G113" s="371"/>
      <c r="H113" s="371"/>
      <c r="I113" s="371"/>
      <c r="J113" s="371"/>
      <c r="K113" s="371"/>
      <c r="L113" s="371"/>
      <c r="M113" s="371"/>
      <c r="N113" s="371"/>
      <c r="O113" s="371"/>
      <c r="P113" s="371"/>
      <c r="Q113" s="371"/>
      <c r="R113" s="17"/>
      <c r="S113" s="17" t="str">
        <f ca="1">Summon!$I$6</f>
        <v>斩击</v>
      </c>
      <c r="T113" s="371"/>
      <c r="U113" s="371"/>
      <c r="V113" s="371"/>
      <c r="W113" s="121"/>
    </row>
    <row r="114" spans="1:23" ht="12.75" x14ac:dyDescent="0.2">
      <c r="A114" s="122"/>
      <c r="B114" s="531"/>
      <c r="C114" s="531"/>
      <c r="D114" s="531"/>
      <c r="E114" s="531"/>
      <c r="F114" s="531"/>
      <c r="G114" s="531"/>
      <c r="H114" s="531"/>
      <c r="I114" s="531"/>
      <c r="J114" s="531"/>
      <c r="K114" s="531"/>
      <c r="L114" s="531"/>
      <c r="M114" s="531"/>
      <c r="N114" s="531"/>
      <c r="O114" s="531"/>
      <c r="P114" s="531"/>
      <c r="Q114" s="531"/>
      <c r="R114" s="126"/>
      <c r="S114" s="126" t="str">
        <f ca="1">Summon!$I$4</f>
        <v>战斗</v>
      </c>
      <c r="T114" s="531"/>
      <c r="U114" s="531"/>
      <c r="V114" s="531"/>
      <c r="W114" s="121"/>
    </row>
    <row r="115" spans="1:23" ht="12.75" x14ac:dyDescent="0.2">
      <c r="A115" s="122"/>
      <c r="B115" s="533" t="str">
        <f ca="1">语言!$A$2117</f>
        <v>铁腕的佣兵</v>
      </c>
      <c r="C115" s="532" t="b">
        <v>0</v>
      </c>
      <c r="D115" s="402" t="str">
        <f ca="1">道具!$C$225</f>
        <v>银制匕首</v>
      </c>
      <c r="E115" s="532" t="b">
        <v>0</v>
      </c>
      <c r="F115" s="379" t="str">
        <f ca="1">道具!$I$16</f>
        <v>佛洛斯特兰多的龙</v>
      </c>
      <c r="G115" s="532" t="b">
        <v>0</v>
      </c>
      <c r="H115" s="530" t="s">
        <v>49</v>
      </c>
      <c r="I115" s="379">
        <v>4</v>
      </c>
      <c r="J115" s="379"/>
      <c r="K115" s="379"/>
      <c r="L115" s="379"/>
      <c r="M115" s="379"/>
      <c r="N115" s="379"/>
      <c r="O115" s="379" t="str">
        <f ca="1">道具!$C$539</f>
        <v>混乱多之叶</v>
      </c>
      <c r="P115" s="532"/>
      <c r="Q115" s="530" t="s">
        <v>49</v>
      </c>
      <c r="R115" s="17"/>
      <c r="S115" s="17" t="str">
        <f ca="1">Summon!$I$34</f>
        <v>无双突刺</v>
      </c>
      <c r="T115" s="530">
        <v>7</v>
      </c>
      <c r="U115" s="532"/>
      <c r="V115" s="379"/>
      <c r="W115" s="121"/>
    </row>
    <row r="116" spans="1:23" ht="12.75" x14ac:dyDescent="0.2">
      <c r="A116" s="122"/>
      <c r="B116" s="371"/>
      <c r="C116" s="371"/>
      <c r="D116" s="371"/>
      <c r="E116" s="371"/>
      <c r="F116" s="371"/>
      <c r="G116" s="371"/>
      <c r="H116" s="371"/>
      <c r="I116" s="371"/>
      <c r="J116" s="371"/>
      <c r="K116" s="371"/>
      <c r="L116" s="371"/>
      <c r="M116" s="371"/>
      <c r="N116" s="371"/>
      <c r="O116" s="371"/>
      <c r="P116" s="371"/>
      <c r="Q116" s="371"/>
      <c r="R116" s="17"/>
      <c r="S116" s="17" t="str">
        <f ca="1">Summon!$I$30</f>
        <v>突刺</v>
      </c>
      <c r="T116" s="371"/>
      <c r="U116" s="371"/>
      <c r="V116" s="371"/>
      <c r="W116" s="121"/>
    </row>
    <row r="117" spans="1:23" ht="12.75" x14ac:dyDescent="0.2">
      <c r="A117" s="122"/>
      <c r="B117" s="531"/>
      <c r="C117" s="531"/>
      <c r="D117" s="531"/>
      <c r="E117" s="531"/>
      <c r="F117" s="531"/>
      <c r="G117" s="531"/>
      <c r="H117" s="531"/>
      <c r="I117" s="531"/>
      <c r="J117" s="531"/>
      <c r="K117" s="531"/>
      <c r="L117" s="531"/>
      <c r="M117" s="531"/>
      <c r="N117" s="531"/>
      <c r="O117" s="531"/>
      <c r="P117" s="531"/>
      <c r="Q117" s="531"/>
      <c r="R117" s="126"/>
      <c r="S117" s="126" t="str">
        <f ca="1">Summon!$I$4</f>
        <v>战斗</v>
      </c>
      <c r="T117" s="531"/>
      <c r="U117" s="531"/>
      <c r="V117" s="531"/>
      <c r="W117" s="121"/>
    </row>
    <row r="118" spans="1:23" ht="12.75" x14ac:dyDescent="0.2">
      <c r="A118" s="122"/>
      <c r="B118" s="533" t="str">
        <f ca="1">语言!$A$1824</f>
        <v>开朗的男子</v>
      </c>
      <c r="C118" s="123" t="b">
        <v>0</v>
      </c>
      <c r="D118" s="19" t="str">
        <f ca="1">道具!$C$44</f>
        <v>光之精灵石（大）</v>
      </c>
      <c r="E118" s="532" t="b">
        <v>0</v>
      </c>
      <c r="F118" s="379" t="str">
        <f ca="1">语言!$A$23</f>
        <v>无</v>
      </c>
      <c r="G118" s="532" t="b">
        <v>0</v>
      </c>
      <c r="H118" s="530" t="s">
        <v>57</v>
      </c>
      <c r="I118" s="379">
        <v>3</v>
      </c>
      <c r="J118" s="379"/>
      <c r="K118" s="379"/>
      <c r="L118" s="379"/>
      <c r="M118" s="379"/>
      <c r="N118" s="379"/>
      <c r="O118" s="379" t="str">
        <f ca="1">道具!$C$44</f>
        <v>光之精灵石（大）</v>
      </c>
      <c r="P118" s="532"/>
      <c r="Q118" s="530" t="s">
        <v>57</v>
      </c>
      <c r="R118" s="17"/>
      <c r="S118" s="17" t="str">
        <f ca="1">Summon!$I$176</f>
        <v>精神提升</v>
      </c>
      <c r="T118" s="530">
        <v>8</v>
      </c>
      <c r="U118" s="532"/>
      <c r="V118" s="379" t="str">
        <f ca="1">"NPC available after quest: "&amp;支线!$C$13</f>
        <v>NPC available after quest: 圣火骑士迈尔斯（２）</v>
      </c>
      <c r="W118" s="121"/>
    </row>
    <row r="119" spans="1:23" ht="12.75" x14ac:dyDescent="0.2">
      <c r="A119" s="122"/>
      <c r="B119" s="371"/>
      <c r="C119" s="123" t="b">
        <v>0</v>
      </c>
      <c r="D119" s="19" t="str">
        <f ca="1">道具!$C$4</f>
        <v>ＨＰ恢复的葡萄（大）</v>
      </c>
      <c r="E119" s="371"/>
      <c r="F119" s="371"/>
      <c r="G119" s="371"/>
      <c r="H119" s="371"/>
      <c r="I119" s="371"/>
      <c r="J119" s="371"/>
      <c r="K119" s="371"/>
      <c r="L119" s="371"/>
      <c r="M119" s="371"/>
      <c r="N119" s="371"/>
      <c r="O119" s="371"/>
      <c r="P119" s="371"/>
      <c r="Q119" s="371"/>
      <c r="R119" s="17"/>
      <c r="S119" s="17" t="str">
        <f ca="1">Summon!$I$78</f>
        <v>火焰魔法</v>
      </c>
      <c r="T119" s="371"/>
      <c r="U119" s="371"/>
      <c r="V119" s="371"/>
      <c r="W119" s="121"/>
    </row>
    <row r="120" spans="1:23" ht="12.75" x14ac:dyDescent="0.2">
      <c r="A120" s="122"/>
      <c r="B120" s="531"/>
      <c r="C120" s="124" t="b">
        <v>0</v>
      </c>
      <c r="D120" s="125" t="str">
        <f ca="1">道具!$C$348</f>
        <v>元素盾</v>
      </c>
      <c r="E120" s="531"/>
      <c r="F120" s="531"/>
      <c r="G120" s="531"/>
      <c r="H120" s="531"/>
      <c r="I120" s="531"/>
      <c r="J120" s="531"/>
      <c r="K120" s="531"/>
      <c r="L120" s="531"/>
      <c r="M120" s="531"/>
      <c r="N120" s="531"/>
      <c r="O120" s="531"/>
      <c r="P120" s="531"/>
      <c r="Q120" s="531"/>
      <c r="R120" s="126"/>
      <c r="S120" s="126" t="str">
        <f ca="1">Summon!$I$4</f>
        <v>战斗</v>
      </c>
      <c r="T120" s="531"/>
      <c r="U120" s="531"/>
      <c r="V120" s="531"/>
      <c r="W120" s="121"/>
    </row>
    <row r="121" spans="1:23" ht="12.75" x14ac:dyDescent="0.2">
      <c r="A121" s="122"/>
      <c r="B121" s="533" t="str">
        <f ca="1">语言!$A$2102</f>
        <v>市民</v>
      </c>
      <c r="C121" s="123" t="b">
        <v>0</v>
      </c>
      <c r="D121" s="19" t="str">
        <f ca="1">"* "&amp;道具!$F$49</f>
        <v>* 合适的金属制容器</v>
      </c>
      <c r="E121" s="532" t="b">
        <v>0</v>
      </c>
      <c r="F121" s="379" t="str">
        <f ca="1">语言!$A$33&amp;"
"&amp;道具!$C$291</f>
        <v>隐藏道具的资讯
灵魂弓</v>
      </c>
      <c r="G121" s="532" t="b">
        <v>0</v>
      </c>
      <c r="H121" s="530" t="s">
        <v>57</v>
      </c>
      <c r="I121" s="379">
        <v>3</v>
      </c>
      <c r="J121" s="379"/>
      <c r="K121" s="379"/>
      <c r="L121" s="379"/>
      <c r="M121" s="379"/>
      <c r="N121" s="379"/>
      <c r="O121" s="379" t="str">
        <f ca="1">道具!$C$543</f>
        <v>橄榄花</v>
      </c>
      <c r="P121" s="532"/>
      <c r="Q121" s="530" t="s">
        <v>57</v>
      </c>
      <c r="R121" s="17"/>
      <c r="S121" s="17" t="str">
        <f ca="1">Summon!$I$162</f>
        <v>速度下降</v>
      </c>
      <c r="T121" s="530">
        <v>8</v>
      </c>
      <c r="U121" s="532"/>
      <c r="V121" s="379"/>
      <c r="W121" s="121"/>
    </row>
    <row r="122" spans="1:23" ht="12.75" x14ac:dyDescent="0.2">
      <c r="A122" s="122"/>
      <c r="B122" s="371"/>
      <c r="C122" s="123" t="b">
        <v>0</v>
      </c>
      <c r="D122" s="19" t="str">
        <f ca="1">道具!$C$30</f>
        <v>火之精灵石</v>
      </c>
      <c r="E122" s="371"/>
      <c r="F122" s="371"/>
      <c r="G122" s="371"/>
      <c r="H122" s="371"/>
      <c r="I122" s="371"/>
      <c r="J122" s="371"/>
      <c r="K122" s="371"/>
      <c r="L122" s="371"/>
      <c r="M122" s="371"/>
      <c r="N122" s="371"/>
      <c r="O122" s="371"/>
      <c r="P122" s="371"/>
      <c r="Q122" s="371"/>
      <c r="R122" s="17"/>
      <c r="S122" s="17" t="str">
        <f ca="1">Summon!$I$36</f>
        <v>连环突刺</v>
      </c>
      <c r="T122" s="371"/>
      <c r="U122" s="371"/>
      <c r="V122" s="371"/>
      <c r="W122" s="121"/>
    </row>
    <row r="123" spans="1:23" ht="12.75" x14ac:dyDescent="0.2">
      <c r="A123" s="129"/>
      <c r="B123" s="531"/>
      <c r="C123" s="124" t="b">
        <v>0</v>
      </c>
      <c r="D123" s="125" t="str">
        <f ca="1">道具!$C$31</f>
        <v>火之精灵石（大）</v>
      </c>
      <c r="E123" s="531"/>
      <c r="F123" s="531"/>
      <c r="G123" s="531"/>
      <c r="H123" s="531"/>
      <c r="I123" s="531"/>
      <c r="J123" s="531"/>
      <c r="K123" s="531"/>
      <c r="L123" s="531"/>
      <c r="M123" s="531"/>
      <c r="N123" s="531"/>
      <c r="O123" s="531"/>
      <c r="P123" s="531"/>
      <c r="Q123" s="531"/>
      <c r="R123" s="126"/>
      <c r="S123" s="126" t="str">
        <f ca="1">Summon!$I$4</f>
        <v>战斗</v>
      </c>
      <c r="T123" s="531"/>
      <c r="U123" s="531"/>
      <c r="V123" s="531"/>
      <c r="W123" s="121"/>
    </row>
    <row r="124" spans="1:23" ht="12.75" x14ac:dyDescent="0.2">
      <c r="A124" s="129"/>
      <c r="B124" s="533" t="str">
        <f ca="1">语言!$A$2019&amp;" (1)"</f>
        <v>车夫厄伦 (1)</v>
      </c>
      <c r="C124" s="123" t="b">
        <v>0</v>
      </c>
      <c r="D124" s="19" t="str">
        <f ca="1">道具!$C$160</f>
        <v>重刃</v>
      </c>
      <c r="E124" s="532" t="b">
        <v>0</v>
      </c>
      <c r="F124" s="379" t="str">
        <f ca="1">语言!$A$23</f>
        <v>无</v>
      </c>
      <c r="G124" s="532" t="b">
        <v>0</v>
      </c>
      <c r="H124" s="530" t="s">
        <v>57</v>
      </c>
      <c r="I124" s="379">
        <v>3</v>
      </c>
      <c r="J124" s="379"/>
      <c r="K124" s="379"/>
      <c r="L124" s="379"/>
      <c r="M124" s="379"/>
      <c r="N124" s="379"/>
      <c r="O124" s="379" t="str">
        <f ca="1">道具!$C$31</f>
        <v>火之精灵石（大）</v>
      </c>
      <c r="P124" s="532"/>
      <c r="Q124" s="530" t="s">
        <v>57</v>
      </c>
      <c r="R124" s="17"/>
      <c r="S124" s="17" t="str">
        <f ca="1">Summon!$I$179</f>
        <v>速度提升</v>
      </c>
      <c r="T124" s="530">
        <v>8</v>
      </c>
      <c r="U124" s="532"/>
      <c r="V124" s="379" t="str">
        <f ca="1">"NPC available after quest: "&amp;支线!$C$16&amp;"
Moves to "&amp;语言!$A$396&amp;" after quest: "&amp;支线!$C$17</f>
        <v>NPC available after quest: 亚莉安娜，在那之后（１）
Moves to 斯托冈德 -下街- after quest: 亚莉安娜，在那之后（２）</v>
      </c>
      <c r="W124" s="121"/>
    </row>
    <row r="125" spans="1:23" ht="12.75" x14ac:dyDescent="0.2">
      <c r="A125" s="129"/>
      <c r="B125" s="371"/>
      <c r="C125" s="123" t="b">
        <v>0</v>
      </c>
      <c r="D125" s="19" t="str">
        <f ca="1">道具!$C$350</f>
        <v>板盾</v>
      </c>
      <c r="E125" s="371"/>
      <c r="F125" s="371"/>
      <c r="G125" s="371"/>
      <c r="H125" s="371"/>
      <c r="I125" s="371"/>
      <c r="J125" s="371"/>
      <c r="K125" s="371"/>
      <c r="L125" s="371"/>
      <c r="M125" s="371"/>
      <c r="N125" s="371"/>
      <c r="O125" s="371"/>
      <c r="P125" s="371"/>
      <c r="Q125" s="371"/>
      <c r="R125" s="17"/>
      <c r="S125" s="17" t="str">
        <f ca="1">Summon!$I$6</f>
        <v>斩击</v>
      </c>
      <c r="T125" s="371"/>
      <c r="U125" s="371"/>
      <c r="V125" s="371"/>
      <c r="W125" s="121"/>
    </row>
    <row r="126" spans="1:23" ht="12.75" x14ac:dyDescent="0.2">
      <c r="A126" s="129"/>
      <c r="B126" s="531"/>
      <c r="C126" s="124"/>
      <c r="D126" s="125"/>
      <c r="E126" s="531"/>
      <c r="F126" s="531"/>
      <c r="G126" s="531"/>
      <c r="H126" s="531"/>
      <c r="I126" s="531"/>
      <c r="J126" s="531"/>
      <c r="K126" s="531"/>
      <c r="L126" s="531"/>
      <c r="M126" s="531"/>
      <c r="N126" s="531"/>
      <c r="O126" s="531"/>
      <c r="P126" s="531"/>
      <c r="Q126" s="531"/>
      <c r="R126" s="126"/>
      <c r="S126" s="126" t="str">
        <f ca="1">Summon!$I$4</f>
        <v>战斗</v>
      </c>
      <c r="T126" s="531"/>
      <c r="U126" s="531"/>
      <c r="V126" s="531"/>
      <c r="W126" s="121"/>
    </row>
    <row r="127" spans="1:23" ht="12.75" x14ac:dyDescent="0.2">
      <c r="A127" s="129"/>
      <c r="B127" s="533" t="str">
        <f ca="1">语言!$A$1842</f>
        <v>舞娘</v>
      </c>
      <c r="C127" s="532" t="b">
        <v>0</v>
      </c>
      <c r="D127" s="402" t="str">
        <f ca="1">道具!$C$206</f>
        <v>禁忌短剑</v>
      </c>
      <c r="E127" s="532" t="b">
        <v>0</v>
      </c>
      <c r="F127" s="379" t="str">
        <f ca="1">语言!$A$24</f>
        <v>旅店的折扣资讯</v>
      </c>
      <c r="G127" s="532" t="b">
        <v>0</v>
      </c>
      <c r="H127" s="530" t="s">
        <v>48</v>
      </c>
      <c r="I127" s="379">
        <v>2</v>
      </c>
      <c r="J127" s="379"/>
      <c r="K127" s="379"/>
      <c r="L127" s="379"/>
      <c r="M127" s="379"/>
      <c r="N127" s="379"/>
      <c r="O127" s="379" t="str">
        <f ca="1">道具!$C$31</f>
        <v>火之精灵石（大）</v>
      </c>
      <c r="P127" s="532"/>
      <c r="Q127" s="530" t="s">
        <v>48</v>
      </c>
      <c r="R127" s="17"/>
      <c r="S127" s="17" t="str">
        <f ca="1">Summon!$I$44</f>
        <v>剧毒猛击</v>
      </c>
      <c r="T127" s="530">
        <v>9</v>
      </c>
      <c r="U127" s="532"/>
      <c r="V127" s="379" t="str">
        <f ca="1">"Can't "&amp;语言!$A$50&amp;" "&amp;道具!$C$206&amp;", only "&amp;语言!$A$46</f>
        <v>Can't 偷取 禁忌短剑, only 购买</v>
      </c>
      <c r="W127" s="121"/>
    </row>
    <row r="128" spans="1:23" ht="12.75" x14ac:dyDescent="0.2">
      <c r="A128" s="129"/>
      <c r="B128" s="371"/>
      <c r="C128" s="371"/>
      <c r="D128" s="371"/>
      <c r="E128" s="371"/>
      <c r="F128" s="371"/>
      <c r="G128" s="371"/>
      <c r="H128" s="371"/>
      <c r="I128" s="371"/>
      <c r="J128" s="371"/>
      <c r="K128" s="371"/>
      <c r="L128" s="371"/>
      <c r="M128" s="371"/>
      <c r="N128" s="371"/>
      <c r="O128" s="371"/>
      <c r="P128" s="371"/>
      <c r="Q128" s="371"/>
      <c r="R128" s="17"/>
      <c r="S128" s="17" t="str">
        <f ca="1">Summon!$I$48</f>
        <v>连掷短剑</v>
      </c>
      <c r="T128" s="371"/>
      <c r="U128" s="371"/>
      <c r="V128" s="371"/>
      <c r="W128" s="121"/>
    </row>
    <row r="129" spans="1:23" ht="12.75" x14ac:dyDescent="0.2">
      <c r="A129" s="129"/>
      <c r="B129" s="531"/>
      <c r="C129" s="531"/>
      <c r="D129" s="531"/>
      <c r="E129" s="531"/>
      <c r="F129" s="531"/>
      <c r="G129" s="531"/>
      <c r="H129" s="531"/>
      <c r="I129" s="531"/>
      <c r="J129" s="531"/>
      <c r="K129" s="531"/>
      <c r="L129" s="531"/>
      <c r="M129" s="531"/>
      <c r="N129" s="531"/>
      <c r="O129" s="531"/>
      <c r="P129" s="531"/>
      <c r="Q129" s="531"/>
      <c r="R129" s="126"/>
      <c r="S129" s="126" t="str">
        <f ca="1">Summon!$I$4</f>
        <v>战斗</v>
      </c>
      <c r="T129" s="531"/>
      <c r="U129" s="531"/>
      <c r="V129" s="531"/>
      <c r="W129" s="121"/>
    </row>
    <row r="130" spans="1:23" ht="12.75" x14ac:dyDescent="0.2">
      <c r="A130" s="122"/>
      <c r="B130" s="533" t="str">
        <f ca="1">语言!$A$2014</f>
        <v>老人</v>
      </c>
      <c r="C130" s="123" t="b">
        <v>0</v>
      </c>
      <c r="D130" s="19" t="str">
        <f ca="1">道具!$C$381</f>
        <v>祭司之帽</v>
      </c>
      <c r="E130" s="532" t="b">
        <v>0</v>
      </c>
      <c r="F130" s="379" t="str">
        <f ca="1">语言!$A$30</f>
        <v>「诱惑」成功机率ＵＰ资讯</v>
      </c>
      <c r="G130" s="532" t="b">
        <v>0</v>
      </c>
      <c r="H130" s="530" t="s">
        <v>50</v>
      </c>
      <c r="I130" s="379">
        <v>4</v>
      </c>
      <c r="J130" s="379"/>
      <c r="K130" s="379"/>
      <c r="L130" s="379"/>
      <c r="M130" s="379"/>
      <c r="N130" s="379"/>
      <c r="O130" s="379" t="str">
        <f ca="1">道具!$C$322</f>
        <v>大石英杖</v>
      </c>
      <c r="P130" s="532"/>
      <c r="Q130" s="530" t="s">
        <v>50</v>
      </c>
      <c r="R130" s="17"/>
      <c r="S130" s="17" t="str">
        <f ca="1">Summon!$I$80</f>
        <v>大火焰魔法</v>
      </c>
      <c r="T130" s="530">
        <v>7</v>
      </c>
      <c r="U130" s="532"/>
      <c r="V130" s="379"/>
      <c r="W130" s="121"/>
    </row>
    <row r="131" spans="1:23" ht="12.75" x14ac:dyDescent="0.2">
      <c r="A131" s="122"/>
      <c r="B131" s="371"/>
      <c r="C131" s="123" t="b">
        <v>0</v>
      </c>
      <c r="D131" s="19" t="str">
        <f ca="1">道具!$C$499</f>
        <v>狙击耳环</v>
      </c>
      <c r="E131" s="371"/>
      <c r="F131" s="371"/>
      <c r="G131" s="371"/>
      <c r="H131" s="371"/>
      <c r="I131" s="371"/>
      <c r="J131" s="371"/>
      <c r="K131" s="371"/>
      <c r="L131" s="371"/>
      <c r="M131" s="371"/>
      <c r="N131" s="371"/>
      <c r="O131" s="371"/>
      <c r="P131" s="371"/>
      <c r="Q131" s="371"/>
      <c r="R131" s="17"/>
      <c r="S131" s="17" t="str">
        <f ca="1">Summon!$I$78</f>
        <v>火焰魔法</v>
      </c>
      <c r="T131" s="371"/>
      <c r="U131" s="371"/>
      <c r="V131" s="371"/>
      <c r="W131" s="121"/>
    </row>
    <row r="132" spans="1:23" ht="12.75" x14ac:dyDescent="0.2">
      <c r="A132" s="122"/>
      <c r="B132" s="531"/>
      <c r="C132" s="124"/>
      <c r="D132" s="125"/>
      <c r="E132" s="531"/>
      <c r="F132" s="531"/>
      <c r="G132" s="531"/>
      <c r="H132" s="531"/>
      <c r="I132" s="531"/>
      <c r="J132" s="531"/>
      <c r="K132" s="531"/>
      <c r="L132" s="531"/>
      <c r="M132" s="531"/>
      <c r="N132" s="531"/>
      <c r="O132" s="531"/>
      <c r="P132" s="531"/>
      <c r="Q132" s="531"/>
      <c r="R132" s="126"/>
      <c r="S132" s="126" t="str">
        <f ca="1">Summon!$I$4</f>
        <v>战斗</v>
      </c>
      <c r="T132" s="531"/>
      <c r="U132" s="531"/>
      <c r="V132" s="531"/>
      <c r="W132" s="121"/>
    </row>
    <row r="133" spans="1:23" ht="12.75" x14ac:dyDescent="0.2">
      <c r="A133" s="122"/>
      <c r="B133" s="533" t="str">
        <f ca="1">语言!$A$2083</f>
        <v>占卜师苏珊娜</v>
      </c>
      <c r="C133" s="123" t="b">
        <v>0</v>
      </c>
      <c r="D133" s="19" t="str">
        <f ca="1">道具!$C$532</f>
        <v>含毒的素材</v>
      </c>
      <c r="E133" s="532" t="b">
        <v>0</v>
      </c>
      <c r="F133" s="379" t="str">
        <f ca="1">语言!$A$23</f>
        <v>无</v>
      </c>
      <c r="G133" s="532"/>
      <c r="H133" s="534" t="s">
        <v>119</v>
      </c>
      <c r="I133" s="534" t="s">
        <v>119</v>
      </c>
      <c r="J133" s="534" t="s">
        <v>119</v>
      </c>
      <c r="K133" s="534" t="s">
        <v>119</v>
      </c>
      <c r="L133" s="534" t="s">
        <v>119</v>
      </c>
      <c r="M133" s="534" t="s">
        <v>119</v>
      </c>
      <c r="N133" s="534" t="s">
        <v>119</v>
      </c>
      <c r="O133" s="534" t="s">
        <v>119</v>
      </c>
      <c r="P133" s="532"/>
      <c r="Q133" s="534" t="s">
        <v>119</v>
      </c>
      <c r="R133" s="534" t="s">
        <v>119</v>
      </c>
      <c r="S133" s="534" t="s">
        <v>119</v>
      </c>
      <c r="T133" s="534" t="s">
        <v>119</v>
      </c>
      <c r="U133" s="532"/>
      <c r="V133" s="379" t="str">
        <f ca="1">"NPC available after quest: "&amp;支线!$C$142</f>
        <v>NPC available after quest: 亚雷克，在那之后</v>
      </c>
      <c r="W133" s="121"/>
    </row>
    <row r="134" spans="1:23" ht="12.75" x14ac:dyDescent="0.2">
      <c r="A134" s="122"/>
      <c r="B134" s="371"/>
      <c r="C134" s="123" t="b">
        <v>0</v>
      </c>
      <c r="D134" s="19" t="str">
        <f ca="1">道具!$C$537</f>
        <v>毒利米树之叶</v>
      </c>
      <c r="E134" s="371"/>
      <c r="F134" s="371"/>
      <c r="G134" s="371"/>
      <c r="H134" s="371"/>
      <c r="I134" s="371"/>
      <c r="J134" s="371"/>
      <c r="K134" s="371"/>
      <c r="L134" s="371"/>
      <c r="M134" s="371"/>
      <c r="N134" s="371"/>
      <c r="O134" s="371"/>
      <c r="P134" s="371"/>
      <c r="Q134" s="371"/>
      <c r="R134" s="371"/>
      <c r="S134" s="371"/>
      <c r="T134" s="371"/>
      <c r="U134" s="371"/>
      <c r="V134" s="371"/>
      <c r="W134" s="121"/>
    </row>
    <row r="135" spans="1:23" ht="12.75" x14ac:dyDescent="0.2">
      <c r="A135" s="122"/>
      <c r="B135" s="531"/>
      <c r="C135" s="124" t="b">
        <v>0</v>
      </c>
      <c r="D135" s="125" t="str">
        <f ca="1">道具!$C$543</f>
        <v>橄榄花</v>
      </c>
      <c r="E135" s="531"/>
      <c r="F135" s="531"/>
      <c r="G135" s="531"/>
      <c r="H135" s="531"/>
      <c r="I135" s="531"/>
      <c r="J135" s="531"/>
      <c r="K135" s="531"/>
      <c r="L135" s="531"/>
      <c r="M135" s="531"/>
      <c r="N135" s="531"/>
      <c r="O135" s="531"/>
      <c r="P135" s="531"/>
      <c r="Q135" s="531"/>
      <c r="R135" s="531"/>
      <c r="S135" s="531"/>
      <c r="T135" s="531"/>
      <c r="U135" s="531"/>
      <c r="V135" s="531"/>
      <c r="W135" s="121"/>
    </row>
    <row r="136" spans="1:23" ht="12.75" x14ac:dyDescent="0.2">
      <c r="A136" s="122"/>
      <c r="B136" s="132" t="str">
        <f ca="1">语言!$A$1764&amp;" (1)"</f>
        <v>保镖亚雷克 (1)</v>
      </c>
      <c r="C136" s="124"/>
      <c r="D136" s="133" t="s">
        <v>119</v>
      </c>
      <c r="E136" s="124"/>
      <c r="F136" s="134" t="s">
        <v>119</v>
      </c>
      <c r="G136" s="124" t="b">
        <v>0</v>
      </c>
      <c r="H136" s="135" t="s">
        <v>50</v>
      </c>
      <c r="I136" s="126">
        <v>3</v>
      </c>
      <c r="J136" s="126"/>
      <c r="K136" s="126"/>
      <c r="L136" s="126"/>
      <c r="M136" s="126"/>
      <c r="N136" s="126"/>
      <c r="O136" s="126" t="str">
        <f ca="1">道具!$C$12</f>
        <v>ＨＰ／ＳＰ恢复的果酱</v>
      </c>
      <c r="P136" s="124"/>
      <c r="Q136" s="134" t="s">
        <v>119</v>
      </c>
      <c r="R136" s="134" t="s">
        <v>119</v>
      </c>
      <c r="S136" s="134" t="s">
        <v>119</v>
      </c>
      <c r="T136" s="134" t="s">
        <v>119</v>
      </c>
      <c r="U136" s="124"/>
      <c r="V136" s="126" t="str">
        <f ca="1">"NPC available during "&amp;语言!$A$42&amp;" chapter 3 ("&amp;语言!$A$51&amp;" only, 1 time encounter)"</f>
        <v>NPC available during 海茵特 chapter 3 (唆使 only, 1 time encounter)</v>
      </c>
      <c r="W136" s="121"/>
    </row>
    <row r="137" spans="1:23" ht="12.75" x14ac:dyDescent="0.2">
      <c r="A137" s="122"/>
      <c r="B137" s="533" t="str">
        <f ca="1">语言!$A$1764&amp;" (3)"</f>
        <v>保镖亚雷克 (3)</v>
      </c>
      <c r="C137" s="532" t="b">
        <v>0</v>
      </c>
      <c r="D137" s="402" t="str">
        <f ca="1">道具!$C$207</f>
        <v>万速匕首</v>
      </c>
      <c r="E137" s="532" t="b">
        <v>0</v>
      </c>
      <c r="F137" s="379" t="str">
        <f ca="1">语言!$A$23</f>
        <v>无</v>
      </c>
      <c r="G137" s="532" t="b">
        <v>0</v>
      </c>
      <c r="H137" s="530" t="s">
        <v>50</v>
      </c>
      <c r="I137" s="379">
        <v>3</v>
      </c>
      <c r="J137" s="379"/>
      <c r="K137" s="379"/>
      <c r="L137" s="379"/>
      <c r="M137" s="379"/>
      <c r="N137" s="379"/>
      <c r="O137" s="379" t="str">
        <f ca="1">道具!$C$4</f>
        <v>ＨＰ恢复的葡萄（大）</v>
      </c>
      <c r="P137" s="532"/>
      <c r="Q137" s="530" t="s">
        <v>50</v>
      </c>
      <c r="R137" s="17"/>
      <c r="S137" s="17" t="str">
        <f ca="1">Summon!$I$47</f>
        <v>恐慌猛击</v>
      </c>
      <c r="T137" s="530">
        <v>7</v>
      </c>
      <c r="U137" s="532"/>
      <c r="V137" s="379" t="str">
        <f ca="1">"NPC at this location after quest: "&amp;支线!$C$142</f>
        <v>NPC at this location after quest: 亚雷克，在那之后</v>
      </c>
      <c r="W137" s="121"/>
    </row>
    <row r="138" spans="1:23" ht="12.75" x14ac:dyDescent="0.2">
      <c r="A138" s="122"/>
      <c r="B138" s="371"/>
      <c r="C138" s="371"/>
      <c r="D138" s="371"/>
      <c r="E138" s="371"/>
      <c r="F138" s="371"/>
      <c r="G138" s="371"/>
      <c r="H138" s="371"/>
      <c r="I138" s="371"/>
      <c r="J138" s="371"/>
      <c r="K138" s="371"/>
      <c r="L138" s="371"/>
      <c r="M138" s="371"/>
      <c r="N138" s="371"/>
      <c r="O138" s="371"/>
      <c r="P138" s="371"/>
      <c r="Q138" s="371"/>
      <c r="R138" s="17"/>
      <c r="S138" s="17" t="str">
        <f ca="1">Summon!$I$48</f>
        <v>连掷短剑</v>
      </c>
      <c r="T138" s="371"/>
      <c r="U138" s="371"/>
      <c r="V138" s="371"/>
      <c r="W138" s="121"/>
    </row>
    <row r="139" spans="1:23" ht="12.75" x14ac:dyDescent="0.2">
      <c r="A139" s="122"/>
      <c r="B139" s="531"/>
      <c r="C139" s="531"/>
      <c r="D139" s="531"/>
      <c r="E139" s="531"/>
      <c r="F139" s="531"/>
      <c r="G139" s="531"/>
      <c r="H139" s="531"/>
      <c r="I139" s="531"/>
      <c r="J139" s="531"/>
      <c r="K139" s="531"/>
      <c r="L139" s="531"/>
      <c r="M139" s="531"/>
      <c r="N139" s="531"/>
      <c r="O139" s="531"/>
      <c r="P139" s="531"/>
      <c r="Q139" s="531"/>
      <c r="R139" s="126"/>
      <c r="S139" s="126" t="str">
        <f ca="1">Summon!$I$4</f>
        <v>战斗</v>
      </c>
      <c r="T139" s="531"/>
      <c r="U139" s="531"/>
      <c r="V139" s="531"/>
      <c r="W139" s="121"/>
    </row>
    <row r="140" spans="1:23" ht="12.75" x14ac:dyDescent="0.2">
      <c r="A140" s="122"/>
      <c r="B140" s="533" t="str">
        <f ca="1">语言!$A$1886</f>
        <v>弗洛斯特兰多的知识分子</v>
      </c>
      <c r="C140" s="123" t="b">
        <v>0</v>
      </c>
      <c r="D140" s="19" t="str">
        <f ca="1">道具!$C$224</f>
        <v>破剑者</v>
      </c>
      <c r="E140" s="532" t="b">
        <v>0</v>
      </c>
      <c r="F140" s="379" t="str">
        <f ca="1">道具!$I$28</f>
        <v>弗罗斯特兰多的历史</v>
      </c>
      <c r="G140" s="532" t="b">
        <v>0</v>
      </c>
      <c r="H140" s="530" t="s">
        <v>46</v>
      </c>
      <c r="I140" s="379">
        <v>3</v>
      </c>
      <c r="J140" s="379"/>
      <c r="K140" s="379"/>
      <c r="L140" s="379"/>
      <c r="M140" s="379"/>
      <c r="N140" s="379"/>
      <c r="O140" s="379" t="str">
        <f ca="1">道具!$C$31</f>
        <v>火之精灵石（大）</v>
      </c>
      <c r="P140" s="532"/>
      <c r="Q140" s="534" t="s">
        <v>119</v>
      </c>
      <c r="R140" s="534" t="s">
        <v>119</v>
      </c>
      <c r="S140" s="534" t="s">
        <v>119</v>
      </c>
      <c r="T140" s="534" t="s">
        <v>119</v>
      </c>
      <c r="U140" s="532"/>
      <c r="V140" s="379" t="str">
        <f ca="1">"NPC available upon starting quest: "&amp;支线!$C$68</f>
        <v>NPC available upon starting quest: 学者拉塞尔，在那之后</v>
      </c>
      <c r="W140" s="121"/>
    </row>
    <row r="141" spans="1:23" ht="12.75" x14ac:dyDescent="0.2">
      <c r="A141" s="122"/>
      <c r="B141" s="531"/>
      <c r="C141" s="124" t="b">
        <v>0</v>
      </c>
      <c r="D141" s="125" t="str">
        <f ca="1">道具!$C$31</f>
        <v>火之精灵石（大）</v>
      </c>
      <c r="E141" s="531"/>
      <c r="F141" s="531"/>
      <c r="G141" s="531"/>
      <c r="H141" s="531"/>
      <c r="I141" s="531"/>
      <c r="J141" s="531"/>
      <c r="K141" s="531"/>
      <c r="L141" s="531"/>
      <c r="M141" s="531"/>
      <c r="N141" s="531"/>
      <c r="O141" s="531"/>
      <c r="P141" s="531"/>
      <c r="Q141" s="531"/>
      <c r="R141" s="531"/>
      <c r="S141" s="531"/>
      <c r="T141" s="531"/>
      <c r="U141" s="531"/>
      <c r="V141" s="531"/>
      <c r="W141" s="121"/>
    </row>
    <row r="142" spans="1:23" ht="12.75" x14ac:dyDescent="0.2">
      <c r="A142" s="122"/>
      <c r="B142" s="533" t="str">
        <f ca="1">语言!$A$1829</f>
        <v>神官</v>
      </c>
      <c r="C142" s="123" t="b">
        <v>0</v>
      </c>
      <c r="D142" s="19" t="str">
        <f ca="1">道具!$C$493</f>
        <v>灵敏戒指</v>
      </c>
      <c r="E142" s="532" t="b">
        <v>0</v>
      </c>
      <c r="F142" s="379" t="str">
        <f ca="1">语言!$A$23</f>
        <v>无</v>
      </c>
      <c r="G142" s="532" t="b">
        <v>0</v>
      </c>
      <c r="H142" s="530" t="s">
        <v>48</v>
      </c>
      <c r="I142" s="379">
        <v>2</v>
      </c>
      <c r="J142" s="379"/>
      <c r="K142" s="379"/>
      <c r="L142" s="379"/>
      <c r="M142" s="379"/>
      <c r="N142" s="379"/>
      <c r="O142" s="379" t="str">
        <f ca="1">道具!$C$4</f>
        <v>ＨＰ恢复的葡萄（大）</v>
      </c>
      <c r="P142" s="532"/>
      <c r="Q142" s="530" t="s">
        <v>48</v>
      </c>
      <c r="R142" s="17"/>
      <c r="S142" s="17" t="str">
        <f ca="1">Summon!$I$117</f>
        <v>祈祷</v>
      </c>
      <c r="T142" s="530">
        <v>9</v>
      </c>
      <c r="U142" s="532"/>
      <c r="V142" s="379"/>
      <c r="W142" s="121"/>
    </row>
    <row r="143" spans="1:23" ht="12.75" x14ac:dyDescent="0.2">
      <c r="A143" s="122"/>
      <c r="B143" s="371"/>
      <c r="C143" s="123" t="b">
        <v>0</v>
      </c>
      <c r="D143" s="19" t="str">
        <f ca="1">道具!$C$189</f>
        <v>豹骑枪</v>
      </c>
      <c r="E143" s="371"/>
      <c r="F143" s="371"/>
      <c r="G143" s="371"/>
      <c r="H143" s="371"/>
      <c r="I143" s="371"/>
      <c r="J143" s="371"/>
      <c r="K143" s="371"/>
      <c r="L143" s="371"/>
      <c r="M143" s="371"/>
      <c r="N143" s="371"/>
      <c r="O143" s="371"/>
      <c r="P143" s="371"/>
      <c r="Q143" s="371"/>
      <c r="R143" s="17"/>
      <c r="S143" s="17" t="str">
        <f ca="1">Summon!$I$98</f>
        <v>光明魔法</v>
      </c>
      <c r="T143" s="371"/>
      <c r="U143" s="371"/>
      <c r="V143" s="371"/>
      <c r="W143" s="121"/>
    </row>
    <row r="144" spans="1:23" ht="12.75" x14ac:dyDescent="0.2">
      <c r="A144" s="122"/>
      <c r="B144" s="531"/>
      <c r="C144" s="124"/>
      <c r="D144" s="125"/>
      <c r="E144" s="531"/>
      <c r="F144" s="531"/>
      <c r="G144" s="531"/>
      <c r="H144" s="531"/>
      <c r="I144" s="531"/>
      <c r="J144" s="531"/>
      <c r="K144" s="531"/>
      <c r="L144" s="531"/>
      <c r="M144" s="531"/>
      <c r="N144" s="531"/>
      <c r="O144" s="531"/>
      <c r="P144" s="531"/>
      <c r="Q144" s="531"/>
      <c r="R144" s="126"/>
      <c r="S144" s="126" t="str">
        <f ca="1">Summon!$I$4</f>
        <v>战斗</v>
      </c>
      <c r="T144" s="531"/>
      <c r="U144" s="531"/>
      <c r="V144" s="531"/>
      <c r="W144" s="121"/>
    </row>
    <row r="145" spans="1:23" ht="12.75" x14ac:dyDescent="0.2">
      <c r="A145" s="122"/>
      <c r="B145" s="533" t="str">
        <f ca="1">语言!$A$1885</f>
        <v>雪国的农家</v>
      </c>
      <c r="C145" s="123" t="b">
        <v>0</v>
      </c>
      <c r="D145" s="19" t="str">
        <f ca="1">道具!$C$486</f>
        <v>灵敏手环</v>
      </c>
      <c r="E145" s="532" t="b">
        <v>0</v>
      </c>
      <c r="F145" s="379" t="str">
        <f ca="1">语言!$A$33&amp;"
"&amp;道具!$C$543</f>
        <v>隐藏道具的资讯
橄榄花</v>
      </c>
      <c r="G145" s="532" t="b">
        <v>0</v>
      </c>
      <c r="H145" s="530" t="s">
        <v>48</v>
      </c>
      <c r="I145" s="379">
        <v>2</v>
      </c>
      <c r="J145" s="379"/>
      <c r="K145" s="379"/>
      <c r="L145" s="379"/>
      <c r="M145" s="379"/>
      <c r="N145" s="379"/>
      <c r="O145" s="379" t="str">
        <f ca="1">道具!$C$531</f>
        <v>秘药的素材（扩散）</v>
      </c>
      <c r="P145" s="532"/>
      <c r="Q145" s="530" t="s">
        <v>48</v>
      </c>
      <c r="R145" s="17"/>
      <c r="S145" s="17" t="str">
        <f ca="1">Summon!$I$31</f>
        <v>要害突刺</v>
      </c>
      <c r="T145" s="530">
        <v>9</v>
      </c>
      <c r="U145" s="532"/>
      <c r="V145" s="379"/>
      <c r="W145" s="121"/>
    </row>
    <row r="146" spans="1:23" ht="12.75" x14ac:dyDescent="0.2">
      <c r="A146" s="122"/>
      <c r="B146" s="531"/>
      <c r="C146" s="124" t="b">
        <v>0</v>
      </c>
      <c r="D146" s="125" t="str">
        <f ca="1">"* "&amp;道具!$F$52</f>
        <v>* 甜菜根</v>
      </c>
      <c r="E146" s="531"/>
      <c r="F146" s="531"/>
      <c r="G146" s="531"/>
      <c r="H146" s="531"/>
      <c r="I146" s="531"/>
      <c r="J146" s="531"/>
      <c r="K146" s="531"/>
      <c r="L146" s="531"/>
      <c r="M146" s="531"/>
      <c r="N146" s="531"/>
      <c r="O146" s="531"/>
      <c r="P146" s="531"/>
      <c r="Q146" s="531"/>
      <c r="R146" s="126"/>
      <c r="S146" s="126" t="str">
        <f ca="1">Summon!$I$4</f>
        <v>战斗</v>
      </c>
      <c r="T146" s="531"/>
      <c r="U146" s="531"/>
      <c r="V146" s="531"/>
      <c r="W146" s="121"/>
    </row>
    <row r="147" spans="1:23" ht="12.75" x14ac:dyDescent="0.2">
      <c r="A147" s="122"/>
      <c r="B147" s="533" t="str">
        <f ca="1">语言!$A$2102</f>
        <v>市民</v>
      </c>
      <c r="C147" s="123" t="b">
        <v>0</v>
      </c>
      <c r="D147" s="19" t="str">
        <f ca="1">道具!$C$376</f>
        <v>犄角头盔</v>
      </c>
      <c r="E147" s="532" t="b">
        <v>0</v>
      </c>
      <c r="F147" s="379" t="str">
        <f ca="1">语言!$A$23</f>
        <v>无</v>
      </c>
      <c r="G147" s="532" t="b">
        <v>0</v>
      </c>
      <c r="H147" s="530" t="s">
        <v>46</v>
      </c>
      <c r="I147" s="379">
        <v>3</v>
      </c>
      <c r="J147" s="379"/>
      <c r="K147" s="379"/>
      <c r="L147" s="379"/>
      <c r="M147" s="379"/>
      <c r="N147" s="379"/>
      <c r="O147" s="379" t="str">
        <f ca="1">道具!$C$162</f>
        <v>精神剑</v>
      </c>
      <c r="P147" s="532"/>
      <c r="Q147" s="534" t="s">
        <v>119</v>
      </c>
      <c r="R147" s="534" t="s">
        <v>119</v>
      </c>
      <c r="S147" s="534" t="s">
        <v>119</v>
      </c>
      <c r="T147" s="534" t="s">
        <v>119</v>
      </c>
      <c r="U147" s="532"/>
      <c r="V147" s="379"/>
      <c r="W147" s="121"/>
    </row>
    <row r="148" spans="1:23" ht="12.75" x14ac:dyDescent="0.2">
      <c r="A148" s="122"/>
      <c r="B148" s="371"/>
      <c r="C148" s="123" t="b">
        <v>0</v>
      </c>
      <c r="D148" s="19" t="str">
        <f ca="1">道具!$C$433</f>
        <v>犄角盔甲</v>
      </c>
      <c r="E148" s="371"/>
      <c r="F148" s="371"/>
      <c r="G148" s="371"/>
      <c r="H148" s="371"/>
      <c r="I148" s="371"/>
      <c r="J148" s="371"/>
      <c r="K148" s="371"/>
      <c r="L148" s="371"/>
      <c r="M148" s="371"/>
      <c r="N148" s="371"/>
      <c r="O148" s="371"/>
      <c r="P148" s="371"/>
      <c r="Q148" s="371"/>
      <c r="R148" s="371"/>
      <c r="S148" s="371"/>
      <c r="T148" s="371"/>
      <c r="U148" s="371"/>
      <c r="V148" s="371"/>
      <c r="W148" s="121"/>
    </row>
    <row r="149" spans="1:23" ht="12.75" x14ac:dyDescent="0.2">
      <c r="A149" s="122"/>
      <c r="B149" s="531"/>
      <c r="C149" s="124" t="b">
        <v>0</v>
      </c>
      <c r="D149" s="125" t="str">
        <f ca="1">道具!$C$347</f>
        <v>尖刺盾</v>
      </c>
      <c r="E149" s="531"/>
      <c r="F149" s="531"/>
      <c r="G149" s="531"/>
      <c r="H149" s="531"/>
      <c r="I149" s="531"/>
      <c r="J149" s="531"/>
      <c r="K149" s="531"/>
      <c r="L149" s="531"/>
      <c r="M149" s="531"/>
      <c r="N149" s="531"/>
      <c r="O149" s="531"/>
      <c r="P149" s="531"/>
      <c r="Q149" s="531"/>
      <c r="R149" s="531"/>
      <c r="S149" s="531"/>
      <c r="T149" s="531"/>
      <c r="U149" s="531"/>
      <c r="V149" s="531"/>
      <c r="W149" s="121"/>
    </row>
    <row r="150" spans="1:23" ht="12.75" x14ac:dyDescent="0.2">
      <c r="A150" s="122"/>
      <c r="B150" s="533" t="str">
        <f ca="1">语言!$A$2120</f>
        <v>村民</v>
      </c>
      <c r="C150" s="532" t="b">
        <v>0</v>
      </c>
      <c r="D150" s="402" t="str">
        <f ca="1">"* "&amp;道具!$F$47</f>
        <v>* 合适的木炭</v>
      </c>
      <c r="E150" s="532" t="b">
        <v>0</v>
      </c>
      <c r="F150" s="379" t="str">
        <f ca="1">语言!$A$32</f>
        <v>「唆使」先制化的资讯</v>
      </c>
      <c r="G150" s="532" t="b">
        <v>0</v>
      </c>
      <c r="H150" s="530" t="s">
        <v>45</v>
      </c>
      <c r="I150" s="379">
        <v>2</v>
      </c>
      <c r="J150" s="379"/>
      <c r="K150" s="379"/>
      <c r="L150" s="379"/>
      <c r="M150" s="379"/>
      <c r="N150" s="379"/>
      <c r="O150" s="379" t="str">
        <f ca="1">道具!$C$530</f>
        <v>秘药的素材</v>
      </c>
      <c r="P150" s="532"/>
      <c r="Q150" s="530" t="s">
        <v>45</v>
      </c>
      <c r="R150" s="17"/>
      <c r="S150" s="17" t="str">
        <f ca="1">Summon!$I$30</f>
        <v>突刺</v>
      </c>
      <c r="T150" s="530">
        <v>9</v>
      </c>
      <c r="U150" s="532"/>
      <c r="V150" s="379"/>
      <c r="W150" s="121"/>
    </row>
    <row r="151" spans="1:23" ht="12.75" x14ac:dyDescent="0.2">
      <c r="A151" s="122"/>
      <c r="B151" s="371"/>
      <c r="C151" s="371"/>
      <c r="D151" s="371"/>
      <c r="E151" s="371"/>
      <c r="F151" s="371"/>
      <c r="G151" s="371"/>
      <c r="H151" s="371"/>
      <c r="I151" s="371"/>
      <c r="J151" s="371"/>
      <c r="K151" s="371"/>
      <c r="L151" s="371"/>
      <c r="M151" s="371"/>
      <c r="N151" s="371"/>
      <c r="O151" s="371"/>
      <c r="P151" s="371"/>
      <c r="Q151" s="371"/>
      <c r="R151" s="17"/>
      <c r="S151" s="17" t="str">
        <f ca="1">Summon!$I$4</f>
        <v>战斗</v>
      </c>
      <c r="T151" s="371"/>
      <c r="U151" s="371"/>
      <c r="V151" s="371"/>
      <c r="W151" s="121"/>
    </row>
    <row r="152" spans="1:23" ht="12.75" x14ac:dyDescent="0.2">
      <c r="A152" s="120"/>
      <c r="B152" s="529" t="str">
        <f ca="1">语言!$A$338</f>
        <v>通往白色森林的道路</v>
      </c>
      <c r="C152" s="371"/>
      <c r="D152" s="371"/>
      <c r="E152" s="371"/>
      <c r="F152" s="371"/>
      <c r="G152" s="371"/>
      <c r="H152" s="371"/>
      <c r="I152" s="371"/>
      <c r="J152" s="371"/>
      <c r="K152" s="371"/>
      <c r="L152" s="371"/>
      <c r="M152" s="371"/>
      <c r="N152" s="371"/>
      <c r="O152" s="371"/>
      <c r="P152" s="371"/>
      <c r="Q152" s="371"/>
      <c r="R152" s="371"/>
      <c r="S152" s="371"/>
      <c r="T152" s="371"/>
      <c r="U152" s="371"/>
      <c r="V152" s="371"/>
      <c r="W152" s="121"/>
    </row>
    <row r="153" spans="1:23" ht="12.75" x14ac:dyDescent="0.2">
      <c r="A153" s="122"/>
      <c r="B153" s="533" t="str">
        <f ca="1">语言!$A$2104</f>
        <v>旅人</v>
      </c>
      <c r="C153" s="123" t="b">
        <v>0</v>
      </c>
      <c r="D153" s="19" t="str">
        <f ca="1">道具!$C$35</f>
        <v>冰之精灵石（特大）</v>
      </c>
      <c r="E153" s="532" t="b">
        <v>0</v>
      </c>
      <c r="F153" s="401" t="str">
        <f ca="1">语言!$A$33&amp;" / "&amp;语言!$A$23&amp;"
"&amp;道具!$C$7</f>
        <v>隐藏道具的资讯 / 无
ＳＰ恢复的李子（大）</v>
      </c>
      <c r="G153" s="532" t="b">
        <v>0</v>
      </c>
      <c r="H153" s="530" t="s">
        <v>48</v>
      </c>
      <c r="I153" s="379">
        <v>2</v>
      </c>
      <c r="J153" s="379"/>
      <c r="K153" s="379"/>
      <c r="L153" s="379"/>
      <c r="M153" s="379"/>
      <c r="N153" s="379"/>
      <c r="O153" s="379" t="str">
        <f ca="1">道具!$C$35</f>
        <v>冰之精灵石（特大）</v>
      </c>
      <c r="P153" s="532"/>
      <c r="Q153" s="530" t="s">
        <v>48</v>
      </c>
      <c r="R153" s="17"/>
      <c r="S153" s="17" t="str">
        <f ca="1">Summon!$I$143</f>
        <v>暗暗药</v>
      </c>
      <c r="T153" s="530">
        <v>9</v>
      </c>
      <c r="U153" s="532"/>
      <c r="V153" s="379" t="str">
        <f ca="1">"NPC available upon starting quest: "&amp;支线!$C$16&amp;"
Hidden Item no longer available after quest: "&amp;支线!$C$17</f>
        <v>NPC available upon starting quest: 亚莉安娜，在那之后（１）
Hidden Item no longer available after quest: 亚莉安娜，在那之后（２）</v>
      </c>
      <c r="W153" s="121"/>
    </row>
    <row r="154" spans="1:23" ht="12.75" x14ac:dyDescent="0.2">
      <c r="A154" s="122"/>
      <c r="B154" s="371"/>
      <c r="C154" s="123" t="b">
        <v>0</v>
      </c>
      <c r="D154" s="19" t="str">
        <f ca="1">道具!$C$376</f>
        <v>犄角头盔</v>
      </c>
      <c r="E154" s="371"/>
      <c r="F154" s="371"/>
      <c r="G154" s="371"/>
      <c r="H154" s="371"/>
      <c r="I154" s="371"/>
      <c r="J154" s="371"/>
      <c r="K154" s="371"/>
      <c r="L154" s="371"/>
      <c r="M154" s="371"/>
      <c r="N154" s="371"/>
      <c r="O154" s="371"/>
      <c r="P154" s="371"/>
      <c r="Q154" s="371"/>
      <c r="R154" s="17"/>
      <c r="S154" s="17" t="str">
        <f ca="1">Summon!$I$30</f>
        <v>突刺</v>
      </c>
      <c r="T154" s="371"/>
      <c r="U154" s="371"/>
      <c r="V154" s="371"/>
      <c r="W154" s="121"/>
    </row>
    <row r="155" spans="1:23" ht="12.75" x14ac:dyDescent="0.2">
      <c r="A155" s="122"/>
      <c r="B155" s="371"/>
      <c r="C155" s="123" t="b">
        <v>0</v>
      </c>
      <c r="D155" s="19" t="str">
        <f ca="1">道具!$C$66</f>
        <v>增强属防的坚果（大）</v>
      </c>
      <c r="E155" s="371"/>
      <c r="F155" s="371"/>
      <c r="G155" s="371"/>
      <c r="H155" s="371"/>
      <c r="I155" s="371"/>
      <c r="J155" s="371"/>
      <c r="K155" s="371"/>
      <c r="L155" s="371"/>
      <c r="M155" s="371"/>
      <c r="N155" s="371"/>
      <c r="O155" s="371"/>
      <c r="P155" s="371"/>
      <c r="Q155" s="371"/>
      <c r="R155" s="17"/>
      <c r="S155" s="17" t="str">
        <f ca="1">Summon!$I$4</f>
        <v>战斗</v>
      </c>
      <c r="T155" s="371"/>
      <c r="U155" s="371"/>
      <c r="V155" s="371"/>
      <c r="W155" s="121"/>
    </row>
    <row r="156" spans="1:23" ht="18" x14ac:dyDescent="0.2">
      <c r="A156" s="118"/>
      <c r="B156" s="528" t="str">
        <f ca="1">语言!$A$323&amp;" 3"</f>
        <v>Tier 3</v>
      </c>
      <c r="C156" s="371"/>
      <c r="D156" s="371"/>
      <c r="E156" s="371"/>
      <c r="F156" s="371"/>
      <c r="G156" s="371"/>
      <c r="H156" s="371"/>
      <c r="I156" s="371"/>
      <c r="J156" s="371"/>
      <c r="K156" s="371"/>
      <c r="L156" s="371"/>
      <c r="M156" s="371"/>
      <c r="N156" s="371"/>
      <c r="O156" s="371"/>
      <c r="P156" s="371"/>
      <c r="Q156" s="371"/>
      <c r="R156" s="371"/>
      <c r="S156" s="371"/>
      <c r="T156" s="371"/>
      <c r="U156" s="371"/>
      <c r="V156" s="371"/>
      <c r="W156" s="119"/>
    </row>
    <row r="157" spans="1:23" ht="12.75" x14ac:dyDescent="0.2">
      <c r="A157" s="120"/>
      <c r="B157" s="529" t="str">
        <f ca="1">语言!$A$340</f>
        <v>诺斯利奇</v>
      </c>
      <c r="C157" s="371"/>
      <c r="D157" s="371"/>
      <c r="E157" s="371"/>
      <c r="F157" s="371"/>
      <c r="G157" s="371"/>
      <c r="H157" s="371"/>
      <c r="I157" s="371"/>
      <c r="J157" s="371"/>
      <c r="K157" s="371"/>
      <c r="L157" s="371"/>
      <c r="M157" s="371"/>
      <c r="N157" s="371"/>
      <c r="O157" s="371"/>
      <c r="P157" s="371"/>
      <c r="Q157" s="371"/>
      <c r="R157" s="371"/>
      <c r="S157" s="371"/>
      <c r="T157" s="371"/>
      <c r="U157" s="371"/>
      <c r="V157" s="371"/>
      <c r="W157" s="121"/>
    </row>
    <row r="158" spans="1:23" ht="12.75" x14ac:dyDescent="0.2">
      <c r="A158" s="122"/>
      <c r="B158" s="533" t="str">
        <f ca="1">语言!$A$1903</f>
        <v>卫兵</v>
      </c>
      <c r="C158" s="123" t="b">
        <v>0</v>
      </c>
      <c r="D158" s="19" t="str">
        <f ca="1">道具!$C$473</f>
        <v>体力项链</v>
      </c>
      <c r="E158" s="532" t="b">
        <v>0</v>
      </c>
      <c r="F158" s="379" t="str">
        <f ca="1">语言!$A$28</f>
        <v>武器店商品追加资讯</v>
      </c>
      <c r="G158" s="532" t="b">
        <v>0</v>
      </c>
      <c r="H158" s="530" t="s">
        <v>47</v>
      </c>
      <c r="I158" s="379">
        <v>4</v>
      </c>
      <c r="J158" s="379"/>
      <c r="K158" s="379"/>
      <c r="L158" s="379"/>
      <c r="M158" s="379"/>
      <c r="N158" s="379"/>
      <c r="O158" s="379" t="str">
        <f ca="1">道具!$C$368</f>
        <v>帝国头盔</v>
      </c>
      <c r="P158" s="532"/>
      <c r="Q158" s="530" t="s">
        <v>47</v>
      </c>
      <c r="R158" s="17"/>
      <c r="S158" s="17" t="str">
        <f ca="1">Summon!$I$173</f>
        <v>攻击力提升</v>
      </c>
      <c r="T158" s="530">
        <v>6</v>
      </c>
      <c r="U158" s="532"/>
      <c r="V158" s="379"/>
      <c r="W158" s="121"/>
    </row>
    <row r="159" spans="1:23" ht="12.75" x14ac:dyDescent="0.2">
      <c r="A159" s="122"/>
      <c r="B159" s="371"/>
      <c r="C159" s="123" t="b">
        <v>0</v>
      </c>
      <c r="D159" s="19" t="str">
        <f ca="1">道具!$C$12</f>
        <v>ＨＰ／ＳＰ恢复的果酱</v>
      </c>
      <c r="E159" s="371"/>
      <c r="F159" s="371"/>
      <c r="G159" s="371"/>
      <c r="H159" s="371"/>
      <c r="I159" s="371"/>
      <c r="J159" s="371"/>
      <c r="K159" s="371"/>
      <c r="L159" s="371"/>
      <c r="M159" s="371"/>
      <c r="N159" s="371"/>
      <c r="O159" s="371"/>
      <c r="P159" s="371"/>
      <c r="Q159" s="371"/>
      <c r="R159" s="17"/>
      <c r="S159" s="17" t="str">
        <f ca="1">Summon!$I$53</f>
        <v>脑天击</v>
      </c>
      <c r="T159" s="371"/>
      <c r="U159" s="371"/>
      <c r="V159" s="371"/>
      <c r="W159" s="121"/>
    </row>
    <row r="160" spans="1:23" ht="12.75" x14ac:dyDescent="0.2">
      <c r="A160" s="122"/>
      <c r="B160" s="371"/>
      <c r="C160" s="123" t="b">
        <v>0</v>
      </c>
      <c r="D160" s="19" t="str">
        <f ca="1">道具!$C$16</f>
        <v>复活的橄榄（大）</v>
      </c>
      <c r="E160" s="371"/>
      <c r="F160" s="371"/>
      <c r="G160" s="371"/>
      <c r="H160" s="371"/>
      <c r="I160" s="371"/>
      <c r="J160" s="371"/>
      <c r="K160" s="371"/>
      <c r="L160" s="371"/>
      <c r="M160" s="371"/>
      <c r="N160" s="371"/>
      <c r="O160" s="371"/>
      <c r="P160" s="371"/>
      <c r="Q160" s="371"/>
      <c r="R160" s="17"/>
      <c r="S160" s="17" t="str">
        <f ca="1">Summon!$I$52</f>
        <v>重拳</v>
      </c>
      <c r="T160" s="371"/>
      <c r="U160" s="371"/>
      <c r="V160" s="371"/>
      <c r="W160" s="121"/>
    </row>
    <row r="161" spans="1:23" ht="12.75" x14ac:dyDescent="0.2">
      <c r="A161" s="122"/>
      <c r="B161" s="531"/>
      <c r="C161" s="124"/>
      <c r="D161" s="125"/>
      <c r="E161" s="531"/>
      <c r="F161" s="531"/>
      <c r="G161" s="531"/>
      <c r="H161" s="531"/>
      <c r="I161" s="531"/>
      <c r="J161" s="531"/>
      <c r="K161" s="531"/>
      <c r="L161" s="531"/>
      <c r="M161" s="531"/>
      <c r="N161" s="531"/>
      <c r="O161" s="531"/>
      <c r="P161" s="531"/>
      <c r="Q161" s="531"/>
      <c r="R161" s="126"/>
      <c r="S161" s="126" t="str">
        <f ca="1">Summon!$I$4</f>
        <v>战斗</v>
      </c>
      <c r="T161" s="531"/>
      <c r="U161" s="531"/>
      <c r="V161" s="531"/>
      <c r="W161" s="121"/>
    </row>
    <row r="162" spans="1:23" ht="25.5" x14ac:dyDescent="0.2">
      <c r="A162" s="122"/>
      <c r="B162" s="533" t="str">
        <f ca="1">语言!$A$2102</f>
        <v>市民</v>
      </c>
      <c r="C162" s="123" t="b">
        <v>0</v>
      </c>
      <c r="D162" s="19" t="str">
        <f ca="1">道具!$C$10</f>
        <v>ＢＰ恢复的石榴（大）</v>
      </c>
      <c r="E162" s="532" t="b">
        <v>0</v>
      </c>
      <c r="F162" s="379" t="str">
        <f ca="1">语言!$A$33&amp;"
"&amp;道具!$C$127</f>
        <v>隐藏道具的资讯
放了铜块的麻袋</v>
      </c>
      <c r="G162" s="532" t="b">
        <v>0</v>
      </c>
      <c r="H162" s="530" t="s">
        <v>50</v>
      </c>
      <c r="I162" s="379">
        <v>4</v>
      </c>
      <c r="J162" s="379"/>
      <c r="K162" s="379"/>
      <c r="L162" s="379"/>
      <c r="M162" s="379"/>
      <c r="N162" s="379"/>
      <c r="O162" s="379" t="str">
        <f ca="1">道具!$C$10</f>
        <v>ＢＰ恢复的石榴（大）</v>
      </c>
      <c r="P162" s="532"/>
      <c r="Q162" s="534" t="s">
        <v>119</v>
      </c>
      <c r="R162" s="534" t="s">
        <v>119</v>
      </c>
      <c r="S162" s="534" t="s">
        <v>119</v>
      </c>
      <c r="T162" s="534" t="s">
        <v>119</v>
      </c>
      <c r="U162" s="532"/>
      <c r="V162" s="379"/>
      <c r="W162" s="121"/>
    </row>
    <row r="163" spans="1:23" ht="25.5" x14ac:dyDescent="0.2">
      <c r="A163" s="122"/>
      <c r="B163" s="371"/>
      <c r="C163" s="123" t="b">
        <v>0</v>
      </c>
      <c r="D163" s="19" t="str">
        <f ca="1">道具!$C$10</f>
        <v>ＢＰ恢复的石榴（大）</v>
      </c>
      <c r="E163" s="371"/>
      <c r="F163" s="371"/>
      <c r="G163" s="371"/>
      <c r="H163" s="371"/>
      <c r="I163" s="371"/>
      <c r="J163" s="371"/>
      <c r="K163" s="371"/>
      <c r="L163" s="371"/>
      <c r="M163" s="371"/>
      <c r="N163" s="371"/>
      <c r="O163" s="371"/>
      <c r="P163" s="371"/>
      <c r="Q163" s="371"/>
      <c r="R163" s="371"/>
      <c r="S163" s="371"/>
      <c r="T163" s="371"/>
      <c r="U163" s="371"/>
      <c r="V163" s="371"/>
      <c r="W163" s="121"/>
    </row>
    <row r="164" spans="1:23" ht="12.75" x14ac:dyDescent="0.2">
      <c r="A164" s="122"/>
      <c r="B164" s="531"/>
      <c r="C164" s="124" t="b">
        <v>0</v>
      </c>
      <c r="D164" s="125" t="str">
        <f ca="1">道具!$C$94</f>
        <v>空空的钱包</v>
      </c>
      <c r="E164" s="531"/>
      <c r="F164" s="531"/>
      <c r="G164" s="531"/>
      <c r="H164" s="531"/>
      <c r="I164" s="531"/>
      <c r="J164" s="531"/>
      <c r="K164" s="531"/>
      <c r="L164" s="531"/>
      <c r="M164" s="531"/>
      <c r="N164" s="531"/>
      <c r="O164" s="531"/>
      <c r="P164" s="531"/>
      <c r="Q164" s="531"/>
      <c r="R164" s="531"/>
      <c r="S164" s="531"/>
      <c r="T164" s="531"/>
      <c r="U164" s="531"/>
      <c r="V164" s="531"/>
      <c r="W164" s="121"/>
    </row>
    <row r="165" spans="1:23" ht="12.75" x14ac:dyDescent="0.2">
      <c r="A165" s="122"/>
      <c r="B165" s="533" t="str">
        <f ca="1">语言!$A$1921</f>
        <v>没钱的男子</v>
      </c>
      <c r="C165" s="123" t="b">
        <v>0</v>
      </c>
      <c r="D165" s="19" t="str">
        <f ca="1">道具!$C$68</f>
        <v>增强属防的坚果（特大）</v>
      </c>
      <c r="E165" s="532" t="b">
        <v>0</v>
      </c>
      <c r="F165" s="379" t="str">
        <f ca="1">语言!$A$33&amp;"
"&amp;道具!$C$120</f>
        <v>隐藏道具的资讯
放了银块的皮袋</v>
      </c>
      <c r="G165" s="532" t="b">
        <v>0</v>
      </c>
      <c r="H165" s="530" t="s">
        <v>48</v>
      </c>
      <c r="I165" s="379">
        <v>2</v>
      </c>
      <c r="J165" s="379"/>
      <c r="K165" s="379"/>
      <c r="L165" s="379"/>
      <c r="M165" s="379"/>
      <c r="N165" s="379"/>
      <c r="O165" s="379" t="str">
        <f ca="1">道具!$C$19</f>
        <v>沉默治疗药草</v>
      </c>
      <c r="P165" s="532"/>
      <c r="Q165" s="530" t="s">
        <v>48</v>
      </c>
      <c r="R165" s="17"/>
      <c r="S165" s="17" t="str">
        <f ca="1">Summon!$I$52</f>
        <v>重拳</v>
      </c>
      <c r="T165" s="530">
        <v>9</v>
      </c>
      <c r="U165" s="532"/>
      <c r="V165" s="379"/>
      <c r="W165" s="121"/>
    </row>
    <row r="166" spans="1:23" ht="12.75" x14ac:dyDescent="0.2">
      <c r="A166" s="122"/>
      <c r="B166" s="371"/>
      <c r="C166" s="123" t="b">
        <v>0</v>
      </c>
      <c r="D166" s="19" t="str">
        <f ca="1">道具!$C$100</f>
        <v>看起来像金矿石的东西</v>
      </c>
      <c r="E166" s="371"/>
      <c r="F166" s="371"/>
      <c r="G166" s="371"/>
      <c r="H166" s="371"/>
      <c r="I166" s="371"/>
      <c r="J166" s="371"/>
      <c r="K166" s="371"/>
      <c r="L166" s="371"/>
      <c r="M166" s="371"/>
      <c r="N166" s="371"/>
      <c r="O166" s="371"/>
      <c r="P166" s="371"/>
      <c r="Q166" s="371"/>
      <c r="R166" s="17"/>
      <c r="S166" s="17" t="str">
        <f ca="1">Summon!$I$4</f>
        <v>战斗</v>
      </c>
      <c r="T166" s="371"/>
      <c r="U166" s="371"/>
      <c r="V166" s="371"/>
      <c r="W166" s="121"/>
    </row>
    <row r="167" spans="1:23" ht="12.75" x14ac:dyDescent="0.2">
      <c r="A167" s="122"/>
      <c r="B167" s="531"/>
      <c r="C167" s="124" t="b">
        <v>0</v>
      </c>
      <c r="D167" s="125" t="str">
        <f ca="1">道具!$C$129</f>
        <v>奇特的古董</v>
      </c>
      <c r="E167" s="531"/>
      <c r="F167" s="531"/>
      <c r="G167" s="531"/>
      <c r="H167" s="531"/>
      <c r="I167" s="531"/>
      <c r="J167" s="531"/>
      <c r="K167" s="531"/>
      <c r="L167" s="531"/>
      <c r="M167" s="531"/>
      <c r="N167" s="531"/>
      <c r="O167" s="531"/>
      <c r="P167" s="531"/>
      <c r="Q167" s="531"/>
      <c r="R167" s="126"/>
      <c r="S167" s="126"/>
      <c r="T167" s="531"/>
      <c r="U167" s="531"/>
      <c r="V167" s="531"/>
      <c r="W167" s="121"/>
    </row>
    <row r="168" spans="1:23" ht="12.75" x14ac:dyDescent="0.2">
      <c r="A168" s="122"/>
      <c r="B168" s="533" t="str">
        <f ca="1">语言!$A$2104</f>
        <v>旅人</v>
      </c>
      <c r="C168" s="532"/>
      <c r="D168" s="537" t="s">
        <v>119</v>
      </c>
      <c r="E168" s="532" t="b">
        <v>0</v>
      </c>
      <c r="F168" s="379" t="str">
        <f ca="1">语言!$A$33&amp;"
"&amp;道具!$C$16</f>
        <v>隐藏道具的资讯
复活的橄榄（大）</v>
      </c>
      <c r="G168" s="532" t="b">
        <v>0</v>
      </c>
      <c r="H168" s="530" t="s">
        <v>46</v>
      </c>
      <c r="I168" s="379">
        <v>3</v>
      </c>
      <c r="J168" s="379"/>
      <c r="K168" s="379"/>
      <c r="L168" s="379"/>
      <c r="M168" s="379"/>
      <c r="N168" s="379"/>
      <c r="O168" s="379" t="str">
        <f ca="1">道具!$C$436</f>
        <v>银制背心</v>
      </c>
      <c r="P168" s="532"/>
      <c r="Q168" s="530" t="s">
        <v>46</v>
      </c>
      <c r="R168" s="17"/>
      <c r="S168" s="17" t="str">
        <f ca="1">Summon!$I$174</f>
        <v>防御力提升</v>
      </c>
      <c r="T168" s="530">
        <v>8</v>
      </c>
      <c r="U168" s="532"/>
      <c r="V168" s="379" t="str">
        <f ca="1">"NPC available upon starting "&amp;语言!$A$41&amp;" chapter 4"</f>
        <v>NPC available upon starting 泰里翁 chapter 4</v>
      </c>
      <c r="W168" s="121"/>
    </row>
    <row r="169" spans="1:23" ht="12.75" x14ac:dyDescent="0.2">
      <c r="A169" s="122"/>
      <c r="B169" s="371"/>
      <c r="C169" s="371"/>
      <c r="D169" s="371"/>
      <c r="E169" s="371"/>
      <c r="F169" s="371"/>
      <c r="G169" s="371"/>
      <c r="H169" s="371"/>
      <c r="I169" s="371"/>
      <c r="J169" s="371"/>
      <c r="K169" s="371"/>
      <c r="L169" s="371"/>
      <c r="M169" s="371"/>
      <c r="N169" s="371"/>
      <c r="O169" s="371"/>
      <c r="P169" s="371"/>
      <c r="Q169" s="371"/>
      <c r="R169" s="17"/>
      <c r="S169" s="17" t="str">
        <f ca="1">Summon!$I$48</f>
        <v>连掷短剑</v>
      </c>
      <c r="T169" s="371"/>
      <c r="U169" s="371"/>
      <c r="V169" s="371"/>
      <c r="W169" s="121"/>
    </row>
    <row r="170" spans="1:23" ht="12.75" x14ac:dyDescent="0.2">
      <c r="A170" s="122"/>
      <c r="B170" s="371"/>
      <c r="C170" s="371"/>
      <c r="D170" s="371"/>
      <c r="E170" s="371"/>
      <c r="F170" s="371"/>
      <c r="G170" s="371"/>
      <c r="H170" s="371"/>
      <c r="I170" s="371"/>
      <c r="J170" s="371"/>
      <c r="K170" s="371"/>
      <c r="L170" s="371"/>
      <c r="M170" s="371"/>
      <c r="N170" s="371"/>
      <c r="O170" s="371"/>
      <c r="P170" s="371"/>
      <c r="Q170" s="371"/>
      <c r="R170" s="17"/>
      <c r="S170" s="17" t="str">
        <f ca="1">Summon!$I$46</f>
        <v>睡眠猛击</v>
      </c>
      <c r="T170" s="371"/>
      <c r="U170" s="371"/>
      <c r="V170" s="371"/>
      <c r="W170" s="121"/>
    </row>
    <row r="171" spans="1:23" ht="12.75" x14ac:dyDescent="0.2">
      <c r="A171" s="122"/>
      <c r="B171" s="531"/>
      <c r="C171" s="531"/>
      <c r="D171" s="531"/>
      <c r="E171" s="531"/>
      <c r="F171" s="531"/>
      <c r="G171" s="531"/>
      <c r="H171" s="531"/>
      <c r="I171" s="531"/>
      <c r="J171" s="531"/>
      <c r="K171" s="531"/>
      <c r="L171" s="531"/>
      <c r="M171" s="531"/>
      <c r="N171" s="531"/>
      <c r="O171" s="531"/>
      <c r="P171" s="531"/>
      <c r="Q171" s="531"/>
      <c r="R171" s="126"/>
      <c r="S171" s="126" t="str">
        <f ca="1">Summon!$I$4</f>
        <v>战斗</v>
      </c>
      <c r="T171" s="531"/>
      <c r="U171" s="531"/>
      <c r="V171" s="531"/>
      <c r="W171" s="121"/>
    </row>
    <row r="172" spans="1:23" ht="12.75" x14ac:dyDescent="0.2">
      <c r="A172" s="122"/>
      <c r="B172" s="533" t="str">
        <f ca="1">语言!$A$1983&amp;" (3)"</f>
        <v>迈尔斯 (3)</v>
      </c>
      <c r="C172" s="123" t="b">
        <v>0</v>
      </c>
      <c r="D172" s="19" t="str">
        <f ca="1">道具!$C$4</f>
        <v>ＨＰ恢复的葡萄（大）</v>
      </c>
      <c r="E172" s="532" t="b">
        <v>0</v>
      </c>
      <c r="F172" s="379" t="str">
        <f ca="1">语言!$A$23</f>
        <v>无</v>
      </c>
      <c r="G172" s="532" t="b">
        <v>0</v>
      </c>
      <c r="H172" s="530" t="s">
        <v>46</v>
      </c>
      <c r="I172" s="379">
        <v>3</v>
      </c>
      <c r="J172" s="379"/>
      <c r="K172" s="379"/>
      <c r="L172" s="379"/>
      <c r="M172" s="379"/>
      <c r="N172" s="379"/>
      <c r="O172" s="379" t="str">
        <f ca="1">道具!$C$4</f>
        <v>ＨＰ恢复的葡萄（大）</v>
      </c>
      <c r="P172" s="532"/>
      <c r="Q172" s="530" t="s">
        <v>46</v>
      </c>
      <c r="R172" s="17"/>
      <c r="S172" s="17" t="str">
        <f ca="1">Summon!$I$173</f>
        <v>攻击力提升</v>
      </c>
      <c r="T172" s="530">
        <v>8</v>
      </c>
      <c r="U172" s="532"/>
      <c r="V172" s="379" t="str">
        <f ca="1">"NPC at this location after quest: "&amp;支线!$C$13&amp;"
New "&amp;语言!$A$46&amp;" / "&amp;语言!$A$50&amp;": "&amp;道具!$C$148&amp;"
Moves to Flamesgrace after quest: "&amp;支线!$C$19</f>
        <v>NPC at this location after quest: 圣火骑士迈尔斯（２）
New 购买 / 偷取: 天使军刀
Moves to Flamesgrace after quest: 圣火骑士迈尔斯（３）</v>
      </c>
      <c r="W172" s="121"/>
    </row>
    <row r="173" spans="1:23" ht="12.75" x14ac:dyDescent="0.2">
      <c r="A173" s="122"/>
      <c r="B173" s="371"/>
      <c r="C173" s="123" t="b">
        <v>0</v>
      </c>
      <c r="D173" s="136" t="str">
        <f ca="1">道具!$C$148</f>
        <v>天使军刀</v>
      </c>
      <c r="E173" s="371"/>
      <c r="F173" s="371"/>
      <c r="G173" s="371"/>
      <c r="H173" s="371"/>
      <c r="I173" s="371"/>
      <c r="J173" s="371"/>
      <c r="K173" s="371"/>
      <c r="L173" s="371"/>
      <c r="M173" s="371"/>
      <c r="N173" s="371"/>
      <c r="O173" s="371"/>
      <c r="P173" s="371"/>
      <c r="Q173" s="371"/>
      <c r="R173" s="17"/>
      <c r="S173" s="17" t="str">
        <f ca="1">Summon!$I$6</f>
        <v>斩击</v>
      </c>
      <c r="T173" s="371"/>
      <c r="U173" s="371"/>
      <c r="V173" s="371"/>
      <c r="W173" s="121"/>
    </row>
    <row r="174" spans="1:23" ht="12.75" x14ac:dyDescent="0.2">
      <c r="A174" s="122"/>
      <c r="B174" s="531"/>
      <c r="C174" s="124"/>
      <c r="D174" s="137"/>
      <c r="E174" s="531"/>
      <c r="F174" s="531"/>
      <c r="G174" s="531"/>
      <c r="H174" s="531"/>
      <c r="I174" s="531"/>
      <c r="J174" s="531"/>
      <c r="K174" s="531"/>
      <c r="L174" s="531"/>
      <c r="M174" s="531"/>
      <c r="N174" s="531"/>
      <c r="O174" s="531"/>
      <c r="P174" s="531"/>
      <c r="Q174" s="531"/>
      <c r="R174" s="126"/>
      <c r="S174" s="126" t="str">
        <f ca="1">Summon!$I$4</f>
        <v>战斗</v>
      </c>
      <c r="T174" s="531"/>
      <c r="U174" s="531"/>
      <c r="V174" s="531"/>
      <c r="W174" s="121"/>
    </row>
    <row r="175" spans="1:23" ht="12.75" x14ac:dyDescent="0.2">
      <c r="A175" s="122"/>
      <c r="B175" s="533" t="str">
        <f ca="1">语言!$A$1961</f>
        <v>耿直的佣兵</v>
      </c>
      <c r="C175" s="532" t="b">
        <v>0</v>
      </c>
      <c r="D175" s="402" t="str">
        <f ca="1">道具!$C$4</f>
        <v>ＨＰ恢复的葡萄（大）</v>
      </c>
      <c r="E175" s="532" t="b">
        <v>0</v>
      </c>
      <c r="F175" s="379" t="str">
        <f ca="1">语言!$A$23</f>
        <v>无</v>
      </c>
      <c r="G175" s="532" t="b">
        <v>0</v>
      </c>
      <c r="H175" s="530" t="s">
        <v>50</v>
      </c>
      <c r="I175" s="379">
        <v>4</v>
      </c>
      <c r="J175" s="379"/>
      <c r="K175" s="379"/>
      <c r="L175" s="379"/>
      <c r="M175" s="379"/>
      <c r="N175" s="379"/>
      <c r="O175" s="379" t="str">
        <f ca="1">道具!$C$4</f>
        <v>ＨＰ恢复的葡萄（大）</v>
      </c>
      <c r="P175" s="532"/>
      <c r="Q175" s="530" t="s">
        <v>50</v>
      </c>
      <c r="R175" s="17"/>
      <c r="S175" s="17" t="str">
        <f ca="1">Summon!$I$170</f>
        <v>防御架式</v>
      </c>
      <c r="T175" s="530">
        <v>7</v>
      </c>
      <c r="U175" s="532"/>
      <c r="V175" s="379" t="str">
        <f ca="1">"NPC available after quest: "&amp;支线!$C$19</f>
        <v>NPC available after quest: 圣火骑士迈尔斯（３）</v>
      </c>
      <c r="W175" s="121"/>
    </row>
    <row r="176" spans="1:23" ht="12.75" x14ac:dyDescent="0.2">
      <c r="A176" s="122"/>
      <c r="B176" s="371"/>
      <c r="C176" s="371"/>
      <c r="D176" s="371"/>
      <c r="E176" s="371"/>
      <c r="F176" s="371"/>
      <c r="G176" s="371"/>
      <c r="H176" s="371"/>
      <c r="I176" s="371"/>
      <c r="J176" s="371"/>
      <c r="K176" s="371"/>
      <c r="L176" s="371"/>
      <c r="M176" s="371"/>
      <c r="N176" s="371"/>
      <c r="O176" s="371"/>
      <c r="P176" s="371"/>
      <c r="Q176" s="371"/>
      <c r="R176" s="17"/>
      <c r="S176" s="17" t="str">
        <f ca="1">Summon!$I$17</f>
        <v>连续斩</v>
      </c>
      <c r="T176" s="371"/>
      <c r="U176" s="371"/>
      <c r="V176" s="371"/>
      <c r="W176" s="121"/>
    </row>
    <row r="177" spans="1:23" ht="12.75" x14ac:dyDescent="0.2">
      <c r="A177" s="122"/>
      <c r="B177" s="371"/>
      <c r="C177" s="371"/>
      <c r="D177" s="371"/>
      <c r="E177" s="371"/>
      <c r="F177" s="371"/>
      <c r="G177" s="371"/>
      <c r="H177" s="371"/>
      <c r="I177" s="371"/>
      <c r="J177" s="371"/>
      <c r="K177" s="371"/>
      <c r="L177" s="371"/>
      <c r="M177" s="371"/>
      <c r="N177" s="371"/>
      <c r="O177" s="371"/>
      <c r="P177" s="371"/>
      <c r="Q177" s="371"/>
      <c r="R177" s="17"/>
      <c r="S177" s="17" t="str">
        <f ca="1">Summon!$I$6</f>
        <v>斩击</v>
      </c>
      <c r="T177" s="371"/>
      <c r="U177" s="371"/>
      <c r="V177" s="371"/>
      <c r="W177" s="121"/>
    </row>
    <row r="178" spans="1:23" ht="12.75" x14ac:dyDescent="0.2">
      <c r="A178" s="122"/>
      <c r="B178" s="531"/>
      <c r="C178" s="531"/>
      <c r="D178" s="531"/>
      <c r="E178" s="531"/>
      <c r="F178" s="531"/>
      <c r="G178" s="531"/>
      <c r="H178" s="531"/>
      <c r="I178" s="531"/>
      <c r="J178" s="531"/>
      <c r="K178" s="531"/>
      <c r="L178" s="531"/>
      <c r="M178" s="531"/>
      <c r="N178" s="531"/>
      <c r="O178" s="531"/>
      <c r="P178" s="531"/>
      <c r="Q178" s="531"/>
      <c r="R178" s="126"/>
      <c r="S178" s="126" t="str">
        <f ca="1">Summon!$I$4</f>
        <v>战斗</v>
      </c>
      <c r="T178" s="531"/>
      <c r="U178" s="531"/>
      <c r="V178" s="531"/>
      <c r="W178" s="121"/>
    </row>
    <row r="179" spans="1:23" ht="12.75" x14ac:dyDescent="0.2">
      <c r="A179" s="122"/>
      <c r="B179" s="533" t="str">
        <f ca="1">语言!$A$1933&amp;" (2)"</f>
        <v>冰冻剑士约书亚 (2)</v>
      </c>
      <c r="C179" s="123" t="b">
        <v>0</v>
      </c>
      <c r="D179" s="19" t="str">
        <f ca="1">道具!$C$485</f>
        <v>察知手环</v>
      </c>
      <c r="E179" s="532" t="b">
        <v>0</v>
      </c>
      <c r="F179" s="379" t="str">
        <f ca="1">语言!$A$23</f>
        <v>无</v>
      </c>
      <c r="G179" s="532" t="b">
        <v>0</v>
      </c>
      <c r="H179" s="530" t="s">
        <v>49</v>
      </c>
      <c r="I179" s="379">
        <v>4</v>
      </c>
      <c r="J179" s="379"/>
      <c r="K179" s="379"/>
      <c r="L179" s="379"/>
      <c r="M179" s="379"/>
      <c r="N179" s="379"/>
      <c r="O179" s="379" t="str">
        <f ca="1">道具!$C$7</f>
        <v>ＳＰ恢复的李子（大）</v>
      </c>
      <c r="P179" s="532"/>
      <c r="Q179" s="530" t="s">
        <v>49</v>
      </c>
      <c r="R179" s="17"/>
      <c r="S179" s="17" t="str">
        <f ca="1">Summon!$I$16</f>
        <v>爱的狂想曲</v>
      </c>
      <c r="T179" s="530">
        <v>7</v>
      </c>
      <c r="U179" s="532"/>
      <c r="V179" s="379" t="str">
        <f ca="1">"NPC at this location after "&amp;语言!$A$38&amp;" chapter 4"</f>
        <v>NPC at this location after 欧尔贝克 chapter 4</v>
      </c>
      <c r="W179" s="121"/>
    </row>
    <row r="180" spans="1:23" ht="12.75" x14ac:dyDescent="0.2">
      <c r="A180" s="122"/>
      <c r="B180" s="371"/>
      <c r="C180" s="123" t="b">
        <v>0</v>
      </c>
      <c r="D180" s="19" t="str">
        <f ca="1">道具!$C$339</f>
        <v>力之盾</v>
      </c>
      <c r="E180" s="371"/>
      <c r="F180" s="371"/>
      <c r="G180" s="371"/>
      <c r="H180" s="371"/>
      <c r="I180" s="371"/>
      <c r="J180" s="371"/>
      <c r="K180" s="371"/>
      <c r="L180" s="371"/>
      <c r="M180" s="371"/>
      <c r="N180" s="371"/>
      <c r="O180" s="371"/>
      <c r="P180" s="371"/>
      <c r="Q180" s="371"/>
      <c r="R180" s="17"/>
      <c r="S180" s="17" t="str">
        <f ca="1">Summon!$I$22</f>
        <v>痛苦的练习曲</v>
      </c>
      <c r="T180" s="371"/>
      <c r="U180" s="371"/>
      <c r="V180" s="371"/>
      <c r="W180" s="121"/>
    </row>
    <row r="181" spans="1:23" ht="12.75" x14ac:dyDescent="0.2">
      <c r="A181" s="122"/>
      <c r="B181" s="531"/>
      <c r="C181" s="124" t="b">
        <v>0</v>
      </c>
      <c r="D181" s="125" t="str">
        <f ca="1">道具!$C$140</f>
        <v>龙之军刀</v>
      </c>
      <c r="E181" s="531"/>
      <c r="F181" s="531"/>
      <c r="G181" s="531"/>
      <c r="H181" s="531"/>
      <c r="I181" s="531"/>
      <c r="J181" s="531"/>
      <c r="K181" s="531"/>
      <c r="L181" s="531"/>
      <c r="M181" s="531"/>
      <c r="N181" s="531"/>
      <c r="O181" s="531"/>
      <c r="P181" s="531"/>
      <c r="Q181" s="531"/>
      <c r="R181" s="126"/>
      <c r="S181" s="126" t="str">
        <f ca="1">Summon!$I$18</f>
        <v>恋爱的前奏曲</v>
      </c>
      <c r="T181" s="531"/>
      <c r="U181" s="531"/>
      <c r="V181" s="531"/>
      <c r="W181" s="121"/>
    </row>
    <row r="182" spans="1:23" ht="12.75" x14ac:dyDescent="0.2">
      <c r="A182" s="122"/>
      <c r="B182" s="533" t="str">
        <f ca="1">语言!$A$1769</f>
        <v>安洁拉</v>
      </c>
      <c r="C182" s="123" t="b">
        <v>0</v>
      </c>
      <c r="D182" s="19" t="str">
        <f ca="1">道具!$C$123</f>
        <v>约书亚的诗</v>
      </c>
      <c r="E182" s="532" t="b">
        <v>0</v>
      </c>
      <c r="F182" s="379" t="str">
        <f ca="1">语言!$A$24</f>
        <v>旅店的折扣资讯</v>
      </c>
      <c r="G182" s="532" t="b">
        <v>0</v>
      </c>
      <c r="H182" s="530" t="s">
        <v>48</v>
      </c>
      <c r="I182" s="379">
        <v>2</v>
      </c>
      <c r="J182" s="379"/>
      <c r="K182" s="379"/>
      <c r="L182" s="379"/>
      <c r="M182" s="379"/>
      <c r="N182" s="379"/>
      <c r="O182" s="379" t="str">
        <f ca="1">道具!$C$10</f>
        <v>ＢＰ恢复的石榴（大）</v>
      </c>
      <c r="P182" s="532"/>
      <c r="Q182" s="530" t="s">
        <v>48</v>
      </c>
      <c r="R182" s="379"/>
      <c r="S182" s="538" t="str">
        <f ca="1">Summon!$I$6</f>
        <v>斩击</v>
      </c>
      <c r="T182" s="530">
        <v>9</v>
      </c>
      <c r="U182" s="532"/>
      <c r="V182" s="379" t="str">
        <f ca="1">道具!$C$123&amp;" Not for Sale
"&amp;道具!$C$358&amp;" available after "&amp;语言!$A$38&amp;" chapter 4"</f>
        <v>约书亚的诗 Not for Sale
金钢合金帽 available after 欧尔贝克 chapter 4</v>
      </c>
      <c r="W182" s="121"/>
    </row>
    <row r="183" spans="1:23" ht="12.75" x14ac:dyDescent="0.2">
      <c r="A183" s="122"/>
      <c r="B183" s="371"/>
      <c r="C183" s="123" t="b">
        <v>0</v>
      </c>
      <c r="D183" s="19" t="str">
        <f ca="1">道具!$C$514</f>
        <v>冰之避邪符</v>
      </c>
      <c r="E183" s="371"/>
      <c r="F183" s="371"/>
      <c r="G183" s="371"/>
      <c r="H183" s="371"/>
      <c r="I183" s="371"/>
      <c r="J183" s="371"/>
      <c r="K183" s="371"/>
      <c r="L183" s="371"/>
      <c r="M183" s="371"/>
      <c r="N183" s="371"/>
      <c r="O183" s="371"/>
      <c r="P183" s="371"/>
      <c r="Q183" s="371"/>
      <c r="R183" s="371"/>
      <c r="S183" s="371"/>
      <c r="T183" s="371"/>
      <c r="U183" s="371"/>
      <c r="V183" s="371"/>
      <c r="W183" s="121"/>
    </row>
    <row r="184" spans="1:23" ht="12.75" x14ac:dyDescent="0.2">
      <c r="A184" s="122"/>
      <c r="B184" s="371"/>
      <c r="C184" s="123" t="b">
        <v>0</v>
      </c>
      <c r="D184" s="19" t="str">
        <f ca="1">道具!$C$64</f>
        <v>增强属攻的坚果（特大）</v>
      </c>
      <c r="E184" s="371"/>
      <c r="F184" s="371"/>
      <c r="G184" s="371"/>
      <c r="H184" s="371"/>
      <c r="I184" s="371"/>
      <c r="J184" s="371"/>
      <c r="K184" s="371"/>
      <c r="L184" s="371"/>
      <c r="M184" s="371"/>
      <c r="N184" s="371"/>
      <c r="O184" s="371"/>
      <c r="P184" s="371"/>
      <c r="Q184" s="371"/>
      <c r="R184" s="379"/>
      <c r="S184" s="538" t="str">
        <f ca="1">Summon!$I$4</f>
        <v>战斗</v>
      </c>
      <c r="T184" s="371"/>
      <c r="U184" s="371"/>
      <c r="V184" s="371"/>
      <c r="W184" s="121"/>
    </row>
    <row r="185" spans="1:23" ht="12.75" x14ac:dyDescent="0.2">
      <c r="A185" s="122"/>
      <c r="B185" s="371"/>
      <c r="C185" s="123" t="b">
        <v>0</v>
      </c>
      <c r="D185" s="19" t="str">
        <f ca="1">道具!$C$438</f>
        <v>雪隐斗篷</v>
      </c>
      <c r="E185" s="371"/>
      <c r="F185" s="371"/>
      <c r="G185" s="371"/>
      <c r="H185" s="371"/>
      <c r="I185" s="371"/>
      <c r="J185" s="371"/>
      <c r="K185" s="371"/>
      <c r="L185" s="371"/>
      <c r="M185" s="371"/>
      <c r="N185" s="371"/>
      <c r="O185" s="371"/>
      <c r="P185" s="371"/>
      <c r="Q185" s="371"/>
      <c r="R185" s="371"/>
      <c r="S185" s="371"/>
      <c r="T185" s="371"/>
      <c r="U185" s="371"/>
      <c r="V185" s="371"/>
      <c r="W185" s="121"/>
    </row>
    <row r="186" spans="1:23" ht="12.75" x14ac:dyDescent="0.2">
      <c r="A186" s="122"/>
      <c r="B186" s="531"/>
      <c r="C186" s="124" t="b">
        <v>0</v>
      </c>
      <c r="D186" s="125" t="str">
        <f ca="1">道具!$C$358</f>
        <v>金钢合金帽</v>
      </c>
      <c r="E186" s="531"/>
      <c r="F186" s="531"/>
      <c r="G186" s="531"/>
      <c r="H186" s="531"/>
      <c r="I186" s="531"/>
      <c r="J186" s="531"/>
      <c r="K186" s="531"/>
      <c r="L186" s="531"/>
      <c r="M186" s="531"/>
      <c r="N186" s="531"/>
      <c r="O186" s="531"/>
      <c r="P186" s="531"/>
      <c r="Q186" s="531"/>
      <c r="R186" s="126"/>
      <c r="S186" s="126"/>
      <c r="T186" s="531"/>
      <c r="U186" s="531"/>
      <c r="V186" s="531"/>
      <c r="W186" s="121"/>
    </row>
    <row r="187" spans="1:23" ht="12.75" x14ac:dyDescent="0.2">
      <c r="A187" s="122"/>
      <c r="B187" s="533" t="str">
        <f ca="1">语言!$A$2059</f>
        <v>盗贼干部</v>
      </c>
      <c r="C187" s="123" t="b">
        <v>0</v>
      </c>
      <c r="D187" s="19" t="str">
        <f ca="1">"* "&amp;道具!$F$27</f>
        <v>* 盗贼干部服</v>
      </c>
      <c r="E187" s="532" t="b">
        <v>0</v>
      </c>
      <c r="F187" s="379" t="str">
        <f ca="1">语言!$A$23</f>
        <v>无</v>
      </c>
      <c r="G187" s="532"/>
      <c r="H187" s="534" t="s">
        <v>119</v>
      </c>
      <c r="I187" s="534" t="s">
        <v>119</v>
      </c>
      <c r="J187" s="534" t="s">
        <v>119</v>
      </c>
      <c r="K187" s="534" t="s">
        <v>119</v>
      </c>
      <c r="L187" s="534" t="s">
        <v>119</v>
      </c>
      <c r="M187" s="534" t="s">
        <v>119</v>
      </c>
      <c r="N187" s="534" t="s">
        <v>119</v>
      </c>
      <c r="O187" s="534" t="s">
        <v>119</v>
      </c>
      <c r="P187" s="532"/>
      <c r="Q187" s="534" t="s">
        <v>119</v>
      </c>
      <c r="R187" s="534" t="s">
        <v>119</v>
      </c>
      <c r="S187" s="534" t="s">
        <v>119</v>
      </c>
      <c r="T187" s="534" t="s">
        <v>119</v>
      </c>
      <c r="U187" s="532"/>
      <c r="V187" s="379" t="str">
        <f ca="1">"NPC available during "&amp;语言!$A$41&amp;" chapter 4"</f>
        <v>NPC available during 泰里翁 chapter 4</v>
      </c>
      <c r="W187" s="121"/>
    </row>
    <row r="188" spans="1:23" ht="25.5" x14ac:dyDescent="0.2">
      <c r="A188" s="122"/>
      <c r="B188" s="531"/>
      <c r="C188" s="124" t="b">
        <v>0</v>
      </c>
      <c r="D188" s="125" t="str">
        <f ca="1">道具!$C$11</f>
        <v>ＢＰ恢复的石榴（特大）</v>
      </c>
      <c r="E188" s="531"/>
      <c r="F188" s="531"/>
      <c r="G188" s="531"/>
      <c r="H188" s="531"/>
      <c r="I188" s="531"/>
      <c r="J188" s="531"/>
      <c r="K188" s="531"/>
      <c r="L188" s="531"/>
      <c r="M188" s="531"/>
      <c r="N188" s="531"/>
      <c r="O188" s="531"/>
      <c r="P188" s="531"/>
      <c r="Q188" s="531"/>
      <c r="R188" s="531"/>
      <c r="S188" s="531"/>
      <c r="T188" s="531"/>
      <c r="U188" s="531"/>
      <c r="V188" s="531"/>
      <c r="W188" s="121"/>
    </row>
    <row r="189" spans="1:23" ht="12.75" x14ac:dyDescent="0.2">
      <c r="A189" s="122"/>
      <c r="B189" s="533" t="str">
        <f ca="1">语言!$A$1817</f>
        <v>贵族拜伦 /
平民拜伦</v>
      </c>
      <c r="C189" s="532" t="b">
        <v>0</v>
      </c>
      <c r="D189" s="402" t="str">
        <f ca="1">道具!$C$7</f>
        <v>ＳＰ恢复的李子（大）</v>
      </c>
      <c r="E189" s="532" t="b">
        <v>0</v>
      </c>
      <c r="F189" s="379" t="str">
        <f ca="1">语言!$A$23</f>
        <v>无</v>
      </c>
      <c r="G189" s="532" t="b">
        <v>0</v>
      </c>
      <c r="H189" s="530" t="s">
        <v>46</v>
      </c>
      <c r="I189" s="379">
        <v>3</v>
      </c>
      <c r="J189" s="379"/>
      <c r="K189" s="379"/>
      <c r="L189" s="379"/>
      <c r="M189" s="379"/>
      <c r="N189" s="379"/>
      <c r="O189" s="379" t="str">
        <f ca="1">道具!$C$7</f>
        <v>ＳＰ恢复的李子（大）</v>
      </c>
      <c r="P189" s="532"/>
      <c r="Q189" s="530" t="s">
        <v>46</v>
      </c>
      <c r="R189" s="17"/>
      <c r="S189" s="17" t="str">
        <f ca="1">Summon!$I$176</f>
        <v>精神提升</v>
      </c>
      <c r="T189" s="530">
        <v>8</v>
      </c>
      <c r="U189" s="532"/>
      <c r="V189" s="379" t="str">
        <f ca="1">"Name changes after quest: "&amp;支线!$C$20&amp;"
("&amp;语言!$A$45&amp;" / "&amp;语言!$A$49&amp;" solution only)"</f>
        <v>Name changes after quest: 名门的遗产
(探查 / 打听 solution only)</v>
      </c>
      <c r="W189" s="121"/>
    </row>
    <row r="190" spans="1:23" ht="12.75" x14ac:dyDescent="0.2">
      <c r="A190" s="122"/>
      <c r="B190" s="371"/>
      <c r="C190" s="371"/>
      <c r="D190" s="371"/>
      <c r="E190" s="371"/>
      <c r="F190" s="371"/>
      <c r="G190" s="371"/>
      <c r="H190" s="371"/>
      <c r="I190" s="371"/>
      <c r="J190" s="371"/>
      <c r="K190" s="371"/>
      <c r="L190" s="371"/>
      <c r="M190" s="371"/>
      <c r="N190" s="371"/>
      <c r="O190" s="371"/>
      <c r="P190" s="371"/>
      <c r="Q190" s="371"/>
      <c r="R190" s="17"/>
      <c r="S190" s="17" t="str">
        <f ca="1">Summon!$I$80</f>
        <v>大火焰魔法</v>
      </c>
      <c r="T190" s="371"/>
      <c r="U190" s="371"/>
      <c r="V190" s="371"/>
      <c r="W190" s="121"/>
    </row>
    <row r="191" spans="1:23" ht="12.75" x14ac:dyDescent="0.2">
      <c r="A191" s="122"/>
      <c r="B191" s="371"/>
      <c r="C191" s="532" t="b">
        <v>0</v>
      </c>
      <c r="D191" s="402" t="str">
        <f ca="1">道具!$C$4</f>
        <v>ＨＰ恢复的葡萄（大）</v>
      </c>
      <c r="E191" s="371"/>
      <c r="F191" s="371"/>
      <c r="G191" s="371"/>
      <c r="H191" s="371"/>
      <c r="I191" s="371"/>
      <c r="J191" s="371"/>
      <c r="K191" s="371"/>
      <c r="L191" s="371"/>
      <c r="M191" s="371"/>
      <c r="N191" s="371"/>
      <c r="O191" s="371"/>
      <c r="P191" s="371"/>
      <c r="Q191" s="371"/>
      <c r="R191" s="17"/>
      <c r="S191" s="17" t="str">
        <f ca="1">Summon!$I$94</f>
        <v>疾风魔法</v>
      </c>
      <c r="T191" s="371"/>
      <c r="U191" s="371"/>
      <c r="V191" s="371"/>
      <c r="W191" s="121"/>
    </row>
    <row r="192" spans="1:23" ht="12.75" x14ac:dyDescent="0.2">
      <c r="A192" s="122"/>
      <c r="B192" s="531"/>
      <c r="C192" s="531"/>
      <c r="D192" s="531"/>
      <c r="E192" s="531"/>
      <c r="F192" s="531"/>
      <c r="G192" s="531"/>
      <c r="H192" s="531"/>
      <c r="I192" s="531"/>
      <c r="J192" s="531"/>
      <c r="K192" s="531"/>
      <c r="L192" s="531"/>
      <c r="M192" s="531"/>
      <c r="N192" s="531"/>
      <c r="O192" s="531"/>
      <c r="P192" s="531"/>
      <c r="Q192" s="531"/>
      <c r="R192" s="126"/>
      <c r="S192" s="126" t="str">
        <f ca="1">Summon!$I$4</f>
        <v>战斗</v>
      </c>
      <c r="T192" s="531"/>
      <c r="U192" s="531"/>
      <c r="V192" s="531"/>
      <c r="W192" s="121"/>
    </row>
    <row r="193" spans="1:23" ht="12.75" x14ac:dyDescent="0.2">
      <c r="A193" s="122"/>
      <c r="B193" s="533" t="str">
        <f ca="1">语言!$A$2087</f>
        <v>酒馆的客人</v>
      </c>
      <c r="C193" s="123" t="b">
        <v>0</v>
      </c>
      <c r="D193" s="19" t="str">
        <f ca="1">道具!$C$58</f>
        <v>增强物攻的坚果（特大）</v>
      </c>
      <c r="E193" s="532" t="b">
        <v>0</v>
      </c>
      <c r="F193" s="379" t="str">
        <f ca="1">语言!$A$33&amp;"
"&amp;道具!$C$12</f>
        <v>隐藏道具的资讯
ＨＰ／ＳＰ恢复的果酱</v>
      </c>
      <c r="G193" s="532" t="b">
        <v>0</v>
      </c>
      <c r="H193" s="530" t="s">
        <v>50</v>
      </c>
      <c r="I193" s="379">
        <v>4</v>
      </c>
      <c r="J193" s="379"/>
      <c r="K193" s="379"/>
      <c r="L193" s="379"/>
      <c r="M193" s="379"/>
      <c r="N193" s="379"/>
      <c r="O193" s="379" t="str">
        <f ca="1">道具!$C$7</f>
        <v>ＳＰ恢复的李子（大）</v>
      </c>
      <c r="P193" s="532"/>
      <c r="Q193" s="530" t="s">
        <v>50</v>
      </c>
      <c r="R193" s="17"/>
      <c r="S193" s="17" t="str">
        <f ca="1">Summon!$I$44</f>
        <v>剧毒猛击</v>
      </c>
      <c r="T193" s="530">
        <v>7</v>
      </c>
      <c r="U193" s="532"/>
      <c r="V193" s="379" t="str">
        <f ca="1">"Hidden Item requires "&amp;语言!$A$47&amp;" / "&amp;语言!$A$51&amp;""</f>
        <v>Hidden Item requires 比试 / 唆使</v>
      </c>
      <c r="W193" s="121"/>
    </row>
    <row r="194" spans="1:23" ht="25.5" x14ac:dyDescent="0.2">
      <c r="A194" s="122"/>
      <c r="B194" s="371"/>
      <c r="C194" s="123" t="b">
        <v>0</v>
      </c>
      <c r="D194" s="19" t="str">
        <f ca="1">道具!$C$11</f>
        <v>ＢＰ恢复的石榴（特大）</v>
      </c>
      <c r="E194" s="371"/>
      <c r="F194" s="371"/>
      <c r="G194" s="371"/>
      <c r="H194" s="371"/>
      <c r="I194" s="371"/>
      <c r="J194" s="371"/>
      <c r="K194" s="371"/>
      <c r="L194" s="371"/>
      <c r="M194" s="371"/>
      <c r="N194" s="371"/>
      <c r="O194" s="371"/>
      <c r="P194" s="371"/>
      <c r="Q194" s="371"/>
      <c r="R194" s="17"/>
      <c r="S194" s="17" t="str">
        <f ca="1">Summon!$I$48</f>
        <v>连掷短剑</v>
      </c>
      <c r="T194" s="371"/>
      <c r="U194" s="371"/>
      <c r="V194" s="371"/>
      <c r="W194" s="121"/>
    </row>
    <row r="195" spans="1:23" ht="12.75" x14ac:dyDescent="0.2">
      <c r="A195" s="122"/>
      <c r="B195" s="531"/>
      <c r="C195" s="124" t="b">
        <v>0</v>
      </c>
      <c r="D195" s="125" t="str">
        <f ca="1">道具!$C$17</f>
        <v>复活的橄榄（特大）</v>
      </c>
      <c r="E195" s="531"/>
      <c r="F195" s="531"/>
      <c r="G195" s="531"/>
      <c r="H195" s="531"/>
      <c r="I195" s="531"/>
      <c r="J195" s="531"/>
      <c r="K195" s="531"/>
      <c r="L195" s="531"/>
      <c r="M195" s="531"/>
      <c r="N195" s="531"/>
      <c r="O195" s="531"/>
      <c r="P195" s="531"/>
      <c r="Q195" s="531"/>
      <c r="R195" s="126"/>
      <c r="S195" s="126" t="str">
        <f ca="1">Summon!$I$4</f>
        <v>战斗</v>
      </c>
      <c r="T195" s="531"/>
      <c r="U195" s="531"/>
      <c r="V195" s="531"/>
      <c r="W195" s="121"/>
    </row>
    <row r="196" spans="1:23" ht="12.75" x14ac:dyDescent="0.2">
      <c r="A196" s="122"/>
      <c r="B196" s="533" t="str">
        <f ca="1">语言!$A$2087</f>
        <v>酒馆的客人</v>
      </c>
      <c r="C196" s="123" t="b">
        <v>0</v>
      </c>
      <c r="D196" s="19" t="str">
        <f ca="1">道具!$C$474</f>
        <v>精神项链</v>
      </c>
      <c r="E196" s="532" t="b">
        <v>0</v>
      </c>
      <c r="F196" s="379" t="str">
        <f ca="1">语言!$A$23</f>
        <v>无</v>
      </c>
      <c r="G196" s="532" t="b">
        <v>0</v>
      </c>
      <c r="H196" s="530" t="s">
        <v>47</v>
      </c>
      <c r="I196" s="379">
        <v>4</v>
      </c>
      <c r="J196" s="379"/>
      <c r="K196" s="379"/>
      <c r="L196" s="379"/>
      <c r="M196" s="379"/>
      <c r="N196" s="379"/>
      <c r="O196" s="379" t="str">
        <f ca="1">道具!$C$242</f>
        <v>巨大斧</v>
      </c>
      <c r="P196" s="532"/>
      <c r="Q196" s="530" t="s">
        <v>47</v>
      </c>
      <c r="R196" s="17"/>
      <c r="S196" s="17" t="str">
        <f ca="1">Summon!$I$157</f>
        <v>攻击力下降</v>
      </c>
      <c r="T196" s="530">
        <v>6</v>
      </c>
      <c r="U196" s="532"/>
      <c r="V196" s="379"/>
      <c r="W196" s="121"/>
    </row>
    <row r="197" spans="1:23" ht="12.75" x14ac:dyDescent="0.2">
      <c r="A197" s="122"/>
      <c r="B197" s="371"/>
      <c r="C197" s="123" t="b">
        <v>0</v>
      </c>
      <c r="D197" s="19" t="str">
        <f ca="1">道具!$C$149</f>
        <v>白金剑</v>
      </c>
      <c r="E197" s="371"/>
      <c r="F197" s="371"/>
      <c r="G197" s="371"/>
      <c r="H197" s="371"/>
      <c r="I197" s="371"/>
      <c r="J197" s="371"/>
      <c r="K197" s="371"/>
      <c r="L197" s="371"/>
      <c r="M197" s="371"/>
      <c r="N197" s="371"/>
      <c r="O197" s="371"/>
      <c r="P197" s="371"/>
      <c r="Q197" s="371"/>
      <c r="R197" s="17"/>
      <c r="S197" s="17" t="str">
        <f ca="1">Summon!$I$61</f>
        <v>全力斩击</v>
      </c>
      <c r="T197" s="371"/>
      <c r="U197" s="371"/>
      <c r="V197" s="371"/>
      <c r="W197" s="121"/>
    </row>
    <row r="198" spans="1:23" ht="12.75" x14ac:dyDescent="0.2">
      <c r="A198" s="122"/>
      <c r="B198" s="531"/>
      <c r="C198" s="124"/>
      <c r="D198" s="125"/>
      <c r="E198" s="531"/>
      <c r="F198" s="531"/>
      <c r="G198" s="531"/>
      <c r="H198" s="531"/>
      <c r="I198" s="531"/>
      <c r="J198" s="531"/>
      <c r="K198" s="531"/>
      <c r="L198" s="531"/>
      <c r="M198" s="531"/>
      <c r="N198" s="531"/>
      <c r="O198" s="531"/>
      <c r="P198" s="531"/>
      <c r="Q198" s="531"/>
      <c r="R198" s="126"/>
      <c r="S198" s="126" t="str">
        <f ca="1">Summon!$I$4</f>
        <v>战斗</v>
      </c>
      <c r="T198" s="531"/>
      <c r="U198" s="531"/>
      <c r="V198" s="531"/>
      <c r="W198" s="121"/>
    </row>
    <row r="199" spans="1:23" ht="12.75" x14ac:dyDescent="0.2">
      <c r="A199" s="122"/>
      <c r="B199" s="533" t="str">
        <f ca="1">语言!$A$2011</f>
        <v>药师欧根</v>
      </c>
      <c r="C199" s="123" t="b">
        <v>0</v>
      </c>
      <c r="D199" s="19" t="str">
        <f ca="1">道具!$C$532</f>
        <v>含毒的素材</v>
      </c>
      <c r="E199" s="532" t="b">
        <v>0</v>
      </c>
      <c r="F199" s="379" t="str">
        <f ca="1">语言!$A$23</f>
        <v>无</v>
      </c>
      <c r="G199" s="532" t="b">
        <v>0</v>
      </c>
      <c r="H199" s="530" t="s">
        <v>50</v>
      </c>
      <c r="I199" s="379">
        <v>4</v>
      </c>
      <c r="J199" s="379"/>
      <c r="K199" s="379"/>
      <c r="L199" s="379"/>
      <c r="M199" s="379"/>
      <c r="N199" s="379"/>
      <c r="O199" s="379" t="str">
        <f ca="1">道具!$C$18</f>
        <v>毒治疗药草</v>
      </c>
      <c r="P199" s="532"/>
      <c r="Q199" s="530" t="s">
        <v>50</v>
      </c>
      <c r="R199" s="17"/>
      <c r="S199" s="17" t="str">
        <f ca="1">Summon!$I$127</f>
        <v>【调和】全部恢复药</v>
      </c>
      <c r="T199" s="530">
        <v>7</v>
      </c>
      <c r="U199" s="532"/>
      <c r="V199" s="402" t="str">
        <f ca="1">"NPC available after "&amp;语言!$A$40&amp;" chapter 4
Moves to "&amp;语言!$A$341&amp;" temporarily during quest:
"&amp;支线!$C$22</f>
        <v>NPC available after 亚芬 chapter 4
Moves to 诺斯利奇 -废教会前- temporarily during quest:
药师欧根，在那之后</v>
      </c>
      <c r="W199" s="121"/>
    </row>
    <row r="200" spans="1:23" ht="12.75" x14ac:dyDescent="0.2">
      <c r="A200" s="122"/>
      <c r="B200" s="371"/>
      <c r="C200" s="123" t="b">
        <v>0</v>
      </c>
      <c r="D200" s="19" t="str">
        <f ca="1">道具!$C$533</f>
        <v>含毒的素材（扩散）</v>
      </c>
      <c r="E200" s="371"/>
      <c r="F200" s="371"/>
      <c r="G200" s="371"/>
      <c r="H200" s="371"/>
      <c r="I200" s="371"/>
      <c r="J200" s="371"/>
      <c r="K200" s="371"/>
      <c r="L200" s="371"/>
      <c r="M200" s="371"/>
      <c r="N200" s="371"/>
      <c r="O200" s="371"/>
      <c r="P200" s="371"/>
      <c r="Q200" s="371"/>
      <c r="R200" s="17"/>
      <c r="S200" s="17" t="str">
        <f ca="1">Summon!$I$87</f>
        <v>大冰冻魔法</v>
      </c>
      <c r="T200" s="371"/>
      <c r="U200" s="371"/>
      <c r="V200" s="371"/>
      <c r="W200" s="121"/>
    </row>
    <row r="201" spans="1:23" ht="12.75" x14ac:dyDescent="0.2">
      <c r="A201" s="122"/>
      <c r="B201" s="371"/>
      <c r="C201" s="123" t="b">
        <v>0</v>
      </c>
      <c r="D201" s="19" t="str">
        <f ca="1">道具!$C$534</f>
        <v>超含毒的素材</v>
      </c>
      <c r="E201" s="371"/>
      <c r="F201" s="371"/>
      <c r="G201" s="371"/>
      <c r="H201" s="371"/>
      <c r="I201" s="371"/>
      <c r="J201" s="371"/>
      <c r="K201" s="371"/>
      <c r="L201" s="371"/>
      <c r="M201" s="371"/>
      <c r="N201" s="371"/>
      <c r="O201" s="371"/>
      <c r="P201" s="371"/>
      <c r="Q201" s="371"/>
      <c r="R201" s="17"/>
      <c r="S201" s="17" t="str">
        <f ca="1">Summon!$I$4</f>
        <v>战斗</v>
      </c>
      <c r="T201" s="371"/>
      <c r="U201" s="371"/>
      <c r="V201" s="371"/>
      <c r="W201" s="121"/>
    </row>
    <row r="202" spans="1:23" ht="12.75" x14ac:dyDescent="0.2">
      <c r="A202" s="122"/>
      <c r="B202" s="531"/>
      <c r="C202" s="124" t="b">
        <v>0</v>
      </c>
      <c r="D202" s="125" t="str">
        <f ca="1">道具!$C$536</f>
        <v>超含毒的素材（扩散）</v>
      </c>
      <c r="E202" s="531"/>
      <c r="F202" s="531"/>
      <c r="G202" s="531"/>
      <c r="H202" s="531"/>
      <c r="I202" s="531"/>
      <c r="J202" s="531"/>
      <c r="K202" s="531"/>
      <c r="L202" s="531"/>
      <c r="M202" s="531"/>
      <c r="N202" s="531"/>
      <c r="O202" s="531"/>
      <c r="P202" s="531"/>
      <c r="Q202" s="531"/>
      <c r="R202" s="126"/>
      <c r="S202" s="126"/>
      <c r="T202" s="531"/>
      <c r="U202" s="531"/>
      <c r="V202" s="531"/>
      <c r="W202" s="121"/>
    </row>
    <row r="203" spans="1:23" ht="12.75" x14ac:dyDescent="0.2">
      <c r="A203" s="122"/>
      <c r="B203" s="533" t="str">
        <f ca="1">语言!$A$2106</f>
        <v>旅行作家</v>
      </c>
      <c r="C203" s="532" t="b">
        <v>0</v>
      </c>
      <c r="D203" s="402" t="str">
        <f ca="1">道具!$C$478</f>
        <v>灵敏项链</v>
      </c>
      <c r="E203" s="532" t="b">
        <v>0</v>
      </c>
      <c r="F203" s="379" t="str">
        <f ca="1">语言!$A$23</f>
        <v>无</v>
      </c>
      <c r="G203" s="532" t="b">
        <v>0</v>
      </c>
      <c r="H203" s="530" t="s">
        <v>48</v>
      </c>
      <c r="I203" s="379">
        <v>2</v>
      </c>
      <c r="J203" s="379"/>
      <c r="K203" s="379"/>
      <c r="L203" s="379"/>
      <c r="M203" s="379"/>
      <c r="N203" s="379"/>
      <c r="O203" s="379" t="str">
        <f ca="1">道具!$C$8</f>
        <v>ＳＰ全体恢复的李子</v>
      </c>
      <c r="P203" s="532"/>
      <c r="Q203" s="530" t="s">
        <v>48</v>
      </c>
      <c r="R203" s="17"/>
      <c r="S203" s="17" t="str">
        <f ca="1">Summon!$I$49</f>
        <v>连续投掷笔</v>
      </c>
      <c r="T203" s="530">
        <v>9</v>
      </c>
      <c r="U203" s="532"/>
      <c r="V203" s="379" t="str">
        <f ca="1">语言!$A$44&amp;" / "&amp;语言!$A$48&amp;" available after quest: "&amp;支线!$C$21</f>
        <v>引导 / 诱惑 available after quest: 世界之龙</v>
      </c>
      <c r="W203" s="121"/>
    </row>
    <row r="204" spans="1:23" ht="12.75" x14ac:dyDescent="0.2">
      <c r="A204" s="122"/>
      <c r="B204" s="531"/>
      <c r="C204" s="531"/>
      <c r="D204" s="531"/>
      <c r="E204" s="531"/>
      <c r="F204" s="531"/>
      <c r="G204" s="531"/>
      <c r="H204" s="531"/>
      <c r="I204" s="531"/>
      <c r="J204" s="531"/>
      <c r="K204" s="531"/>
      <c r="L204" s="531"/>
      <c r="M204" s="531"/>
      <c r="N204" s="531"/>
      <c r="O204" s="531"/>
      <c r="P204" s="531"/>
      <c r="Q204" s="531"/>
      <c r="R204" s="126"/>
      <c r="S204" s="126" t="str">
        <f ca="1">Summon!$I$4</f>
        <v>战斗</v>
      </c>
      <c r="T204" s="531"/>
      <c r="U204" s="531"/>
      <c r="V204" s="531"/>
      <c r="W204" s="121"/>
    </row>
    <row r="205" spans="1:23" ht="12.75" x14ac:dyDescent="0.2">
      <c r="A205" s="122"/>
      <c r="B205" s="533" t="str">
        <f ca="1">语言!$A$2102</f>
        <v>市民</v>
      </c>
      <c r="C205" s="123" t="b">
        <v>0</v>
      </c>
      <c r="D205" s="19" t="str">
        <f ca="1">道具!$C$530</f>
        <v>秘药的素材</v>
      </c>
      <c r="E205" s="532" t="b">
        <v>0</v>
      </c>
      <c r="F205" s="379" t="str">
        <f ca="1">语言!$A$33&amp;"
"&amp;道具!$C$343</f>
        <v>隐藏道具的资讯
骑士盾</v>
      </c>
      <c r="G205" s="532" t="b">
        <v>0</v>
      </c>
      <c r="H205" s="530" t="s">
        <v>51</v>
      </c>
      <c r="I205" s="379">
        <v>5</v>
      </c>
      <c r="J205" s="379"/>
      <c r="K205" s="379"/>
      <c r="L205" s="379"/>
      <c r="M205" s="379"/>
      <c r="N205" s="379"/>
      <c r="O205" s="379" t="str">
        <f ca="1">道具!$C$305</f>
        <v>术士之杖</v>
      </c>
      <c r="P205" s="532"/>
      <c r="Q205" s="534" t="s">
        <v>119</v>
      </c>
      <c r="R205" s="534" t="s">
        <v>119</v>
      </c>
      <c r="S205" s="534" t="s">
        <v>119</v>
      </c>
      <c r="T205" s="534" t="s">
        <v>119</v>
      </c>
      <c r="U205" s="532"/>
      <c r="V205" s="379"/>
      <c r="W205" s="121"/>
    </row>
    <row r="206" spans="1:23" ht="12.75" x14ac:dyDescent="0.2">
      <c r="A206" s="122"/>
      <c r="B206" s="371"/>
      <c r="C206" s="123" t="b">
        <v>0</v>
      </c>
      <c r="D206" s="19" t="str">
        <f ca="1">道具!$C$543</f>
        <v>橄榄花</v>
      </c>
      <c r="E206" s="371"/>
      <c r="F206" s="371"/>
      <c r="G206" s="371"/>
      <c r="H206" s="371"/>
      <c r="I206" s="371"/>
      <c r="J206" s="371"/>
      <c r="K206" s="371"/>
      <c r="L206" s="371"/>
      <c r="M206" s="371"/>
      <c r="N206" s="371"/>
      <c r="O206" s="371"/>
      <c r="P206" s="371"/>
      <c r="Q206" s="371"/>
      <c r="R206" s="371"/>
      <c r="S206" s="371"/>
      <c r="T206" s="371"/>
      <c r="U206" s="371"/>
      <c r="V206" s="371"/>
      <c r="W206" s="121"/>
    </row>
    <row r="207" spans="1:23" ht="12.75" x14ac:dyDescent="0.2">
      <c r="A207" s="129"/>
      <c r="B207" s="531"/>
      <c r="C207" s="124" t="b">
        <v>0</v>
      </c>
      <c r="D207" s="125" t="str">
        <f ca="1">道具!$C$12</f>
        <v>ＨＰ／ＳＰ恢复的果酱</v>
      </c>
      <c r="E207" s="531"/>
      <c r="F207" s="531"/>
      <c r="G207" s="531"/>
      <c r="H207" s="531"/>
      <c r="I207" s="531"/>
      <c r="J207" s="531"/>
      <c r="K207" s="531"/>
      <c r="L207" s="531"/>
      <c r="M207" s="531"/>
      <c r="N207" s="531"/>
      <c r="O207" s="531"/>
      <c r="P207" s="531"/>
      <c r="Q207" s="531"/>
      <c r="R207" s="531"/>
      <c r="S207" s="531"/>
      <c r="T207" s="531"/>
      <c r="U207" s="531"/>
      <c r="V207" s="531"/>
      <c r="W207" s="121"/>
    </row>
    <row r="208" spans="1:23" ht="12.75" x14ac:dyDescent="0.2">
      <c r="A208" s="129"/>
      <c r="B208" s="533" t="str">
        <f ca="1">语言!$A$2102</f>
        <v>市民</v>
      </c>
      <c r="C208" s="123" t="b">
        <v>0</v>
      </c>
      <c r="D208" s="19" t="str">
        <f ca="1">道具!$C$12</f>
        <v>ＨＰ／ＳＰ恢复的果酱</v>
      </c>
      <c r="E208" s="532" t="b">
        <v>0</v>
      </c>
      <c r="F208" s="379" t="str">
        <f ca="1">语言!$A$26</f>
        <v>「偷取」成功机率ＵＰ资讯</v>
      </c>
      <c r="G208" s="532" t="b">
        <v>0</v>
      </c>
      <c r="H208" s="530" t="s">
        <v>46</v>
      </c>
      <c r="I208" s="379">
        <v>3</v>
      </c>
      <c r="J208" s="379"/>
      <c r="K208" s="379"/>
      <c r="L208" s="379"/>
      <c r="M208" s="379"/>
      <c r="N208" s="379"/>
      <c r="O208" s="379" t="str">
        <f ca="1">道具!$C$17</f>
        <v>复活的橄榄（特大）</v>
      </c>
      <c r="P208" s="532"/>
      <c r="Q208" s="530" t="s">
        <v>46</v>
      </c>
      <c r="R208" s="17"/>
      <c r="S208" s="17" t="str">
        <f ca="1">Summon!$I$80</f>
        <v>大火焰魔法</v>
      </c>
      <c r="T208" s="530">
        <v>8</v>
      </c>
      <c r="U208" s="532"/>
      <c r="V208" s="379" t="str">
        <f ca="1">"Behind other NPC ("&amp;语言!$A$47&amp;" / "&amp;语言!$A$51&amp;")"</f>
        <v>Behind other NPC (比试 / 唆使)</v>
      </c>
      <c r="W208" s="121"/>
    </row>
    <row r="209" spans="1:23" ht="12.75" x14ac:dyDescent="0.2">
      <c r="A209" s="122"/>
      <c r="B209" s="371"/>
      <c r="C209" s="123" t="b">
        <v>0</v>
      </c>
      <c r="D209" s="19" t="str">
        <f ca="1">道具!$C$540</f>
        <v>葡萄树液</v>
      </c>
      <c r="E209" s="371"/>
      <c r="F209" s="371"/>
      <c r="G209" s="371"/>
      <c r="H209" s="371"/>
      <c r="I209" s="371"/>
      <c r="J209" s="371"/>
      <c r="K209" s="371"/>
      <c r="L209" s="371"/>
      <c r="M209" s="371"/>
      <c r="N209" s="371"/>
      <c r="O209" s="371"/>
      <c r="P209" s="371"/>
      <c r="Q209" s="371"/>
      <c r="R209" s="17"/>
      <c r="S209" s="17" t="str">
        <f ca="1">Summon!$I$78</f>
        <v>火焰魔法</v>
      </c>
      <c r="T209" s="371"/>
      <c r="U209" s="371"/>
      <c r="V209" s="371"/>
      <c r="W209" s="121"/>
    </row>
    <row r="210" spans="1:23" ht="12.75" x14ac:dyDescent="0.2">
      <c r="A210" s="122"/>
      <c r="B210" s="531"/>
      <c r="C210" s="124" t="b">
        <v>0</v>
      </c>
      <c r="D210" s="125" t="str">
        <f ca="1">道具!$C$541</f>
        <v>李子树液</v>
      </c>
      <c r="E210" s="531"/>
      <c r="F210" s="531"/>
      <c r="G210" s="531"/>
      <c r="H210" s="531"/>
      <c r="I210" s="531"/>
      <c r="J210" s="531"/>
      <c r="K210" s="531"/>
      <c r="L210" s="531"/>
      <c r="M210" s="531"/>
      <c r="N210" s="531"/>
      <c r="O210" s="531"/>
      <c r="P210" s="531"/>
      <c r="Q210" s="531"/>
      <c r="R210" s="126"/>
      <c r="S210" s="126" t="str">
        <f ca="1">Summon!$I$4</f>
        <v>战斗</v>
      </c>
      <c r="T210" s="531"/>
      <c r="U210" s="531"/>
      <c r="V210" s="531"/>
      <c r="W210" s="121"/>
    </row>
    <row r="211" spans="1:23" ht="12.75" x14ac:dyDescent="0.2">
      <c r="A211" s="122"/>
      <c r="B211" s="533" t="str">
        <f ca="1">语言!$A$2096</f>
        <v>盗贼</v>
      </c>
      <c r="C211" s="123" t="b">
        <v>0</v>
      </c>
      <c r="D211" s="19" t="str">
        <f ca="1">"* "&amp;道具!$F$26</f>
        <v>* 盗贼服</v>
      </c>
      <c r="E211" s="532" t="b">
        <v>0</v>
      </c>
      <c r="F211" s="379" t="str">
        <f ca="1">语言!$A$23</f>
        <v>无</v>
      </c>
      <c r="G211" s="532"/>
      <c r="H211" s="534" t="s">
        <v>119</v>
      </c>
      <c r="I211" s="534" t="s">
        <v>119</v>
      </c>
      <c r="J211" s="534" t="s">
        <v>119</v>
      </c>
      <c r="K211" s="534" t="s">
        <v>119</v>
      </c>
      <c r="L211" s="534" t="s">
        <v>119</v>
      </c>
      <c r="M211" s="534" t="s">
        <v>119</v>
      </c>
      <c r="N211" s="534" t="s">
        <v>119</v>
      </c>
      <c r="O211" s="534" t="s">
        <v>119</v>
      </c>
      <c r="P211" s="532"/>
      <c r="Q211" s="534" t="s">
        <v>119</v>
      </c>
      <c r="R211" s="534" t="s">
        <v>119</v>
      </c>
      <c r="S211" s="534" t="s">
        <v>119</v>
      </c>
      <c r="T211" s="534" t="s">
        <v>119</v>
      </c>
      <c r="U211" s="532"/>
      <c r="V211" s="379" t="str">
        <f ca="1">"NPC available during "&amp;语言!$A$41&amp;" chapter 4"</f>
        <v>NPC available during 泰里翁 chapter 4</v>
      </c>
      <c r="W211" s="121"/>
    </row>
    <row r="212" spans="1:23" ht="12.75" x14ac:dyDescent="0.2">
      <c r="A212" s="122"/>
      <c r="B212" s="531"/>
      <c r="C212" s="124" t="b">
        <v>0</v>
      </c>
      <c r="D212" s="125" t="str">
        <f ca="1">道具!$C$16</f>
        <v>复活的橄榄（大）</v>
      </c>
      <c r="E212" s="531"/>
      <c r="F212" s="531"/>
      <c r="G212" s="531"/>
      <c r="H212" s="531"/>
      <c r="I212" s="531"/>
      <c r="J212" s="531"/>
      <c r="K212" s="531"/>
      <c r="L212" s="531"/>
      <c r="M212" s="531"/>
      <c r="N212" s="531"/>
      <c r="O212" s="531"/>
      <c r="P212" s="531"/>
      <c r="Q212" s="531"/>
      <c r="R212" s="531"/>
      <c r="S212" s="531"/>
      <c r="T212" s="531"/>
      <c r="U212" s="531"/>
      <c r="V212" s="531"/>
      <c r="W212" s="121"/>
    </row>
    <row r="213" spans="1:23" ht="12.75" x14ac:dyDescent="0.2">
      <c r="A213" s="122"/>
      <c r="B213" s="533" t="str">
        <f ca="1">语言!$A$2041</f>
        <v>讲究的商人</v>
      </c>
      <c r="C213" s="123" t="b">
        <v>0</v>
      </c>
      <c r="D213" s="19" t="str">
        <f ca="1">"* "&amp;道具!$F$59</f>
        <v>* 纪念之剑</v>
      </c>
      <c r="E213" s="532" t="b">
        <v>0</v>
      </c>
      <c r="F213" s="379" t="str">
        <f ca="1">语言!$A$23</f>
        <v>无</v>
      </c>
      <c r="G213" s="532" t="b">
        <v>0</v>
      </c>
      <c r="H213" s="530" t="s">
        <v>57</v>
      </c>
      <c r="I213" s="379">
        <v>3</v>
      </c>
      <c r="J213" s="379"/>
      <c r="K213" s="379"/>
      <c r="L213" s="379"/>
      <c r="M213" s="379"/>
      <c r="N213" s="379"/>
      <c r="O213" s="379" t="str">
        <f ca="1">道具!$C$7</f>
        <v>ＳＰ恢复的李子（大）</v>
      </c>
      <c r="P213" s="532"/>
      <c r="Q213" s="530" t="s">
        <v>57</v>
      </c>
      <c r="R213" s="17"/>
      <c r="S213" s="17" t="str">
        <f ca="1">Summon!$I$40</f>
        <v>乱挥</v>
      </c>
      <c r="T213" s="530">
        <v>8</v>
      </c>
      <c r="U213" s="532"/>
      <c r="V213" s="379" t="str">
        <f ca="1">"NPC available after quest: "&amp;支线!$C$13</f>
        <v>NPC available after quest: 圣火骑士迈尔斯（２）</v>
      </c>
      <c r="W213" s="121"/>
    </row>
    <row r="214" spans="1:23" ht="12.75" x14ac:dyDescent="0.2">
      <c r="A214" s="122"/>
      <c r="B214" s="371"/>
      <c r="C214" s="123" t="b">
        <v>0</v>
      </c>
      <c r="D214" s="19" t="str">
        <f ca="1">道具!$C$7</f>
        <v>ＳＰ恢复的李子（大）</v>
      </c>
      <c r="E214" s="371"/>
      <c r="F214" s="371"/>
      <c r="G214" s="371"/>
      <c r="H214" s="371"/>
      <c r="I214" s="371"/>
      <c r="J214" s="371"/>
      <c r="K214" s="371"/>
      <c r="L214" s="371"/>
      <c r="M214" s="371"/>
      <c r="N214" s="371"/>
      <c r="O214" s="371"/>
      <c r="P214" s="371"/>
      <c r="Q214" s="371"/>
      <c r="R214" s="17"/>
      <c r="S214" s="17" t="str">
        <f ca="1">Summon!$I$30</f>
        <v>突刺</v>
      </c>
      <c r="T214" s="371"/>
      <c r="U214" s="371"/>
      <c r="V214" s="371"/>
      <c r="W214" s="121"/>
    </row>
    <row r="215" spans="1:23" ht="12.75" x14ac:dyDescent="0.2">
      <c r="A215" s="122"/>
      <c r="B215" s="371"/>
      <c r="C215" s="123"/>
      <c r="D215" s="19"/>
      <c r="E215" s="371"/>
      <c r="F215" s="371"/>
      <c r="G215" s="371"/>
      <c r="H215" s="371"/>
      <c r="I215" s="371"/>
      <c r="J215" s="371"/>
      <c r="K215" s="371"/>
      <c r="L215" s="371"/>
      <c r="M215" s="371"/>
      <c r="N215" s="371"/>
      <c r="O215" s="371"/>
      <c r="P215" s="371"/>
      <c r="Q215" s="371"/>
      <c r="R215" s="17"/>
      <c r="S215" s="17" t="str">
        <f ca="1">Summon!$I$4</f>
        <v>战斗</v>
      </c>
      <c r="T215" s="371"/>
      <c r="U215" s="371"/>
      <c r="V215" s="371"/>
      <c r="W215" s="121"/>
    </row>
    <row r="216" spans="1:23" ht="12.75" x14ac:dyDescent="0.2">
      <c r="A216" s="120"/>
      <c r="B216" s="529" t="str">
        <f ca="1">语言!$A$341</f>
        <v>诺斯利奇 -废教会前-</v>
      </c>
      <c r="C216" s="371"/>
      <c r="D216" s="371"/>
      <c r="E216" s="371"/>
      <c r="F216" s="371"/>
      <c r="G216" s="371"/>
      <c r="H216" s="371"/>
      <c r="I216" s="371"/>
      <c r="J216" s="371"/>
      <c r="K216" s="371"/>
      <c r="L216" s="371"/>
      <c r="M216" s="371"/>
      <c r="N216" s="371"/>
      <c r="O216" s="371"/>
      <c r="P216" s="371"/>
      <c r="Q216" s="371"/>
      <c r="R216" s="371"/>
      <c r="S216" s="371"/>
      <c r="T216" s="371"/>
      <c r="U216" s="371"/>
      <c r="V216" s="371"/>
      <c r="W216" s="121"/>
    </row>
    <row r="217" spans="1:23" ht="12.75" x14ac:dyDescent="0.2">
      <c r="A217" s="122"/>
      <c r="B217" s="533" t="str">
        <f ca="1">语言!$A$1868</f>
        <v>达观的老人</v>
      </c>
      <c r="C217" s="532" t="b">
        <v>0</v>
      </c>
      <c r="D217" s="402" t="str">
        <f ca="1">道具!$C$4</f>
        <v>ＨＰ恢复的葡萄（大）</v>
      </c>
      <c r="E217" s="532" t="b">
        <v>0</v>
      </c>
      <c r="F217" s="379" t="str">
        <f ca="1">语言!$A$23</f>
        <v>无</v>
      </c>
      <c r="G217" s="532" t="b">
        <v>0</v>
      </c>
      <c r="H217" s="530" t="s">
        <v>49</v>
      </c>
      <c r="I217" s="379">
        <v>4</v>
      </c>
      <c r="J217" s="379"/>
      <c r="K217" s="379"/>
      <c r="L217" s="379"/>
      <c r="M217" s="379"/>
      <c r="N217" s="379"/>
      <c r="O217" s="379" t="str">
        <f ca="1">道具!$C$10</f>
        <v>ＢＰ恢复的石榴（大）</v>
      </c>
      <c r="P217" s="532"/>
      <c r="Q217" s="530" t="s">
        <v>49</v>
      </c>
      <c r="R217" s="17"/>
      <c r="S217" s="17" t="str">
        <f ca="1">Summon!$I$160</f>
        <v>精神下降</v>
      </c>
      <c r="T217" s="530">
        <v>7</v>
      </c>
      <c r="U217" s="532"/>
      <c r="V217" s="379"/>
      <c r="W217" s="121"/>
    </row>
    <row r="218" spans="1:23" ht="12.75" x14ac:dyDescent="0.2">
      <c r="A218" s="122"/>
      <c r="B218" s="371"/>
      <c r="C218" s="371"/>
      <c r="D218" s="371"/>
      <c r="E218" s="371"/>
      <c r="F218" s="371"/>
      <c r="G218" s="371"/>
      <c r="H218" s="371"/>
      <c r="I218" s="371"/>
      <c r="J218" s="371"/>
      <c r="K218" s="371"/>
      <c r="L218" s="371"/>
      <c r="M218" s="371"/>
      <c r="N218" s="371"/>
      <c r="O218" s="371"/>
      <c r="P218" s="371"/>
      <c r="Q218" s="371"/>
      <c r="R218" s="17"/>
      <c r="S218" s="17" t="str">
        <f ca="1">Summon!$I$91</f>
        <v>大雷击魔法</v>
      </c>
      <c r="T218" s="371"/>
      <c r="U218" s="371"/>
      <c r="V218" s="371"/>
      <c r="W218" s="121"/>
    </row>
    <row r="219" spans="1:23" ht="12.75" x14ac:dyDescent="0.2">
      <c r="A219" s="122"/>
      <c r="B219" s="371"/>
      <c r="C219" s="532" t="b">
        <v>0</v>
      </c>
      <c r="D219" s="402" t="str">
        <f ca="1">道具!$C$10</f>
        <v>ＢＰ恢复的石榴（大）</v>
      </c>
      <c r="E219" s="371"/>
      <c r="F219" s="371"/>
      <c r="G219" s="371"/>
      <c r="H219" s="371"/>
      <c r="I219" s="371"/>
      <c r="J219" s="371"/>
      <c r="K219" s="371"/>
      <c r="L219" s="371"/>
      <c r="M219" s="371"/>
      <c r="N219" s="371"/>
      <c r="O219" s="371"/>
      <c r="P219" s="371"/>
      <c r="Q219" s="371"/>
      <c r="R219" s="17"/>
      <c r="S219" s="17" t="str">
        <f ca="1">Summon!$I$90</f>
        <v>雷击魔法</v>
      </c>
      <c r="T219" s="371"/>
      <c r="U219" s="371"/>
      <c r="V219" s="371"/>
      <c r="W219" s="121"/>
    </row>
    <row r="220" spans="1:23" ht="12.75" x14ac:dyDescent="0.2">
      <c r="A220" s="122"/>
      <c r="B220" s="371"/>
      <c r="C220" s="371"/>
      <c r="D220" s="371"/>
      <c r="E220" s="371"/>
      <c r="F220" s="371"/>
      <c r="G220" s="371"/>
      <c r="H220" s="371"/>
      <c r="I220" s="371"/>
      <c r="J220" s="371"/>
      <c r="K220" s="371"/>
      <c r="L220" s="371"/>
      <c r="M220" s="371"/>
      <c r="N220" s="371"/>
      <c r="O220" s="371"/>
      <c r="P220" s="371"/>
      <c r="Q220" s="371"/>
      <c r="R220" s="17"/>
      <c r="S220" s="17" t="str">
        <f ca="1">Summon!$I$4</f>
        <v>战斗</v>
      </c>
      <c r="T220" s="371"/>
      <c r="U220" s="371"/>
      <c r="V220" s="371"/>
      <c r="W220" s="121"/>
    </row>
    <row r="221" spans="1:23" ht="12.75" x14ac:dyDescent="0.2">
      <c r="A221" s="139"/>
      <c r="B221" s="140"/>
      <c r="C221" s="141"/>
      <c r="D221" s="142"/>
      <c r="E221" s="141"/>
      <c r="F221" s="141"/>
      <c r="G221" s="141"/>
      <c r="H221" s="143"/>
      <c r="I221" s="141"/>
      <c r="J221" s="141"/>
      <c r="K221" s="141"/>
      <c r="L221" s="141"/>
      <c r="M221" s="141"/>
      <c r="N221" s="141"/>
      <c r="O221" s="141"/>
      <c r="P221" s="141"/>
      <c r="Q221" s="143"/>
      <c r="R221" s="141"/>
      <c r="S221" s="141"/>
      <c r="T221" s="143"/>
      <c r="U221" s="141"/>
      <c r="V221" s="141"/>
      <c r="W221" s="141"/>
    </row>
    <row r="222" spans="1:23" ht="23.25" x14ac:dyDescent="0.2">
      <c r="A222" s="539" t="str">
        <f ca="1">语言!$A$345</f>
        <v>芙拉特兰多地区</v>
      </c>
      <c r="B222" s="371"/>
      <c r="C222" s="540"/>
      <c r="D222" s="371"/>
      <c r="E222" s="371"/>
      <c r="F222" s="371"/>
      <c r="G222" s="371"/>
      <c r="H222" s="371"/>
      <c r="I222" s="371"/>
      <c r="J222" s="371"/>
      <c r="K222" s="371"/>
      <c r="L222" s="371"/>
      <c r="M222" s="371"/>
      <c r="N222" s="371"/>
      <c r="O222" s="371"/>
      <c r="P222" s="371"/>
      <c r="Q222" s="371"/>
      <c r="R222" s="371"/>
      <c r="S222" s="371"/>
      <c r="T222" s="371"/>
      <c r="U222" s="371"/>
      <c r="V222" s="371"/>
      <c r="W222" s="371"/>
    </row>
    <row r="223" spans="1:23" ht="18" x14ac:dyDescent="0.2">
      <c r="A223" s="144"/>
      <c r="B223" s="541" t="str">
        <f ca="1">语言!$A$323&amp;" 1"</f>
        <v>Tier 1</v>
      </c>
      <c r="C223" s="371"/>
      <c r="D223" s="371"/>
      <c r="E223" s="371"/>
      <c r="F223" s="371"/>
      <c r="G223" s="371"/>
      <c r="H223" s="371"/>
      <c r="I223" s="371"/>
      <c r="J223" s="371"/>
      <c r="K223" s="371"/>
      <c r="L223" s="371"/>
      <c r="M223" s="371"/>
      <c r="N223" s="371"/>
      <c r="O223" s="371"/>
      <c r="P223" s="371"/>
      <c r="Q223" s="371"/>
      <c r="R223" s="371"/>
      <c r="S223" s="371"/>
      <c r="T223" s="371"/>
      <c r="U223" s="371"/>
      <c r="V223" s="371"/>
      <c r="W223" s="145"/>
    </row>
    <row r="224" spans="1:23" ht="12.75" x14ac:dyDescent="0.2">
      <c r="A224" s="146"/>
      <c r="B224" s="542" t="str">
        <f ca="1">语言!$A$346</f>
        <v>阿特拉斯达姆</v>
      </c>
      <c r="C224" s="371"/>
      <c r="D224" s="371"/>
      <c r="E224" s="371"/>
      <c r="F224" s="371"/>
      <c r="G224" s="371"/>
      <c r="H224" s="371"/>
      <c r="I224" s="371"/>
      <c r="J224" s="371"/>
      <c r="K224" s="371"/>
      <c r="L224" s="371"/>
      <c r="M224" s="371"/>
      <c r="N224" s="371"/>
      <c r="O224" s="371"/>
      <c r="P224" s="371"/>
      <c r="Q224" s="371"/>
      <c r="R224" s="371"/>
      <c r="S224" s="371"/>
      <c r="T224" s="371"/>
      <c r="U224" s="371"/>
      <c r="V224" s="371"/>
      <c r="W224" s="147"/>
    </row>
    <row r="225" spans="1:23" ht="12.75" x14ac:dyDescent="0.2">
      <c r="A225" s="148"/>
      <c r="B225" s="410" t="str">
        <f ca="1">语言!$A$1903</f>
        <v>卫兵</v>
      </c>
      <c r="C225" s="543" t="b">
        <v>0</v>
      </c>
      <c r="D225" s="410" t="str">
        <f ca="1">道具!$C$501</f>
        <v>灵敏耳环</v>
      </c>
      <c r="E225" s="543" t="b">
        <v>0</v>
      </c>
      <c r="F225" s="409" t="str">
        <f ca="1">语言!$A$28</f>
        <v>武器店商品追加资讯</v>
      </c>
      <c r="G225" s="543" t="b">
        <v>0</v>
      </c>
      <c r="H225" s="545" t="s">
        <v>46</v>
      </c>
      <c r="I225" s="409">
        <v>3</v>
      </c>
      <c r="J225" s="409"/>
      <c r="K225" s="409"/>
      <c r="L225" s="409"/>
      <c r="M225" s="409"/>
      <c r="N225" s="409"/>
      <c r="O225" s="409" t="str">
        <f ca="1">道具!$C$7</f>
        <v>ＳＰ恢复的李子（大）</v>
      </c>
      <c r="P225" s="543"/>
      <c r="Q225" s="545" t="s">
        <v>46</v>
      </c>
      <c r="R225" s="24"/>
      <c r="S225" s="24" t="str">
        <f ca="1">Summon!$I$170</f>
        <v>防御架式</v>
      </c>
      <c r="T225" s="545">
        <v>9</v>
      </c>
      <c r="U225" s="543"/>
      <c r="V225" s="409"/>
      <c r="W225" s="148"/>
    </row>
    <row r="226" spans="1:23" ht="12.75" x14ac:dyDescent="0.2">
      <c r="A226" s="148"/>
      <c r="B226" s="371"/>
      <c r="C226" s="371"/>
      <c r="D226" s="371"/>
      <c r="E226" s="371"/>
      <c r="F226" s="371"/>
      <c r="G226" s="371"/>
      <c r="H226" s="371"/>
      <c r="I226" s="371"/>
      <c r="J226" s="371"/>
      <c r="K226" s="371"/>
      <c r="L226" s="371"/>
      <c r="M226" s="371"/>
      <c r="N226" s="371"/>
      <c r="O226" s="371"/>
      <c r="P226" s="371"/>
      <c r="Q226" s="371"/>
      <c r="R226" s="24"/>
      <c r="S226" s="24" t="str">
        <f ca="1">Summon!$I$34</f>
        <v>无双突刺</v>
      </c>
      <c r="T226" s="371"/>
      <c r="U226" s="371"/>
      <c r="V226" s="371"/>
      <c r="W226" s="148"/>
    </row>
    <row r="227" spans="1:23" ht="12.75" x14ac:dyDescent="0.2">
      <c r="A227" s="148"/>
      <c r="B227" s="544"/>
      <c r="C227" s="544"/>
      <c r="D227" s="544"/>
      <c r="E227" s="544"/>
      <c r="F227" s="544"/>
      <c r="G227" s="544"/>
      <c r="H227" s="544"/>
      <c r="I227" s="544"/>
      <c r="J227" s="544"/>
      <c r="K227" s="544"/>
      <c r="L227" s="544"/>
      <c r="M227" s="544"/>
      <c r="N227" s="544"/>
      <c r="O227" s="544"/>
      <c r="P227" s="544"/>
      <c r="Q227" s="544"/>
      <c r="R227" s="150"/>
      <c r="S227" s="150" t="str">
        <f ca="1">Summon!$I$4</f>
        <v>战斗</v>
      </c>
      <c r="T227" s="544"/>
      <c r="U227" s="544"/>
      <c r="V227" s="544"/>
      <c r="W227" s="148"/>
    </row>
    <row r="228" spans="1:23" ht="12.75" x14ac:dyDescent="0.2">
      <c r="A228" s="148"/>
      <c r="B228" s="410" t="str">
        <f ca="1">语言!$A$2102</f>
        <v>市民</v>
      </c>
      <c r="C228" s="543" t="b">
        <v>0</v>
      </c>
      <c r="D228" s="410" t="str">
        <f ca="1">"* "&amp;道具!$F$35</f>
        <v>* 顶级牛奶</v>
      </c>
      <c r="E228" s="543" t="b">
        <v>0</v>
      </c>
      <c r="F228" s="409" t="str">
        <f ca="1">语言!$A$24</f>
        <v>旅店的折扣资讯</v>
      </c>
      <c r="G228" s="543" t="b">
        <v>0</v>
      </c>
      <c r="H228" s="545" t="s">
        <v>48</v>
      </c>
      <c r="I228" s="409">
        <v>2</v>
      </c>
      <c r="J228" s="409"/>
      <c r="K228" s="409"/>
      <c r="L228" s="409"/>
      <c r="M228" s="409"/>
      <c r="N228" s="409"/>
      <c r="O228" s="409" t="str">
        <f ca="1">道具!$C$94</f>
        <v>空空的钱包</v>
      </c>
      <c r="P228" s="543"/>
      <c r="Q228" s="545" t="s">
        <v>48</v>
      </c>
      <c r="R228" s="24"/>
      <c r="S228" s="24" t="str">
        <f ca="1">Summon!$I$122</f>
        <v>恢复ＨＰ的葡萄（大）</v>
      </c>
      <c r="T228" s="545">
        <v>9</v>
      </c>
      <c r="U228" s="543"/>
      <c r="V228" s="409"/>
      <c r="W228" s="148"/>
    </row>
    <row r="229" spans="1:23" ht="12.75" x14ac:dyDescent="0.2">
      <c r="A229" s="148"/>
      <c r="B229" s="544"/>
      <c r="C229" s="544"/>
      <c r="D229" s="544"/>
      <c r="E229" s="544"/>
      <c r="F229" s="544"/>
      <c r="G229" s="544"/>
      <c r="H229" s="544"/>
      <c r="I229" s="544"/>
      <c r="J229" s="544"/>
      <c r="K229" s="544"/>
      <c r="L229" s="544"/>
      <c r="M229" s="544"/>
      <c r="N229" s="544"/>
      <c r="O229" s="544"/>
      <c r="P229" s="544"/>
      <c r="Q229" s="544"/>
      <c r="R229" s="150"/>
      <c r="S229" s="150" t="str">
        <f ca="1">Summon!$I$4</f>
        <v>战斗</v>
      </c>
      <c r="T229" s="544"/>
      <c r="U229" s="544"/>
      <c r="V229" s="544"/>
      <c r="W229" s="148"/>
    </row>
    <row r="230" spans="1:23" ht="12.75" x14ac:dyDescent="0.2">
      <c r="A230" s="148"/>
      <c r="B230" s="410" t="str">
        <f ca="1">语言!$A$2094&amp;" (1)"</f>
        <v>提拉奇亚 (1)</v>
      </c>
      <c r="C230" s="543" t="b">
        <v>0</v>
      </c>
      <c r="D230" s="410" t="str">
        <f ca="1">道具!$C$6</f>
        <v>ＳＰ恢复的李子</v>
      </c>
      <c r="E230" s="543" t="b">
        <v>0</v>
      </c>
      <c r="F230" s="409" t="str">
        <f ca="1">语言!$A$23</f>
        <v>无</v>
      </c>
      <c r="G230" s="543" t="b">
        <v>0</v>
      </c>
      <c r="H230" s="545" t="s">
        <v>57</v>
      </c>
      <c r="I230" s="409">
        <v>3</v>
      </c>
      <c r="J230" s="409"/>
      <c r="K230" s="409"/>
      <c r="L230" s="409"/>
      <c r="M230" s="409"/>
      <c r="N230" s="409"/>
      <c r="O230" s="409" t="str">
        <f ca="1">道具!$C$7</f>
        <v>ＳＰ恢复的李子（大）</v>
      </c>
      <c r="P230" s="543"/>
      <c r="Q230" s="545" t="s">
        <v>57</v>
      </c>
      <c r="R230" s="24"/>
      <c r="S230" s="24" t="str">
        <f ca="1">Summon!$I$171</f>
        <v>圣职者的哲学</v>
      </c>
      <c r="T230" s="545">
        <v>8</v>
      </c>
      <c r="U230" s="543"/>
      <c r="V230" s="409" t="str">
        <f ca="1">"NPC available after "&amp;语言!$A$36&amp;" chapter 1
Moves to "&amp;语言!$A$354&amp;" after quest: "&amp;支线!$C$26</f>
        <v>NPC available after 赛拉斯 chapter 1
Moves to 诺布尔寇德 after quest: 教师提拉奇亚（１）</v>
      </c>
      <c r="W230" s="148"/>
    </row>
    <row r="231" spans="1:23" ht="12.75" x14ac:dyDescent="0.2">
      <c r="A231" s="148"/>
      <c r="B231" s="371"/>
      <c r="C231" s="371"/>
      <c r="D231" s="371"/>
      <c r="E231" s="371"/>
      <c r="F231" s="371"/>
      <c r="G231" s="371"/>
      <c r="H231" s="371"/>
      <c r="I231" s="371"/>
      <c r="J231" s="371"/>
      <c r="K231" s="371"/>
      <c r="L231" s="371"/>
      <c r="M231" s="371"/>
      <c r="N231" s="371"/>
      <c r="O231" s="371"/>
      <c r="P231" s="371"/>
      <c r="Q231" s="371"/>
      <c r="R231" s="24"/>
      <c r="S231" s="24" t="str">
        <f ca="1">Summon!$I$107</f>
        <v>投掷教科书</v>
      </c>
      <c r="T231" s="371"/>
      <c r="U231" s="371"/>
      <c r="V231" s="371"/>
      <c r="W231" s="148"/>
    </row>
    <row r="232" spans="1:23" ht="12.75" x14ac:dyDescent="0.2">
      <c r="A232" s="148"/>
      <c r="B232" s="544"/>
      <c r="C232" s="544"/>
      <c r="D232" s="544"/>
      <c r="E232" s="544"/>
      <c r="F232" s="544"/>
      <c r="G232" s="544"/>
      <c r="H232" s="544"/>
      <c r="I232" s="544"/>
      <c r="J232" s="544"/>
      <c r="K232" s="544"/>
      <c r="L232" s="544"/>
      <c r="M232" s="544"/>
      <c r="N232" s="544"/>
      <c r="O232" s="544"/>
      <c r="P232" s="544"/>
      <c r="Q232" s="544"/>
      <c r="R232" s="150"/>
      <c r="S232" s="150" t="str">
        <f ca="1">Summon!$I$4</f>
        <v>战斗</v>
      </c>
      <c r="T232" s="544"/>
      <c r="U232" s="544"/>
      <c r="V232" s="544"/>
      <c r="W232" s="148"/>
    </row>
    <row r="233" spans="1:23" ht="12.75" x14ac:dyDescent="0.2">
      <c r="A233" s="148"/>
      <c r="B233" s="410" t="str">
        <f ca="1">语言!$A$2062&amp;" (1)"</f>
        <v>眼神凶恶的高利贷钱庄 (1)</v>
      </c>
      <c r="C233" s="543" t="b">
        <v>0</v>
      </c>
      <c r="D233" s="410" t="str">
        <f ca="1">道具!$C$540</f>
        <v>葡萄树液</v>
      </c>
      <c r="E233" s="543" t="b">
        <v>0</v>
      </c>
      <c r="F233" s="409" t="str">
        <f ca="1">语言!$A$23</f>
        <v>无</v>
      </c>
      <c r="G233" s="543" t="b">
        <v>0</v>
      </c>
      <c r="H233" s="545" t="s">
        <v>46</v>
      </c>
      <c r="I233" s="409">
        <v>3</v>
      </c>
      <c r="J233" s="409"/>
      <c r="K233" s="409"/>
      <c r="L233" s="409"/>
      <c r="M233" s="409"/>
      <c r="N233" s="409"/>
      <c r="O233" s="409" t="str">
        <f ca="1">道具!$C$261</f>
        <v>魔力之斧</v>
      </c>
      <c r="P233" s="543"/>
      <c r="Q233" s="545" t="s">
        <v>46</v>
      </c>
      <c r="R233" s="24"/>
      <c r="S233" s="24" t="str">
        <f ca="1">Summon!$I$156</f>
        <v>恐吓</v>
      </c>
      <c r="T233" s="545">
        <v>8</v>
      </c>
      <c r="U233" s="543"/>
      <c r="V233" s="409" t="str">
        <f ca="1">"NPC available after "&amp;语言!$A$36&amp;" chapter 1
NPC moves to "&amp;语言!$A$347&amp;" after quest: "&amp;支线!$C$26</f>
        <v>NPC available after 赛拉斯 chapter 1
NPC moves to 阿特拉斯达姆 -王城前- after quest: 教师提拉奇亚（１）</v>
      </c>
      <c r="W233" s="148"/>
    </row>
    <row r="234" spans="1:23" ht="12.75" x14ac:dyDescent="0.2">
      <c r="A234" s="148"/>
      <c r="B234" s="371"/>
      <c r="C234" s="371"/>
      <c r="D234" s="371"/>
      <c r="E234" s="371"/>
      <c r="F234" s="371"/>
      <c r="G234" s="371"/>
      <c r="H234" s="371"/>
      <c r="I234" s="371"/>
      <c r="J234" s="371"/>
      <c r="K234" s="371"/>
      <c r="L234" s="371"/>
      <c r="M234" s="371"/>
      <c r="N234" s="371"/>
      <c r="O234" s="371"/>
      <c r="P234" s="371"/>
      <c r="Q234" s="371"/>
      <c r="R234" s="24"/>
      <c r="S234" s="24" t="str">
        <f ca="1">Summon!$I$52</f>
        <v>重拳</v>
      </c>
      <c r="T234" s="371"/>
      <c r="U234" s="371"/>
      <c r="V234" s="371"/>
      <c r="W234" s="148"/>
    </row>
    <row r="235" spans="1:23" ht="12.75" x14ac:dyDescent="0.2">
      <c r="A235" s="148"/>
      <c r="B235" s="544"/>
      <c r="C235" s="544"/>
      <c r="D235" s="544"/>
      <c r="E235" s="544"/>
      <c r="F235" s="544"/>
      <c r="G235" s="544"/>
      <c r="H235" s="544"/>
      <c r="I235" s="544"/>
      <c r="J235" s="544"/>
      <c r="K235" s="544"/>
      <c r="L235" s="544"/>
      <c r="M235" s="544"/>
      <c r="N235" s="544"/>
      <c r="O235" s="544"/>
      <c r="P235" s="544"/>
      <c r="Q235" s="544"/>
      <c r="R235" s="150"/>
      <c r="S235" s="150" t="str">
        <f ca="1">Summon!$I$4</f>
        <v>战斗</v>
      </c>
      <c r="T235" s="544"/>
      <c r="U235" s="544"/>
      <c r="V235" s="544"/>
      <c r="W235" s="148"/>
    </row>
    <row r="236" spans="1:23" ht="12.75" x14ac:dyDescent="0.2">
      <c r="A236" s="148"/>
      <c r="B236" s="410" t="str">
        <f ca="1">语言!$A$1818</f>
        <v>温和的女子</v>
      </c>
      <c r="C236" s="543" t="b">
        <v>0</v>
      </c>
      <c r="D236" s="410" t="str">
        <f ca="1">道具!$C$33</f>
        <v>冰之精灵石</v>
      </c>
      <c r="E236" s="543" t="b">
        <v>0</v>
      </c>
      <c r="F236" s="409" t="str">
        <f ca="1">语言!$A$23</f>
        <v>无</v>
      </c>
      <c r="G236" s="543" t="b">
        <v>0</v>
      </c>
      <c r="H236" s="545" t="s">
        <v>48</v>
      </c>
      <c r="I236" s="409">
        <v>2</v>
      </c>
      <c r="J236" s="409"/>
      <c r="K236" s="409"/>
      <c r="L236" s="409"/>
      <c r="M236" s="409"/>
      <c r="N236" s="409"/>
      <c r="O236" s="409" t="str">
        <f ca="1">道具!$C$33</f>
        <v>冰之精灵石</v>
      </c>
      <c r="P236" s="543"/>
      <c r="Q236" s="545" t="s">
        <v>48</v>
      </c>
      <c r="R236" s="24"/>
      <c r="S236" s="24" t="str">
        <f ca="1">Summon!$I$70</f>
        <v>乱射</v>
      </c>
      <c r="T236" s="545">
        <v>9</v>
      </c>
      <c r="U236" s="543"/>
      <c r="V236" s="409" t="str">
        <f ca="1">"NPC available after "&amp;语言!$A$36&amp;" chapter 1"</f>
        <v>NPC available after 赛拉斯 chapter 1</v>
      </c>
      <c r="W236" s="148"/>
    </row>
    <row r="237" spans="1:23" ht="12.75" x14ac:dyDescent="0.2">
      <c r="A237" s="148"/>
      <c r="B237" s="371"/>
      <c r="C237" s="371"/>
      <c r="D237" s="371"/>
      <c r="E237" s="371"/>
      <c r="F237" s="371"/>
      <c r="G237" s="371"/>
      <c r="H237" s="371"/>
      <c r="I237" s="371"/>
      <c r="J237" s="371"/>
      <c r="K237" s="371"/>
      <c r="L237" s="371"/>
      <c r="M237" s="371"/>
      <c r="N237" s="371"/>
      <c r="O237" s="371"/>
      <c r="P237" s="371"/>
      <c r="Q237" s="371"/>
      <c r="R237" s="24"/>
      <c r="S237" s="24" t="str">
        <f ca="1">Summon!$I$64</f>
        <v>精准射击</v>
      </c>
      <c r="T237" s="371"/>
      <c r="U237" s="371"/>
      <c r="V237" s="371"/>
      <c r="W237" s="148"/>
    </row>
    <row r="238" spans="1:23" ht="12.75" x14ac:dyDescent="0.2">
      <c r="A238" s="148"/>
      <c r="B238" s="544"/>
      <c r="C238" s="544"/>
      <c r="D238" s="544"/>
      <c r="E238" s="544"/>
      <c r="F238" s="544"/>
      <c r="G238" s="544"/>
      <c r="H238" s="544"/>
      <c r="I238" s="544"/>
      <c r="J238" s="544"/>
      <c r="K238" s="544"/>
      <c r="L238" s="544"/>
      <c r="M238" s="544"/>
      <c r="N238" s="544"/>
      <c r="O238" s="544"/>
      <c r="P238" s="544"/>
      <c r="Q238" s="544"/>
      <c r="R238" s="150"/>
      <c r="S238" s="150" t="str">
        <f ca="1">Summon!$I$4</f>
        <v>战斗</v>
      </c>
      <c r="T238" s="544"/>
      <c r="U238" s="544"/>
      <c r="V238" s="544"/>
      <c r="W238" s="148"/>
    </row>
    <row r="239" spans="1:23" ht="12.75" x14ac:dyDescent="0.2">
      <c r="A239" s="148"/>
      <c r="B239" s="410" t="str">
        <f ca="1">语言!$A$1866</f>
        <v>前贵族家仆</v>
      </c>
      <c r="C239" s="543" t="b">
        <v>0</v>
      </c>
      <c r="D239" s="410" t="str">
        <f ca="1">"* "&amp;道具!$F$58</f>
        <v>* 蓝道尔家管家的记事本</v>
      </c>
      <c r="E239" s="543" t="b">
        <v>0</v>
      </c>
      <c r="F239" s="409" t="str">
        <f ca="1">语言!$A$23</f>
        <v>无</v>
      </c>
      <c r="G239" s="543" t="b">
        <v>0</v>
      </c>
      <c r="H239" s="545" t="s">
        <v>48</v>
      </c>
      <c r="I239" s="409">
        <v>2</v>
      </c>
      <c r="J239" s="409"/>
      <c r="K239" s="409"/>
      <c r="L239" s="409"/>
      <c r="M239" s="409"/>
      <c r="N239" s="409"/>
      <c r="O239" s="409" t="str">
        <f ca="1">道具!$C$121</f>
        <v>鸡毛掸子</v>
      </c>
      <c r="P239" s="543"/>
      <c r="Q239" s="545" t="s">
        <v>48</v>
      </c>
      <c r="R239" s="24"/>
      <c r="S239" s="24" t="str">
        <f ca="1">Summon!$I$129</f>
        <v>恢复ＳＰ的李子</v>
      </c>
      <c r="T239" s="545">
        <v>9</v>
      </c>
      <c r="U239" s="543"/>
      <c r="V239" s="409" t="str">
        <f ca="1">"NPC available after "&amp;语言!$A$36&amp;" chapter 1"</f>
        <v>NPC available after 赛拉斯 chapter 1</v>
      </c>
      <c r="W239" s="148"/>
    </row>
    <row r="240" spans="1:23" ht="12.75" x14ac:dyDescent="0.2">
      <c r="A240" s="148"/>
      <c r="B240" s="371"/>
      <c r="C240" s="371"/>
      <c r="D240" s="371"/>
      <c r="E240" s="371"/>
      <c r="F240" s="371"/>
      <c r="G240" s="371"/>
      <c r="H240" s="371"/>
      <c r="I240" s="371"/>
      <c r="J240" s="371"/>
      <c r="K240" s="371"/>
      <c r="L240" s="371"/>
      <c r="M240" s="371"/>
      <c r="N240" s="371"/>
      <c r="O240" s="371"/>
      <c r="P240" s="371"/>
      <c r="Q240" s="371"/>
      <c r="R240" s="24"/>
      <c r="S240" s="24" t="str">
        <f ca="1">Summon!$I$42</f>
        <v>猛击</v>
      </c>
      <c r="T240" s="371"/>
      <c r="U240" s="371"/>
      <c r="V240" s="371"/>
      <c r="W240" s="148"/>
    </row>
    <row r="241" spans="1:23" ht="12.75" x14ac:dyDescent="0.2">
      <c r="A241" s="148"/>
      <c r="B241" s="544"/>
      <c r="C241" s="544"/>
      <c r="D241" s="544"/>
      <c r="E241" s="544"/>
      <c r="F241" s="544"/>
      <c r="G241" s="544"/>
      <c r="H241" s="544"/>
      <c r="I241" s="544"/>
      <c r="J241" s="544"/>
      <c r="K241" s="544"/>
      <c r="L241" s="544"/>
      <c r="M241" s="544"/>
      <c r="N241" s="544"/>
      <c r="O241" s="544"/>
      <c r="P241" s="544"/>
      <c r="Q241" s="544"/>
      <c r="R241" s="150"/>
      <c r="S241" s="150" t="str">
        <f ca="1">Summon!$I$4</f>
        <v>战斗</v>
      </c>
      <c r="T241" s="544"/>
      <c r="U241" s="544"/>
      <c r="V241" s="544"/>
      <c r="W241" s="148"/>
    </row>
    <row r="242" spans="1:23" ht="12.75" x14ac:dyDescent="0.2">
      <c r="A242" s="148"/>
      <c r="B242" s="151" t="str">
        <f ca="1">语言!$A$2072</f>
        <v>精神抖擞的少女</v>
      </c>
      <c r="C242" s="152" t="b">
        <v>0</v>
      </c>
      <c r="D242" s="151" t="str">
        <f ca="1">道具!$C$543</f>
        <v>橄榄花</v>
      </c>
      <c r="E242" s="152" t="b">
        <v>0</v>
      </c>
      <c r="F242" s="150" t="str">
        <f ca="1">语言!$A$23</f>
        <v>无</v>
      </c>
      <c r="G242" s="152"/>
      <c r="H242" s="153" t="s">
        <v>119</v>
      </c>
      <c r="I242" s="153" t="s">
        <v>119</v>
      </c>
      <c r="J242" s="153" t="s">
        <v>119</v>
      </c>
      <c r="K242" s="153" t="s">
        <v>119</v>
      </c>
      <c r="L242" s="153" t="s">
        <v>119</v>
      </c>
      <c r="M242" s="153" t="s">
        <v>119</v>
      </c>
      <c r="N242" s="153" t="s">
        <v>119</v>
      </c>
      <c r="O242" s="153" t="s">
        <v>119</v>
      </c>
      <c r="P242" s="152"/>
      <c r="Q242" s="153" t="s">
        <v>119</v>
      </c>
      <c r="R242" s="153" t="s">
        <v>119</v>
      </c>
      <c r="S242" s="153" t="s">
        <v>119</v>
      </c>
      <c r="T242" s="153" t="s">
        <v>119</v>
      </c>
      <c r="U242" s="152"/>
      <c r="V242" s="150" t="str">
        <f ca="1">"NPC available after "&amp;语言!$A$36&amp;" chapter 1"</f>
        <v>NPC available after 赛拉斯 chapter 1</v>
      </c>
      <c r="W242" s="148"/>
    </row>
    <row r="243" spans="1:23" ht="12.75" x14ac:dyDescent="0.2">
      <c r="A243" s="148"/>
      <c r="B243" s="410" t="str">
        <f ca="1">语言!$A$1819</f>
        <v>厨艺高超的厨师</v>
      </c>
      <c r="C243" s="148" t="b">
        <v>0</v>
      </c>
      <c r="D243" s="25" t="str">
        <f ca="1">道具!$C$388</f>
        <v>飞行头盔</v>
      </c>
      <c r="E243" s="543" t="b">
        <v>0</v>
      </c>
      <c r="F243" s="409" t="str">
        <f ca="1">语言!$A$23</f>
        <v>无</v>
      </c>
      <c r="G243" s="543" t="b">
        <v>0</v>
      </c>
      <c r="H243" s="545" t="s">
        <v>46</v>
      </c>
      <c r="I243" s="409">
        <v>3</v>
      </c>
      <c r="J243" s="409"/>
      <c r="K243" s="409"/>
      <c r="L243" s="409"/>
      <c r="M243" s="409"/>
      <c r="N243" s="409"/>
      <c r="O243" s="409" t="str">
        <f ca="1">道具!$C$31</f>
        <v>火之精灵石（大）</v>
      </c>
      <c r="P243" s="543"/>
      <c r="Q243" s="545" t="s">
        <v>46</v>
      </c>
      <c r="R243" s="24"/>
      <c r="S243" s="24" t="str">
        <f ca="1">Summon!$I$81</f>
        <v>加酒点燃</v>
      </c>
      <c r="T243" s="545">
        <v>8</v>
      </c>
      <c r="U243" s="543"/>
      <c r="V243" s="409" t="str">
        <f ca="1">"NPC available after "&amp;语言!$A$36&amp;" chapter 1"</f>
        <v>NPC available after 赛拉斯 chapter 1</v>
      </c>
      <c r="W243" s="148"/>
    </row>
    <row r="244" spans="1:23" ht="12.75" x14ac:dyDescent="0.2">
      <c r="A244" s="148"/>
      <c r="B244" s="371"/>
      <c r="C244" s="148" t="b">
        <v>0</v>
      </c>
      <c r="D244" s="25" t="str">
        <f ca="1">道具!$C$30</f>
        <v>火之精灵石</v>
      </c>
      <c r="E244" s="371"/>
      <c r="F244" s="371"/>
      <c r="G244" s="371"/>
      <c r="H244" s="371"/>
      <c r="I244" s="371"/>
      <c r="J244" s="371"/>
      <c r="K244" s="371"/>
      <c r="L244" s="371"/>
      <c r="M244" s="371"/>
      <c r="N244" s="371"/>
      <c r="O244" s="371"/>
      <c r="P244" s="371"/>
      <c r="Q244" s="371"/>
      <c r="R244" s="24"/>
      <c r="S244" s="24" t="str">
        <f ca="1">Summon!$I$42</f>
        <v>猛击</v>
      </c>
      <c r="T244" s="371"/>
      <c r="U244" s="371"/>
      <c r="V244" s="371"/>
      <c r="W244" s="148"/>
    </row>
    <row r="245" spans="1:23" ht="12.75" x14ac:dyDescent="0.2">
      <c r="A245" s="148"/>
      <c r="B245" s="544"/>
      <c r="C245" s="152"/>
      <c r="D245" s="151"/>
      <c r="E245" s="544"/>
      <c r="F245" s="544"/>
      <c r="G245" s="544"/>
      <c r="H245" s="544"/>
      <c r="I245" s="544"/>
      <c r="J245" s="544"/>
      <c r="K245" s="544"/>
      <c r="L245" s="544"/>
      <c r="M245" s="544"/>
      <c r="N245" s="544"/>
      <c r="O245" s="544"/>
      <c r="P245" s="544"/>
      <c r="Q245" s="544"/>
      <c r="R245" s="150"/>
      <c r="S245" s="150" t="str">
        <f ca="1">Summon!$I$4</f>
        <v>战斗</v>
      </c>
      <c r="T245" s="544"/>
      <c r="U245" s="544"/>
      <c r="V245" s="544"/>
      <c r="W245" s="148"/>
    </row>
    <row r="246" spans="1:23" ht="12.75" x14ac:dyDescent="0.2">
      <c r="A246" s="148"/>
      <c r="B246" s="410" t="str">
        <f ca="1">语言!$A$2133</f>
        <v>青年的母亲</v>
      </c>
      <c r="C246" s="148" t="b">
        <v>0</v>
      </c>
      <c r="D246" s="25" t="str">
        <f ca="1">道具!$C$46</f>
        <v>暗之精灵石</v>
      </c>
      <c r="E246" s="543" t="b">
        <v>0</v>
      </c>
      <c r="F246" s="409" t="str">
        <f ca="1">语言!$A$23</f>
        <v>无</v>
      </c>
      <c r="G246" s="543" t="b">
        <v>0</v>
      </c>
      <c r="H246" s="545" t="s">
        <v>48</v>
      </c>
      <c r="I246" s="409">
        <v>2</v>
      </c>
      <c r="J246" s="409"/>
      <c r="K246" s="409"/>
      <c r="L246" s="409"/>
      <c r="M246" s="409"/>
      <c r="N246" s="409"/>
      <c r="O246" s="409" t="str">
        <f ca="1">道具!$C$36</f>
        <v>雷之精灵石</v>
      </c>
      <c r="P246" s="543"/>
      <c r="Q246" s="545" t="s">
        <v>48</v>
      </c>
      <c r="R246" s="24"/>
      <c r="S246" s="24" t="str">
        <f ca="1">Summon!$I$61</f>
        <v>全力斩击</v>
      </c>
      <c r="T246" s="545">
        <v>9</v>
      </c>
      <c r="U246" s="543"/>
      <c r="V246" s="409" t="str">
        <f ca="1">"NPC available after "&amp;语言!$A$36&amp;" chapter 1"</f>
        <v>NPC available after 赛拉斯 chapter 1</v>
      </c>
      <c r="W246" s="148"/>
    </row>
    <row r="247" spans="1:23" ht="12.75" x14ac:dyDescent="0.2">
      <c r="A247" s="148"/>
      <c r="B247" s="544"/>
      <c r="C247" s="152" t="b">
        <v>0</v>
      </c>
      <c r="D247" s="151" t="str">
        <f ca="1">道具!$C$47</f>
        <v>暗之精灵石（大）</v>
      </c>
      <c r="E247" s="544"/>
      <c r="F247" s="544"/>
      <c r="G247" s="544"/>
      <c r="H247" s="544"/>
      <c r="I247" s="544"/>
      <c r="J247" s="544"/>
      <c r="K247" s="544"/>
      <c r="L247" s="544"/>
      <c r="M247" s="544"/>
      <c r="N247" s="544"/>
      <c r="O247" s="544"/>
      <c r="P247" s="544"/>
      <c r="Q247" s="544"/>
      <c r="R247" s="150"/>
      <c r="S247" s="150" t="str">
        <f ca="1">Summon!$I$4</f>
        <v>战斗</v>
      </c>
      <c r="T247" s="544"/>
      <c r="U247" s="544"/>
      <c r="V247" s="544"/>
      <c r="W247" s="148"/>
    </row>
    <row r="248" spans="1:23" ht="12.75" x14ac:dyDescent="0.2">
      <c r="A248" s="148"/>
      <c r="B248" s="410" t="str">
        <f ca="1">语言!$A$1896</f>
        <v>少女</v>
      </c>
      <c r="C248" s="148" t="b">
        <v>0</v>
      </c>
      <c r="D248" s="25" t="str">
        <f ca="1">道具!$C$3</f>
        <v>ＨＰ恢复的葡萄</v>
      </c>
      <c r="E248" s="543" t="b">
        <v>0</v>
      </c>
      <c r="F248" s="409" t="str">
        <f ca="1">语言!$A$33&amp;"
"&amp;道具!$C$44</f>
        <v>隐藏道具的资讯
光之精灵石（大）</v>
      </c>
      <c r="G248" s="543"/>
      <c r="H248" s="546" t="s">
        <v>119</v>
      </c>
      <c r="I248" s="546" t="s">
        <v>119</v>
      </c>
      <c r="J248" s="546" t="s">
        <v>119</v>
      </c>
      <c r="K248" s="546" t="s">
        <v>119</v>
      </c>
      <c r="L248" s="546" t="s">
        <v>119</v>
      </c>
      <c r="M248" s="546" t="s">
        <v>119</v>
      </c>
      <c r="N248" s="546" t="s">
        <v>119</v>
      </c>
      <c r="O248" s="546" t="s">
        <v>119</v>
      </c>
      <c r="P248" s="543"/>
      <c r="Q248" s="546" t="s">
        <v>119</v>
      </c>
      <c r="R248" s="546" t="s">
        <v>119</v>
      </c>
      <c r="S248" s="546" t="s">
        <v>119</v>
      </c>
      <c r="T248" s="546" t="s">
        <v>119</v>
      </c>
      <c r="U248" s="543"/>
      <c r="V248" s="409"/>
      <c r="W248" s="148"/>
    </row>
    <row r="249" spans="1:23" ht="12.75" x14ac:dyDescent="0.2">
      <c r="A249" s="148"/>
      <c r="B249" s="371"/>
      <c r="C249" s="148" t="b">
        <v>0</v>
      </c>
      <c r="D249" s="25" t="str">
        <f ca="1">道具!$C$6</f>
        <v>ＳＰ恢复的李子</v>
      </c>
      <c r="E249" s="371"/>
      <c r="F249" s="371"/>
      <c r="G249" s="371"/>
      <c r="H249" s="371"/>
      <c r="I249" s="371"/>
      <c r="J249" s="371"/>
      <c r="K249" s="371"/>
      <c r="L249" s="371"/>
      <c r="M249" s="371"/>
      <c r="N249" s="371"/>
      <c r="O249" s="371"/>
      <c r="P249" s="371"/>
      <c r="Q249" s="371"/>
      <c r="R249" s="371"/>
      <c r="S249" s="371"/>
      <c r="T249" s="371"/>
      <c r="U249" s="371"/>
      <c r="V249" s="371"/>
      <c r="W249" s="148"/>
    </row>
    <row r="250" spans="1:23" ht="12.75" x14ac:dyDescent="0.2">
      <c r="A250" s="148"/>
      <c r="B250" s="371"/>
      <c r="C250" s="148" t="b">
        <v>0</v>
      </c>
      <c r="D250" s="25" t="str">
        <f ca="1">道具!$C$96</f>
        <v>装了破烂儿的小袋子</v>
      </c>
      <c r="E250" s="371"/>
      <c r="F250" s="371"/>
      <c r="G250" s="371"/>
      <c r="H250" s="371"/>
      <c r="I250" s="371"/>
      <c r="J250" s="371"/>
      <c r="K250" s="371"/>
      <c r="L250" s="371"/>
      <c r="M250" s="371"/>
      <c r="N250" s="371"/>
      <c r="O250" s="371"/>
      <c r="P250" s="371"/>
      <c r="Q250" s="371"/>
      <c r="R250" s="371"/>
      <c r="S250" s="371"/>
      <c r="T250" s="371"/>
      <c r="U250" s="371"/>
      <c r="V250" s="371"/>
      <c r="W250" s="148"/>
    </row>
    <row r="251" spans="1:23" ht="12.75" x14ac:dyDescent="0.2">
      <c r="A251" s="148"/>
      <c r="B251" s="544"/>
      <c r="C251" s="152" t="b">
        <v>0</v>
      </c>
      <c r="D251" s="151" t="str">
        <f ca="1">道具!$C$97</f>
        <v>大鸟的羽毛</v>
      </c>
      <c r="E251" s="544"/>
      <c r="F251" s="544"/>
      <c r="G251" s="544"/>
      <c r="H251" s="544"/>
      <c r="I251" s="544"/>
      <c r="J251" s="544"/>
      <c r="K251" s="544"/>
      <c r="L251" s="544"/>
      <c r="M251" s="544"/>
      <c r="N251" s="544"/>
      <c r="O251" s="544"/>
      <c r="P251" s="544"/>
      <c r="Q251" s="544"/>
      <c r="R251" s="544"/>
      <c r="S251" s="544"/>
      <c r="T251" s="544"/>
      <c r="U251" s="544"/>
      <c r="V251" s="544"/>
      <c r="W251" s="148"/>
    </row>
    <row r="252" spans="1:23" ht="12.75" x14ac:dyDescent="0.2">
      <c r="A252" s="148"/>
      <c r="B252" s="151" t="str">
        <f ca="1">语言!$A$1812</f>
        <v>少年</v>
      </c>
      <c r="C252" s="152" t="b">
        <v>0</v>
      </c>
      <c r="D252" s="151" t="str">
        <f ca="1">"* "&amp;道具!$F$37</f>
        <v>* 大鸡的蛋</v>
      </c>
      <c r="E252" s="152" t="b">
        <v>0</v>
      </c>
      <c r="F252" s="150" t="str">
        <f ca="1">语言!$A$25</f>
        <v>「购买」杀价机率ＵＰ资讯</v>
      </c>
      <c r="G252" s="152"/>
      <c r="H252" s="153" t="s">
        <v>119</v>
      </c>
      <c r="I252" s="153" t="s">
        <v>119</v>
      </c>
      <c r="J252" s="153" t="s">
        <v>119</v>
      </c>
      <c r="K252" s="153" t="s">
        <v>119</v>
      </c>
      <c r="L252" s="153" t="s">
        <v>119</v>
      </c>
      <c r="M252" s="153" t="s">
        <v>119</v>
      </c>
      <c r="N252" s="153" t="s">
        <v>119</v>
      </c>
      <c r="O252" s="153" t="s">
        <v>119</v>
      </c>
      <c r="P252" s="152"/>
      <c r="Q252" s="153" t="s">
        <v>119</v>
      </c>
      <c r="R252" s="153" t="s">
        <v>119</v>
      </c>
      <c r="S252" s="153" t="s">
        <v>119</v>
      </c>
      <c r="T252" s="153" t="s">
        <v>119</v>
      </c>
      <c r="U252" s="152"/>
      <c r="V252" s="150"/>
      <c r="W252" s="148"/>
    </row>
    <row r="253" spans="1:23" ht="12.75" x14ac:dyDescent="0.2">
      <c r="A253" s="148"/>
      <c r="B253" s="410" t="str">
        <f ca="1">语言!$A$2067&amp;" (2)"</f>
        <v>婀娜的农民 (2)</v>
      </c>
      <c r="C253" s="148" t="b">
        <v>0</v>
      </c>
      <c r="D253" s="25" t="str">
        <f ca="1">道具!$C$12</f>
        <v>ＨＰ／ＳＰ恢复的果酱</v>
      </c>
      <c r="E253" s="543" t="b">
        <v>0</v>
      </c>
      <c r="F253" s="409" t="str">
        <f ca="1">语言!$A$23</f>
        <v>无</v>
      </c>
      <c r="G253" s="543" t="b">
        <v>0</v>
      </c>
      <c r="H253" s="545" t="s">
        <v>48</v>
      </c>
      <c r="I253" s="409">
        <v>2</v>
      </c>
      <c r="J253" s="409"/>
      <c r="K253" s="409"/>
      <c r="L253" s="409"/>
      <c r="M253" s="409"/>
      <c r="N253" s="409"/>
      <c r="O253" s="409" t="str">
        <f ca="1">道具!$C$36</f>
        <v>雷之精灵石</v>
      </c>
      <c r="P253" s="543"/>
      <c r="Q253" s="545" t="s">
        <v>48</v>
      </c>
      <c r="R253" s="24"/>
      <c r="S253" s="24" t="str">
        <f ca="1">Summon!$I$31</f>
        <v>要害突刺</v>
      </c>
      <c r="T253" s="545">
        <v>9</v>
      </c>
      <c r="U253" s="543"/>
      <c r="V253" s="409" t="str">
        <f ca="1">"NPC at this location after quest: "&amp;支线!$C$38&amp;"
("&amp;语言!$A$44&amp;" / "&amp;语言!$A$48&amp;" solution only)"</f>
        <v>NPC at this location after quest: 村里的风车
(引导 / 诱惑 solution only)</v>
      </c>
      <c r="W253" s="148"/>
    </row>
    <row r="254" spans="1:23" ht="12.75" x14ac:dyDescent="0.2">
      <c r="A254" s="148"/>
      <c r="B254" s="371"/>
      <c r="C254" s="148" t="b">
        <v>0</v>
      </c>
      <c r="D254" s="25" t="str">
        <f ca="1">道具!$C$81</f>
        <v>增强速度的坚果（特大）</v>
      </c>
      <c r="E254" s="371"/>
      <c r="F254" s="371"/>
      <c r="G254" s="371"/>
      <c r="H254" s="371"/>
      <c r="I254" s="371"/>
      <c r="J254" s="371"/>
      <c r="K254" s="371"/>
      <c r="L254" s="371"/>
      <c r="M254" s="371"/>
      <c r="N254" s="371"/>
      <c r="O254" s="371"/>
      <c r="P254" s="371"/>
      <c r="Q254" s="371"/>
      <c r="R254" s="24"/>
      <c r="S254" s="24" t="str">
        <f ca="1">Summon!$I$30</f>
        <v>突刺</v>
      </c>
      <c r="T254" s="371"/>
      <c r="U254" s="371"/>
      <c r="V254" s="371"/>
      <c r="W254" s="148"/>
    </row>
    <row r="255" spans="1:23" ht="12.75" x14ac:dyDescent="0.2">
      <c r="A255" s="148"/>
      <c r="B255" s="544"/>
      <c r="C255" s="152" t="b">
        <v>0</v>
      </c>
      <c r="D255" s="151" t="str">
        <f ca="1">道具!$C$32</f>
        <v>火之精灵石（特大）</v>
      </c>
      <c r="E255" s="544"/>
      <c r="F255" s="544"/>
      <c r="G255" s="544"/>
      <c r="H255" s="544"/>
      <c r="I255" s="544"/>
      <c r="J255" s="544"/>
      <c r="K255" s="544"/>
      <c r="L255" s="544"/>
      <c r="M255" s="544"/>
      <c r="N255" s="544"/>
      <c r="O255" s="544"/>
      <c r="P255" s="544"/>
      <c r="Q255" s="544"/>
      <c r="R255" s="150"/>
      <c r="S255" s="150" t="str">
        <f ca="1">Summon!$I$4</f>
        <v>战斗</v>
      </c>
      <c r="T255" s="544"/>
      <c r="U255" s="544"/>
      <c r="V255" s="544"/>
      <c r="W255" s="148"/>
    </row>
    <row r="256" spans="1:23" ht="12.75" x14ac:dyDescent="0.2">
      <c r="A256" s="148"/>
      <c r="B256" s="410" t="str">
        <f ca="1">语言!$A$1841</f>
        <v>丹</v>
      </c>
      <c r="C256" s="148" t="b">
        <v>0</v>
      </c>
      <c r="D256" s="25" t="str">
        <f ca="1">道具!$C$39</f>
        <v>风之精灵石</v>
      </c>
      <c r="E256" s="543" t="b">
        <v>0</v>
      </c>
      <c r="F256" s="409" t="str">
        <f ca="1">语言!$A$23</f>
        <v>无</v>
      </c>
      <c r="G256" s="543" t="b">
        <v>0</v>
      </c>
      <c r="H256" s="545" t="s">
        <v>57</v>
      </c>
      <c r="I256" s="409">
        <v>3</v>
      </c>
      <c r="J256" s="409"/>
      <c r="K256" s="409"/>
      <c r="L256" s="409"/>
      <c r="M256" s="409"/>
      <c r="N256" s="409"/>
      <c r="O256" s="409" t="str">
        <f ca="1">道具!$C$540</f>
        <v>葡萄树液</v>
      </c>
      <c r="P256" s="543"/>
      <c r="Q256" s="545" t="s">
        <v>57</v>
      </c>
      <c r="R256" s="24"/>
      <c r="S256" s="24" t="str">
        <f ca="1">Summon!$I$48</f>
        <v>连掷短剑</v>
      </c>
      <c r="T256" s="545">
        <v>8</v>
      </c>
      <c r="U256" s="543"/>
      <c r="V256" s="409" t="str">
        <f ca="1">"NPC available after "&amp;语言!$A$36&amp;" chapter 1"</f>
        <v>NPC available after 赛拉斯 chapter 1</v>
      </c>
      <c r="W256" s="148"/>
    </row>
    <row r="257" spans="1:23" ht="12.75" x14ac:dyDescent="0.2">
      <c r="A257" s="148"/>
      <c r="B257" s="544"/>
      <c r="C257" s="152" t="b">
        <v>0</v>
      </c>
      <c r="D257" s="151" t="str">
        <f ca="1">道具!$C$40</f>
        <v>风之精灵石（大）</v>
      </c>
      <c r="E257" s="544"/>
      <c r="F257" s="544"/>
      <c r="G257" s="544"/>
      <c r="H257" s="544"/>
      <c r="I257" s="544"/>
      <c r="J257" s="544"/>
      <c r="K257" s="544"/>
      <c r="L257" s="544"/>
      <c r="M257" s="544"/>
      <c r="N257" s="544"/>
      <c r="O257" s="544"/>
      <c r="P257" s="544"/>
      <c r="Q257" s="544"/>
      <c r="R257" s="150"/>
      <c r="S257" s="150" t="str">
        <f ca="1">Summon!$I$4</f>
        <v>战斗</v>
      </c>
      <c r="T257" s="544"/>
      <c r="U257" s="544"/>
      <c r="V257" s="544"/>
      <c r="W257" s="148"/>
    </row>
    <row r="258" spans="1:23" ht="12.75" x14ac:dyDescent="0.2">
      <c r="A258" s="148"/>
      <c r="B258" s="410" t="str">
        <f ca="1">语言!$A$2087</f>
        <v>酒馆的客人</v>
      </c>
      <c r="C258" s="543" t="b">
        <v>0</v>
      </c>
      <c r="D258" s="410" t="str">
        <f ca="1">"* "&amp;道具!$F$36</f>
        <v>* 帝王蟹</v>
      </c>
      <c r="E258" s="543" t="b">
        <v>0</v>
      </c>
      <c r="F258" s="409" t="str">
        <f ca="1">语言!$A$33&amp;"
"&amp;道具!$C$49</f>
        <v>隐藏道具的资讯
增强ＨＰ的坚果</v>
      </c>
      <c r="G258" s="543" t="b">
        <v>0</v>
      </c>
      <c r="H258" s="545" t="s">
        <v>46</v>
      </c>
      <c r="I258" s="409">
        <v>3</v>
      </c>
      <c r="J258" s="409"/>
      <c r="K258" s="409"/>
      <c r="L258" s="409"/>
      <c r="M258" s="409"/>
      <c r="N258" s="409"/>
      <c r="O258" s="409" t="str">
        <f ca="1">道具!$C$386</f>
        <v>脉轮头带</v>
      </c>
      <c r="P258" s="543"/>
      <c r="Q258" s="545" t="s">
        <v>46</v>
      </c>
      <c r="R258" s="24"/>
      <c r="S258" s="24" t="str">
        <f ca="1">Summon!$I$150</f>
        <v>混乱之粉</v>
      </c>
      <c r="T258" s="545">
        <v>8</v>
      </c>
      <c r="U258" s="543"/>
      <c r="V258" s="409"/>
      <c r="W258" s="148"/>
    </row>
    <row r="259" spans="1:23" ht="12.75" x14ac:dyDescent="0.2">
      <c r="A259" s="148"/>
      <c r="B259" s="371"/>
      <c r="C259" s="371"/>
      <c r="D259" s="371"/>
      <c r="E259" s="371"/>
      <c r="F259" s="371"/>
      <c r="G259" s="371"/>
      <c r="H259" s="371"/>
      <c r="I259" s="371"/>
      <c r="J259" s="371"/>
      <c r="K259" s="371"/>
      <c r="L259" s="371"/>
      <c r="M259" s="371"/>
      <c r="N259" s="371"/>
      <c r="O259" s="371"/>
      <c r="P259" s="371"/>
      <c r="Q259" s="371"/>
      <c r="R259" s="24"/>
      <c r="S259" s="24" t="str">
        <f ca="1">Summon!$I$6</f>
        <v>斩击</v>
      </c>
      <c r="T259" s="371"/>
      <c r="U259" s="371"/>
      <c r="V259" s="371"/>
      <c r="W259" s="148"/>
    </row>
    <row r="260" spans="1:23" ht="12.75" x14ac:dyDescent="0.2">
      <c r="A260" s="148"/>
      <c r="B260" s="544"/>
      <c r="C260" s="544"/>
      <c r="D260" s="544"/>
      <c r="E260" s="544"/>
      <c r="F260" s="544"/>
      <c r="G260" s="544"/>
      <c r="H260" s="544"/>
      <c r="I260" s="544"/>
      <c r="J260" s="544"/>
      <c r="K260" s="544"/>
      <c r="L260" s="544"/>
      <c r="M260" s="544"/>
      <c r="N260" s="544"/>
      <c r="O260" s="544"/>
      <c r="P260" s="544"/>
      <c r="Q260" s="544"/>
      <c r="R260" s="150"/>
      <c r="S260" s="150" t="str">
        <f ca="1">Summon!$I$4</f>
        <v>战斗</v>
      </c>
      <c r="T260" s="544"/>
      <c r="U260" s="544"/>
      <c r="V260" s="544"/>
      <c r="W260" s="148"/>
    </row>
    <row r="261" spans="1:23" ht="12.75" x14ac:dyDescent="0.2">
      <c r="A261" s="148"/>
      <c r="B261" s="410" t="str">
        <f ca="1">语言!$A$2087</f>
        <v>酒馆的客人</v>
      </c>
      <c r="C261" s="148" t="b">
        <v>0</v>
      </c>
      <c r="D261" s="25" t="str">
        <f ca="1">道具!$C$439</f>
        <v>铁制盔甲</v>
      </c>
      <c r="E261" s="543" t="b">
        <v>0</v>
      </c>
      <c r="F261" s="409" t="str">
        <f ca="1">语言!$A$33&amp;"
"&amp;道具!$C$94</f>
        <v>隐藏道具的资讯
空空的钱包</v>
      </c>
      <c r="G261" s="543" t="b">
        <v>0</v>
      </c>
      <c r="H261" s="545" t="s">
        <v>55</v>
      </c>
      <c r="I261" s="409">
        <v>6</v>
      </c>
      <c r="J261" s="409"/>
      <c r="K261" s="409"/>
      <c r="L261" s="409"/>
      <c r="M261" s="409"/>
      <c r="N261" s="409"/>
      <c r="O261" s="409" t="str">
        <f ca="1">道具!$C$233</f>
        <v>历战之斧</v>
      </c>
      <c r="P261" s="543"/>
      <c r="Q261" s="545" t="s">
        <v>55</v>
      </c>
      <c r="R261" s="24"/>
      <c r="S261" s="24" t="str">
        <f ca="1">Summon!$I$34</f>
        <v>无双突刺</v>
      </c>
      <c r="T261" s="545">
        <v>4</v>
      </c>
      <c r="U261" s="543"/>
      <c r="V261" s="409"/>
      <c r="W261" s="148"/>
    </row>
    <row r="262" spans="1:23" ht="12.75" x14ac:dyDescent="0.2">
      <c r="A262" s="148"/>
      <c r="B262" s="371"/>
      <c r="C262" s="148" t="b">
        <v>0</v>
      </c>
      <c r="D262" s="25" t="str">
        <f ca="1">道具!$C$14</f>
        <v>复活的橄榄</v>
      </c>
      <c r="E262" s="371"/>
      <c r="F262" s="371"/>
      <c r="G262" s="371"/>
      <c r="H262" s="371"/>
      <c r="I262" s="371"/>
      <c r="J262" s="371"/>
      <c r="K262" s="371"/>
      <c r="L262" s="371"/>
      <c r="M262" s="371"/>
      <c r="N262" s="371"/>
      <c r="O262" s="371"/>
      <c r="P262" s="371"/>
      <c r="Q262" s="371"/>
      <c r="R262" s="24"/>
      <c r="S262" s="24" t="str">
        <f ca="1">Summon!$I$31</f>
        <v>要害突刺</v>
      </c>
      <c r="T262" s="371"/>
      <c r="U262" s="371"/>
      <c r="V262" s="371"/>
      <c r="W262" s="148"/>
    </row>
    <row r="263" spans="1:23" ht="12.75" x14ac:dyDescent="0.2">
      <c r="A263" s="148"/>
      <c r="B263" s="544"/>
      <c r="C263" s="152" t="b">
        <v>0</v>
      </c>
      <c r="D263" s="151" t="str">
        <f ca="1">道具!$C$267</f>
        <v>铁斧</v>
      </c>
      <c r="E263" s="544"/>
      <c r="F263" s="544"/>
      <c r="G263" s="544"/>
      <c r="H263" s="544"/>
      <c r="I263" s="544"/>
      <c r="J263" s="544"/>
      <c r="K263" s="544"/>
      <c r="L263" s="544"/>
      <c r="M263" s="544"/>
      <c r="N263" s="544"/>
      <c r="O263" s="544"/>
      <c r="P263" s="544"/>
      <c r="Q263" s="544"/>
      <c r="R263" s="150"/>
      <c r="S263" s="150" t="str">
        <f ca="1">Summon!$I$4</f>
        <v>战斗</v>
      </c>
      <c r="T263" s="544"/>
      <c r="U263" s="544"/>
      <c r="V263" s="544"/>
      <c r="W263" s="148"/>
    </row>
    <row r="264" spans="1:23" ht="12.75" x14ac:dyDescent="0.2">
      <c r="A264" s="148"/>
      <c r="B264" s="480" t="str">
        <f ca="1">语言!$A$1837</f>
        <v>持有勋章的醉汉</v>
      </c>
      <c r="C264" s="148" t="b">
        <v>0</v>
      </c>
      <c r="D264" s="25" t="str">
        <f ca="1">道具!$C$36</f>
        <v>雷之精灵石</v>
      </c>
      <c r="E264" s="543" t="b">
        <v>0</v>
      </c>
      <c r="F264" s="409" t="str">
        <f ca="1">语言!$A$23</f>
        <v>无</v>
      </c>
      <c r="G264" s="543" t="b">
        <v>0</v>
      </c>
      <c r="H264" s="545" t="s">
        <v>50</v>
      </c>
      <c r="I264" s="409">
        <v>4</v>
      </c>
      <c r="J264" s="409"/>
      <c r="K264" s="409"/>
      <c r="L264" s="409"/>
      <c r="M264" s="409"/>
      <c r="N264" s="409"/>
      <c r="O264" s="409" t="str">
        <f ca="1">"* "&amp;道具!$F$70</f>
        <v>* 誓约的勋章</v>
      </c>
      <c r="P264" s="543"/>
      <c r="Q264" s="545" t="s">
        <v>50</v>
      </c>
      <c r="R264" s="24"/>
      <c r="S264" s="24" t="str">
        <f ca="1">Summon!$I$140</f>
        <v>毒药</v>
      </c>
      <c r="T264" s="545">
        <v>7</v>
      </c>
      <c r="U264" s="543"/>
      <c r="V264" s="409" t="str">
        <f ca="1">"NPC available after "&amp;语言!$A$36&amp;" chapter 1
Disapear after "&amp;语言!$A$47&amp;" / "&amp;语言!$A$51&amp;""</f>
        <v>NPC available after 赛拉斯 chapter 1
Disapear after 比试 / 唆使</v>
      </c>
      <c r="W264" s="148"/>
    </row>
    <row r="265" spans="1:23" ht="12.75" x14ac:dyDescent="0.2">
      <c r="A265" s="148"/>
      <c r="B265" s="371"/>
      <c r="C265" s="148" t="b">
        <v>0</v>
      </c>
      <c r="D265" s="25" t="str">
        <f ca="1">道具!$C$502</f>
        <v>会心耳环</v>
      </c>
      <c r="E265" s="371"/>
      <c r="F265" s="371"/>
      <c r="G265" s="371"/>
      <c r="H265" s="371"/>
      <c r="I265" s="371"/>
      <c r="J265" s="371"/>
      <c r="K265" s="371"/>
      <c r="L265" s="371"/>
      <c r="M265" s="371"/>
      <c r="N265" s="371"/>
      <c r="O265" s="371"/>
      <c r="P265" s="371"/>
      <c r="Q265" s="371"/>
      <c r="R265" s="24"/>
      <c r="S265" s="24" t="str">
        <f ca="1">Summon!$I$31</f>
        <v>要害突刺</v>
      </c>
      <c r="T265" s="371"/>
      <c r="U265" s="371"/>
      <c r="V265" s="371"/>
      <c r="W265" s="148"/>
    </row>
    <row r="266" spans="1:23" ht="12.75" x14ac:dyDescent="0.2">
      <c r="A266" s="148"/>
      <c r="B266" s="544"/>
      <c r="C266" s="152"/>
      <c r="D266" s="151"/>
      <c r="E266" s="544"/>
      <c r="F266" s="544"/>
      <c r="G266" s="544"/>
      <c r="H266" s="544"/>
      <c r="I266" s="544"/>
      <c r="J266" s="544"/>
      <c r="K266" s="544"/>
      <c r="L266" s="544"/>
      <c r="M266" s="544"/>
      <c r="N266" s="544"/>
      <c r="O266" s="544"/>
      <c r="P266" s="544"/>
      <c r="Q266" s="544"/>
      <c r="R266" s="150"/>
      <c r="S266" s="150" t="str">
        <f ca="1">Summon!$I$4</f>
        <v>战斗</v>
      </c>
      <c r="T266" s="544"/>
      <c r="U266" s="544"/>
      <c r="V266" s="544"/>
      <c r="W266" s="148"/>
    </row>
    <row r="267" spans="1:23" ht="12.75" x14ac:dyDescent="0.2">
      <c r="A267" s="148"/>
      <c r="B267" s="410" t="str">
        <f ca="1">语言!$A$2009</f>
        <v>死缠烂打的商人</v>
      </c>
      <c r="C267" s="148" t="b">
        <v>0</v>
      </c>
      <c r="D267" s="25" t="str">
        <f ca="1">道具!$C$355</f>
        <v>小圆盾</v>
      </c>
      <c r="E267" s="543" t="b">
        <v>0</v>
      </c>
      <c r="F267" s="409" t="str">
        <f ca="1">语言!$A$23</f>
        <v>无</v>
      </c>
      <c r="G267" s="543" t="b">
        <v>0</v>
      </c>
      <c r="H267" s="545" t="s">
        <v>46</v>
      </c>
      <c r="I267" s="409">
        <v>3</v>
      </c>
      <c r="J267" s="409"/>
      <c r="K267" s="409"/>
      <c r="L267" s="409"/>
      <c r="M267" s="409"/>
      <c r="N267" s="409"/>
      <c r="O267" s="409" t="str">
        <f ca="1">道具!$C$537</f>
        <v>毒利米树之叶</v>
      </c>
      <c r="P267" s="543"/>
      <c r="Q267" s="545" t="s">
        <v>46</v>
      </c>
      <c r="R267" s="24"/>
      <c r="S267" s="24" t="str">
        <f ca="1">Summon!$I$175</f>
        <v>物理提升</v>
      </c>
      <c r="T267" s="545">
        <v>8</v>
      </c>
      <c r="U267" s="543"/>
      <c r="V267" s="409" t="str">
        <f ca="1">"NPC available after "&amp;语言!$A$36&amp;" chapter 1"</f>
        <v>NPC available after 赛拉斯 chapter 1</v>
      </c>
      <c r="W267" s="148"/>
    </row>
    <row r="268" spans="1:23" ht="12.75" x14ac:dyDescent="0.2">
      <c r="A268" s="148"/>
      <c r="B268" s="371"/>
      <c r="C268" s="148" t="b">
        <v>0</v>
      </c>
      <c r="D268" s="25" t="str">
        <f ca="1">道具!$C$397</f>
        <v>尖帽子</v>
      </c>
      <c r="E268" s="371"/>
      <c r="F268" s="371"/>
      <c r="G268" s="371"/>
      <c r="H268" s="371"/>
      <c r="I268" s="371"/>
      <c r="J268" s="371"/>
      <c r="K268" s="371"/>
      <c r="L268" s="371"/>
      <c r="M268" s="371"/>
      <c r="N268" s="371"/>
      <c r="O268" s="371"/>
      <c r="P268" s="371"/>
      <c r="Q268" s="371"/>
      <c r="R268" s="24"/>
      <c r="S268" s="24" t="str">
        <f ca="1">Summon!$I$30</f>
        <v>突刺</v>
      </c>
      <c r="T268" s="371"/>
      <c r="U268" s="371"/>
      <c r="V268" s="371"/>
      <c r="W268" s="148"/>
    </row>
    <row r="269" spans="1:23" ht="12.75" x14ac:dyDescent="0.2">
      <c r="A269" s="148"/>
      <c r="B269" s="544"/>
      <c r="C269" s="152" t="b">
        <v>0</v>
      </c>
      <c r="D269" s="151" t="str">
        <f ca="1">道具!$C$450</f>
        <v>青铜背心</v>
      </c>
      <c r="E269" s="544"/>
      <c r="F269" s="544"/>
      <c r="G269" s="544"/>
      <c r="H269" s="544"/>
      <c r="I269" s="544"/>
      <c r="J269" s="544"/>
      <c r="K269" s="544"/>
      <c r="L269" s="544"/>
      <c r="M269" s="544"/>
      <c r="N269" s="544"/>
      <c r="O269" s="544"/>
      <c r="P269" s="544"/>
      <c r="Q269" s="544"/>
      <c r="R269" s="150"/>
      <c r="S269" s="150" t="str">
        <f ca="1">Summon!$I$4</f>
        <v>战斗</v>
      </c>
      <c r="T269" s="544"/>
      <c r="U269" s="544"/>
      <c r="V269" s="544"/>
      <c r="W269" s="148"/>
    </row>
    <row r="270" spans="1:23" ht="12.75" x14ac:dyDescent="0.2">
      <c r="A270" s="148"/>
      <c r="B270" s="410" t="str">
        <f ca="1">语言!$A$1775</f>
        <v>药师</v>
      </c>
      <c r="C270" s="148" t="b">
        <v>0</v>
      </c>
      <c r="D270" s="25" t="str">
        <f ca="1">道具!$C$528</f>
        <v>药的素材</v>
      </c>
      <c r="E270" s="543" t="b">
        <v>0</v>
      </c>
      <c r="F270" s="409" t="str">
        <f ca="1">语言!$A$29</f>
        <v>「引导」必须等级降低资讯</v>
      </c>
      <c r="G270" s="543" t="b">
        <v>0</v>
      </c>
      <c r="H270" s="545" t="s">
        <v>48</v>
      </c>
      <c r="I270" s="409">
        <v>2</v>
      </c>
      <c r="J270" s="409"/>
      <c r="K270" s="409"/>
      <c r="L270" s="409"/>
      <c r="M270" s="409"/>
      <c r="N270" s="409"/>
      <c r="O270" s="409" t="str">
        <f ca="1">道具!$C$3</f>
        <v>ＨＰ恢复的葡萄</v>
      </c>
      <c r="P270" s="543"/>
      <c r="Q270" s="545" t="s">
        <v>48</v>
      </c>
      <c r="R270" s="409"/>
      <c r="S270" s="409" t="str">
        <f ca="1">Summon!$I$176</f>
        <v>精神提升</v>
      </c>
      <c r="T270" s="545">
        <v>9</v>
      </c>
      <c r="U270" s="543"/>
      <c r="V270" s="409"/>
      <c r="W270" s="148"/>
    </row>
    <row r="271" spans="1:23" ht="12.75" x14ac:dyDescent="0.2">
      <c r="A271" s="148"/>
      <c r="B271" s="371"/>
      <c r="C271" s="148" t="b">
        <v>0</v>
      </c>
      <c r="D271" s="25" t="str">
        <f ca="1">道具!$C$529</f>
        <v>药的素材（扩散）</v>
      </c>
      <c r="E271" s="371"/>
      <c r="F271" s="371"/>
      <c r="G271" s="371"/>
      <c r="H271" s="371"/>
      <c r="I271" s="371"/>
      <c r="J271" s="371"/>
      <c r="K271" s="371"/>
      <c r="L271" s="371"/>
      <c r="M271" s="371"/>
      <c r="N271" s="371"/>
      <c r="O271" s="371"/>
      <c r="P271" s="371"/>
      <c r="Q271" s="371"/>
      <c r="R271" s="371"/>
      <c r="S271" s="371"/>
      <c r="T271" s="371"/>
      <c r="U271" s="371"/>
      <c r="V271" s="371"/>
      <c r="W271" s="148"/>
    </row>
    <row r="272" spans="1:23" ht="12.75" x14ac:dyDescent="0.2">
      <c r="A272" s="148"/>
      <c r="B272" s="371"/>
      <c r="C272" s="148" t="b">
        <v>0</v>
      </c>
      <c r="D272" s="25" t="str">
        <f ca="1">道具!$C$540</f>
        <v>葡萄树液</v>
      </c>
      <c r="E272" s="371"/>
      <c r="F272" s="371"/>
      <c r="G272" s="371"/>
      <c r="H272" s="371"/>
      <c r="I272" s="371"/>
      <c r="J272" s="371"/>
      <c r="K272" s="371"/>
      <c r="L272" s="371"/>
      <c r="M272" s="371"/>
      <c r="N272" s="371"/>
      <c r="O272" s="371"/>
      <c r="P272" s="371"/>
      <c r="Q272" s="371"/>
      <c r="R272" s="409"/>
      <c r="S272" s="409" t="str">
        <f ca="1">Summon!$I$78</f>
        <v>火焰魔法</v>
      </c>
      <c r="T272" s="371"/>
      <c r="U272" s="371"/>
      <c r="V272" s="371"/>
      <c r="W272" s="148"/>
    </row>
    <row r="273" spans="1:23" ht="12.75" x14ac:dyDescent="0.2">
      <c r="A273" s="148"/>
      <c r="B273" s="371"/>
      <c r="C273" s="148" t="b">
        <v>0</v>
      </c>
      <c r="D273" s="25" t="str">
        <f ca="1">道具!$C$541</f>
        <v>李子树液</v>
      </c>
      <c r="E273" s="371"/>
      <c r="F273" s="371"/>
      <c r="G273" s="371"/>
      <c r="H273" s="371"/>
      <c r="I273" s="371"/>
      <c r="J273" s="371"/>
      <c r="K273" s="371"/>
      <c r="L273" s="371"/>
      <c r="M273" s="371"/>
      <c r="N273" s="371"/>
      <c r="O273" s="371"/>
      <c r="P273" s="371"/>
      <c r="Q273" s="371"/>
      <c r="R273" s="371"/>
      <c r="S273" s="371"/>
      <c r="T273" s="371"/>
      <c r="U273" s="371"/>
      <c r="V273" s="371"/>
      <c r="W273" s="148"/>
    </row>
    <row r="274" spans="1:23" ht="12.75" x14ac:dyDescent="0.2">
      <c r="A274" s="147"/>
      <c r="B274" s="547" t="str">
        <f ca="1">语言!$A$347</f>
        <v>阿特拉斯达姆 -王城前-</v>
      </c>
      <c r="C274" s="371"/>
      <c r="D274" s="371"/>
      <c r="E274" s="371"/>
      <c r="F274" s="371"/>
      <c r="G274" s="371"/>
      <c r="H274" s="371"/>
      <c r="I274" s="371"/>
      <c r="J274" s="371"/>
      <c r="K274" s="371"/>
      <c r="L274" s="371"/>
      <c r="M274" s="371"/>
      <c r="N274" s="371"/>
      <c r="O274" s="371"/>
      <c r="P274" s="371"/>
      <c r="Q274" s="371"/>
      <c r="R274" s="371"/>
      <c r="S274" s="371"/>
      <c r="T274" s="371"/>
      <c r="U274" s="371"/>
      <c r="V274" s="371"/>
      <c r="W274" s="147"/>
    </row>
    <row r="275" spans="1:23" ht="12.75" x14ac:dyDescent="0.2">
      <c r="A275" s="148"/>
      <c r="B275" s="410" t="str">
        <f ca="1">语言!$A$1903</f>
        <v>卫兵</v>
      </c>
      <c r="C275" s="543" t="b">
        <v>0</v>
      </c>
      <c r="D275" s="410" t="str">
        <f ca="1">道具!$C$495</f>
        <v>体力耳环</v>
      </c>
      <c r="E275" s="543" t="b">
        <v>0</v>
      </c>
      <c r="F275" s="409" t="str">
        <f ca="1">语言!$A$33&amp;"
"&amp;道具!$C$43</f>
        <v>隐藏道具的资讯
光之精灵石</v>
      </c>
      <c r="G275" s="543" t="b">
        <v>0</v>
      </c>
      <c r="H275" s="545" t="s">
        <v>50</v>
      </c>
      <c r="I275" s="409">
        <v>4</v>
      </c>
      <c r="J275" s="409"/>
      <c r="K275" s="409"/>
      <c r="L275" s="409"/>
      <c r="M275" s="409"/>
      <c r="N275" s="409"/>
      <c r="O275" s="409" t="str">
        <f ca="1">道具!$C$284</f>
        <v>精神弓</v>
      </c>
      <c r="P275" s="543"/>
      <c r="Q275" s="545" t="s">
        <v>50</v>
      </c>
      <c r="R275" s="24"/>
      <c r="S275" s="24" t="str">
        <f ca="1">Summon!$I$64</f>
        <v>精准射击</v>
      </c>
      <c r="T275" s="545">
        <v>7</v>
      </c>
      <c r="U275" s="543"/>
      <c r="V275" s="409"/>
      <c r="W275" s="148"/>
    </row>
    <row r="276" spans="1:23" ht="12.75" x14ac:dyDescent="0.2">
      <c r="A276" s="148"/>
      <c r="B276" s="371"/>
      <c r="C276" s="371"/>
      <c r="D276" s="371"/>
      <c r="E276" s="371"/>
      <c r="F276" s="371"/>
      <c r="G276" s="371"/>
      <c r="H276" s="371"/>
      <c r="I276" s="371"/>
      <c r="J276" s="371"/>
      <c r="K276" s="371"/>
      <c r="L276" s="371"/>
      <c r="M276" s="371"/>
      <c r="N276" s="371"/>
      <c r="O276" s="371"/>
      <c r="P276" s="371"/>
      <c r="Q276" s="371"/>
      <c r="R276" s="24"/>
      <c r="S276" s="24" t="str">
        <f ca="1">Summon!$I$70</f>
        <v>乱射</v>
      </c>
      <c r="T276" s="371"/>
      <c r="U276" s="371"/>
      <c r="V276" s="371"/>
      <c r="W276" s="148"/>
    </row>
    <row r="277" spans="1:23" ht="12.75" x14ac:dyDescent="0.2">
      <c r="A277" s="148"/>
      <c r="B277" s="544"/>
      <c r="C277" s="544"/>
      <c r="D277" s="544"/>
      <c r="E277" s="544"/>
      <c r="F277" s="544"/>
      <c r="G277" s="544"/>
      <c r="H277" s="544"/>
      <c r="I277" s="544"/>
      <c r="J277" s="544"/>
      <c r="K277" s="544"/>
      <c r="L277" s="544"/>
      <c r="M277" s="544"/>
      <c r="N277" s="544"/>
      <c r="O277" s="544"/>
      <c r="P277" s="544"/>
      <c r="Q277" s="544"/>
      <c r="R277" s="150"/>
      <c r="S277" s="150" t="str">
        <f ca="1">Summon!$I$4</f>
        <v>战斗</v>
      </c>
      <c r="T277" s="544"/>
      <c r="U277" s="544"/>
      <c r="V277" s="544"/>
      <c r="W277" s="148"/>
    </row>
    <row r="278" spans="1:23" ht="12.75" x14ac:dyDescent="0.2">
      <c r="A278" s="148"/>
      <c r="B278" s="410" t="str">
        <f ca="1">语言!$A$1862&amp;" (1)"</f>
        <v>想当随从的青年 /
青年随从 (1)</v>
      </c>
      <c r="C278" s="543" t="b">
        <v>0</v>
      </c>
      <c r="D278" s="410" t="str">
        <f ca="1">道具!$C$544</f>
        <v>神秘之花</v>
      </c>
      <c r="E278" s="543" t="b">
        <v>0</v>
      </c>
      <c r="F278" s="409" t="str">
        <f ca="1">语言!$A$23</f>
        <v>无</v>
      </c>
      <c r="G278" s="543" t="b">
        <v>0</v>
      </c>
      <c r="H278" s="545" t="s">
        <v>57</v>
      </c>
      <c r="I278" s="409">
        <v>3</v>
      </c>
      <c r="J278" s="409"/>
      <c r="K278" s="409"/>
      <c r="L278" s="409"/>
      <c r="M278" s="409"/>
      <c r="N278" s="409"/>
      <c r="O278" s="409" t="str">
        <f ca="1">道具!$C$86</f>
        <v>手帕</v>
      </c>
      <c r="P278" s="543"/>
      <c r="Q278" s="545" t="s">
        <v>57</v>
      </c>
      <c r="R278" s="24"/>
      <c r="S278" s="24" t="str">
        <f ca="1">Summon!$I$9</f>
        <v>高速推进</v>
      </c>
      <c r="T278" s="545">
        <v>8</v>
      </c>
      <c r="U278" s="543"/>
      <c r="V278" s="409" t="str">
        <f ca="1">"NPC available after "&amp;语言!$A$36&amp;" chapter 1
Moves to "&amp;语言!$A$472&amp;" after quest: "&amp;支线!$C$109&amp;"
("&amp;语言!$A$44&amp;" / "&amp;语言!$A$48&amp;" solution only)"</f>
        <v>NPC available after 赛拉斯 chapter 1
Moves to 南欧亚威尔崖道 after quest: 梦想家贵族
(引导 / 诱惑 solution only)</v>
      </c>
      <c r="W278" s="148"/>
    </row>
    <row r="279" spans="1:23" ht="12.75" x14ac:dyDescent="0.2">
      <c r="A279" s="148"/>
      <c r="B279" s="371"/>
      <c r="C279" s="371"/>
      <c r="D279" s="371"/>
      <c r="E279" s="371"/>
      <c r="F279" s="371"/>
      <c r="G279" s="371"/>
      <c r="H279" s="371"/>
      <c r="I279" s="371"/>
      <c r="J279" s="371"/>
      <c r="K279" s="371"/>
      <c r="L279" s="371"/>
      <c r="M279" s="371"/>
      <c r="N279" s="371"/>
      <c r="O279" s="371"/>
      <c r="P279" s="371"/>
      <c r="Q279" s="371"/>
      <c r="R279" s="24"/>
      <c r="S279" s="24" t="str">
        <f ca="1">Summon!$I$6</f>
        <v>斩击</v>
      </c>
      <c r="T279" s="371"/>
      <c r="U279" s="371"/>
      <c r="V279" s="371"/>
      <c r="W279" s="148"/>
    </row>
    <row r="280" spans="1:23" ht="12.75" x14ac:dyDescent="0.2">
      <c r="A280" s="148"/>
      <c r="B280" s="544"/>
      <c r="C280" s="544"/>
      <c r="D280" s="544"/>
      <c r="E280" s="544"/>
      <c r="F280" s="544"/>
      <c r="G280" s="544"/>
      <c r="H280" s="544"/>
      <c r="I280" s="544"/>
      <c r="J280" s="544"/>
      <c r="K280" s="544"/>
      <c r="L280" s="544"/>
      <c r="M280" s="544"/>
      <c r="N280" s="544"/>
      <c r="O280" s="544"/>
      <c r="P280" s="544"/>
      <c r="Q280" s="544"/>
      <c r="R280" s="150"/>
      <c r="S280" s="150" t="str">
        <f ca="1">Summon!$I$4</f>
        <v>战斗</v>
      </c>
      <c r="T280" s="544"/>
      <c r="U280" s="544"/>
      <c r="V280" s="544"/>
      <c r="W280" s="148"/>
    </row>
    <row r="281" spans="1:23" ht="12.75" x14ac:dyDescent="0.2">
      <c r="A281" s="148"/>
      <c r="B281" s="410" t="str">
        <f ca="1">语言!$A$1907</f>
        <v>守卫</v>
      </c>
      <c r="C281" s="148" t="b">
        <v>0</v>
      </c>
      <c r="D281" s="25" t="str">
        <f ca="1">道具!$C$36</f>
        <v>雷之精灵石</v>
      </c>
      <c r="E281" s="543" t="b">
        <v>0</v>
      </c>
      <c r="F281" s="409" t="str">
        <f ca="1">语言!$A$23&amp;" /
"&amp;道具!$I$49</f>
        <v>无 /
守卫的近况</v>
      </c>
      <c r="G281" s="543" t="b">
        <v>0</v>
      </c>
      <c r="H281" s="545" t="s">
        <v>49</v>
      </c>
      <c r="I281" s="409">
        <v>4</v>
      </c>
      <c r="J281" s="409"/>
      <c r="K281" s="409"/>
      <c r="L281" s="409"/>
      <c r="M281" s="409"/>
      <c r="N281" s="409"/>
      <c r="O281" s="409" t="str">
        <f ca="1">道具!$C$40</f>
        <v>风之精灵石（大）</v>
      </c>
      <c r="P281" s="543"/>
      <c r="Q281" s="545" t="s">
        <v>49</v>
      </c>
      <c r="R281" s="24"/>
      <c r="S281" s="155" t="str">
        <f ca="1">Summon!$I$65</f>
        <v>剧毒之矢</v>
      </c>
      <c r="T281" s="545">
        <v>7</v>
      </c>
      <c r="U281" s="543"/>
      <c r="V281" s="409" t="str">
        <f ca="1">"Can't "&amp;语言!$A$49&amp;" or "&amp;语言!$A$44&amp;", only "&amp;语言!$A$45&amp;" and "&amp;语言!$A$48&amp;"
"&amp;道具!$I$49&amp;" available only during "&amp;语言!$A$36&amp;" Chapter 1 tale"</f>
        <v>Can't 打听 or 引导, only 探查 and 诱惑
守卫的近况 available only during 赛拉斯 Chapter 1 tale</v>
      </c>
      <c r="W281" s="148"/>
    </row>
    <row r="282" spans="1:23" ht="12.75" x14ac:dyDescent="0.2">
      <c r="A282" s="148"/>
      <c r="B282" s="371"/>
      <c r="C282" s="148" t="b">
        <v>0</v>
      </c>
      <c r="D282" s="25" t="str">
        <f ca="1">道具!$C$43</f>
        <v>光之精灵石</v>
      </c>
      <c r="E282" s="371"/>
      <c r="F282" s="371"/>
      <c r="G282" s="371"/>
      <c r="H282" s="371"/>
      <c r="I282" s="371"/>
      <c r="J282" s="371"/>
      <c r="K282" s="371"/>
      <c r="L282" s="371"/>
      <c r="M282" s="371"/>
      <c r="N282" s="371"/>
      <c r="O282" s="371"/>
      <c r="P282" s="371"/>
      <c r="Q282" s="371"/>
      <c r="R282" s="24"/>
      <c r="S282" s="155" t="str">
        <f ca="1">Summon!$I$64</f>
        <v>精准射击</v>
      </c>
      <c r="T282" s="371"/>
      <c r="U282" s="371"/>
      <c r="V282" s="371"/>
      <c r="W282" s="148"/>
    </row>
    <row r="283" spans="1:23" ht="12.75" x14ac:dyDescent="0.2">
      <c r="A283" s="148"/>
      <c r="B283" s="544"/>
      <c r="C283" s="152"/>
      <c r="D283" s="151"/>
      <c r="E283" s="544"/>
      <c r="F283" s="544"/>
      <c r="G283" s="544"/>
      <c r="H283" s="544"/>
      <c r="I283" s="544"/>
      <c r="J283" s="544"/>
      <c r="K283" s="544"/>
      <c r="L283" s="544"/>
      <c r="M283" s="544"/>
      <c r="N283" s="544"/>
      <c r="O283" s="544"/>
      <c r="P283" s="544"/>
      <c r="Q283" s="544"/>
      <c r="R283" s="150"/>
      <c r="S283" s="156" t="str">
        <f ca="1">Summon!$I$4</f>
        <v>战斗</v>
      </c>
      <c r="T283" s="544"/>
      <c r="U283" s="544"/>
      <c r="V283" s="544"/>
      <c r="W283" s="148"/>
    </row>
    <row r="284" spans="1:23" ht="12.75" x14ac:dyDescent="0.2">
      <c r="A284" s="148"/>
      <c r="B284" s="410" t="str">
        <f ca="1">语言!$A$1975</f>
        <v>商人</v>
      </c>
      <c r="C284" s="148" t="b">
        <v>0</v>
      </c>
      <c r="D284" s="25" t="str">
        <f ca="1">道具!$C$394</f>
        <v>银发饰</v>
      </c>
      <c r="E284" s="543" t="b">
        <v>0</v>
      </c>
      <c r="F284" s="409" t="str">
        <f ca="1">语言!$A$33&amp;"
"&amp;道具!$C$97</f>
        <v>隐藏道具的资讯
大鸟的羽毛</v>
      </c>
      <c r="G284" s="543" t="b">
        <v>0</v>
      </c>
      <c r="H284" s="545" t="s">
        <v>48</v>
      </c>
      <c r="I284" s="409">
        <v>2</v>
      </c>
      <c r="J284" s="409"/>
      <c r="K284" s="409"/>
      <c r="L284" s="409"/>
      <c r="M284" s="409"/>
      <c r="N284" s="409"/>
      <c r="O284" s="409" t="str">
        <f ca="1">道具!$C$6</f>
        <v>ＳＰ恢复的李子</v>
      </c>
      <c r="P284" s="543"/>
      <c r="Q284" s="545" t="s">
        <v>48</v>
      </c>
      <c r="R284" s="24"/>
      <c r="S284" s="24" t="str">
        <f ca="1">Summon!$I$42</f>
        <v>猛击</v>
      </c>
      <c r="T284" s="545">
        <v>9</v>
      </c>
      <c r="U284" s="543"/>
      <c r="V284" s="409" t="str">
        <f ca="1">"NPC available after "&amp;语言!$A$36&amp;" chapter 1"</f>
        <v>NPC available after 赛拉斯 chapter 1</v>
      </c>
      <c r="W284" s="148"/>
    </row>
    <row r="285" spans="1:23" ht="12.75" x14ac:dyDescent="0.2">
      <c r="A285" s="148"/>
      <c r="B285" s="371"/>
      <c r="C285" s="148" t="b">
        <v>0</v>
      </c>
      <c r="D285" s="25" t="str">
        <f ca="1">道具!$C$396</f>
        <v>羽毛帽</v>
      </c>
      <c r="E285" s="371"/>
      <c r="F285" s="371"/>
      <c r="G285" s="371"/>
      <c r="H285" s="371"/>
      <c r="I285" s="371"/>
      <c r="J285" s="371"/>
      <c r="K285" s="371"/>
      <c r="L285" s="371"/>
      <c r="M285" s="371"/>
      <c r="N285" s="371"/>
      <c r="O285" s="371"/>
      <c r="P285" s="371"/>
      <c r="Q285" s="371"/>
      <c r="R285" s="24"/>
      <c r="S285" s="24" t="str">
        <f ca="1">Summon!$I$4</f>
        <v>战斗</v>
      </c>
      <c r="T285" s="371"/>
      <c r="U285" s="371"/>
      <c r="V285" s="371"/>
      <c r="W285" s="148"/>
    </row>
    <row r="286" spans="1:23" ht="12.75" x14ac:dyDescent="0.2">
      <c r="A286" s="148"/>
      <c r="B286" s="544"/>
      <c r="C286" s="152" t="b">
        <v>0</v>
      </c>
      <c r="D286" s="151" t="str">
        <f ca="1">道具!$C$451</f>
        <v>亚麻长袍</v>
      </c>
      <c r="E286" s="544"/>
      <c r="F286" s="544"/>
      <c r="G286" s="544"/>
      <c r="H286" s="544"/>
      <c r="I286" s="544"/>
      <c r="J286" s="544"/>
      <c r="K286" s="544"/>
      <c r="L286" s="544"/>
      <c r="M286" s="544"/>
      <c r="N286" s="544"/>
      <c r="O286" s="544"/>
      <c r="P286" s="544"/>
      <c r="Q286" s="544"/>
      <c r="R286" s="150"/>
      <c r="S286" s="150"/>
      <c r="T286" s="544"/>
      <c r="U286" s="544"/>
      <c r="V286" s="544"/>
      <c r="W286" s="148"/>
    </row>
    <row r="287" spans="1:23" ht="12.75" x14ac:dyDescent="0.2">
      <c r="A287" s="148"/>
      <c r="B287" s="410" t="str">
        <f ca="1">语言!$A$2024</f>
        <v>狂热的读书家</v>
      </c>
      <c r="C287" s="543" t="b">
        <v>0</v>
      </c>
      <c r="D287" s="410" t="str">
        <f ca="1">道具!$C$39</f>
        <v>风之精灵石</v>
      </c>
      <c r="E287" s="543" t="b">
        <v>0</v>
      </c>
      <c r="F287" s="409" t="str">
        <f ca="1">语言!$A$23</f>
        <v>无</v>
      </c>
      <c r="G287" s="543" t="b">
        <v>0</v>
      </c>
      <c r="H287" s="545" t="s">
        <v>48</v>
      </c>
      <c r="I287" s="409">
        <v>2</v>
      </c>
      <c r="J287" s="409"/>
      <c r="K287" s="409"/>
      <c r="L287" s="409"/>
      <c r="M287" s="409"/>
      <c r="N287" s="409"/>
      <c r="O287" s="409" t="str">
        <f ca="1">道具!$C$5</f>
        <v>ＨＰ全体恢复的葡萄</v>
      </c>
      <c r="P287" s="543"/>
      <c r="Q287" s="545" t="s">
        <v>48</v>
      </c>
      <c r="R287" s="24"/>
      <c r="S287" s="24" t="str">
        <f ca="1">Summon!$I$114</f>
        <v>全力投掷书本</v>
      </c>
      <c r="T287" s="545">
        <v>9</v>
      </c>
      <c r="U287" s="543"/>
      <c r="V287" s="409" t="str">
        <f ca="1">"NPC available after "&amp;语言!$A$36&amp;" chapter 1"</f>
        <v>NPC available after 赛拉斯 chapter 1</v>
      </c>
      <c r="W287" s="148"/>
    </row>
    <row r="288" spans="1:23" ht="12.75" x14ac:dyDescent="0.2">
      <c r="A288" s="148"/>
      <c r="B288" s="544"/>
      <c r="C288" s="544"/>
      <c r="D288" s="544"/>
      <c r="E288" s="544"/>
      <c r="F288" s="544"/>
      <c r="G288" s="544"/>
      <c r="H288" s="544"/>
      <c r="I288" s="544"/>
      <c r="J288" s="544"/>
      <c r="K288" s="544"/>
      <c r="L288" s="544"/>
      <c r="M288" s="544"/>
      <c r="N288" s="544"/>
      <c r="O288" s="544"/>
      <c r="P288" s="544"/>
      <c r="Q288" s="544"/>
      <c r="R288" s="150"/>
      <c r="S288" s="150" t="str">
        <f ca="1">Summon!$I$4</f>
        <v>战斗</v>
      </c>
      <c r="T288" s="544"/>
      <c r="U288" s="544"/>
      <c r="V288" s="544"/>
      <c r="W288" s="148"/>
    </row>
    <row r="289" spans="1:23" ht="12.75" x14ac:dyDescent="0.2">
      <c r="A289" s="148"/>
      <c r="B289" s="410" t="str">
        <f ca="1">语言!$A$1791</f>
        <v>精明的职员</v>
      </c>
      <c r="C289" s="148" t="b">
        <v>0</v>
      </c>
      <c r="D289" s="25" t="str">
        <f ca="1">道具!$C$33</f>
        <v>冰之精灵石</v>
      </c>
      <c r="E289" s="543" t="b">
        <v>0</v>
      </c>
      <c r="F289" s="409" t="str">
        <f ca="1">语言!$A$23</f>
        <v>无</v>
      </c>
      <c r="G289" s="543" t="b">
        <v>0</v>
      </c>
      <c r="H289" s="545" t="s">
        <v>48</v>
      </c>
      <c r="I289" s="409">
        <v>2</v>
      </c>
      <c r="J289" s="409"/>
      <c r="K289" s="409"/>
      <c r="L289" s="409"/>
      <c r="M289" s="409"/>
      <c r="N289" s="409"/>
      <c r="O289" s="409" t="str">
        <f ca="1">道具!$C$537</f>
        <v>毒利米树之叶</v>
      </c>
      <c r="P289" s="543"/>
      <c r="Q289" s="545" t="s">
        <v>48</v>
      </c>
      <c r="R289" s="24"/>
      <c r="S289" s="24" t="str">
        <f ca="1">Summon!$I$48</f>
        <v>连掷短剑</v>
      </c>
      <c r="T289" s="545">
        <v>9</v>
      </c>
      <c r="U289" s="543"/>
      <c r="V289" s="409" t="str">
        <f ca="1">"NPC available upon starting quest: "&amp;支线!$C$98</f>
        <v>NPC available upon starting quest: 药师杰夫，在那之后（１）</v>
      </c>
      <c r="W289" s="148"/>
    </row>
    <row r="290" spans="1:23" ht="12.75" x14ac:dyDescent="0.2">
      <c r="A290" s="148"/>
      <c r="B290" s="371"/>
      <c r="C290" s="148" t="b">
        <v>0</v>
      </c>
      <c r="D290" s="25" t="str">
        <f ca="1">道具!$C$541</f>
        <v>李子树液</v>
      </c>
      <c r="E290" s="371"/>
      <c r="F290" s="371"/>
      <c r="G290" s="371"/>
      <c r="H290" s="371"/>
      <c r="I290" s="371"/>
      <c r="J290" s="371"/>
      <c r="K290" s="371"/>
      <c r="L290" s="371"/>
      <c r="M290" s="371"/>
      <c r="N290" s="371"/>
      <c r="O290" s="371"/>
      <c r="P290" s="371"/>
      <c r="Q290" s="371"/>
      <c r="R290" s="24"/>
      <c r="S290" s="24" t="str">
        <f ca="1">Summon!$I$42</f>
        <v>猛击</v>
      </c>
      <c r="T290" s="371"/>
      <c r="U290" s="371"/>
      <c r="V290" s="371"/>
      <c r="W290" s="148"/>
    </row>
    <row r="291" spans="1:23" ht="12.75" x14ac:dyDescent="0.2">
      <c r="A291" s="148"/>
      <c r="B291" s="544"/>
      <c r="C291" s="152"/>
      <c r="D291" s="151"/>
      <c r="E291" s="544"/>
      <c r="F291" s="544"/>
      <c r="G291" s="544"/>
      <c r="H291" s="544"/>
      <c r="I291" s="544"/>
      <c r="J291" s="544"/>
      <c r="K291" s="544"/>
      <c r="L291" s="544"/>
      <c r="M291" s="544"/>
      <c r="N291" s="544"/>
      <c r="O291" s="544"/>
      <c r="P291" s="544"/>
      <c r="Q291" s="544"/>
      <c r="R291" s="150"/>
      <c r="S291" s="150" t="str">
        <f ca="1">Summon!$I$4</f>
        <v>战斗</v>
      </c>
      <c r="T291" s="544"/>
      <c r="U291" s="544"/>
      <c r="V291" s="544"/>
      <c r="W291" s="148"/>
    </row>
    <row r="292" spans="1:23" ht="12.75" x14ac:dyDescent="0.2">
      <c r="A292" s="148"/>
      <c r="B292" s="410" t="str">
        <f ca="1">语言!$A$1974&amp;" (1)"</f>
        <v>图书馆员梅赛德斯 (1)</v>
      </c>
      <c r="C292" s="148" t="b">
        <v>0</v>
      </c>
      <c r="D292" s="25" t="str">
        <f ca="1">道具!$C$538</f>
        <v>睡眠花之叶</v>
      </c>
      <c r="E292" s="543" t="b">
        <v>0</v>
      </c>
      <c r="F292" s="409" t="str">
        <f ca="1">语言!$A$23&amp;" /
"&amp;道具!$I$33</f>
        <v>无 /
图书馆员的证词</v>
      </c>
      <c r="G292" s="543" t="b">
        <v>0</v>
      </c>
      <c r="H292" s="545" t="s">
        <v>57</v>
      </c>
      <c r="I292" s="409">
        <v>3</v>
      </c>
      <c r="J292" s="409"/>
      <c r="K292" s="409"/>
      <c r="L292" s="409"/>
      <c r="M292" s="409"/>
      <c r="N292" s="409"/>
      <c r="O292" s="409" t="str">
        <f ca="1">道具!$C$540</f>
        <v>葡萄树液</v>
      </c>
      <c r="P292" s="543"/>
      <c r="Q292" s="545" t="s">
        <v>57</v>
      </c>
      <c r="R292" s="155"/>
      <c r="S292" s="155" t="str">
        <f ca="1">Summon!$I$176</f>
        <v>精神提升</v>
      </c>
      <c r="T292" s="545">
        <v>8</v>
      </c>
      <c r="U292" s="543"/>
      <c r="V292" s="409" t="str">
        <f ca="1">道具!$I$33&amp;" available only during "&amp;语言!$A$36&amp;" Chapter 1 tale
"&amp;语言!$A$49&amp;" &amp; "&amp;语言!$A$44&amp;" / "&amp;语言!$A$48&amp;" available upon starting quest: "&amp;支线!$C$98&amp;"
"&amp;道具!$F$66&amp;" available upon starting quest: "&amp;支线!$C$99&amp;"
Moves to "&amp;语言!$A$435&amp;" after quest: "&amp;支线!$C$99</f>
        <v>图书馆员的证词 available only during 赛拉斯 Chapter 1 tale
打听 &amp; 引导 / 诱惑 available upon starting quest: 药师杰夫，在那之后（１）
图书馆员的信 available upon starting quest: 药师杰夫，在那之后（２）
Moves to 库利亚布鲁克 after quest: 药师杰夫，在那之后（２）</v>
      </c>
      <c r="W292" s="148"/>
    </row>
    <row r="293" spans="1:23" ht="12.75" x14ac:dyDescent="0.2">
      <c r="A293" s="148"/>
      <c r="B293" s="371"/>
      <c r="C293" s="148" t="b">
        <v>0</v>
      </c>
      <c r="D293" s="25" t="str">
        <f ca="1">道具!$C$539</f>
        <v>混乱多之叶</v>
      </c>
      <c r="E293" s="371"/>
      <c r="F293" s="371"/>
      <c r="G293" s="371"/>
      <c r="H293" s="371"/>
      <c r="I293" s="371"/>
      <c r="J293" s="371"/>
      <c r="K293" s="371"/>
      <c r="L293" s="371"/>
      <c r="M293" s="371"/>
      <c r="N293" s="371"/>
      <c r="O293" s="371"/>
      <c r="P293" s="371"/>
      <c r="Q293" s="371"/>
      <c r="R293" s="24"/>
      <c r="S293" s="155" t="str">
        <f ca="1">Summon!$I$98</f>
        <v>光明魔法</v>
      </c>
      <c r="T293" s="371"/>
      <c r="U293" s="371"/>
      <c r="V293" s="371"/>
      <c r="W293" s="148"/>
    </row>
    <row r="294" spans="1:23" ht="12.75" x14ac:dyDescent="0.2">
      <c r="A294" s="148"/>
      <c r="B294" s="371"/>
      <c r="C294" s="148" t="b">
        <v>0</v>
      </c>
      <c r="D294" s="157" t="str">
        <f ca="1">"* "&amp;道具!$F$66</f>
        <v>* 图书馆员的信</v>
      </c>
      <c r="E294" s="371"/>
      <c r="F294" s="371"/>
      <c r="G294" s="371"/>
      <c r="H294" s="371"/>
      <c r="I294" s="371"/>
      <c r="J294" s="371"/>
      <c r="K294" s="371"/>
      <c r="L294" s="371"/>
      <c r="M294" s="371"/>
      <c r="N294" s="371"/>
      <c r="O294" s="371"/>
      <c r="P294" s="371"/>
      <c r="Q294" s="371"/>
      <c r="R294" s="150"/>
      <c r="S294" s="155" t="str">
        <f ca="1">Summon!$I$4</f>
        <v>战斗</v>
      </c>
      <c r="T294" s="371"/>
      <c r="U294" s="371"/>
      <c r="V294" s="371"/>
      <c r="W294" s="148"/>
    </row>
    <row r="295" spans="1:23" ht="12.75" x14ac:dyDescent="0.2">
      <c r="A295" s="148"/>
      <c r="B295" s="544"/>
      <c r="C295" s="152"/>
      <c r="D295" s="158"/>
      <c r="E295" s="544"/>
      <c r="F295" s="544"/>
      <c r="G295" s="544"/>
      <c r="H295" s="544"/>
      <c r="I295" s="544"/>
      <c r="J295" s="544"/>
      <c r="K295" s="544"/>
      <c r="L295" s="544"/>
      <c r="M295" s="544"/>
      <c r="N295" s="544"/>
      <c r="O295" s="544"/>
      <c r="P295" s="544"/>
      <c r="Q295" s="544"/>
      <c r="R295" s="150"/>
      <c r="S295" s="156"/>
      <c r="T295" s="544"/>
      <c r="U295" s="544"/>
      <c r="V295" s="544"/>
      <c r="W295" s="148"/>
    </row>
    <row r="296" spans="1:23" ht="12.75" x14ac:dyDescent="0.2">
      <c r="A296" s="148"/>
      <c r="B296" s="151" t="str">
        <f ca="1">语言!$A$2053&amp;" (1)"</f>
        <v>学者拉赛尔 (1)</v>
      </c>
      <c r="C296" s="152"/>
      <c r="D296" s="159" t="s">
        <v>119</v>
      </c>
      <c r="E296" s="152" t="b">
        <v>0</v>
      </c>
      <c r="F296" s="150" t="str">
        <f ca="1">道具!$I$43</f>
        <v>拉塞尔的近况</v>
      </c>
      <c r="G296" s="152"/>
      <c r="H296" s="153" t="s">
        <v>119</v>
      </c>
      <c r="I296" s="153" t="s">
        <v>119</v>
      </c>
      <c r="J296" s="153" t="s">
        <v>119</v>
      </c>
      <c r="K296" s="153" t="s">
        <v>119</v>
      </c>
      <c r="L296" s="153" t="s">
        <v>119</v>
      </c>
      <c r="M296" s="153" t="s">
        <v>119</v>
      </c>
      <c r="N296" s="153" t="s">
        <v>119</v>
      </c>
      <c r="O296" s="153" t="s">
        <v>119</v>
      </c>
      <c r="P296" s="152"/>
      <c r="Q296" s="153" t="s">
        <v>119</v>
      </c>
      <c r="R296" s="153" t="s">
        <v>119</v>
      </c>
      <c r="S296" s="153" t="s">
        <v>119</v>
      </c>
      <c r="T296" s="153" t="s">
        <v>119</v>
      </c>
      <c r="U296" s="152"/>
      <c r="V296" s="150" t="str">
        <f ca="1">"NPC available only during "&amp;语言!$A$36&amp;"' chapter 1 tale
See him in "&amp;语言!$A$395&amp;" after "&amp;语言!$A$36&amp;" chapter 4"</f>
        <v>NPC available only during 赛拉斯' chapter 1 tale
See him in 斯托冈德 after 赛拉斯 chapter 4</v>
      </c>
      <c r="W296" s="148"/>
    </row>
    <row r="297" spans="1:23" ht="12.75" x14ac:dyDescent="0.2">
      <c r="A297" s="148"/>
      <c r="B297" s="480" t="str">
        <f ca="1">语言!$A$2062&amp;" (2)"</f>
        <v>眼神凶恶的高利贷钱庄 (2)</v>
      </c>
      <c r="C297" s="543" t="b">
        <v>0</v>
      </c>
      <c r="D297" s="410" t="str">
        <f ca="1">道具!$C$540</f>
        <v>葡萄树液</v>
      </c>
      <c r="E297" s="543" t="b">
        <v>0</v>
      </c>
      <c r="F297" s="409" t="str">
        <f ca="1">语言!$A$23</f>
        <v>无</v>
      </c>
      <c r="G297" s="543" t="b">
        <v>0</v>
      </c>
      <c r="H297" s="545" t="s">
        <v>46</v>
      </c>
      <c r="I297" s="409">
        <v>3</v>
      </c>
      <c r="J297" s="409"/>
      <c r="K297" s="409"/>
      <c r="L297" s="409"/>
      <c r="M297" s="409"/>
      <c r="N297" s="409"/>
      <c r="O297" s="409" t="str">
        <f ca="1">道具!$C$261</f>
        <v>魔力之斧</v>
      </c>
      <c r="P297" s="543"/>
      <c r="Q297" s="545" t="s">
        <v>46</v>
      </c>
      <c r="R297" s="24"/>
      <c r="S297" s="24" t="str">
        <f ca="1">Summon!$I$156</f>
        <v>恐吓</v>
      </c>
      <c r="T297" s="545">
        <v>8</v>
      </c>
      <c r="U297" s="543"/>
      <c r="V297" s="409" t="str">
        <f ca="1">"NPC at this location after quest: "&amp;支线!$C$26&amp;"
Disapear after Quest: "&amp;支线!$C$37</f>
        <v>NPC at this location after quest: 教师提拉奇亚（１）
Disapear after Quest: 教师提拉奇亚（３）</v>
      </c>
      <c r="W297" s="148"/>
    </row>
    <row r="298" spans="1:23" ht="12.75" x14ac:dyDescent="0.2">
      <c r="A298" s="148"/>
      <c r="B298" s="371"/>
      <c r="C298" s="371"/>
      <c r="D298" s="371"/>
      <c r="E298" s="371"/>
      <c r="F298" s="371"/>
      <c r="G298" s="371"/>
      <c r="H298" s="371"/>
      <c r="I298" s="371"/>
      <c r="J298" s="371"/>
      <c r="K298" s="371"/>
      <c r="L298" s="371"/>
      <c r="M298" s="371"/>
      <c r="N298" s="371"/>
      <c r="O298" s="371"/>
      <c r="P298" s="371"/>
      <c r="Q298" s="371"/>
      <c r="R298" s="24"/>
      <c r="S298" s="24" t="str">
        <f ca="1">Summon!$I$52</f>
        <v>重拳</v>
      </c>
      <c r="T298" s="371"/>
      <c r="U298" s="371"/>
      <c r="V298" s="371"/>
      <c r="W298" s="148"/>
    </row>
    <row r="299" spans="1:23" ht="12.75" x14ac:dyDescent="0.2">
      <c r="A299" s="148"/>
      <c r="B299" s="544"/>
      <c r="C299" s="544"/>
      <c r="D299" s="544"/>
      <c r="E299" s="544"/>
      <c r="F299" s="544"/>
      <c r="G299" s="544"/>
      <c r="H299" s="544"/>
      <c r="I299" s="544"/>
      <c r="J299" s="544"/>
      <c r="K299" s="544"/>
      <c r="L299" s="544"/>
      <c r="M299" s="544"/>
      <c r="N299" s="544"/>
      <c r="O299" s="544"/>
      <c r="P299" s="544"/>
      <c r="Q299" s="544"/>
      <c r="R299" s="150"/>
      <c r="S299" s="150" t="str">
        <f ca="1">Summon!$I$4</f>
        <v>战斗</v>
      </c>
      <c r="T299" s="544"/>
      <c r="U299" s="544"/>
      <c r="V299" s="544"/>
      <c r="W299" s="148"/>
    </row>
    <row r="300" spans="1:23" ht="12.75" x14ac:dyDescent="0.2">
      <c r="A300" s="148"/>
      <c r="B300" s="410" t="str">
        <f ca="1">语言!$A$1854</f>
        <v>老婆婆</v>
      </c>
      <c r="C300" s="148" t="b">
        <v>0</v>
      </c>
      <c r="D300" s="25" t="str">
        <f ca="1">道具!$C$46</f>
        <v>暗之精灵石</v>
      </c>
      <c r="E300" s="543" t="b">
        <v>0</v>
      </c>
      <c r="F300" s="409" t="str">
        <f ca="1">语言!$A$33&amp;"
"&amp;道具!$C$7</f>
        <v>隐藏道具的资讯
ＳＰ恢复的李子（大）</v>
      </c>
      <c r="G300" s="543" t="b">
        <v>0</v>
      </c>
      <c r="H300" s="545" t="s">
        <v>57</v>
      </c>
      <c r="I300" s="409">
        <v>3</v>
      </c>
      <c r="J300" s="409"/>
      <c r="K300" s="409"/>
      <c r="L300" s="409"/>
      <c r="M300" s="409"/>
      <c r="N300" s="409"/>
      <c r="O300" s="409" t="str">
        <f ca="1">道具!$C$47</f>
        <v>暗之精灵石（大）</v>
      </c>
      <c r="P300" s="543"/>
      <c r="Q300" s="545" t="s">
        <v>57</v>
      </c>
      <c r="R300" s="24"/>
      <c r="S300" s="24" t="str">
        <f ca="1">Summon!$I$80</f>
        <v>大火焰魔法</v>
      </c>
      <c r="T300" s="545">
        <v>8</v>
      </c>
      <c r="U300" s="543"/>
      <c r="V300" s="409"/>
      <c r="W300" s="148"/>
    </row>
    <row r="301" spans="1:23" ht="12.75" x14ac:dyDescent="0.2">
      <c r="A301" s="148"/>
      <c r="B301" s="371"/>
      <c r="C301" s="148" t="b">
        <v>0</v>
      </c>
      <c r="D301" s="25" t="str">
        <f ca="1">道具!$C$14</f>
        <v>复活的橄榄</v>
      </c>
      <c r="E301" s="371"/>
      <c r="F301" s="371"/>
      <c r="G301" s="371"/>
      <c r="H301" s="371"/>
      <c r="I301" s="371"/>
      <c r="J301" s="371"/>
      <c r="K301" s="371"/>
      <c r="L301" s="371"/>
      <c r="M301" s="371"/>
      <c r="N301" s="371"/>
      <c r="O301" s="371"/>
      <c r="P301" s="371"/>
      <c r="Q301" s="371"/>
      <c r="R301" s="24"/>
      <c r="S301" s="24" t="str">
        <f ca="1">Summon!$I$94</f>
        <v>疾风魔法</v>
      </c>
      <c r="T301" s="371"/>
      <c r="U301" s="371"/>
      <c r="V301" s="371"/>
      <c r="W301" s="148"/>
    </row>
    <row r="302" spans="1:23" ht="12.75" x14ac:dyDescent="0.2">
      <c r="A302" s="148"/>
      <c r="B302" s="544"/>
      <c r="C302" s="152"/>
      <c r="D302" s="151"/>
      <c r="E302" s="544"/>
      <c r="F302" s="544"/>
      <c r="G302" s="544"/>
      <c r="H302" s="544"/>
      <c r="I302" s="544"/>
      <c r="J302" s="544"/>
      <c r="K302" s="544"/>
      <c r="L302" s="544"/>
      <c r="M302" s="544"/>
      <c r="N302" s="544"/>
      <c r="O302" s="544"/>
      <c r="P302" s="544"/>
      <c r="Q302" s="544"/>
      <c r="R302" s="150"/>
      <c r="S302" s="150" t="str">
        <f ca="1">Summon!$I$4</f>
        <v>战斗</v>
      </c>
      <c r="T302" s="544"/>
      <c r="U302" s="544"/>
      <c r="V302" s="544"/>
      <c r="W302" s="148"/>
    </row>
    <row r="303" spans="1:23" ht="12.75" x14ac:dyDescent="0.2">
      <c r="A303" s="148"/>
      <c r="B303" s="410" t="str">
        <f ca="1">语言!$A$1943</f>
        <v>消息灵通的米罗</v>
      </c>
      <c r="C303" s="148" t="b">
        <v>0</v>
      </c>
      <c r="D303" s="25" t="str">
        <f ca="1">道具!$C$528</f>
        <v>药的素材</v>
      </c>
      <c r="E303" s="543" t="b">
        <v>0</v>
      </c>
      <c r="F303" s="409" t="str">
        <f ca="1">道具!$I$51</f>
        <v>名为猛辣椒的植物</v>
      </c>
      <c r="G303" s="543" t="b">
        <v>0</v>
      </c>
      <c r="H303" s="545" t="s">
        <v>49</v>
      </c>
      <c r="I303" s="409">
        <v>4</v>
      </c>
      <c r="J303" s="409"/>
      <c r="K303" s="409"/>
      <c r="L303" s="409"/>
      <c r="M303" s="409"/>
      <c r="N303" s="409"/>
      <c r="O303" s="409" t="str">
        <f ca="1">道具!$C$540</f>
        <v>葡萄树液</v>
      </c>
      <c r="P303" s="543"/>
      <c r="Q303" s="545" t="s">
        <v>49</v>
      </c>
      <c r="R303" s="155"/>
      <c r="S303" s="155" t="str">
        <f ca="1">Summon!$I$144</f>
        <v>睡眠药</v>
      </c>
      <c r="T303" s="545">
        <v>7</v>
      </c>
      <c r="U303" s="543"/>
      <c r="V303" s="409" t="str">
        <f ca="1">"NPC available after "&amp;语言!$A$36&amp;" chapter 1
"&amp;语言!$A$44&amp;" / "&amp;语言!$A$48&amp;" available only after quest: "&amp;支线!$C$128&amp;"
("&amp;语言!$A$45&amp;" / "&amp;语言!$A$49&amp;" solution only)"</f>
        <v>NPC available after 赛拉斯 chapter 1
引导 / 诱惑 available only after quest: 无路可退的男子
(探查 / 打听 solution only)</v>
      </c>
      <c r="W303" s="148"/>
    </row>
    <row r="304" spans="1:23" ht="12.75" x14ac:dyDescent="0.2">
      <c r="A304" s="148"/>
      <c r="B304" s="371"/>
      <c r="C304" s="148" t="b">
        <v>0</v>
      </c>
      <c r="D304" s="25" t="str">
        <f ca="1">道具!$C$529</f>
        <v>药的素材（扩散）</v>
      </c>
      <c r="E304" s="371"/>
      <c r="F304" s="371"/>
      <c r="G304" s="371"/>
      <c r="H304" s="371"/>
      <c r="I304" s="371"/>
      <c r="J304" s="371"/>
      <c r="K304" s="371"/>
      <c r="L304" s="371"/>
      <c r="M304" s="371"/>
      <c r="N304" s="371"/>
      <c r="O304" s="371"/>
      <c r="P304" s="371"/>
      <c r="Q304" s="371"/>
      <c r="R304" s="24"/>
      <c r="S304" s="155" t="str">
        <f ca="1">Summon!$I$40</f>
        <v>乱挥</v>
      </c>
      <c r="T304" s="371"/>
      <c r="U304" s="371"/>
      <c r="V304" s="371"/>
      <c r="W304" s="148"/>
    </row>
    <row r="305" spans="1:23" ht="12.75" x14ac:dyDescent="0.2">
      <c r="A305" s="148"/>
      <c r="B305" s="544"/>
      <c r="C305" s="152"/>
      <c r="D305" s="151"/>
      <c r="E305" s="544"/>
      <c r="F305" s="544"/>
      <c r="G305" s="544"/>
      <c r="H305" s="544"/>
      <c r="I305" s="544"/>
      <c r="J305" s="544"/>
      <c r="K305" s="544"/>
      <c r="L305" s="544"/>
      <c r="M305" s="544"/>
      <c r="N305" s="544"/>
      <c r="O305" s="544"/>
      <c r="P305" s="544"/>
      <c r="Q305" s="544"/>
      <c r="R305" s="150"/>
      <c r="S305" s="156" t="str">
        <f ca="1">Summon!$I$4</f>
        <v>战斗</v>
      </c>
      <c r="T305" s="544"/>
      <c r="U305" s="544"/>
      <c r="V305" s="544"/>
      <c r="W305" s="148"/>
    </row>
    <row r="306" spans="1:23" ht="22.5" customHeight="1" x14ac:dyDescent="0.2">
      <c r="A306" s="148"/>
      <c r="B306" s="410" t="str">
        <f ca="1">语言!$A$1910</f>
        <v>美丽的吟游诗人</v>
      </c>
      <c r="C306" s="543" t="b">
        <v>0</v>
      </c>
      <c r="D306" s="410" t="str">
        <f ca="1">道具!$C$43</f>
        <v>光之精灵石</v>
      </c>
      <c r="E306" s="543" t="b">
        <v>0</v>
      </c>
      <c r="F306" s="409" t="str">
        <f ca="1">道具!$I$54</f>
        <v>索克拉丝之诗</v>
      </c>
      <c r="G306" s="543" t="b">
        <v>0</v>
      </c>
      <c r="H306" s="545" t="s">
        <v>57</v>
      </c>
      <c r="I306" s="409">
        <v>3</v>
      </c>
      <c r="J306" s="409"/>
      <c r="K306" s="409"/>
      <c r="L306" s="409"/>
      <c r="M306" s="409"/>
      <c r="N306" s="409"/>
      <c r="O306" s="409" t="str">
        <f ca="1">道具!$C$95</f>
        <v>钱包</v>
      </c>
      <c r="P306" s="543"/>
      <c r="Q306" s="545" t="s">
        <v>57</v>
      </c>
      <c r="R306" s="24"/>
      <c r="S306" s="24" t="str">
        <f ca="1">Summon!$I$42</f>
        <v>猛击</v>
      </c>
      <c r="T306" s="545">
        <v>8</v>
      </c>
      <c r="U306" s="543"/>
      <c r="V306" s="409" t="str">
        <f ca="1">"NPC available after "&amp;语言!$A$36&amp;" chapter 1
"&amp;语言!$A$44&amp;" / "&amp;语言!$A$48&amp;" available only after quest: "&amp;支线!$C$71&amp;"
("&amp;语言!$A$45&amp;" / "&amp;语言!$A$49&amp;" solution only)"</f>
        <v>NPC available after 赛拉斯 chapter 1
引导 / 诱惑 available only after quest: 所谓演员
(探查 / 打听 solution only)</v>
      </c>
      <c r="W306" s="148"/>
    </row>
    <row r="307" spans="1:23" ht="22.5" customHeight="1" x14ac:dyDescent="0.2">
      <c r="A307" s="148"/>
      <c r="B307" s="544"/>
      <c r="C307" s="544"/>
      <c r="D307" s="544"/>
      <c r="E307" s="544"/>
      <c r="F307" s="544"/>
      <c r="G307" s="544"/>
      <c r="H307" s="544"/>
      <c r="I307" s="544"/>
      <c r="J307" s="544"/>
      <c r="K307" s="544"/>
      <c r="L307" s="544"/>
      <c r="M307" s="544"/>
      <c r="N307" s="544"/>
      <c r="O307" s="544"/>
      <c r="P307" s="544"/>
      <c r="Q307" s="544"/>
      <c r="R307" s="150"/>
      <c r="S307" s="150" t="str">
        <f ca="1">Summon!$I$4</f>
        <v>战斗</v>
      </c>
      <c r="T307" s="544"/>
      <c r="U307" s="544"/>
      <c r="V307" s="544"/>
      <c r="W307" s="148"/>
    </row>
    <row r="308" spans="1:23" ht="12.75" x14ac:dyDescent="0.2">
      <c r="A308" s="148"/>
      <c r="B308" s="410" t="str">
        <f ca="1">语言!$A$1903</f>
        <v>卫兵</v>
      </c>
      <c r="C308" s="148" t="b">
        <v>0</v>
      </c>
      <c r="D308" s="25" t="str">
        <f ca="1">道具!$C$97</f>
        <v>大鸟的羽毛</v>
      </c>
      <c r="E308" s="543" t="b">
        <v>0</v>
      </c>
      <c r="F308" s="409" t="str">
        <f ca="1">语言!$A$33&amp;"
"&amp;道具!$C$96</f>
        <v>隐藏道具的资讯
装了破烂儿的小袋子</v>
      </c>
      <c r="G308" s="543" t="b">
        <v>0</v>
      </c>
      <c r="H308" s="545" t="s">
        <v>49</v>
      </c>
      <c r="I308" s="409">
        <v>4</v>
      </c>
      <c r="J308" s="409"/>
      <c r="K308" s="409"/>
      <c r="L308" s="409"/>
      <c r="M308" s="409"/>
      <c r="N308" s="409"/>
      <c r="O308" s="409" t="str">
        <f ca="1">道具!$C$31</f>
        <v>火之精灵石（大）</v>
      </c>
      <c r="P308" s="543"/>
      <c r="Q308" s="545" t="s">
        <v>49</v>
      </c>
      <c r="R308" s="24"/>
      <c r="S308" s="24" t="str">
        <f ca="1">Summon!$I$21</f>
        <v>乱斩</v>
      </c>
      <c r="T308" s="545">
        <v>7</v>
      </c>
      <c r="U308" s="543"/>
      <c r="V308" s="409"/>
      <c r="W308" s="148"/>
    </row>
    <row r="309" spans="1:23" ht="12.75" x14ac:dyDescent="0.2">
      <c r="A309" s="148"/>
      <c r="B309" s="371"/>
      <c r="C309" s="148" t="b">
        <v>0</v>
      </c>
      <c r="D309" s="25" t="str">
        <f ca="1">道具!$C$112</f>
        <v>小杯子</v>
      </c>
      <c r="E309" s="371"/>
      <c r="F309" s="371"/>
      <c r="G309" s="371"/>
      <c r="H309" s="371"/>
      <c r="I309" s="371"/>
      <c r="J309" s="371"/>
      <c r="K309" s="371"/>
      <c r="L309" s="371"/>
      <c r="M309" s="371"/>
      <c r="N309" s="371"/>
      <c r="O309" s="371"/>
      <c r="P309" s="371"/>
      <c r="Q309" s="371"/>
      <c r="R309" s="24"/>
      <c r="S309" s="24" t="str">
        <f ca="1">Summon!$I$6</f>
        <v>斩击</v>
      </c>
      <c r="T309" s="371"/>
      <c r="U309" s="371"/>
      <c r="V309" s="371"/>
      <c r="W309" s="148"/>
    </row>
    <row r="310" spans="1:23" ht="12.75" x14ac:dyDescent="0.2">
      <c r="A310" s="148"/>
      <c r="B310" s="371"/>
      <c r="C310" s="148" t="b">
        <v>0</v>
      </c>
      <c r="D310" s="25" t="str">
        <f ca="1">道具!$C$95</f>
        <v>钱包</v>
      </c>
      <c r="E310" s="371"/>
      <c r="F310" s="371"/>
      <c r="G310" s="371"/>
      <c r="H310" s="371"/>
      <c r="I310" s="371"/>
      <c r="J310" s="371"/>
      <c r="K310" s="371"/>
      <c r="L310" s="371"/>
      <c r="M310" s="371"/>
      <c r="N310" s="371"/>
      <c r="O310" s="371"/>
      <c r="P310" s="371"/>
      <c r="Q310" s="371"/>
      <c r="R310" s="24"/>
      <c r="S310" s="24" t="str">
        <f ca="1">Summon!$I$4</f>
        <v>战斗</v>
      </c>
      <c r="T310" s="371"/>
      <c r="U310" s="371"/>
      <c r="V310" s="371"/>
      <c r="W310" s="148"/>
    </row>
    <row r="311" spans="1:23" ht="12.75" x14ac:dyDescent="0.2">
      <c r="A311" s="147"/>
      <c r="B311" s="547" t="str">
        <f ca="1">语言!$A$348</f>
        <v>阿特拉斯达姆 -王立学院-</v>
      </c>
      <c r="C311" s="371"/>
      <c r="D311" s="371"/>
      <c r="E311" s="371"/>
      <c r="F311" s="371"/>
      <c r="G311" s="371"/>
      <c r="H311" s="371"/>
      <c r="I311" s="371"/>
      <c r="J311" s="371"/>
      <c r="K311" s="371"/>
      <c r="L311" s="371"/>
      <c r="M311" s="371"/>
      <c r="N311" s="371"/>
      <c r="O311" s="371"/>
      <c r="P311" s="371"/>
      <c r="Q311" s="371"/>
      <c r="R311" s="371"/>
      <c r="S311" s="371"/>
      <c r="T311" s="371"/>
      <c r="U311" s="371"/>
      <c r="V311" s="371"/>
      <c r="W311" s="147"/>
    </row>
    <row r="312" spans="1:23" ht="12.75" x14ac:dyDescent="0.2">
      <c r="A312" s="147"/>
      <c r="B312" s="480" t="str">
        <f ca="1">语言!$A$1913</f>
        <v>伊冯校长</v>
      </c>
      <c r="C312" s="543" t="b">
        <v>0</v>
      </c>
      <c r="D312" s="549" t="str">
        <f ca="1">道具!$C$7</f>
        <v>ＳＰ恢复的李子（大）</v>
      </c>
      <c r="E312" s="543" t="b">
        <v>0</v>
      </c>
      <c r="F312" s="409" t="str">
        <f ca="1">语言!$A$23&amp;" /
"&amp;道具!$I$50</f>
        <v>无 /
校长的近况</v>
      </c>
      <c r="G312" s="543"/>
      <c r="H312" s="546" t="s">
        <v>119</v>
      </c>
      <c r="I312" s="546" t="s">
        <v>119</v>
      </c>
      <c r="J312" s="546" t="s">
        <v>119</v>
      </c>
      <c r="K312" s="546" t="s">
        <v>119</v>
      </c>
      <c r="L312" s="546" t="s">
        <v>119</v>
      </c>
      <c r="M312" s="546" t="s">
        <v>119</v>
      </c>
      <c r="N312" s="546" t="s">
        <v>119</v>
      </c>
      <c r="O312" s="546" t="s">
        <v>119</v>
      </c>
      <c r="P312" s="543"/>
      <c r="Q312" s="546" t="s">
        <v>119</v>
      </c>
      <c r="R312" s="546" t="s">
        <v>119</v>
      </c>
      <c r="S312" s="546" t="s">
        <v>119</v>
      </c>
      <c r="T312" s="546" t="s">
        <v>119</v>
      </c>
      <c r="U312" s="543"/>
      <c r="V312" s="409" t="str">
        <f ca="1">"NPC available only during "&amp;语言!$A$36&amp;"' chapter 1
"&amp;道具!$I$50&amp;" available only during "&amp;语言!$A$36&amp;" chapter 1 tale"</f>
        <v>NPC available only during 赛拉斯' chapter 1
校长的近况 available only during 赛拉斯 chapter 1 tale</v>
      </c>
      <c r="W312" s="148"/>
    </row>
    <row r="313" spans="1:23" ht="12.75" x14ac:dyDescent="0.2">
      <c r="A313" s="148"/>
      <c r="B313" s="544"/>
      <c r="C313" s="544"/>
      <c r="D313" s="544"/>
      <c r="E313" s="544"/>
      <c r="F313" s="544"/>
      <c r="G313" s="544"/>
      <c r="H313" s="544"/>
      <c r="I313" s="544"/>
      <c r="J313" s="544"/>
      <c r="K313" s="544"/>
      <c r="L313" s="544"/>
      <c r="M313" s="544"/>
      <c r="N313" s="544"/>
      <c r="O313" s="544"/>
      <c r="P313" s="544"/>
      <c r="Q313" s="544"/>
      <c r="R313" s="544"/>
      <c r="S313" s="544"/>
      <c r="T313" s="544"/>
      <c r="U313" s="544"/>
      <c r="V313" s="544"/>
      <c r="W313" s="148"/>
    </row>
    <row r="314" spans="1:23" ht="12.75" x14ac:dyDescent="0.2">
      <c r="A314" s="148"/>
      <c r="B314" s="410" t="str">
        <f ca="1">语言!$A$2095</f>
        <v>泰蕾兹</v>
      </c>
      <c r="C314" s="148" t="b">
        <v>0</v>
      </c>
      <c r="D314" s="25" t="str">
        <f ca="1">道具!$C$73</f>
        <v>增强回避的坚果（大）</v>
      </c>
      <c r="E314" s="543" t="b">
        <v>0</v>
      </c>
      <c r="F314" s="409" t="str">
        <f ca="1">语言!$A$23</f>
        <v>无</v>
      </c>
      <c r="G314" s="543"/>
      <c r="H314" s="546" t="s">
        <v>119</v>
      </c>
      <c r="I314" s="546" t="s">
        <v>119</v>
      </c>
      <c r="J314" s="546" t="s">
        <v>119</v>
      </c>
      <c r="K314" s="546" t="s">
        <v>119</v>
      </c>
      <c r="L314" s="546" t="s">
        <v>119</v>
      </c>
      <c r="M314" s="546" t="s">
        <v>119</v>
      </c>
      <c r="N314" s="546" t="s">
        <v>119</v>
      </c>
      <c r="O314" s="546" t="s">
        <v>119</v>
      </c>
      <c r="P314" s="543"/>
      <c r="Q314" s="546" t="s">
        <v>119</v>
      </c>
      <c r="R314" s="546" t="s">
        <v>119</v>
      </c>
      <c r="S314" s="546" t="s">
        <v>119</v>
      </c>
      <c r="T314" s="546" t="s">
        <v>119</v>
      </c>
      <c r="U314" s="543"/>
      <c r="V314" s="409" t="str">
        <f ca="1">"NPC available after "&amp;语言!$A$36&amp;" chapter 4"</f>
        <v>NPC available after 赛拉斯 chapter 4</v>
      </c>
      <c r="W314" s="148"/>
    </row>
    <row r="315" spans="1:23" ht="12.75" x14ac:dyDescent="0.2">
      <c r="A315" s="148"/>
      <c r="B315" s="544"/>
      <c r="C315" s="152" t="b">
        <v>0</v>
      </c>
      <c r="D315" s="151" t="str">
        <f ca="1">道具!$C$469</f>
        <v>元素增幅器</v>
      </c>
      <c r="E315" s="544"/>
      <c r="F315" s="544"/>
      <c r="G315" s="544"/>
      <c r="H315" s="544"/>
      <c r="I315" s="544"/>
      <c r="J315" s="544"/>
      <c r="K315" s="544"/>
      <c r="L315" s="544"/>
      <c r="M315" s="544"/>
      <c r="N315" s="544"/>
      <c r="O315" s="544"/>
      <c r="P315" s="544"/>
      <c r="Q315" s="544"/>
      <c r="R315" s="544"/>
      <c r="S315" s="544"/>
      <c r="T315" s="544"/>
      <c r="U315" s="544"/>
      <c r="V315" s="544"/>
      <c r="W315" s="148"/>
    </row>
    <row r="316" spans="1:23" ht="12.75" x14ac:dyDescent="0.2">
      <c r="A316" s="148"/>
      <c r="B316" s="151" t="str">
        <f ca="1">语言!$A$2038&amp;" (2)"</f>
        <v>玛莉公主 (2)</v>
      </c>
      <c r="C316" s="152" t="b">
        <v>0</v>
      </c>
      <c r="D316" s="151" t="str">
        <f ca="1">道具!$C$495</f>
        <v>体力耳环</v>
      </c>
      <c r="E316" s="152" t="b">
        <v>0</v>
      </c>
      <c r="F316" s="150" t="str">
        <f ca="1">语言!$A$23</f>
        <v>无</v>
      </c>
      <c r="G316" s="152"/>
      <c r="H316" s="153" t="s">
        <v>119</v>
      </c>
      <c r="I316" s="153" t="s">
        <v>119</v>
      </c>
      <c r="J316" s="153" t="s">
        <v>119</v>
      </c>
      <c r="K316" s="153" t="s">
        <v>119</v>
      </c>
      <c r="L316" s="153" t="s">
        <v>119</v>
      </c>
      <c r="M316" s="153" t="s">
        <v>119</v>
      </c>
      <c r="N316" s="153" t="s">
        <v>119</v>
      </c>
      <c r="O316" s="153" t="s">
        <v>119</v>
      </c>
      <c r="P316" s="152"/>
      <c r="Q316" s="153" t="s">
        <v>119</v>
      </c>
      <c r="R316" s="153" t="s">
        <v>119</v>
      </c>
      <c r="S316" s="153" t="s">
        <v>119</v>
      </c>
      <c r="T316" s="153" t="s">
        <v>119</v>
      </c>
      <c r="U316" s="152"/>
      <c r="V316" s="150" t="str">
        <f ca="1">"NPC at this location after quest: "&amp;支线!$C$45</f>
        <v>NPC at this location after quest: 玛莉公主，在那之后</v>
      </c>
      <c r="W316" s="148"/>
    </row>
    <row r="317" spans="1:23" ht="12.75" x14ac:dyDescent="0.2">
      <c r="A317" s="148"/>
      <c r="B317" s="410" t="str">
        <f ca="1">语言!$A$2029&amp;" (2)"</f>
        <v>保罗 (2)</v>
      </c>
      <c r="C317" s="148" t="b">
        <v>0</v>
      </c>
      <c r="D317" s="25" t="str">
        <f ca="1">道具!$C$538</f>
        <v>睡眠花之叶</v>
      </c>
      <c r="E317" s="543" t="b">
        <v>0</v>
      </c>
      <c r="F317" s="409" t="str">
        <f ca="1">语言!$A$23</f>
        <v>无</v>
      </c>
      <c r="G317" s="543" t="b">
        <v>0</v>
      </c>
      <c r="H317" s="545" t="s">
        <v>49</v>
      </c>
      <c r="I317" s="409">
        <v>4</v>
      </c>
      <c r="J317" s="409"/>
      <c r="K317" s="409"/>
      <c r="L317" s="409"/>
      <c r="M317" s="409"/>
      <c r="N317" s="409"/>
      <c r="O317" s="409" t="str">
        <f ca="1">道具!$C$537</f>
        <v>毒利米树之叶</v>
      </c>
      <c r="P317" s="543"/>
      <c r="Q317" s="545" t="s">
        <v>49</v>
      </c>
      <c r="R317" s="24"/>
      <c r="S317" s="24" t="str">
        <f ca="1">Summon!$I$91</f>
        <v>大雷击魔法</v>
      </c>
      <c r="T317" s="545">
        <v>7</v>
      </c>
      <c r="U317" s="543"/>
      <c r="V317" s="409" t="str">
        <f ca="1">"NPC at this location after quest: "&amp;支线!$C$45</f>
        <v>NPC at this location after quest: 玛莉公主，在那之后</v>
      </c>
      <c r="W317" s="148"/>
    </row>
    <row r="318" spans="1:23" ht="12.75" x14ac:dyDescent="0.2">
      <c r="A318" s="148"/>
      <c r="B318" s="371"/>
      <c r="C318" s="148" t="b">
        <v>0</v>
      </c>
      <c r="D318" s="25" t="str">
        <f ca="1">道具!$C$497</f>
        <v>精神耳环</v>
      </c>
      <c r="E318" s="371"/>
      <c r="F318" s="371"/>
      <c r="G318" s="371"/>
      <c r="H318" s="371"/>
      <c r="I318" s="371"/>
      <c r="J318" s="371"/>
      <c r="K318" s="371"/>
      <c r="L318" s="371"/>
      <c r="M318" s="371"/>
      <c r="N318" s="371"/>
      <c r="O318" s="371"/>
      <c r="P318" s="371"/>
      <c r="Q318" s="371"/>
      <c r="R318" s="24"/>
      <c r="S318" s="24" t="str">
        <f ca="1">Summon!$I$90</f>
        <v>雷击魔法</v>
      </c>
      <c r="T318" s="371"/>
      <c r="U318" s="371"/>
      <c r="V318" s="371"/>
      <c r="W318" s="148"/>
    </row>
    <row r="319" spans="1:23" ht="12.75" x14ac:dyDescent="0.2">
      <c r="A319" s="148"/>
      <c r="B319" s="371"/>
      <c r="C319" s="148"/>
      <c r="D319" s="25"/>
      <c r="E319" s="371"/>
      <c r="F319" s="371"/>
      <c r="G319" s="371"/>
      <c r="H319" s="371"/>
      <c r="I319" s="371"/>
      <c r="J319" s="371"/>
      <c r="K319" s="371"/>
      <c r="L319" s="371"/>
      <c r="M319" s="371"/>
      <c r="N319" s="371"/>
      <c r="O319" s="371"/>
      <c r="P319" s="371"/>
      <c r="Q319" s="371"/>
      <c r="R319" s="24"/>
      <c r="S319" s="24" t="str">
        <f ca="1">Summon!$I$4</f>
        <v>战斗</v>
      </c>
      <c r="T319" s="371"/>
      <c r="U319" s="371"/>
      <c r="V319" s="371"/>
      <c r="W319" s="148"/>
    </row>
    <row r="320" spans="1:23" ht="12.75" x14ac:dyDescent="0.2">
      <c r="A320" s="147"/>
      <c r="B320" s="547" t="str">
        <f ca="1">语言!$A$349</f>
        <v>阿特拉斯达姆 -王城-</v>
      </c>
      <c r="C320" s="371"/>
      <c r="D320" s="371"/>
      <c r="E320" s="371"/>
      <c r="F320" s="371"/>
      <c r="G320" s="371"/>
      <c r="H320" s="371"/>
      <c r="I320" s="371"/>
      <c r="J320" s="371"/>
      <c r="K320" s="371"/>
      <c r="L320" s="371"/>
      <c r="M320" s="371"/>
      <c r="N320" s="371"/>
      <c r="O320" s="371"/>
      <c r="P320" s="371"/>
      <c r="Q320" s="371"/>
      <c r="R320" s="371"/>
      <c r="S320" s="371"/>
      <c r="T320" s="371"/>
      <c r="U320" s="371"/>
      <c r="V320" s="371"/>
      <c r="W320" s="147"/>
    </row>
    <row r="321" spans="1:23" ht="12.75" x14ac:dyDescent="0.2">
      <c r="A321" s="148"/>
      <c r="B321" s="410" t="str">
        <f ca="1">语言!$A$1903</f>
        <v>卫兵</v>
      </c>
      <c r="C321" s="543" t="b">
        <v>0</v>
      </c>
      <c r="D321" s="410" t="str">
        <f ca="1">道具!$C$497</f>
        <v>精神耳环</v>
      </c>
      <c r="E321" s="543" t="b">
        <v>0</v>
      </c>
      <c r="F321" s="409" t="str">
        <f ca="1">语言!$A$33&amp;"
"&amp;道具!$C$3</f>
        <v>隐藏道具的资讯
ＨＰ恢复的葡萄</v>
      </c>
      <c r="G321" s="543" t="b">
        <v>0</v>
      </c>
      <c r="H321" s="545" t="s">
        <v>47</v>
      </c>
      <c r="I321" s="409">
        <v>4</v>
      </c>
      <c r="J321" s="409"/>
      <c r="K321" s="409"/>
      <c r="L321" s="409"/>
      <c r="M321" s="409"/>
      <c r="N321" s="409"/>
      <c r="O321" s="409" t="str">
        <f ca="1">道具!$C$32</f>
        <v>火之精灵石（特大）</v>
      </c>
      <c r="P321" s="543"/>
      <c r="Q321" s="545" t="s">
        <v>47</v>
      </c>
      <c r="R321" s="24"/>
      <c r="S321" s="24" t="str">
        <f ca="1">Summon!$I$170</f>
        <v>防御架式</v>
      </c>
      <c r="T321" s="545">
        <v>6</v>
      </c>
      <c r="U321" s="543"/>
      <c r="V321" s="409"/>
      <c r="W321" s="148"/>
    </row>
    <row r="322" spans="1:23" ht="12.75" x14ac:dyDescent="0.2">
      <c r="A322" s="148"/>
      <c r="B322" s="371"/>
      <c r="C322" s="371"/>
      <c r="D322" s="371"/>
      <c r="E322" s="371"/>
      <c r="F322" s="371"/>
      <c r="G322" s="371"/>
      <c r="H322" s="371"/>
      <c r="I322" s="371"/>
      <c r="J322" s="371"/>
      <c r="K322" s="371"/>
      <c r="L322" s="371"/>
      <c r="M322" s="371"/>
      <c r="N322" s="371"/>
      <c r="O322" s="371"/>
      <c r="P322" s="371"/>
      <c r="Q322" s="371"/>
      <c r="R322" s="24"/>
      <c r="S322" s="24" t="str">
        <f ca="1">Summon!$I$40</f>
        <v>乱挥</v>
      </c>
      <c r="T322" s="371"/>
      <c r="U322" s="371"/>
      <c r="V322" s="371"/>
      <c r="W322" s="148"/>
    </row>
    <row r="323" spans="1:23" ht="12.75" x14ac:dyDescent="0.2">
      <c r="A323" s="148"/>
      <c r="B323" s="544"/>
      <c r="C323" s="544"/>
      <c r="D323" s="544"/>
      <c r="E323" s="544"/>
      <c r="F323" s="544"/>
      <c r="G323" s="544"/>
      <c r="H323" s="544"/>
      <c r="I323" s="544"/>
      <c r="J323" s="544"/>
      <c r="K323" s="544"/>
      <c r="L323" s="544"/>
      <c r="M323" s="544"/>
      <c r="N323" s="544"/>
      <c r="O323" s="544"/>
      <c r="P323" s="544"/>
      <c r="Q323" s="544"/>
      <c r="R323" s="150"/>
      <c r="S323" s="150" t="str">
        <f ca="1">Summon!$I$4</f>
        <v>战斗</v>
      </c>
      <c r="T323" s="544"/>
      <c r="U323" s="544"/>
      <c r="V323" s="544"/>
      <c r="W323" s="148"/>
    </row>
    <row r="324" spans="1:23" ht="12.75" x14ac:dyDescent="0.2">
      <c r="A324" s="148"/>
      <c r="B324" s="410" t="str">
        <f ca="1">语言!$A$1812</f>
        <v>少年</v>
      </c>
      <c r="C324" s="148" t="b">
        <v>0</v>
      </c>
      <c r="D324" s="25" t="str">
        <f ca="1">道具!$C$349</f>
        <v>闪避之盾</v>
      </c>
      <c r="E324" s="543" t="b">
        <v>0</v>
      </c>
      <c r="F324" s="409" t="str">
        <f ca="1">语言!$A$33&amp;"
"&amp;道具!$C$355</f>
        <v>隐藏道具的资讯
小圆盾</v>
      </c>
      <c r="G324" s="543"/>
      <c r="H324" s="546" t="s">
        <v>119</v>
      </c>
      <c r="I324" s="546" t="s">
        <v>119</v>
      </c>
      <c r="J324" s="546" t="s">
        <v>119</v>
      </c>
      <c r="K324" s="546" t="s">
        <v>119</v>
      </c>
      <c r="L324" s="546" t="s">
        <v>119</v>
      </c>
      <c r="M324" s="546" t="s">
        <v>119</v>
      </c>
      <c r="N324" s="546" t="s">
        <v>119</v>
      </c>
      <c r="O324" s="546" t="s">
        <v>119</v>
      </c>
      <c r="P324" s="543"/>
      <c r="Q324" s="546" t="s">
        <v>119</v>
      </c>
      <c r="R324" s="546" t="s">
        <v>119</v>
      </c>
      <c r="S324" s="546" t="s">
        <v>119</v>
      </c>
      <c r="T324" s="546" t="s">
        <v>119</v>
      </c>
      <c r="U324" s="543"/>
      <c r="V324" s="409"/>
      <c r="W324" s="148"/>
    </row>
    <row r="325" spans="1:23" ht="12.75" x14ac:dyDescent="0.2">
      <c r="A325" s="148"/>
      <c r="B325" s="371"/>
      <c r="C325" s="148" t="b">
        <v>0</v>
      </c>
      <c r="D325" s="25" t="str">
        <f ca="1">道具!$C$195</f>
        <v>银制长枪</v>
      </c>
      <c r="E325" s="371"/>
      <c r="F325" s="371"/>
      <c r="G325" s="371"/>
      <c r="H325" s="371"/>
      <c r="I325" s="371"/>
      <c r="J325" s="371"/>
      <c r="K325" s="371"/>
      <c r="L325" s="371"/>
      <c r="M325" s="371"/>
      <c r="N325" s="371"/>
      <c r="O325" s="371"/>
      <c r="P325" s="371"/>
      <c r="Q325" s="371"/>
      <c r="R325" s="371"/>
      <c r="S325" s="371"/>
      <c r="T325" s="371"/>
      <c r="U325" s="371"/>
      <c r="V325" s="371"/>
      <c r="W325" s="148"/>
    </row>
    <row r="326" spans="1:23" ht="12.75" x14ac:dyDescent="0.2">
      <c r="A326" s="148"/>
      <c r="B326" s="371"/>
      <c r="C326" s="148" t="b">
        <v>0</v>
      </c>
      <c r="D326" s="25" t="str">
        <f ca="1">道具!$C$298</f>
        <v>石弓</v>
      </c>
      <c r="E326" s="371"/>
      <c r="F326" s="371"/>
      <c r="G326" s="371"/>
      <c r="H326" s="371"/>
      <c r="I326" s="371"/>
      <c r="J326" s="371"/>
      <c r="K326" s="371"/>
      <c r="L326" s="371"/>
      <c r="M326" s="371"/>
      <c r="N326" s="371"/>
      <c r="O326" s="371"/>
      <c r="P326" s="371"/>
      <c r="Q326" s="371"/>
      <c r="R326" s="371"/>
      <c r="S326" s="371"/>
      <c r="T326" s="371"/>
      <c r="U326" s="371"/>
      <c r="V326" s="371"/>
      <c r="W326" s="148"/>
    </row>
    <row r="327" spans="1:23" ht="12.75" x14ac:dyDescent="0.2">
      <c r="A327" s="148"/>
      <c r="B327" s="544"/>
      <c r="C327" s="152" t="b">
        <v>0</v>
      </c>
      <c r="D327" s="151" t="str">
        <f ca="1">道具!$C$331</f>
        <v>复合杖</v>
      </c>
      <c r="E327" s="544"/>
      <c r="F327" s="544"/>
      <c r="G327" s="544"/>
      <c r="H327" s="544"/>
      <c r="I327" s="544"/>
      <c r="J327" s="544"/>
      <c r="K327" s="544"/>
      <c r="L327" s="544"/>
      <c r="M327" s="544"/>
      <c r="N327" s="544"/>
      <c r="O327" s="544"/>
      <c r="P327" s="544"/>
      <c r="Q327" s="544"/>
      <c r="R327" s="544"/>
      <c r="S327" s="544"/>
      <c r="T327" s="544"/>
      <c r="U327" s="544"/>
      <c r="V327" s="544"/>
      <c r="W327" s="148"/>
    </row>
    <row r="328" spans="1:23" ht="12.75" x14ac:dyDescent="0.2">
      <c r="A328" s="148"/>
      <c r="B328" s="410" t="str">
        <f ca="1">语言!$A$1781</f>
        <v>喜爱绘画的贵族</v>
      </c>
      <c r="C328" s="543" t="b">
        <v>0</v>
      </c>
      <c r="D328" s="410" t="str">
        <f ca="1">道具!$C$7</f>
        <v>ＳＰ恢复的李子（大）</v>
      </c>
      <c r="E328" s="543" t="b">
        <v>0</v>
      </c>
      <c r="F328" s="409" t="str">
        <f ca="1">语言!$A$23</f>
        <v>无</v>
      </c>
      <c r="G328" s="543" t="b">
        <v>0</v>
      </c>
      <c r="H328" s="545" t="s">
        <v>46</v>
      </c>
      <c r="I328" s="409">
        <v>3</v>
      </c>
      <c r="J328" s="409"/>
      <c r="K328" s="409"/>
      <c r="L328" s="409"/>
      <c r="M328" s="409"/>
      <c r="N328" s="409"/>
      <c r="O328" s="409" t="str">
        <f ca="1">道具!$C$7</f>
        <v>ＳＰ恢复的李子（大）</v>
      </c>
      <c r="P328" s="543"/>
      <c r="Q328" s="545" t="s">
        <v>46</v>
      </c>
      <c r="R328" s="24"/>
      <c r="S328" s="24" t="str">
        <f ca="1">Summon!$I$80</f>
        <v>大火焰魔法</v>
      </c>
      <c r="T328" s="545">
        <v>8</v>
      </c>
      <c r="U328" s="543"/>
      <c r="V328" s="409" t="str">
        <f ca="1">"NPC available after "&amp;语言!$A$36&amp;" chapter 1
"&amp;语言!$A$44&amp;" / "&amp;语言!$A$48&amp;" available only after quest: "&amp;支线!$C$29</f>
        <v>NPC available after 赛拉斯 chapter 1
引导 / 诱惑 available only after quest: 绝佳的画作</v>
      </c>
      <c r="W328" s="148"/>
    </row>
    <row r="329" spans="1:23" ht="12.75" x14ac:dyDescent="0.2">
      <c r="A329" s="148"/>
      <c r="B329" s="371"/>
      <c r="C329" s="371"/>
      <c r="D329" s="371"/>
      <c r="E329" s="371"/>
      <c r="F329" s="371"/>
      <c r="G329" s="371"/>
      <c r="H329" s="371"/>
      <c r="I329" s="371"/>
      <c r="J329" s="371"/>
      <c r="K329" s="371"/>
      <c r="L329" s="371"/>
      <c r="M329" s="371"/>
      <c r="N329" s="371"/>
      <c r="O329" s="371"/>
      <c r="P329" s="371"/>
      <c r="Q329" s="371"/>
      <c r="R329" s="24"/>
      <c r="S329" s="24" t="str">
        <f ca="1">Summon!$I$78</f>
        <v>火焰魔法</v>
      </c>
      <c r="T329" s="371"/>
      <c r="U329" s="371"/>
      <c r="V329" s="371"/>
      <c r="W329" s="148"/>
    </row>
    <row r="330" spans="1:23" ht="12.75" x14ac:dyDescent="0.2">
      <c r="A330" s="148"/>
      <c r="B330" s="544"/>
      <c r="C330" s="544"/>
      <c r="D330" s="544"/>
      <c r="E330" s="544"/>
      <c r="F330" s="544"/>
      <c r="G330" s="544"/>
      <c r="H330" s="544"/>
      <c r="I330" s="544"/>
      <c r="J330" s="544"/>
      <c r="K330" s="544"/>
      <c r="L330" s="544"/>
      <c r="M330" s="544"/>
      <c r="N330" s="544"/>
      <c r="O330" s="544"/>
      <c r="P330" s="544"/>
      <c r="Q330" s="544"/>
      <c r="R330" s="150"/>
      <c r="S330" s="150" t="str">
        <f ca="1">Summon!$I$4</f>
        <v>战斗</v>
      </c>
      <c r="T330" s="544"/>
      <c r="U330" s="544"/>
      <c r="V330" s="544"/>
      <c r="W330" s="148"/>
    </row>
    <row r="331" spans="1:23" ht="12.75" x14ac:dyDescent="0.2">
      <c r="A331" s="148"/>
      <c r="B331" s="410" t="str">
        <f ca="1">语言!$A$1949&amp;" (2)"</f>
        <v>风景画画家 /
面包师 (2)</v>
      </c>
      <c r="C331" s="148" t="b">
        <v>0</v>
      </c>
      <c r="D331" s="25" t="str">
        <f ca="1">道具!$C$16</f>
        <v>复活的橄榄（大）</v>
      </c>
      <c r="E331" s="543" t="b">
        <v>0</v>
      </c>
      <c r="F331" s="409" t="str">
        <f ca="1">语言!$A$23</f>
        <v>无</v>
      </c>
      <c r="G331" s="543" t="b">
        <v>0</v>
      </c>
      <c r="H331" s="545" t="s">
        <v>48</v>
      </c>
      <c r="I331" s="409">
        <v>2</v>
      </c>
      <c r="J331" s="409"/>
      <c r="K331" s="409"/>
      <c r="L331" s="409"/>
      <c r="M331" s="409"/>
      <c r="N331" s="409"/>
      <c r="O331" s="409" t="str">
        <f ca="1">道具!$C$5</f>
        <v>ＨＰ全体恢复的葡萄</v>
      </c>
      <c r="P331" s="543"/>
      <c r="Q331" s="545" t="s">
        <v>48</v>
      </c>
      <c r="R331" s="24"/>
      <c r="S331" s="24" t="str">
        <f ca="1">Summon!$I$49</f>
        <v>连续投掷笔</v>
      </c>
      <c r="T331" s="545">
        <v>9</v>
      </c>
      <c r="U331" s="543"/>
      <c r="V331" s="409" t="str">
        <f ca="1">"NPC at this location after quest: "&amp;支线!$C$29&amp;"
("&amp;语言!$A$44&amp;" / "&amp;语言!$A$48&amp;" solution only)"</f>
        <v>NPC at this location after quest: 绝佳的画作
(引导 / 诱惑 solution only)</v>
      </c>
      <c r="W331" s="148"/>
    </row>
    <row r="332" spans="1:23" ht="12.75" x14ac:dyDescent="0.2">
      <c r="A332" s="148"/>
      <c r="B332" s="371"/>
      <c r="C332" s="148" t="b">
        <v>0</v>
      </c>
      <c r="D332" s="25" t="str">
        <f ca="1">道具!$C$541</f>
        <v>李子树液</v>
      </c>
      <c r="E332" s="371"/>
      <c r="F332" s="371"/>
      <c r="G332" s="371"/>
      <c r="H332" s="371"/>
      <c r="I332" s="371"/>
      <c r="J332" s="371"/>
      <c r="K332" s="371"/>
      <c r="L332" s="371"/>
      <c r="M332" s="371"/>
      <c r="N332" s="371"/>
      <c r="O332" s="371"/>
      <c r="P332" s="371"/>
      <c r="Q332" s="371"/>
      <c r="R332" s="24"/>
      <c r="S332" s="24" t="str">
        <f ca="1">Summon!$I$106</f>
        <v>投掷面具</v>
      </c>
      <c r="T332" s="371"/>
      <c r="U332" s="371"/>
      <c r="V332" s="371"/>
      <c r="W332" s="148"/>
    </row>
    <row r="333" spans="1:23" ht="12.75" x14ac:dyDescent="0.2">
      <c r="A333" s="148"/>
      <c r="B333" s="544"/>
      <c r="C333" s="152" t="b">
        <v>0</v>
      </c>
      <c r="D333" s="151" t="str">
        <f ca="1">"* "&amp;道具!$F$38</f>
        <v>* 最后的作品</v>
      </c>
      <c r="E333" s="544"/>
      <c r="F333" s="544"/>
      <c r="G333" s="544"/>
      <c r="H333" s="544"/>
      <c r="I333" s="544"/>
      <c r="J333" s="544"/>
      <c r="K333" s="544"/>
      <c r="L333" s="544"/>
      <c r="M333" s="544"/>
      <c r="N333" s="544"/>
      <c r="O333" s="544"/>
      <c r="P333" s="544"/>
      <c r="Q333" s="544"/>
      <c r="R333" s="150"/>
      <c r="S333" s="150" t="str">
        <f ca="1">Summon!$I$4</f>
        <v>战斗</v>
      </c>
      <c r="T333" s="544"/>
      <c r="U333" s="544"/>
      <c r="V333" s="544"/>
      <c r="W333" s="148"/>
    </row>
    <row r="334" spans="1:23" ht="12.75" x14ac:dyDescent="0.2">
      <c r="A334" s="148"/>
      <c r="B334" s="410" t="str">
        <f ca="1">语言!$A$1782&amp;" (2)"</f>
        <v>风景画家的弟弟 /
面包师的弟弟 (2)</v>
      </c>
      <c r="C334" s="148" t="b">
        <v>0</v>
      </c>
      <c r="D334" s="25" t="str">
        <f ca="1">道具!$C$84</f>
        <v>糖果</v>
      </c>
      <c r="E334" s="543" t="b">
        <v>0</v>
      </c>
      <c r="F334" s="409" t="str">
        <f ca="1">语言!$A$23</f>
        <v>无</v>
      </c>
      <c r="G334" s="543"/>
      <c r="H334" s="546" t="s">
        <v>119</v>
      </c>
      <c r="I334" s="546" t="s">
        <v>119</v>
      </c>
      <c r="J334" s="546" t="s">
        <v>119</v>
      </c>
      <c r="K334" s="546" t="s">
        <v>119</v>
      </c>
      <c r="L334" s="546" t="s">
        <v>119</v>
      </c>
      <c r="M334" s="546" t="s">
        <v>119</v>
      </c>
      <c r="N334" s="546" t="s">
        <v>119</v>
      </c>
      <c r="O334" s="546" t="s">
        <v>119</v>
      </c>
      <c r="P334" s="543"/>
      <c r="Q334" s="546" t="s">
        <v>119</v>
      </c>
      <c r="R334" s="546" t="s">
        <v>119</v>
      </c>
      <c r="S334" s="546" t="s">
        <v>119</v>
      </c>
      <c r="T334" s="546" t="s">
        <v>119</v>
      </c>
      <c r="U334" s="543"/>
      <c r="V334" s="409" t="str">
        <f ca="1">"NPC at this location after quest: "&amp;支线!$C$29&amp;"
("&amp;语言!$A$44&amp;" / "&amp;语言!$A$48&amp;" solution only)"</f>
        <v>NPC at this location after quest: 绝佳的画作
(引导 / 诱惑 solution only)</v>
      </c>
      <c r="W334" s="148"/>
    </row>
    <row r="335" spans="1:23" ht="12.75" x14ac:dyDescent="0.2">
      <c r="A335" s="148"/>
      <c r="B335" s="544"/>
      <c r="C335" s="152" t="b">
        <v>0</v>
      </c>
      <c r="D335" s="151" t="str">
        <f ca="1">道具!$C$91</f>
        <v>树木果实</v>
      </c>
      <c r="E335" s="544"/>
      <c r="F335" s="544"/>
      <c r="G335" s="544"/>
      <c r="H335" s="544"/>
      <c r="I335" s="544"/>
      <c r="J335" s="544"/>
      <c r="K335" s="544"/>
      <c r="L335" s="544"/>
      <c r="M335" s="544"/>
      <c r="N335" s="544"/>
      <c r="O335" s="544"/>
      <c r="P335" s="544"/>
      <c r="Q335" s="544"/>
      <c r="R335" s="544"/>
      <c r="S335" s="544"/>
      <c r="T335" s="544"/>
      <c r="U335" s="544"/>
      <c r="V335" s="544"/>
      <c r="W335" s="148"/>
    </row>
    <row r="336" spans="1:23" ht="12.75" x14ac:dyDescent="0.2">
      <c r="A336" s="148"/>
      <c r="B336" s="410" t="str">
        <f ca="1">语言!$A$1903</f>
        <v>卫兵</v>
      </c>
      <c r="C336" s="148" t="b">
        <v>0</v>
      </c>
      <c r="D336" s="25" t="str">
        <f ca="1">道具!$C$36</f>
        <v>雷之精灵石</v>
      </c>
      <c r="E336" s="543" t="b">
        <v>0</v>
      </c>
      <c r="F336" s="409" t="str">
        <f ca="1">语言!$A$33&amp;"
"&amp;道具!$C$112</f>
        <v>隐藏道具的资讯
小杯子</v>
      </c>
      <c r="G336" s="543" t="b">
        <v>0</v>
      </c>
      <c r="H336" s="545" t="s">
        <v>51</v>
      </c>
      <c r="I336" s="409">
        <v>5</v>
      </c>
      <c r="J336" s="409"/>
      <c r="K336" s="409"/>
      <c r="L336" s="409"/>
      <c r="M336" s="409"/>
      <c r="N336" s="409"/>
      <c r="O336" s="409" t="str">
        <f ca="1">道具!$C$48</f>
        <v>暗之精灵石（特大）</v>
      </c>
      <c r="P336" s="543"/>
      <c r="Q336" s="545" t="s">
        <v>51</v>
      </c>
      <c r="R336" s="24"/>
      <c r="S336" s="24" t="str">
        <f ca="1">Summon!$I$34</f>
        <v>无双突刺</v>
      </c>
      <c r="T336" s="545">
        <v>6</v>
      </c>
      <c r="U336" s="543"/>
      <c r="V336" s="409"/>
      <c r="W336" s="148"/>
    </row>
    <row r="337" spans="1:23" ht="12.75" x14ac:dyDescent="0.2">
      <c r="A337" s="148"/>
      <c r="B337" s="371"/>
      <c r="C337" s="148" t="b">
        <v>0</v>
      </c>
      <c r="D337" s="25" t="str">
        <f ca="1">道具!$C$46</f>
        <v>暗之精灵石</v>
      </c>
      <c r="E337" s="371"/>
      <c r="F337" s="371"/>
      <c r="G337" s="371"/>
      <c r="H337" s="371"/>
      <c r="I337" s="371"/>
      <c r="J337" s="371"/>
      <c r="K337" s="371"/>
      <c r="L337" s="371"/>
      <c r="M337" s="371"/>
      <c r="N337" s="371"/>
      <c r="O337" s="371"/>
      <c r="P337" s="371"/>
      <c r="Q337" s="371"/>
      <c r="R337" s="24"/>
      <c r="S337" s="24" t="str">
        <f ca="1">Summon!$I$174</f>
        <v>防御力提升</v>
      </c>
      <c r="T337" s="371"/>
      <c r="U337" s="371"/>
      <c r="V337" s="371"/>
      <c r="W337" s="148"/>
    </row>
    <row r="338" spans="1:23" ht="12.75" x14ac:dyDescent="0.2">
      <c r="A338" s="148"/>
      <c r="B338" s="544"/>
      <c r="C338" s="152"/>
      <c r="D338" s="151"/>
      <c r="E338" s="544"/>
      <c r="F338" s="544"/>
      <c r="G338" s="544"/>
      <c r="H338" s="544"/>
      <c r="I338" s="544"/>
      <c r="J338" s="544"/>
      <c r="K338" s="544"/>
      <c r="L338" s="544"/>
      <c r="M338" s="544"/>
      <c r="N338" s="544"/>
      <c r="O338" s="544"/>
      <c r="P338" s="544"/>
      <c r="Q338" s="544"/>
      <c r="R338" s="150"/>
      <c r="S338" s="150" t="str">
        <f ca="1">Summon!$I$4</f>
        <v>战斗</v>
      </c>
      <c r="T338" s="544"/>
      <c r="U338" s="544"/>
      <c r="V338" s="544"/>
      <c r="W338" s="148"/>
    </row>
    <row r="339" spans="1:23" ht="12.75" x14ac:dyDescent="0.2">
      <c r="A339" s="148"/>
      <c r="B339" s="410" t="str">
        <f ca="1">语言!$A$1903</f>
        <v>卫兵</v>
      </c>
      <c r="C339" s="148" t="b">
        <v>0</v>
      </c>
      <c r="D339" s="25" t="str">
        <f ca="1">道具!$C$6</f>
        <v>ＳＰ恢复的李子</v>
      </c>
      <c r="E339" s="543" t="b">
        <v>0</v>
      </c>
      <c r="F339" s="409" t="str">
        <f ca="1">语言!$A$33&amp;"
"&amp;道具!$C$14</f>
        <v>隐藏道具的资讯
复活的橄榄</v>
      </c>
      <c r="G339" s="543" t="b">
        <v>0</v>
      </c>
      <c r="H339" s="545" t="s">
        <v>47</v>
      </c>
      <c r="I339" s="409">
        <v>4</v>
      </c>
      <c r="J339" s="409"/>
      <c r="K339" s="409"/>
      <c r="L339" s="409"/>
      <c r="M339" s="409"/>
      <c r="N339" s="409"/>
      <c r="O339" s="409" t="str">
        <f ca="1">道具!$C$144</f>
        <v>三位一体剑</v>
      </c>
      <c r="P339" s="543"/>
      <c r="Q339" s="545" t="s">
        <v>47</v>
      </c>
      <c r="R339" s="24"/>
      <c r="S339" s="24" t="str">
        <f ca="1">Summon!$I$175</f>
        <v>物理提升</v>
      </c>
      <c r="T339" s="545">
        <v>6</v>
      </c>
      <c r="U339" s="543"/>
      <c r="V339" s="409"/>
      <c r="W339" s="148"/>
    </row>
    <row r="340" spans="1:23" ht="12.75" x14ac:dyDescent="0.2">
      <c r="A340" s="148"/>
      <c r="B340" s="371"/>
      <c r="C340" s="148" t="b">
        <v>0</v>
      </c>
      <c r="D340" s="25" t="str">
        <f ca="1">道具!$C$3</f>
        <v>ＨＰ恢复的葡萄</v>
      </c>
      <c r="E340" s="371"/>
      <c r="F340" s="371"/>
      <c r="G340" s="371"/>
      <c r="H340" s="371"/>
      <c r="I340" s="371"/>
      <c r="J340" s="371"/>
      <c r="K340" s="371"/>
      <c r="L340" s="371"/>
      <c r="M340" s="371"/>
      <c r="N340" s="371"/>
      <c r="O340" s="371"/>
      <c r="P340" s="371"/>
      <c r="Q340" s="371"/>
      <c r="R340" s="24"/>
      <c r="S340" s="24" t="str">
        <f ca="1">Summon!$I$6</f>
        <v>斩击</v>
      </c>
      <c r="T340" s="371"/>
      <c r="U340" s="371"/>
      <c r="V340" s="371"/>
      <c r="W340" s="148"/>
    </row>
    <row r="341" spans="1:23" ht="12.75" x14ac:dyDescent="0.2">
      <c r="A341" s="148"/>
      <c r="B341" s="371"/>
      <c r="C341" s="148"/>
      <c r="D341" s="25"/>
      <c r="E341" s="371"/>
      <c r="F341" s="371"/>
      <c r="G341" s="371"/>
      <c r="H341" s="371"/>
      <c r="I341" s="371"/>
      <c r="J341" s="371"/>
      <c r="K341" s="371"/>
      <c r="L341" s="371"/>
      <c r="M341" s="371"/>
      <c r="N341" s="371"/>
      <c r="O341" s="371"/>
      <c r="P341" s="371"/>
      <c r="Q341" s="371"/>
      <c r="R341" s="24"/>
      <c r="S341" s="24" t="str">
        <f ca="1">Summon!$I$4</f>
        <v>战斗</v>
      </c>
      <c r="T341" s="371"/>
      <c r="U341" s="371"/>
      <c r="V341" s="371"/>
      <c r="W341" s="148"/>
    </row>
    <row r="342" spans="1:23" ht="12.75" x14ac:dyDescent="0.2">
      <c r="A342" s="148"/>
      <c r="B342" s="547" t="str">
        <f ca="1">语言!$A$352</f>
        <v>夜啼之森</v>
      </c>
      <c r="C342" s="371"/>
      <c r="D342" s="371"/>
      <c r="E342" s="371"/>
      <c r="F342" s="371"/>
      <c r="G342" s="371"/>
      <c r="H342" s="371"/>
      <c r="I342" s="371"/>
      <c r="J342" s="371"/>
      <c r="K342" s="371"/>
      <c r="L342" s="371"/>
      <c r="M342" s="371"/>
      <c r="N342" s="371"/>
      <c r="O342" s="371"/>
      <c r="P342" s="371"/>
      <c r="Q342" s="371"/>
      <c r="R342" s="371"/>
      <c r="S342" s="371"/>
      <c r="T342" s="371"/>
      <c r="U342" s="371"/>
      <c r="V342" s="371"/>
      <c r="W342" s="148"/>
    </row>
    <row r="343" spans="1:23" ht="12.75" x14ac:dyDescent="0.2">
      <c r="A343" s="148"/>
      <c r="B343" s="410" t="str">
        <f ca="1">语言!$A$1908&amp;" (2)"</f>
        <v>黑骑士古斯塔夫 (2)</v>
      </c>
      <c r="C343" s="148" t="b">
        <v>0</v>
      </c>
      <c r="D343" s="25" t="str">
        <f ca="1">道具!$C$344</f>
        <v>古斯塔夫之盾</v>
      </c>
      <c r="E343" s="543" t="b">
        <v>0</v>
      </c>
      <c r="F343" s="409" t="str">
        <f ca="1">语言!$A$23</f>
        <v>无</v>
      </c>
      <c r="G343" s="543" t="b">
        <v>0</v>
      </c>
      <c r="H343" s="545" t="s">
        <v>47</v>
      </c>
      <c r="I343" s="409">
        <v>4</v>
      </c>
      <c r="J343" s="409"/>
      <c r="K343" s="409"/>
      <c r="L343" s="409"/>
      <c r="M343" s="409"/>
      <c r="N343" s="409"/>
      <c r="O343" s="409" t="str">
        <f ca="1">道具!$C$464</f>
        <v>物理腰带</v>
      </c>
      <c r="P343" s="543"/>
      <c r="Q343" s="545" t="s">
        <v>47</v>
      </c>
      <c r="R343" s="24"/>
      <c r="S343" s="24" t="str">
        <f ca="1">Summon!$I$11</f>
        <v>十字斩</v>
      </c>
      <c r="T343" s="545">
        <v>6</v>
      </c>
      <c r="U343" s="543"/>
      <c r="V343" s="409" t="str">
        <f ca="1">"NPC at this location after "&amp;语言!$A$38&amp;" chapter 4"</f>
        <v>NPC at this location after 欧尔贝克 chapter 4</v>
      </c>
      <c r="W343" s="148"/>
    </row>
    <row r="344" spans="1:23" ht="12.75" x14ac:dyDescent="0.2">
      <c r="A344" s="148"/>
      <c r="B344" s="371"/>
      <c r="C344" s="148" t="b">
        <v>0</v>
      </c>
      <c r="D344" s="25" t="str">
        <f ca="1">道具!$C$120</f>
        <v>放了银块的皮袋</v>
      </c>
      <c r="E344" s="371"/>
      <c r="F344" s="371"/>
      <c r="G344" s="371"/>
      <c r="H344" s="371"/>
      <c r="I344" s="371"/>
      <c r="J344" s="371"/>
      <c r="K344" s="371"/>
      <c r="L344" s="371"/>
      <c r="M344" s="371"/>
      <c r="N344" s="371"/>
      <c r="O344" s="371"/>
      <c r="P344" s="371"/>
      <c r="Q344" s="371"/>
      <c r="R344" s="24"/>
      <c r="S344" s="24" t="str">
        <f ca="1">Summon!$I$19</f>
        <v>３连斩</v>
      </c>
      <c r="T344" s="371"/>
      <c r="U344" s="371"/>
      <c r="V344" s="371"/>
      <c r="W344" s="148"/>
    </row>
    <row r="345" spans="1:23" ht="12.75" x14ac:dyDescent="0.2">
      <c r="A345" s="148"/>
      <c r="B345" s="371"/>
      <c r="C345" s="148"/>
      <c r="D345" s="25"/>
      <c r="E345" s="371"/>
      <c r="F345" s="371"/>
      <c r="G345" s="371"/>
      <c r="H345" s="371"/>
      <c r="I345" s="371"/>
      <c r="J345" s="371"/>
      <c r="K345" s="371"/>
      <c r="L345" s="371"/>
      <c r="M345" s="371"/>
      <c r="N345" s="371"/>
      <c r="O345" s="371"/>
      <c r="P345" s="371"/>
      <c r="Q345" s="371"/>
      <c r="R345" s="24"/>
      <c r="S345" s="24" t="str">
        <f ca="1">Summon!$I$4</f>
        <v>战斗</v>
      </c>
      <c r="T345" s="371"/>
      <c r="U345" s="371"/>
      <c r="V345" s="371"/>
      <c r="W345" s="148"/>
    </row>
    <row r="346" spans="1:23" ht="18" x14ac:dyDescent="0.2">
      <c r="A346" s="160"/>
      <c r="B346" s="548" t="str">
        <f ca="1">语言!$A$323&amp;" 2"</f>
        <v>Tier 2</v>
      </c>
      <c r="C346" s="371"/>
      <c r="D346" s="371"/>
      <c r="E346" s="371"/>
      <c r="F346" s="371"/>
      <c r="G346" s="371"/>
      <c r="H346" s="371"/>
      <c r="I346" s="371"/>
      <c r="J346" s="371"/>
      <c r="K346" s="371"/>
      <c r="L346" s="371"/>
      <c r="M346" s="371"/>
      <c r="N346" s="371"/>
      <c r="O346" s="371"/>
      <c r="P346" s="371"/>
      <c r="Q346" s="371"/>
      <c r="R346" s="371"/>
      <c r="S346" s="371"/>
      <c r="T346" s="371"/>
      <c r="U346" s="371"/>
      <c r="V346" s="371"/>
      <c r="W346" s="160"/>
    </row>
    <row r="347" spans="1:23" ht="12.75" x14ac:dyDescent="0.2">
      <c r="A347" s="148"/>
      <c r="B347" s="547" t="str">
        <f ca="1">语言!$A$354</f>
        <v>诺布尔寇德</v>
      </c>
      <c r="C347" s="371"/>
      <c r="D347" s="371"/>
      <c r="E347" s="371"/>
      <c r="F347" s="371"/>
      <c r="G347" s="371"/>
      <c r="H347" s="371"/>
      <c r="I347" s="371"/>
      <c r="J347" s="371"/>
      <c r="K347" s="371"/>
      <c r="L347" s="371"/>
      <c r="M347" s="371"/>
      <c r="N347" s="371"/>
      <c r="O347" s="371"/>
      <c r="P347" s="371"/>
      <c r="Q347" s="371"/>
      <c r="R347" s="371"/>
      <c r="S347" s="371"/>
      <c r="T347" s="371"/>
      <c r="U347" s="371"/>
      <c r="V347" s="371"/>
      <c r="W347" s="148"/>
    </row>
    <row r="348" spans="1:23" ht="12.75" x14ac:dyDescent="0.2">
      <c r="A348" s="148"/>
      <c r="B348" s="410" t="str">
        <f ca="1">语言!$A$2102</f>
        <v>市民</v>
      </c>
      <c r="C348" s="148" t="b">
        <v>0</v>
      </c>
      <c r="D348" s="25" t="str">
        <f ca="1">道具!$C$4</f>
        <v>ＨＰ恢复的葡萄（大）</v>
      </c>
      <c r="E348" s="543" t="b">
        <v>0</v>
      </c>
      <c r="F348" s="409" t="str">
        <f ca="1">语言!$A$33&amp;"
"&amp;道具!$C$38</f>
        <v>隐藏道具的资讯
雷之精灵石（特大）</v>
      </c>
      <c r="G348" s="543" t="b">
        <v>0</v>
      </c>
      <c r="H348" s="545" t="s">
        <v>57</v>
      </c>
      <c r="I348" s="409">
        <v>3</v>
      </c>
      <c r="J348" s="409"/>
      <c r="K348" s="409"/>
      <c r="L348" s="409"/>
      <c r="M348" s="409"/>
      <c r="N348" s="409"/>
      <c r="O348" s="409" t="str">
        <f ca="1">道具!$C$4</f>
        <v>ＨＰ恢复的葡萄（大）</v>
      </c>
      <c r="P348" s="543"/>
      <c r="Q348" s="545" t="s">
        <v>57</v>
      </c>
      <c r="R348" s="24"/>
      <c r="S348" s="24" t="str">
        <f ca="1">Summon!$I$64</f>
        <v>精准射击</v>
      </c>
      <c r="T348" s="545">
        <v>8</v>
      </c>
      <c r="U348" s="543"/>
      <c r="V348" s="409"/>
      <c r="W348" s="148"/>
    </row>
    <row r="349" spans="1:23" ht="12.75" x14ac:dyDescent="0.2">
      <c r="A349" s="148"/>
      <c r="B349" s="371"/>
      <c r="C349" s="148" t="b">
        <v>0</v>
      </c>
      <c r="D349" s="25" t="str">
        <f ca="1">道具!$C$7</f>
        <v>ＳＰ恢复的李子（大）</v>
      </c>
      <c r="E349" s="371"/>
      <c r="F349" s="371"/>
      <c r="G349" s="371"/>
      <c r="H349" s="371"/>
      <c r="I349" s="371"/>
      <c r="J349" s="371"/>
      <c r="K349" s="371"/>
      <c r="L349" s="371"/>
      <c r="M349" s="371"/>
      <c r="N349" s="371"/>
      <c r="O349" s="371"/>
      <c r="P349" s="371"/>
      <c r="Q349" s="371"/>
      <c r="R349" s="24"/>
      <c r="S349" s="24" t="str">
        <f ca="1">Summon!$I$122</f>
        <v>恢复ＨＰ的葡萄（大）</v>
      </c>
      <c r="T349" s="371"/>
      <c r="U349" s="371"/>
      <c r="V349" s="371"/>
      <c r="W349" s="148"/>
    </row>
    <row r="350" spans="1:23" ht="12.75" x14ac:dyDescent="0.2">
      <c r="A350" s="148"/>
      <c r="B350" s="544"/>
      <c r="C350" s="152"/>
      <c r="D350" s="151"/>
      <c r="E350" s="544"/>
      <c r="F350" s="544"/>
      <c r="G350" s="544"/>
      <c r="H350" s="544"/>
      <c r="I350" s="544"/>
      <c r="J350" s="544"/>
      <c r="K350" s="544"/>
      <c r="L350" s="544"/>
      <c r="M350" s="544"/>
      <c r="N350" s="544"/>
      <c r="O350" s="544"/>
      <c r="P350" s="544"/>
      <c r="Q350" s="544"/>
      <c r="R350" s="150"/>
      <c r="S350" s="150" t="str">
        <f ca="1">Summon!$I$4</f>
        <v>战斗</v>
      </c>
      <c r="T350" s="544"/>
      <c r="U350" s="544"/>
      <c r="V350" s="544"/>
      <c r="W350" s="148"/>
    </row>
    <row r="351" spans="1:23" ht="12.75" x14ac:dyDescent="0.2">
      <c r="A351" s="148"/>
      <c r="B351" s="410" t="str">
        <f ca="1">语言!$A$2102</f>
        <v>市民</v>
      </c>
      <c r="C351" s="148" t="b">
        <v>0</v>
      </c>
      <c r="D351" s="25" t="str">
        <f ca="1">道具!$C$117</f>
        <v>鼓胀的钱包</v>
      </c>
      <c r="E351" s="543" t="b">
        <v>0</v>
      </c>
      <c r="F351" s="409" t="str">
        <f ca="1">语言!$A$23</f>
        <v>无</v>
      </c>
      <c r="G351" s="543" t="b">
        <v>0</v>
      </c>
      <c r="H351" s="545" t="s">
        <v>57</v>
      </c>
      <c r="I351" s="409">
        <v>3</v>
      </c>
      <c r="J351" s="409"/>
      <c r="K351" s="409"/>
      <c r="L351" s="409"/>
      <c r="M351" s="409"/>
      <c r="N351" s="409"/>
      <c r="O351" s="409" t="str">
        <f ca="1">道具!$C$9</f>
        <v>ＢＰ恢复的石榴</v>
      </c>
      <c r="P351" s="543"/>
      <c r="Q351" s="545" t="s">
        <v>57</v>
      </c>
      <c r="R351" s="24"/>
      <c r="S351" s="24" t="str">
        <f ca="1">Summon!$I$48</f>
        <v>连掷短剑</v>
      </c>
      <c r="T351" s="545">
        <v>8</v>
      </c>
      <c r="U351" s="543"/>
      <c r="V351" s="409" t="str">
        <f ca="1">"NPC available upon starting "&amp;语言!$A$41&amp;" chapter 2"</f>
        <v>NPC available upon starting 泰里翁 chapter 2</v>
      </c>
      <c r="W351" s="148"/>
    </row>
    <row r="352" spans="1:23" ht="12.75" x14ac:dyDescent="0.2">
      <c r="A352" s="148"/>
      <c r="B352" s="371"/>
      <c r="C352" s="148" t="b">
        <v>0</v>
      </c>
      <c r="D352" s="25" t="str">
        <f ca="1">道具!$C$543</f>
        <v>橄榄花</v>
      </c>
      <c r="E352" s="371"/>
      <c r="F352" s="371"/>
      <c r="G352" s="371"/>
      <c r="H352" s="371"/>
      <c r="I352" s="371"/>
      <c r="J352" s="371"/>
      <c r="K352" s="371"/>
      <c r="L352" s="371"/>
      <c r="M352" s="371"/>
      <c r="N352" s="371"/>
      <c r="O352" s="371"/>
      <c r="P352" s="371"/>
      <c r="Q352" s="371"/>
      <c r="R352" s="24"/>
      <c r="S352" s="24" t="str">
        <f ca="1">Summon!$I$42</f>
        <v>猛击</v>
      </c>
      <c r="T352" s="371"/>
      <c r="U352" s="371"/>
      <c r="V352" s="371"/>
      <c r="W352" s="148"/>
    </row>
    <row r="353" spans="1:23" ht="12.75" x14ac:dyDescent="0.2">
      <c r="A353" s="148"/>
      <c r="B353" s="544"/>
      <c r="C353" s="152" t="b">
        <v>0</v>
      </c>
      <c r="D353" s="151" t="str">
        <f ca="1">道具!$C$544</f>
        <v>神秘之花</v>
      </c>
      <c r="E353" s="544"/>
      <c r="F353" s="544"/>
      <c r="G353" s="544"/>
      <c r="H353" s="544"/>
      <c r="I353" s="544"/>
      <c r="J353" s="544"/>
      <c r="K353" s="544"/>
      <c r="L353" s="544"/>
      <c r="M353" s="544"/>
      <c r="N353" s="544"/>
      <c r="O353" s="544"/>
      <c r="P353" s="544"/>
      <c r="Q353" s="544"/>
      <c r="R353" s="150"/>
      <c r="S353" s="150" t="str">
        <f ca="1">Summon!$I$4</f>
        <v>战斗</v>
      </c>
      <c r="T353" s="544"/>
      <c r="U353" s="544"/>
      <c r="V353" s="544"/>
      <c r="W353" s="148"/>
    </row>
    <row r="354" spans="1:23" ht="12.75" x14ac:dyDescent="0.2">
      <c r="A354" s="148"/>
      <c r="B354" s="151" t="str">
        <f ca="1">语言!$A$2082</f>
        <v>沙漠的商人</v>
      </c>
      <c r="C354" s="152" t="b">
        <v>0</v>
      </c>
      <c r="D354" s="151" t="str">
        <f ca="1">"* "&amp;道具!$F$19</f>
        <v>* 绿洲的水</v>
      </c>
      <c r="E354" s="152"/>
      <c r="F354" s="153" t="s">
        <v>119</v>
      </c>
      <c r="G354" s="152"/>
      <c r="H354" s="153" t="s">
        <v>119</v>
      </c>
      <c r="I354" s="153" t="s">
        <v>119</v>
      </c>
      <c r="J354" s="153" t="s">
        <v>119</v>
      </c>
      <c r="K354" s="153" t="s">
        <v>119</v>
      </c>
      <c r="L354" s="153" t="s">
        <v>119</v>
      </c>
      <c r="M354" s="153" t="s">
        <v>119</v>
      </c>
      <c r="N354" s="153" t="s">
        <v>119</v>
      </c>
      <c r="O354" s="153" t="s">
        <v>119</v>
      </c>
      <c r="P354" s="152"/>
      <c r="Q354" s="153" t="s">
        <v>119</v>
      </c>
      <c r="R354" s="153" t="s">
        <v>119</v>
      </c>
      <c r="S354" s="153" t="s">
        <v>119</v>
      </c>
      <c r="T354" s="153" t="s">
        <v>119</v>
      </c>
      <c r="U354" s="152"/>
      <c r="V354" s="150" t="str">
        <f ca="1">"NPC available only during "&amp;语言!$A$41&amp;" chapter 2
Can't "&amp;语言!$A$46&amp;", only "&amp;语言!$A$50</f>
        <v>NPC available only during 泰里翁 chapter 2
Can't 购买, only 偷取</v>
      </c>
      <c r="W354" s="148"/>
    </row>
    <row r="355" spans="1:23" ht="12.75" x14ac:dyDescent="0.2">
      <c r="A355" s="148"/>
      <c r="B355" s="410" t="str">
        <f ca="1">语言!$A$1953</f>
        <v>雷欧．巴斯特拉尔？ /
假雷欧</v>
      </c>
      <c r="C355" s="148" t="b">
        <v>0</v>
      </c>
      <c r="D355" s="25" t="str">
        <f ca="1">道具!$C$201</f>
        <v>长枪</v>
      </c>
      <c r="E355" s="543" t="b">
        <v>0</v>
      </c>
      <c r="F355" s="409" t="str">
        <f ca="1">语言!$A$23</f>
        <v>无</v>
      </c>
      <c r="G355" s="543" t="b">
        <v>0</v>
      </c>
      <c r="H355" s="545" t="s">
        <v>49</v>
      </c>
      <c r="I355" s="409">
        <v>4</v>
      </c>
      <c r="J355" s="409"/>
      <c r="K355" s="409"/>
      <c r="L355" s="409"/>
      <c r="M355" s="409"/>
      <c r="N355" s="409"/>
      <c r="O355" s="409" t="str">
        <f ca="1">道具!$C$19</f>
        <v>沉默治疗药草</v>
      </c>
      <c r="P355" s="543"/>
      <c r="Q355" s="545" t="s">
        <v>49</v>
      </c>
      <c r="R355" s="24"/>
      <c r="S355" s="24" t="str">
        <f ca="1">Summon!$I$179</f>
        <v>速度提升</v>
      </c>
      <c r="T355" s="545">
        <v>7</v>
      </c>
      <c r="U355" s="543"/>
      <c r="V355" s="409" t="str">
        <f ca="1">"NPC available upon starting quest: "&amp;支线!$C$35&amp;"
"&amp;语言!$A$44&amp;" / "&amp;语言!$A$48&amp;" available after quest: "&amp;支线!$C$35</f>
        <v>NPC available upon starting quest: 米克与马克，在那之后
引导 / 诱惑 available after quest: 米克与马克，在那之后</v>
      </c>
      <c r="W355" s="148"/>
    </row>
    <row r="356" spans="1:23" ht="12.75" x14ac:dyDescent="0.2">
      <c r="A356" s="148"/>
      <c r="B356" s="371"/>
      <c r="C356" s="148" t="b">
        <v>0</v>
      </c>
      <c r="D356" s="25" t="str">
        <f ca="1">道具!$C$351</f>
        <v>鸢形盾</v>
      </c>
      <c r="E356" s="371"/>
      <c r="F356" s="371"/>
      <c r="G356" s="371"/>
      <c r="H356" s="371"/>
      <c r="I356" s="371"/>
      <c r="J356" s="371"/>
      <c r="K356" s="371"/>
      <c r="L356" s="371"/>
      <c r="M356" s="371"/>
      <c r="N356" s="371"/>
      <c r="O356" s="371"/>
      <c r="P356" s="371"/>
      <c r="Q356" s="371"/>
      <c r="R356" s="24"/>
      <c r="S356" s="24" t="str">
        <f ca="1">Summon!$I$34</f>
        <v>无双突刺</v>
      </c>
      <c r="T356" s="371"/>
      <c r="U356" s="371"/>
      <c r="V356" s="371"/>
      <c r="W356" s="148"/>
    </row>
    <row r="357" spans="1:23" ht="12.75" x14ac:dyDescent="0.2">
      <c r="A357" s="148"/>
      <c r="B357" s="544"/>
      <c r="C357" s="152"/>
      <c r="D357" s="151"/>
      <c r="E357" s="544"/>
      <c r="F357" s="544"/>
      <c r="G357" s="544"/>
      <c r="H357" s="544"/>
      <c r="I357" s="544"/>
      <c r="J357" s="544"/>
      <c r="K357" s="544"/>
      <c r="L357" s="544"/>
      <c r="M357" s="544"/>
      <c r="N357" s="544"/>
      <c r="O357" s="544"/>
      <c r="P357" s="544"/>
      <c r="Q357" s="544"/>
      <c r="R357" s="150"/>
      <c r="S357" s="150" t="str">
        <f ca="1">Summon!$I$4</f>
        <v>战斗</v>
      </c>
      <c r="T357" s="544"/>
      <c r="U357" s="544"/>
      <c r="V357" s="544"/>
      <c r="W357" s="148"/>
    </row>
    <row r="358" spans="1:23" ht="12.75" x14ac:dyDescent="0.2">
      <c r="A358" s="148"/>
      <c r="B358" s="410" t="str">
        <f ca="1">语言!$A$2102</f>
        <v>市民</v>
      </c>
      <c r="C358" s="148" t="b">
        <v>0</v>
      </c>
      <c r="D358" s="25" t="str">
        <f ca="1">道具!$C$213</f>
        <v>灵魂匕首</v>
      </c>
      <c r="E358" s="543" t="b">
        <v>0</v>
      </c>
      <c r="F358" s="409" t="str">
        <f ca="1">语言!$A$23</f>
        <v>无</v>
      </c>
      <c r="G358" s="543" t="b">
        <v>0</v>
      </c>
      <c r="H358" s="545" t="s">
        <v>46</v>
      </c>
      <c r="I358" s="409">
        <v>3</v>
      </c>
      <c r="J358" s="409"/>
      <c r="K358" s="409"/>
      <c r="L358" s="409"/>
      <c r="M358" s="409"/>
      <c r="N358" s="409"/>
      <c r="O358" s="409" t="str">
        <f ca="1">道具!$C$22</f>
        <v>睡眠治疗药草</v>
      </c>
      <c r="P358" s="543"/>
      <c r="Q358" s="545" t="s">
        <v>46</v>
      </c>
      <c r="R358" s="24"/>
      <c r="S358" s="24" t="str">
        <f ca="1">Summon!$I$135</f>
        <v>暗暗治疗药</v>
      </c>
      <c r="T358" s="545">
        <v>8</v>
      </c>
      <c r="U358" s="543"/>
      <c r="V358" s="409"/>
      <c r="W358" s="148"/>
    </row>
    <row r="359" spans="1:23" ht="12.75" x14ac:dyDescent="0.2">
      <c r="A359" s="148"/>
      <c r="B359" s="371"/>
      <c r="C359" s="148" t="b">
        <v>0</v>
      </c>
      <c r="D359" s="25" t="str">
        <f ca="1">道具!$C$22</f>
        <v>睡眠治疗药草</v>
      </c>
      <c r="E359" s="371"/>
      <c r="F359" s="371"/>
      <c r="G359" s="371"/>
      <c r="H359" s="371"/>
      <c r="I359" s="371"/>
      <c r="J359" s="371"/>
      <c r="K359" s="371"/>
      <c r="L359" s="371"/>
      <c r="M359" s="371"/>
      <c r="N359" s="371"/>
      <c r="O359" s="371"/>
      <c r="P359" s="371"/>
      <c r="Q359" s="371"/>
      <c r="R359" s="24"/>
      <c r="S359" s="24" t="str">
        <f ca="1">Summon!$I$45</f>
        <v>失明猛击</v>
      </c>
      <c r="T359" s="371"/>
      <c r="U359" s="371"/>
      <c r="V359" s="371"/>
      <c r="W359" s="148"/>
    </row>
    <row r="360" spans="1:23" ht="12.75" x14ac:dyDescent="0.2">
      <c r="A360" s="148"/>
      <c r="B360" s="544"/>
      <c r="C360" s="152"/>
      <c r="D360" s="151"/>
      <c r="E360" s="544"/>
      <c r="F360" s="544"/>
      <c r="G360" s="544"/>
      <c r="H360" s="544"/>
      <c r="I360" s="544"/>
      <c r="J360" s="544"/>
      <c r="K360" s="544"/>
      <c r="L360" s="544"/>
      <c r="M360" s="544"/>
      <c r="N360" s="544"/>
      <c r="O360" s="544"/>
      <c r="P360" s="544"/>
      <c r="Q360" s="544"/>
      <c r="R360" s="150"/>
      <c r="S360" s="150" t="str">
        <f ca="1">Summon!$I$4</f>
        <v>战斗</v>
      </c>
      <c r="T360" s="544"/>
      <c r="U360" s="544"/>
      <c r="V360" s="544"/>
      <c r="W360" s="148"/>
    </row>
    <row r="361" spans="1:23" ht="12.75" x14ac:dyDescent="0.2">
      <c r="A361" s="148"/>
      <c r="B361" s="410" t="str">
        <f ca="1">语言!$A$1812</f>
        <v>少年</v>
      </c>
      <c r="C361" s="148" t="b">
        <v>0</v>
      </c>
      <c r="D361" s="25" t="str">
        <f ca="1">道具!$C$9</f>
        <v>ＢＰ恢复的石榴</v>
      </c>
      <c r="E361" s="543" t="b">
        <v>0</v>
      </c>
      <c r="F361" s="409" t="str">
        <f ca="1">语言!$A$23</f>
        <v>无</v>
      </c>
      <c r="G361" s="543" t="b">
        <v>0</v>
      </c>
      <c r="H361" s="546" t="s">
        <v>119</v>
      </c>
      <c r="I361" s="546" t="s">
        <v>119</v>
      </c>
      <c r="J361" s="546" t="s">
        <v>119</v>
      </c>
      <c r="K361" s="546" t="s">
        <v>119</v>
      </c>
      <c r="L361" s="546" t="s">
        <v>119</v>
      </c>
      <c r="M361" s="546" t="s">
        <v>119</v>
      </c>
      <c r="N361" s="546" t="s">
        <v>119</v>
      </c>
      <c r="O361" s="546" t="s">
        <v>119</v>
      </c>
      <c r="P361" s="543"/>
      <c r="Q361" s="546" t="s">
        <v>119</v>
      </c>
      <c r="R361" s="546" t="s">
        <v>119</v>
      </c>
      <c r="S361" s="546" t="s">
        <v>119</v>
      </c>
      <c r="T361" s="546" t="s">
        <v>119</v>
      </c>
      <c r="U361" s="543"/>
      <c r="V361" s="409"/>
      <c r="W361" s="148"/>
    </row>
    <row r="362" spans="1:23" ht="12.75" x14ac:dyDescent="0.2">
      <c r="A362" s="148"/>
      <c r="B362" s="544"/>
      <c r="C362" s="152" t="b">
        <v>0</v>
      </c>
      <c r="D362" s="151" t="str">
        <f ca="1">道具!$C$480</f>
        <v>体力手环</v>
      </c>
      <c r="E362" s="544"/>
      <c r="F362" s="544"/>
      <c r="G362" s="544"/>
      <c r="H362" s="544"/>
      <c r="I362" s="544"/>
      <c r="J362" s="544"/>
      <c r="K362" s="544"/>
      <c r="L362" s="544"/>
      <c r="M362" s="544"/>
      <c r="N362" s="544"/>
      <c r="O362" s="544"/>
      <c r="P362" s="544"/>
      <c r="Q362" s="544"/>
      <c r="R362" s="544"/>
      <c r="S362" s="544"/>
      <c r="T362" s="544"/>
      <c r="U362" s="544"/>
      <c r="V362" s="544"/>
      <c r="W362" s="148"/>
    </row>
    <row r="363" spans="1:23" ht="12.75" x14ac:dyDescent="0.2">
      <c r="A363" s="148"/>
      <c r="B363" s="410" t="str">
        <f ca="1">语言!$A$1762</f>
        <v>给人好印象的古董商</v>
      </c>
      <c r="C363" s="543" t="b">
        <v>0</v>
      </c>
      <c r="D363" s="410" t="str">
        <f ca="1">"* "&amp;道具!$F$40</f>
        <v>* 萝拉的记事本</v>
      </c>
      <c r="E363" s="543" t="b">
        <v>0</v>
      </c>
      <c r="F363" s="409" t="str">
        <f ca="1">语言!$A$33&amp;"
"&amp;道具!$C$129</f>
        <v>隐藏道具的资讯
奇特的古董</v>
      </c>
      <c r="G363" s="543" t="b">
        <v>0</v>
      </c>
      <c r="H363" s="545" t="s">
        <v>48</v>
      </c>
      <c r="I363" s="409">
        <v>2</v>
      </c>
      <c r="J363" s="409"/>
      <c r="K363" s="409"/>
      <c r="L363" s="409"/>
      <c r="M363" s="409"/>
      <c r="N363" s="409"/>
      <c r="O363" s="409" t="str">
        <f ca="1">道具!$C$19</f>
        <v>沉默治疗药草</v>
      </c>
      <c r="P363" s="543"/>
      <c r="Q363" s="545" t="s">
        <v>48</v>
      </c>
      <c r="R363" s="24"/>
      <c r="S363" s="24" t="str">
        <f ca="1">Summon!$I$137</f>
        <v>沉默治疗药</v>
      </c>
      <c r="T363" s="545">
        <v>9</v>
      </c>
      <c r="U363" s="543"/>
      <c r="V363" s="409"/>
      <c r="W363" s="148"/>
    </row>
    <row r="364" spans="1:23" ht="12.75" x14ac:dyDescent="0.2">
      <c r="A364" s="148"/>
      <c r="B364" s="371"/>
      <c r="C364" s="371"/>
      <c r="D364" s="371"/>
      <c r="E364" s="371"/>
      <c r="F364" s="371"/>
      <c r="G364" s="371"/>
      <c r="H364" s="371"/>
      <c r="I364" s="371"/>
      <c r="J364" s="371"/>
      <c r="K364" s="371"/>
      <c r="L364" s="371"/>
      <c r="M364" s="371"/>
      <c r="N364" s="371"/>
      <c r="O364" s="371"/>
      <c r="P364" s="371"/>
      <c r="Q364" s="371"/>
      <c r="R364" s="24"/>
      <c r="S364" s="24" t="str">
        <f ca="1">Summon!$I$72</f>
        <v>殴打</v>
      </c>
      <c r="T364" s="371"/>
      <c r="U364" s="371"/>
      <c r="V364" s="371"/>
      <c r="W364" s="148"/>
    </row>
    <row r="365" spans="1:23" ht="12.75" x14ac:dyDescent="0.2">
      <c r="A365" s="148"/>
      <c r="B365" s="544"/>
      <c r="C365" s="544"/>
      <c r="D365" s="544"/>
      <c r="E365" s="544"/>
      <c r="F365" s="544"/>
      <c r="G365" s="544"/>
      <c r="H365" s="544"/>
      <c r="I365" s="544"/>
      <c r="J365" s="544"/>
      <c r="K365" s="544"/>
      <c r="L365" s="544"/>
      <c r="M365" s="544"/>
      <c r="N365" s="544"/>
      <c r="O365" s="544"/>
      <c r="P365" s="544"/>
      <c r="Q365" s="544"/>
      <c r="R365" s="150"/>
      <c r="S365" s="150" t="str">
        <f ca="1">Summon!$I$4</f>
        <v>战斗</v>
      </c>
      <c r="T365" s="544"/>
      <c r="U365" s="544"/>
      <c r="V365" s="544"/>
      <c r="W365" s="148"/>
    </row>
    <row r="366" spans="1:23" ht="12.75" x14ac:dyDescent="0.2">
      <c r="A366" s="148"/>
      <c r="B366" s="410" t="str">
        <f ca="1">语言!$A$1854</f>
        <v>老婆婆</v>
      </c>
      <c r="C366" s="148" t="b">
        <v>0</v>
      </c>
      <c r="D366" s="25" t="str">
        <f ca="1">道具!$C$213</f>
        <v>灵魂匕首</v>
      </c>
      <c r="E366" s="543" t="b">
        <v>0</v>
      </c>
      <c r="F366" s="409" t="str">
        <f ca="1">语言!$A$33&amp;"
"&amp;道具!$C$117</f>
        <v>隐藏道具的资讯
鼓胀的钱包</v>
      </c>
      <c r="G366" s="543" t="b">
        <v>0</v>
      </c>
      <c r="H366" s="545" t="s">
        <v>50</v>
      </c>
      <c r="I366" s="409">
        <v>4</v>
      </c>
      <c r="J366" s="409"/>
      <c r="K366" s="409"/>
      <c r="L366" s="409"/>
      <c r="M366" s="409"/>
      <c r="N366" s="409"/>
      <c r="O366" s="409" t="str">
        <f ca="1">道具!$C$319</f>
        <v>战锤</v>
      </c>
      <c r="P366" s="543"/>
      <c r="Q366" s="546" t="s">
        <v>119</v>
      </c>
      <c r="R366" s="546" t="s">
        <v>119</v>
      </c>
      <c r="S366" s="546" t="s">
        <v>119</v>
      </c>
      <c r="T366" s="546" t="s">
        <v>119</v>
      </c>
      <c r="U366" s="543"/>
      <c r="V366" s="409"/>
      <c r="W366" s="148"/>
    </row>
    <row r="367" spans="1:23" ht="12.75" x14ac:dyDescent="0.2">
      <c r="A367" s="148"/>
      <c r="B367" s="544"/>
      <c r="C367" s="152" t="b">
        <v>0</v>
      </c>
      <c r="D367" s="151" t="str">
        <f ca="1">道具!$C$408</f>
        <v>魔术师长袍</v>
      </c>
      <c r="E367" s="544"/>
      <c r="F367" s="544"/>
      <c r="G367" s="544"/>
      <c r="H367" s="544"/>
      <c r="I367" s="544"/>
      <c r="J367" s="544"/>
      <c r="K367" s="544"/>
      <c r="L367" s="544"/>
      <c r="M367" s="544"/>
      <c r="N367" s="544"/>
      <c r="O367" s="544"/>
      <c r="P367" s="544"/>
      <c r="Q367" s="544"/>
      <c r="R367" s="544"/>
      <c r="S367" s="544"/>
      <c r="T367" s="544"/>
      <c r="U367" s="544"/>
      <c r="V367" s="544"/>
      <c r="W367" s="148"/>
    </row>
    <row r="368" spans="1:23" ht="12.75" x14ac:dyDescent="0.2">
      <c r="A368" s="148"/>
      <c r="B368" s="410" t="str">
        <f ca="1">语言!$A$2102</f>
        <v>市民</v>
      </c>
      <c r="C368" s="148" t="b">
        <v>0</v>
      </c>
      <c r="D368" s="25" t="str">
        <f ca="1">道具!$C$487</f>
        <v>会心手环</v>
      </c>
      <c r="E368" s="543" t="b">
        <v>0</v>
      </c>
      <c r="F368" s="409" t="str">
        <f ca="1">语言!$A$23</f>
        <v>无</v>
      </c>
      <c r="G368" s="543" t="b">
        <v>0</v>
      </c>
      <c r="H368" s="545" t="s">
        <v>46</v>
      </c>
      <c r="I368" s="409">
        <v>3</v>
      </c>
      <c r="J368" s="409"/>
      <c r="K368" s="409"/>
      <c r="L368" s="409"/>
      <c r="M368" s="409"/>
      <c r="N368" s="409"/>
      <c r="O368" s="409" t="str">
        <f ca="1">道具!$C$22</f>
        <v>睡眠治疗药草</v>
      </c>
      <c r="P368" s="543"/>
      <c r="Q368" s="546" t="s">
        <v>119</v>
      </c>
      <c r="R368" s="546" t="s">
        <v>119</v>
      </c>
      <c r="S368" s="546" t="s">
        <v>119</v>
      </c>
      <c r="T368" s="546" t="s">
        <v>119</v>
      </c>
      <c r="U368" s="543"/>
      <c r="V368" s="409"/>
      <c r="W368" s="148"/>
    </row>
    <row r="369" spans="1:23" ht="12.75" x14ac:dyDescent="0.2">
      <c r="A369" s="148"/>
      <c r="B369" s="544"/>
      <c r="C369" s="152" t="b">
        <v>0</v>
      </c>
      <c r="D369" s="151" t="str">
        <f ca="1">道具!$C$488</f>
        <v>体力戒指</v>
      </c>
      <c r="E369" s="544"/>
      <c r="F369" s="544"/>
      <c r="G369" s="544"/>
      <c r="H369" s="544"/>
      <c r="I369" s="544"/>
      <c r="J369" s="544"/>
      <c r="K369" s="544"/>
      <c r="L369" s="544"/>
      <c r="M369" s="544"/>
      <c r="N369" s="544"/>
      <c r="O369" s="544"/>
      <c r="P369" s="544"/>
      <c r="Q369" s="544"/>
      <c r="R369" s="544"/>
      <c r="S369" s="544"/>
      <c r="T369" s="544"/>
      <c r="U369" s="544"/>
      <c r="V369" s="544"/>
      <c r="W369" s="148"/>
    </row>
    <row r="370" spans="1:23" ht="12.75" x14ac:dyDescent="0.2">
      <c r="A370" s="148"/>
      <c r="B370" s="410" t="str">
        <f ca="1">语言!$A$2102</f>
        <v>市民</v>
      </c>
      <c r="C370" s="148" t="b">
        <v>0</v>
      </c>
      <c r="D370" s="25" t="str">
        <f ca="1">道具!$C$543</f>
        <v>橄榄花</v>
      </c>
      <c r="E370" s="543" t="b">
        <v>0</v>
      </c>
      <c r="F370" s="409" t="str">
        <f ca="1">语言!$A$23</f>
        <v>无</v>
      </c>
      <c r="G370" s="543" t="b">
        <v>0</v>
      </c>
      <c r="H370" s="545" t="s">
        <v>47</v>
      </c>
      <c r="I370" s="409">
        <v>4</v>
      </c>
      <c r="J370" s="409"/>
      <c r="K370" s="409"/>
      <c r="L370" s="409"/>
      <c r="M370" s="409"/>
      <c r="N370" s="409"/>
      <c r="O370" s="409" t="str">
        <f ca="1">道具!$C$177</f>
        <v>灾厄骑枪</v>
      </c>
      <c r="P370" s="543"/>
      <c r="Q370" s="545" t="s">
        <v>47</v>
      </c>
      <c r="R370" s="24"/>
      <c r="S370" s="24" t="str">
        <f ca="1">Summon!$I$34</f>
        <v>无双突刺</v>
      </c>
      <c r="T370" s="545">
        <v>6</v>
      </c>
      <c r="U370" s="543"/>
      <c r="V370" s="409" t="str">
        <f ca="1">"Behind other NPC ("&amp;语言!$A$47&amp;" / "&amp;语言!$A$51&amp;")"</f>
        <v>Behind other NPC (比试 / 唆使)</v>
      </c>
      <c r="W370" s="148"/>
    </row>
    <row r="371" spans="1:23" ht="12.75" x14ac:dyDescent="0.2">
      <c r="A371" s="148"/>
      <c r="B371" s="371"/>
      <c r="C371" s="148" t="b">
        <v>0</v>
      </c>
      <c r="D371" s="25" t="str">
        <f ca="1">道具!$C$544</f>
        <v>神秘之花</v>
      </c>
      <c r="E371" s="371"/>
      <c r="F371" s="371"/>
      <c r="G371" s="371"/>
      <c r="H371" s="371"/>
      <c r="I371" s="371"/>
      <c r="J371" s="371"/>
      <c r="K371" s="371"/>
      <c r="L371" s="371"/>
      <c r="M371" s="371"/>
      <c r="N371" s="371"/>
      <c r="O371" s="371"/>
      <c r="P371" s="371"/>
      <c r="Q371" s="371"/>
      <c r="R371" s="24"/>
      <c r="S371" s="24" t="str">
        <f ca="1">Summon!$I$31</f>
        <v>要害突刺</v>
      </c>
      <c r="T371" s="371"/>
      <c r="U371" s="371"/>
      <c r="V371" s="371"/>
      <c r="W371" s="148"/>
    </row>
    <row r="372" spans="1:23" ht="12.75" x14ac:dyDescent="0.2">
      <c r="A372" s="148"/>
      <c r="B372" s="544"/>
      <c r="C372" s="152" t="b">
        <v>0</v>
      </c>
      <c r="D372" s="151" t="str">
        <f ca="1">道具!$C$88</f>
        <v>种子</v>
      </c>
      <c r="E372" s="544"/>
      <c r="F372" s="544"/>
      <c r="G372" s="544"/>
      <c r="H372" s="544"/>
      <c r="I372" s="544"/>
      <c r="J372" s="544"/>
      <c r="K372" s="544"/>
      <c r="L372" s="544"/>
      <c r="M372" s="544"/>
      <c r="N372" s="544"/>
      <c r="O372" s="544"/>
      <c r="P372" s="544"/>
      <c r="Q372" s="544"/>
      <c r="R372" s="150"/>
      <c r="S372" s="150" t="str">
        <f ca="1">Summon!$I$4</f>
        <v>战斗</v>
      </c>
      <c r="T372" s="544"/>
      <c r="U372" s="544"/>
      <c r="V372" s="544"/>
      <c r="W372" s="148"/>
    </row>
    <row r="373" spans="1:23" ht="12.75" x14ac:dyDescent="0.2">
      <c r="A373" s="148"/>
      <c r="B373" s="410" t="str">
        <f ca="1">语言!$A$1759</f>
        <v>成就的老人</v>
      </c>
      <c r="C373" s="543" t="b">
        <v>0</v>
      </c>
      <c r="D373" s="410" t="str">
        <f ca="1">"* "&amp;道具!$F$50</f>
        <v>* 老人也能用的短弓</v>
      </c>
      <c r="E373" s="543" t="b">
        <v>0</v>
      </c>
      <c r="F373" s="409" t="str">
        <f ca="1">语言!$A$23</f>
        <v>无</v>
      </c>
      <c r="G373" s="543" t="b">
        <v>0</v>
      </c>
      <c r="H373" s="545" t="s">
        <v>49</v>
      </c>
      <c r="I373" s="409">
        <v>4</v>
      </c>
      <c r="J373" s="409"/>
      <c r="K373" s="409"/>
      <c r="L373" s="409"/>
      <c r="M373" s="409"/>
      <c r="N373" s="409"/>
      <c r="O373" s="409" t="str">
        <f ca="1">道具!$C$19</f>
        <v>沉默治疗药草</v>
      </c>
      <c r="P373" s="543"/>
      <c r="Q373" s="545" t="s">
        <v>49</v>
      </c>
      <c r="R373" s="24"/>
      <c r="S373" s="24" t="str">
        <f ca="1">Summon!$I$140</f>
        <v>毒药</v>
      </c>
      <c r="T373" s="545">
        <v>7</v>
      </c>
      <c r="U373" s="543"/>
      <c r="V373" s="409"/>
      <c r="W373" s="148"/>
    </row>
    <row r="374" spans="1:23" ht="12.75" x14ac:dyDescent="0.2">
      <c r="A374" s="148"/>
      <c r="B374" s="371"/>
      <c r="C374" s="371"/>
      <c r="D374" s="371"/>
      <c r="E374" s="371"/>
      <c r="F374" s="371"/>
      <c r="G374" s="371"/>
      <c r="H374" s="371"/>
      <c r="I374" s="371"/>
      <c r="J374" s="371"/>
      <c r="K374" s="371"/>
      <c r="L374" s="371"/>
      <c r="M374" s="371"/>
      <c r="N374" s="371"/>
      <c r="O374" s="371"/>
      <c r="P374" s="371"/>
      <c r="Q374" s="371"/>
      <c r="R374" s="24"/>
      <c r="S374" s="24" t="str">
        <f ca="1">Summon!$I$57</f>
        <v>粉碎</v>
      </c>
      <c r="T374" s="371"/>
      <c r="U374" s="371"/>
      <c r="V374" s="371"/>
      <c r="W374" s="148"/>
    </row>
    <row r="375" spans="1:23" ht="12.75" x14ac:dyDescent="0.2">
      <c r="A375" s="148"/>
      <c r="B375" s="544"/>
      <c r="C375" s="544"/>
      <c r="D375" s="544"/>
      <c r="E375" s="544"/>
      <c r="F375" s="544"/>
      <c r="G375" s="544"/>
      <c r="H375" s="544"/>
      <c r="I375" s="544"/>
      <c r="J375" s="544"/>
      <c r="K375" s="544"/>
      <c r="L375" s="544"/>
      <c r="M375" s="544"/>
      <c r="N375" s="544"/>
      <c r="O375" s="544"/>
      <c r="P375" s="544"/>
      <c r="Q375" s="544"/>
      <c r="R375" s="150"/>
      <c r="S375" s="150" t="str">
        <f ca="1">Summon!$I$4</f>
        <v>战斗</v>
      </c>
      <c r="T375" s="544"/>
      <c r="U375" s="544"/>
      <c r="V375" s="544"/>
      <c r="W375" s="148"/>
    </row>
    <row r="376" spans="1:23" ht="12.75" x14ac:dyDescent="0.2">
      <c r="A376" s="148"/>
      <c r="B376" s="410" t="str">
        <f ca="1">语言!$A$1982&amp;" (2)"</f>
        <v>船员米克 (2)</v>
      </c>
      <c r="C376" s="148" t="b">
        <v>0</v>
      </c>
      <c r="D376" s="25" t="str">
        <f ca="1">道具!$C$7</f>
        <v>ＳＰ恢复的李子（大）</v>
      </c>
      <c r="E376" s="543" t="b">
        <v>0</v>
      </c>
      <c r="F376" s="409" t="str">
        <f ca="1">语言!$A$23</f>
        <v>无</v>
      </c>
      <c r="G376" s="543" t="b">
        <v>0</v>
      </c>
      <c r="H376" s="545" t="s">
        <v>49</v>
      </c>
      <c r="I376" s="409">
        <v>4</v>
      </c>
      <c r="J376" s="409"/>
      <c r="K376" s="409"/>
      <c r="L376" s="409"/>
      <c r="M376" s="409"/>
      <c r="N376" s="409"/>
      <c r="O376" s="409" t="str">
        <f ca="1">道具!$C$536</f>
        <v>超含毒的素材（扩散）</v>
      </c>
      <c r="P376" s="543"/>
      <c r="Q376" s="545" t="s">
        <v>49</v>
      </c>
      <c r="R376" s="24"/>
      <c r="S376" s="24" t="str">
        <f ca="1">Summon!$I$175</f>
        <v>物理提升</v>
      </c>
      <c r="T376" s="545">
        <v>7</v>
      </c>
      <c r="U376" s="543"/>
      <c r="V376" s="409" t="str">
        <f ca="1">"NPC at this location upon starting quest: "&amp;支线!$C$35&amp;"
"&amp;语言!$A$44&amp;" / "&amp;语言!$A$48&amp;" available after quest: "&amp;支线!$C$35</f>
        <v>NPC at this location upon starting quest: 米克与马克，在那之后
引导 / 诱惑 available after quest: 米克与马克，在那之后</v>
      </c>
      <c r="W376" s="148"/>
    </row>
    <row r="377" spans="1:23" ht="12.75" x14ac:dyDescent="0.2">
      <c r="A377" s="148"/>
      <c r="B377" s="371"/>
      <c r="C377" s="148" t="b">
        <v>0</v>
      </c>
      <c r="D377" s="25" t="str">
        <f ca="1">道具!$C$529</f>
        <v>药的素材（扩散）</v>
      </c>
      <c r="E377" s="371"/>
      <c r="F377" s="371"/>
      <c r="G377" s="371"/>
      <c r="H377" s="371"/>
      <c r="I377" s="371"/>
      <c r="J377" s="371"/>
      <c r="K377" s="371"/>
      <c r="L377" s="371"/>
      <c r="M377" s="371"/>
      <c r="N377" s="371"/>
      <c r="O377" s="371"/>
      <c r="P377" s="371"/>
      <c r="Q377" s="371"/>
      <c r="R377" s="24"/>
      <c r="S377" s="24" t="str">
        <f ca="1">Summon!$I$6</f>
        <v>斩击</v>
      </c>
      <c r="T377" s="371"/>
      <c r="U377" s="371"/>
      <c r="V377" s="371"/>
      <c r="W377" s="148"/>
    </row>
    <row r="378" spans="1:23" ht="12.75" x14ac:dyDescent="0.2">
      <c r="A378" s="148"/>
      <c r="B378" s="544"/>
      <c r="C378" s="152"/>
      <c r="D378" s="151"/>
      <c r="E378" s="544"/>
      <c r="F378" s="544"/>
      <c r="G378" s="544"/>
      <c r="H378" s="544"/>
      <c r="I378" s="544"/>
      <c r="J378" s="544"/>
      <c r="K378" s="544"/>
      <c r="L378" s="544"/>
      <c r="M378" s="544"/>
      <c r="N378" s="544"/>
      <c r="O378" s="544"/>
      <c r="P378" s="544"/>
      <c r="Q378" s="544"/>
      <c r="R378" s="150"/>
      <c r="S378" s="150" t="str">
        <f ca="1">Summon!$I$4</f>
        <v>战斗</v>
      </c>
      <c r="T378" s="544"/>
      <c r="U378" s="544"/>
      <c r="V378" s="544"/>
      <c r="W378" s="148"/>
    </row>
    <row r="379" spans="1:23" ht="12.75" x14ac:dyDescent="0.2">
      <c r="A379" s="148"/>
      <c r="B379" s="410" t="str">
        <f ca="1">语言!$A$1966&amp;" (2)"</f>
        <v>船员马克 (2)</v>
      </c>
      <c r="C379" s="148" t="b">
        <v>0</v>
      </c>
      <c r="D379" s="25" t="str">
        <f ca="1">道具!$C$9</f>
        <v>ＢＰ恢复的石榴</v>
      </c>
      <c r="E379" s="543" t="b">
        <v>0</v>
      </c>
      <c r="F379" s="409" t="str">
        <f ca="1">语言!$A$23</f>
        <v>无</v>
      </c>
      <c r="G379" s="543" t="b">
        <v>0</v>
      </c>
      <c r="H379" s="545" t="s">
        <v>49</v>
      </c>
      <c r="I379" s="409">
        <v>4</v>
      </c>
      <c r="J379" s="409"/>
      <c r="K379" s="409"/>
      <c r="L379" s="409"/>
      <c r="M379" s="409"/>
      <c r="N379" s="409"/>
      <c r="O379" s="409" t="str">
        <f ca="1">道具!$C$544</f>
        <v>神秘之花</v>
      </c>
      <c r="P379" s="543"/>
      <c r="Q379" s="545" t="s">
        <v>49</v>
      </c>
      <c r="R379" s="24"/>
      <c r="S379" s="24" t="str">
        <f ca="1">Summon!$I$159</f>
        <v>物理下降</v>
      </c>
      <c r="T379" s="545">
        <v>7</v>
      </c>
      <c r="U379" s="543"/>
      <c r="V379" s="409" t="str">
        <f ca="1">"NPC at this location upon starting quest: "&amp;支线!$C$35&amp;"
"&amp;语言!$A$44&amp;" / "&amp;语言!$A$48&amp;" available after quest: "&amp;支线!$C$35</f>
        <v>NPC at this location upon starting quest: 米克与马克，在那之后
引导 / 诱惑 available after quest: 米克与马克，在那之后</v>
      </c>
      <c r="W379" s="148"/>
    </row>
    <row r="380" spans="1:23" ht="12.75" x14ac:dyDescent="0.2">
      <c r="A380" s="148"/>
      <c r="B380" s="371"/>
      <c r="C380" s="148" t="b">
        <v>0</v>
      </c>
      <c r="D380" s="25" t="str">
        <f ca="1">道具!$C$532</f>
        <v>含毒的素材</v>
      </c>
      <c r="E380" s="371"/>
      <c r="F380" s="371"/>
      <c r="G380" s="371"/>
      <c r="H380" s="371"/>
      <c r="I380" s="371"/>
      <c r="J380" s="371"/>
      <c r="K380" s="371"/>
      <c r="L380" s="371"/>
      <c r="M380" s="371"/>
      <c r="N380" s="371"/>
      <c r="O380" s="371"/>
      <c r="P380" s="371"/>
      <c r="Q380" s="371"/>
      <c r="R380" s="24"/>
      <c r="S380" s="24" t="str">
        <f ca="1">Summon!$I$6</f>
        <v>斩击</v>
      </c>
      <c r="T380" s="371"/>
      <c r="U380" s="371"/>
      <c r="V380" s="371"/>
      <c r="W380" s="148"/>
    </row>
    <row r="381" spans="1:23" ht="12.75" x14ac:dyDescent="0.2">
      <c r="A381" s="148"/>
      <c r="B381" s="544"/>
      <c r="C381" s="152"/>
      <c r="D381" s="151"/>
      <c r="E381" s="544"/>
      <c r="F381" s="544"/>
      <c r="G381" s="544"/>
      <c r="H381" s="544"/>
      <c r="I381" s="544"/>
      <c r="J381" s="544"/>
      <c r="K381" s="544"/>
      <c r="L381" s="544"/>
      <c r="M381" s="544"/>
      <c r="N381" s="544"/>
      <c r="O381" s="544"/>
      <c r="P381" s="544"/>
      <c r="Q381" s="544"/>
      <c r="R381" s="150"/>
      <c r="S381" s="150" t="str">
        <f ca="1">Summon!$I$4</f>
        <v>战斗</v>
      </c>
      <c r="T381" s="544"/>
      <c r="U381" s="544"/>
      <c r="V381" s="544"/>
      <c r="W381" s="148"/>
    </row>
    <row r="382" spans="1:23" ht="12.75" x14ac:dyDescent="0.2">
      <c r="A382" s="148"/>
      <c r="B382" s="410" t="str">
        <f ca="1">语言!$A$2020</f>
        <v>学者奥立克</v>
      </c>
      <c r="C382" s="148" t="b">
        <v>0</v>
      </c>
      <c r="D382" s="25" t="str">
        <f ca="1">道具!$C$408</f>
        <v>魔术师长袍</v>
      </c>
      <c r="E382" s="543" t="b">
        <v>0</v>
      </c>
      <c r="F382" s="409" t="str">
        <f ca="1">语言!$A$23</f>
        <v>无</v>
      </c>
      <c r="G382" s="543" t="b">
        <v>0</v>
      </c>
      <c r="H382" s="545" t="s">
        <v>50</v>
      </c>
      <c r="I382" s="409">
        <v>4</v>
      </c>
      <c r="J382" s="409"/>
      <c r="K382" s="409"/>
      <c r="L382" s="409"/>
      <c r="M382" s="409"/>
      <c r="N382" s="409"/>
      <c r="O382" s="409" t="str">
        <f ca="1">道具!$C$12</f>
        <v>ＨＰ／ＳＰ恢复的果酱</v>
      </c>
      <c r="P382" s="543"/>
      <c r="Q382" s="545" t="s">
        <v>50</v>
      </c>
      <c r="R382" s="24"/>
      <c r="S382" s="24" t="str">
        <f ca="1">Summon!$I$83</f>
        <v>特大火焰魔法</v>
      </c>
      <c r="T382" s="545">
        <v>7</v>
      </c>
      <c r="U382" s="543"/>
      <c r="V382" s="409" t="str">
        <f ca="1">"NPC available after both "&amp;语言!$A$37&amp;" &amp; "&amp;语言!$A$41&amp;" chapter 4
"&amp;语言!$A$44&amp;" / "&amp;语言!$A$48&amp;" available after quest: "&amp;支线!$C$35</f>
        <v>NPC available after both 特蕾莎 &amp; 泰里翁 chapter 4
引导 / 诱惑 available after quest: 米克与马克，在那之后</v>
      </c>
      <c r="W382" s="148"/>
    </row>
    <row r="383" spans="1:23" ht="12.75" x14ac:dyDescent="0.2">
      <c r="A383" s="148"/>
      <c r="B383" s="371"/>
      <c r="C383" s="148" t="b">
        <v>0</v>
      </c>
      <c r="D383" s="25" t="str">
        <f ca="1">道具!$C$32</f>
        <v>火之精灵石（特大）</v>
      </c>
      <c r="E383" s="371"/>
      <c r="F383" s="371"/>
      <c r="G383" s="371"/>
      <c r="H383" s="371"/>
      <c r="I383" s="371"/>
      <c r="J383" s="371"/>
      <c r="K383" s="371"/>
      <c r="L383" s="371"/>
      <c r="M383" s="371"/>
      <c r="N383" s="371"/>
      <c r="O383" s="371"/>
      <c r="P383" s="371"/>
      <c r="Q383" s="371"/>
      <c r="R383" s="24"/>
      <c r="S383" s="24" t="str">
        <f ca="1">Summon!$I$80</f>
        <v>大火焰魔法</v>
      </c>
      <c r="T383" s="371"/>
      <c r="U383" s="371"/>
      <c r="V383" s="371"/>
      <c r="W383" s="148"/>
    </row>
    <row r="384" spans="1:23" ht="12.75" x14ac:dyDescent="0.2">
      <c r="A384" s="148"/>
      <c r="B384" s="544"/>
      <c r="C384" s="152"/>
      <c r="D384" s="151"/>
      <c r="E384" s="544"/>
      <c r="F384" s="544"/>
      <c r="G384" s="544"/>
      <c r="H384" s="544"/>
      <c r="I384" s="544"/>
      <c r="J384" s="544"/>
      <c r="K384" s="544"/>
      <c r="L384" s="544"/>
      <c r="M384" s="544"/>
      <c r="N384" s="544"/>
      <c r="O384" s="544"/>
      <c r="P384" s="544"/>
      <c r="Q384" s="544"/>
      <c r="R384" s="150"/>
      <c r="S384" s="150" t="str">
        <f ca="1">Summon!$I$4</f>
        <v>战斗</v>
      </c>
      <c r="T384" s="544"/>
      <c r="U384" s="544"/>
      <c r="V384" s="544"/>
      <c r="W384" s="148"/>
    </row>
    <row r="385" spans="1:23" ht="12.75" x14ac:dyDescent="0.2">
      <c r="A385" s="148"/>
      <c r="B385" s="410" t="str">
        <f ca="1">语言!$A$1795</f>
        <v>学者巴勒姆</v>
      </c>
      <c r="C385" s="148" t="b">
        <v>0</v>
      </c>
      <c r="D385" s="25" t="str">
        <f ca="1">道具!$C$381</f>
        <v>祭司之帽</v>
      </c>
      <c r="E385" s="543" t="b">
        <v>0</v>
      </c>
      <c r="F385" s="409" t="str">
        <f ca="1">语言!$A$23</f>
        <v>无</v>
      </c>
      <c r="G385" s="543" t="b">
        <v>0</v>
      </c>
      <c r="H385" s="545" t="s">
        <v>50</v>
      </c>
      <c r="I385" s="409">
        <v>4</v>
      </c>
      <c r="J385" s="409"/>
      <c r="K385" s="409"/>
      <c r="L385" s="409"/>
      <c r="M385" s="409"/>
      <c r="N385" s="409"/>
      <c r="O385" s="409" t="str">
        <f ca="1">道具!$C$12</f>
        <v>ＨＰ／ＳＰ恢复的果酱</v>
      </c>
      <c r="P385" s="543"/>
      <c r="Q385" s="545" t="s">
        <v>50</v>
      </c>
      <c r="R385" s="24"/>
      <c r="S385" s="24" t="str">
        <f ca="1">Summon!$I$92</f>
        <v>特大雷击魔法</v>
      </c>
      <c r="T385" s="545">
        <v>7</v>
      </c>
      <c r="U385" s="543"/>
      <c r="V385" s="409" t="str">
        <f ca="1">"NPC available after both "&amp;语言!$A$37&amp;" &amp; "&amp;语言!$A$41&amp;" chapter 4
"&amp;语言!$A$44&amp;" / "&amp;语言!$A$48&amp;" available after quest: "&amp;支线!$C$35</f>
        <v>NPC available after both 特蕾莎 &amp; 泰里翁 chapter 4
引导 / 诱惑 available after quest: 米克与马克，在那之后</v>
      </c>
      <c r="W385" s="148"/>
    </row>
    <row r="386" spans="1:23" ht="12.75" x14ac:dyDescent="0.2">
      <c r="A386" s="148"/>
      <c r="B386" s="371"/>
      <c r="C386" s="148" t="b">
        <v>0</v>
      </c>
      <c r="D386" s="25" t="str">
        <f ca="1">道具!$C$346</f>
        <v>塔盾</v>
      </c>
      <c r="E386" s="371"/>
      <c r="F386" s="371"/>
      <c r="G386" s="371"/>
      <c r="H386" s="371"/>
      <c r="I386" s="371"/>
      <c r="J386" s="371"/>
      <c r="K386" s="371"/>
      <c r="L386" s="371"/>
      <c r="M386" s="371"/>
      <c r="N386" s="371"/>
      <c r="O386" s="371"/>
      <c r="P386" s="371"/>
      <c r="Q386" s="371"/>
      <c r="R386" s="24"/>
      <c r="S386" s="24" t="str">
        <f ca="1">Summon!$I$91</f>
        <v>大雷击魔法</v>
      </c>
      <c r="T386" s="371"/>
      <c r="U386" s="371"/>
      <c r="V386" s="371"/>
      <c r="W386" s="148"/>
    </row>
    <row r="387" spans="1:23" ht="12.75" x14ac:dyDescent="0.2">
      <c r="A387" s="148"/>
      <c r="B387" s="544"/>
      <c r="C387" s="152"/>
      <c r="D387" s="151"/>
      <c r="E387" s="544"/>
      <c r="F387" s="544"/>
      <c r="G387" s="544"/>
      <c r="H387" s="544"/>
      <c r="I387" s="544"/>
      <c r="J387" s="544"/>
      <c r="K387" s="544"/>
      <c r="L387" s="544"/>
      <c r="M387" s="544"/>
      <c r="N387" s="544"/>
      <c r="O387" s="544"/>
      <c r="P387" s="544"/>
      <c r="Q387" s="544"/>
      <c r="R387" s="150"/>
      <c r="S387" s="150" t="str">
        <f ca="1">Summon!$I$4</f>
        <v>战斗</v>
      </c>
      <c r="T387" s="544"/>
      <c r="U387" s="544"/>
      <c r="V387" s="544"/>
      <c r="W387" s="148"/>
    </row>
    <row r="388" spans="1:23" ht="12.75" x14ac:dyDescent="0.2">
      <c r="A388" s="148"/>
      <c r="B388" s="410" t="str">
        <f ca="1">语言!$A$2014</f>
        <v>老人</v>
      </c>
      <c r="C388" s="148" t="b">
        <v>0</v>
      </c>
      <c r="D388" s="25" t="str">
        <f ca="1">道具!$C$3</f>
        <v>ＨＰ恢复的葡萄</v>
      </c>
      <c r="E388" s="543" t="b">
        <v>0</v>
      </c>
      <c r="F388" s="409" t="str">
        <f ca="1">语言!$A$23</f>
        <v>无</v>
      </c>
      <c r="G388" s="543" t="b">
        <v>0</v>
      </c>
      <c r="H388" s="545" t="s">
        <v>45</v>
      </c>
      <c r="I388" s="409">
        <v>2</v>
      </c>
      <c r="J388" s="409"/>
      <c r="K388" s="409"/>
      <c r="L388" s="409"/>
      <c r="M388" s="409"/>
      <c r="N388" s="409"/>
      <c r="O388" s="409" t="str">
        <f ca="1">道具!$C$4</f>
        <v>ＨＰ恢复的葡萄（大）</v>
      </c>
      <c r="P388" s="543"/>
      <c r="Q388" s="545" t="s">
        <v>45</v>
      </c>
      <c r="R388" s="24"/>
      <c r="S388" s="24" t="str">
        <f ca="1">Summon!$I$76</f>
        <v>波动拳</v>
      </c>
      <c r="T388" s="545">
        <v>9</v>
      </c>
      <c r="U388" s="543"/>
      <c r="V388" s="409" t="str">
        <f ca="1">"NPC available upon starting "&amp;语言!$A$41&amp;" chapter 2"</f>
        <v>NPC available upon starting 泰里翁 chapter 2</v>
      </c>
      <c r="W388" s="148"/>
    </row>
    <row r="389" spans="1:23" ht="12.75" x14ac:dyDescent="0.2">
      <c r="A389" s="148"/>
      <c r="B389" s="371"/>
      <c r="C389" s="148" t="b">
        <v>0</v>
      </c>
      <c r="D389" s="25" t="str">
        <f ca="1">道具!$C$4</f>
        <v>ＨＰ恢复的葡萄（大）</v>
      </c>
      <c r="E389" s="371"/>
      <c r="F389" s="371"/>
      <c r="G389" s="371"/>
      <c r="H389" s="371"/>
      <c r="I389" s="371"/>
      <c r="J389" s="371"/>
      <c r="K389" s="371"/>
      <c r="L389" s="371"/>
      <c r="M389" s="371"/>
      <c r="N389" s="371"/>
      <c r="O389" s="371"/>
      <c r="P389" s="371"/>
      <c r="Q389" s="371"/>
      <c r="R389" s="24"/>
      <c r="S389" s="24" t="str">
        <f ca="1">Summon!$I$4</f>
        <v>战斗</v>
      </c>
      <c r="T389" s="371"/>
      <c r="U389" s="371"/>
      <c r="V389" s="371"/>
      <c r="W389" s="148"/>
    </row>
    <row r="390" spans="1:23" ht="12.75" x14ac:dyDescent="0.2">
      <c r="A390" s="148"/>
      <c r="B390" s="544"/>
      <c r="C390" s="152" t="b">
        <v>0</v>
      </c>
      <c r="D390" s="151" t="str">
        <f ca="1">道具!$C$5</f>
        <v>ＨＰ全体恢复的葡萄</v>
      </c>
      <c r="E390" s="544"/>
      <c r="F390" s="544"/>
      <c r="G390" s="544"/>
      <c r="H390" s="544"/>
      <c r="I390" s="544"/>
      <c r="J390" s="544"/>
      <c r="K390" s="544"/>
      <c r="L390" s="544"/>
      <c r="M390" s="544"/>
      <c r="N390" s="544"/>
      <c r="O390" s="544"/>
      <c r="P390" s="544"/>
      <c r="Q390" s="544"/>
      <c r="R390" s="150"/>
      <c r="S390" s="150"/>
      <c r="T390" s="544"/>
      <c r="U390" s="544"/>
      <c r="V390" s="544"/>
      <c r="W390" s="148"/>
    </row>
    <row r="391" spans="1:23" ht="12.75" x14ac:dyDescent="0.2">
      <c r="A391" s="148"/>
      <c r="B391" s="410" t="str">
        <f ca="1">语言!$A$1975</f>
        <v>商人</v>
      </c>
      <c r="C391" s="543" t="b">
        <v>0</v>
      </c>
      <c r="D391" s="410" t="str">
        <f ca="1">"* "&amp;道具!$F$21</f>
        <v>* 水晶矿石</v>
      </c>
      <c r="E391" s="543"/>
      <c r="F391" s="546" t="s">
        <v>119</v>
      </c>
      <c r="G391" s="543"/>
      <c r="H391" s="546" t="s">
        <v>119</v>
      </c>
      <c r="I391" s="546" t="s">
        <v>119</v>
      </c>
      <c r="J391" s="546" t="s">
        <v>119</v>
      </c>
      <c r="K391" s="546" t="s">
        <v>119</v>
      </c>
      <c r="L391" s="546" t="s">
        <v>119</v>
      </c>
      <c r="M391" s="546" t="s">
        <v>119</v>
      </c>
      <c r="N391" s="546" t="s">
        <v>119</v>
      </c>
      <c r="O391" s="546" t="s">
        <v>119</v>
      </c>
      <c r="P391" s="543"/>
      <c r="Q391" s="546" t="s">
        <v>119</v>
      </c>
      <c r="R391" s="546" t="s">
        <v>119</v>
      </c>
      <c r="S391" s="546" t="s">
        <v>119</v>
      </c>
      <c r="T391" s="546" t="s">
        <v>119</v>
      </c>
      <c r="U391" s="543"/>
      <c r="V391" s="409" t="str">
        <f ca="1">"NPC available only during "&amp;语言!$A$41&amp;" chapter 2
Can't "&amp;语言!$A$46&amp;", only "&amp;语言!$A$50</f>
        <v>NPC available only during 泰里翁 chapter 2
Can't 购买, only 偷取</v>
      </c>
      <c r="W391" s="148"/>
    </row>
    <row r="392" spans="1:23" ht="12.75" x14ac:dyDescent="0.2">
      <c r="A392" s="148"/>
      <c r="B392" s="544"/>
      <c r="C392" s="544"/>
      <c r="D392" s="544"/>
      <c r="E392" s="544"/>
      <c r="F392" s="544"/>
      <c r="G392" s="544"/>
      <c r="H392" s="544"/>
      <c r="I392" s="544"/>
      <c r="J392" s="544"/>
      <c r="K392" s="544"/>
      <c r="L392" s="544"/>
      <c r="M392" s="544"/>
      <c r="N392" s="544"/>
      <c r="O392" s="544"/>
      <c r="P392" s="544"/>
      <c r="Q392" s="544"/>
      <c r="R392" s="544"/>
      <c r="S392" s="544"/>
      <c r="T392" s="544"/>
      <c r="U392" s="544"/>
      <c r="V392" s="544"/>
      <c r="W392" s="148"/>
    </row>
    <row r="393" spans="1:23" ht="12.75" x14ac:dyDescent="0.2">
      <c r="A393" s="148"/>
      <c r="B393" s="410" t="str">
        <f ca="1">语言!$A$1873</f>
        <v>会自制用品的旅人</v>
      </c>
      <c r="C393" s="148" t="b">
        <v>0</v>
      </c>
      <c r="D393" s="25" t="str">
        <f ca="1">道具!$C$492</f>
        <v>察知戒指</v>
      </c>
      <c r="E393" s="543" t="b">
        <v>0</v>
      </c>
      <c r="F393" s="409" t="str">
        <f ca="1">道具!$I$4</f>
        <v>纺织品的活用法</v>
      </c>
      <c r="G393" s="543" t="b">
        <v>0</v>
      </c>
      <c r="H393" s="545" t="s">
        <v>57</v>
      </c>
      <c r="I393" s="409">
        <v>3</v>
      </c>
      <c r="J393" s="409"/>
      <c r="K393" s="409"/>
      <c r="L393" s="409"/>
      <c r="M393" s="409"/>
      <c r="N393" s="409"/>
      <c r="O393" s="409" t="str">
        <f ca="1">道具!$C$12</f>
        <v>ＨＰ／ＳＰ恢复的果酱</v>
      </c>
      <c r="P393" s="543"/>
      <c r="Q393" s="546" t="s">
        <v>119</v>
      </c>
      <c r="R393" s="546" t="s">
        <v>119</v>
      </c>
      <c r="S393" s="546" t="s">
        <v>119</v>
      </c>
      <c r="T393" s="546" t="s">
        <v>119</v>
      </c>
      <c r="U393" s="543"/>
      <c r="V393" s="409"/>
      <c r="W393" s="148"/>
    </row>
    <row r="394" spans="1:23" ht="12.75" x14ac:dyDescent="0.2">
      <c r="A394" s="148"/>
      <c r="B394" s="544"/>
      <c r="C394" s="152" t="b">
        <v>0</v>
      </c>
      <c r="D394" s="151" t="str">
        <f ca="1">道具!$C$494</f>
        <v>会心戒指</v>
      </c>
      <c r="E394" s="544"/>
      <c r="F394" s="544"/>
      <c r="G394" s="544"/>
      <c r="H394" s="544"/>
      <c r="I394" s="544"/>
      <c r="J394" s="544"/>
      <c r="K394" s="544"/>
      <c r="L394" s="544"/>
      <c r="M394" s="544"/>
      <c r="N394" s="544"/>
      <c r="O394" s="544"/>
      <c r="P394" s="544"/>
      <c r="Q394" s="544"/>
      <c r="R394" s="544"/>
      <c r="S394" s="544"/>
      <c r="T394" s="544"/>
      <c r="U394" s="544"/>
      <c r="V394" s="544"/>
      <c r="W394" s="148"/>
    </row>
    <row r="395" spans="1:23" ht="12.75" x14ac:dyDescent="0.2">
      <c r="A395" s="148"/>
      <c r="B395" s="410" t="str">
        <f ca="1">语言!$A$1889</f>
        <v>看门人</v>
      </c>
      <c r="C395" s="543" t="b">
        <v>0</v>
      </c>
      <c r="D395" s="410" t="str">
        <f ca="1">道具!$C$155</f>
        <v>月之刃</v>
      </c>
      <c r="E395" s="543" t="b">
        <v>0</v>
      </c>
      <c r="F395" s="409" t="str">
        <f ca="1">语言!$A$23</f>
        <v>无</v>
      </c>
      <c r="G395" s="543" t="b">
        <v>0</v>
      </c>
      <c r="H395" s="545" t="s">
        <v>50</v>
      </c>
      <c r="I395" s="409">
        <v>4</v>
      </c>
      <c r="J395" s="409"/>
      <c r="K395" s="409"/>
      <c r="L395" s="409"/>
      <c r="M395" s="409"/>
      <c r="N395" s="409"/>
      <c r="O395" s="409" t="str">
        <f ca="1">道具!$C$424</f>
        <v>元素轻甲</v>
      </c>
      <c r="P395" s="543"/>
      <c r="Q395" s="545" t="s">
        <v>50</v>
      </c>
      <c r="R395" s="24"/>
      <c r="S395" s="24" t="str">
        <f ca="1">Summon!$I$174</f>
        <v>防御力提升</v>
      </c>
      <c r="T395" s="545">
        <v>7</v>
      </c>
      <c r="U395" s="543"/>
      <c r="V395" s="409" t="str">
        <f ca="1">"NPC available upon stating "&amp;语言!$A$41&amp;" chapter 2"</f>
        <v>NPC available upon stating 泰里翁 chapter 2</v>
      </c>
      <c r="W395" s="148"/>
    </row>
    <row r="396" spans="1:23" ht="12.75" x14ac:dyDescent="0.2">
      <c r="A396" s="148"/>
      <c r="B396" s="371"/>
      <c r="C396" s="371"/>
      <c r="D396" s="371"/>
      <c r="E396" s="371"/>
      <c r="F396" s="371"/>
      <c r="G396" s="371"/>
      <c r="H396" s="371"/>
      <c r="I396" s="371"/>
      <c r="J396" s="371"/>
      <c r="K396" s="371"/>
      <c r="L396" s="371"/>
      <c r="M396" s="371"/>
      <c r="N396" s="371"/>
      <c r="O396" s="371"/>
      <c r="P396" s="371"/>
      <c r="Q396" s="371"/>
      <c r="R396" s="24"/>
      <c r="S396" s="24" t="str">
        <f ca="1">Summon!$I$40</f>
        <v>乱挥</v>
      </c>
      <c r="T396" s="371"/>
      <c r="U396" s="371"/>
      <c r="V396" s="371"/>
      <c r="W396" s="148"/>
    </row>
    <row r="397" spans="1:23" ht="12.75" x14ac:dyDescent="0.2">
      <c r="A397" s="148"/>
      <c r="B397" s="544"/>
      <c r="C397" s="544"/>
      <c r="D397" s="544"/>
      <c r="E397" s="544"/>
      <c r="F397" s="544"/>
      <c r="G397" s="544"/>
      <c r="H397" s="544"/>
      <c r="I397" s="544"/>
      <c r="J397" s="544"/>
      <c r="K397" s="544"/>
      <c r="L397" s="544"/>
      <c r="M397" s="544"/>
      <c r="N397" s="544"/>
      <c r="O397" s="544"/>
      <c r="P397" s="544"/>
      <c r="Q397" s="544"/>
      <c r="R397" s="150"/>
      <c r="S397" s="150" t="str">
        <f ca="1">Summon!$I$4</f>
        <v>战斗</v>
      </c>
      <c r="T397" s="544"/>
      <c r="U397" s="544"/>
      <c r="V397" s="544"/>
      <c r="W397" s="148"/>
    </row>
    <row r="398" spans="1:23" ht="12.75" x14ac:dyDescent="0.2">
      <c r="A398" s="148"/>
      <c r="B398" s="410" t="str">
        <f ca="1">语言!$A$1889</f>
        <v>看门人</v>
      </c>
      <c r="C398" s="543" t="b">
        <v>0</v>
      </c>
      <c r="D398" s="410" t="str">
        <f ca="1">道具!$C$160</f>
        <v>重刃</v>
      </c>
      <c r="E398" s="543" t="b">
        <v>0</v>
      </c>
      <c r="F398" s="409" t="str">
        <f ca="1">语言!$A$33&amp;"
"&amp;道具!$C$10</f>
        <v>隐藏道具的资讯
ＢＰ恢复的石榴（大）</v>
      </c>
      <c r="G398" s="543" t="b">
        <v>0</v>
      </c>
      <c r="H398" s="545" t="s">
        <v>50</v>
      </c>
      <c r="I398" s="409">
        <v>4</v>
      </c>
      <c r="J398" s="409"/>
      <c r="K398" s="409"/>
      <c r="L398" s="409"/>
      <c r="M398" s="409"/>
      <c r="N398" s="409"/>
      <c r="O398" s="409" t="str">
        <f ca="1">道具!$C$4</f>
        <v>ＨＰ恢复的葡萄（大）</v>
      </c>
      <c r="P398" s="543"/>
      <c r="Q398" s="545" t="s">
        <v>50</v>
      </c>
      <c r="R398" s="24"/>
      <c r="S398" s="24" t="str">
        <f ca="1">Summon!$I$173</f>
        <v>攻击力提升</v>
      </c>
      <c r="T398" s="545">
        <v>7</v>
      </c>
      <c r="U398" s="543"/>
      <c r="V398" s="409" t="str">
        <f ca="1">"NPC available upon stating "&amp;语言!$A$41&amp;" chapter 2"</f>
        <v>NPC available upon stating 泰里翁 chapter 2</v>
      </c>
      <c r="W398" s="148"/>
    </row>
    <row r="399" spans="1:23" ht="12.75" x14ac:dyDescent="0.2">
      <c r="A399" s="148"/>
      <c r="B399" s="371"/>
      <c r="C399" s="371"/>
      <c r="D399" s="371"/>
      <c r="E399" s="371"/>
      <c r="F399" s="371"/>
      <c r="G399" s="371"/>
      <c r="H399" s="371"/>
      <c r="I399" s="371"/>
      <c r="J399" s="371"/>
      <c r="K399" s="371"/>
      <c r="L399" s="371"/>
      <c r="M399" s="371"/>
      <c r="N399" s="371"/>
      <c r="O399" s="371"/>
      <c r="P399" s="371"/>
      <c r="Q399" s="371"/>
      <c r="R399" s="24"/>
      <c r="S399" s="24" t="str">
        <f ca="1">Summon!$I$17</f>
        <v>连续斩</v>
      </c>
      <c r="T399" s="371"/>
      <c r="U399" s="371"/>
      <c r="V399" s="371"/>
      <c r="W399" s="148"/>
    </row>
    <row r="400" spans="1:23" ht="12.75" x14ac:dyDescent="0.2">
      <c r="A400" s="148"/>
      <c r="B400" s="544"/>
      <c r="C400" s="544"/>
      <c r="D400" s="544"/>
      <c r="E400" s="544"/>
      <c r="F400" s="544"/>
      <c r="G400" s="544"/>
      <c r="H400" s="544"/>
      <c r="I400" s="544"/>
      <c r="J400" s="544"/>
      <c r="K400" s="544"/>
      <c r="L400" s="544"/>
      <c r="M400" s="544"/>
      <c r="N400" s="544"/>
      <c r="O400" s="544"/>
      <c r="P400" s="544"/>
      <c r="Q400" s="544"/>
      <c r="R400" s="150"/>
      <c r="S400" s="150" t="str">
        <f ca="1">Summon!$I$4</f>
        <v>战斗</v>
      </c>
      <c r="T400" s="544"/>
      <c r="U400" s="544"/>
      <c r="V400" s="544"/>
      <c r="W400" s="148"/>
    </row>
    <row r="401" spans="1:23" ht="12.75" x14ac:dyDescent="0.2">
      <c r="A401" s="148"/>
      <c r="B401" s="410" t="str">
        <f ca="1">语言!$A$1940&amp;" (1)"</f>
        <v>克里斯 (1)</v>
      </c>
      <c r="C401" s="543"/>
      <c r="D401" s="553" t="s">
        <v>119</v>
      </c>
      <c r="E401" s="543"/>
      <c r="F401" s="546" t="s">
        <v>119</v>
      </c>
      <c r="G401" s="543"/>
      <c r="H401" s="546" t="s">
        <v>119</v>
      </c>
      <c r="I401" s="546" t="s">
        <v>119</v>
      </c>
      <c r="J401" s="546" t="s">
        <v>119</v>
      </c>
      <c r="K401" s="546" t="s">
        <v>119</v>
      </c>
      <c r="L401" s="546" t="s">
        <v>119</v>
      </c>
      <c r="M401" s="546" t="s">
        <v>119</v>
      </c>
      <c r="N401" s="546" t="s">
        <v>119</v>
      </c>
      <c r="O401" s="546" t="s">
        <v>119</v>
      </c>
      <c r="P401" s="543"/>
      <c r="Q401" s="546" t="s">
        <v>119</v>
      </c>
      <c r="R401" s="546" t="s">
        <v>119</v>
      </c>
      <c r="S401" s="546" t="s">
        <v>119</v>
      </c>
      <c r="T401" s="546" t="s">
        <v>119</v>
      </c>
      <c r="U401" s="543"/>
      <c r="V401" s="409" t="str">
        <f ca="1">"NPC available after quest: "&amp;支线!$C$4&amp;"
Moves to "&amp;语言!$A$375&amp;" after quest: "&amp;支线!$C$32</f>
        <v>NPC available after quest: 旅行青年
Moves to 月隐海道 after quest: 寻找父亲的旅行者克里斯（１）</v>
      </c>
      <c r="W401" s="148"/>
    </row>
    <row r="402" spans="1:23" ht="12.75" x14ac:dyDescent="0.2">
      <c r="A402" s="148"/>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148"/>
    </row>
    <row r="403" spans="1:23" ht="12.75" x14ac:dyDescent="0.2">
      <c r="A403" s="148"/>
      <c r="B403" s="547" t="str">
        <f ca="1">语言!$A$355</f>
        <v>诺布尔寇德 -东地区-</v>
      </c>
      <c r="C403" s="371"/>
      <c r="D403" s="371"/>
      <c r="E403" s="371"/>
      <c r="F403" s="371"/>
      <c r="G403" s="371"/>
      <c r="H403" s="371"/>
      <c r="I403" s="371"/>
      <c r="J403" s="371"/>
      <c r="K403" s="371"/>
      <c r="L403" s="371"/>
      <c r="M403" s="371"/>
      <c r="N403" s="371"/>
      <c r="O403" s="371"/>
      <c r="P403" s="371"/>
      <c r="Q403" s="371"/>
      <c r="R403" s="371"/>
      <c r="S403" s="371"/>
      <c r="T403" s="371"/>
      <c r="U403" s="371"/>
      <c r="V403" s="371"/>
      <c r="W403" s="148"/>
    </row>
    <row r="404" spans="1:23" ht="12.75" x14ac:dyDescent="0.2">
      <c r="A404" s="148"/>
      <c r="B404" s="410" t="str">
        <f ca="1">语言!$A$2102</f>
        <v>市民</v>
      </c>
      <c r="C404" s="543" t="b">
        <v>0</v>
      </c>
      <c r="D404" s="410" t="str">
        <f ca="1">道具!$C$221</f>
        <v>新月匕首</v>
      </c>
      <c r="E404" s="543" t="b">
        <v>0</v>
      </c>
      <c r="F404" s="409" t="str">
        <f ca="1">语言!$A$30</f>
        <v>「诱惑」成功机率ＵＰ资讯</v>
      </c>
      <c r="G404" s="543" t="b">
        <v>0</v>
      </c>
      <c r="H404" s="545" t="s">
        <v>48</v>
      </c>
      <c r="I404" s="409">
        <v>2</v>
      </c>
      <c r="J404" s="409"/>
      <c r="K404" s="409"/>
      <c r="L404" s="409"/>
      <c r="M404" s="409"/>
      <c r="N404" s="409"/>
      <c r="O404" s="409" t="str">
        <f ca="1">道具!$C$14</f>
        <v>复活的橄榄</v>
      </c>
      <c r="P404" s="543"/>
      <c r="Q404" s="545" t="s">
        <v>48</v>
      </c>
      <c r="R404" s="24"/>
      <c r="S404" s="24" t="str">
        <f ca="1">Summon!$I$122</f>
        <v>恢复ＨＰ的葡萄（大）</v>
      </c>
      <c r="T404" s="545">
        <v>9</v>
      </c>
      <c r="U404" s="543"/>
      <c r="V404" s="409"/>
      <c r="W404" s="148"/>
    </row>
    <row r="405" spans="1:23" ht="12.75" x14ac:dyDescent="0.2">
      <c r="A405" s="148"/>
      <c r="B405" s="544"/>
      <c r="C405" s="544"/>
      <c r="D405" s="544"/>
      <c r="E405" s="544"/>
      <c r="F405" s="544"/>
      <c r="G405" s="544"/>
      <c r="H405" s="544"/>
      <c r="I405" s="544"/>
      <c r="J405" s="544"/>
      <c r="K405" s="544"/>
      <c r="L405" s="544"/>
      <c r="M405" s="544"/>
      <c r="N405" s="544"/>
      <c r="O405" s="544"/>
      <c r="P405" s="544"/>
      <c r="Q405" s="544"/>
      <c r="R405" s="150"/>
      <c r="S405" s="150" t="str">
        <f ca="1">Summon!$I$4</f>
        <v>战斗</v>
      </c>
      <c r="T405" s="544"/>
      <c r="U405" s="544"/>
      <c r="V405" s="544"/>
      <c r="W405" s="148"/>
    </row>
    <row r="406" spans="1:23" ht="12.75" x14ac:dyDescent="0.2">
      <c r="A406" s="148"/>
      <c r="B406" s="410" t="str">
        <f ca="1">语言!$A$2087</f>
        <v>酒馆的客人</v>
      </c>
      <c r="C406" s="543" t="b">
        <v>0</v>
      </c>
      <c r="D406" s="410" t="str">
        <f ca="1">道具!$C$375</f>
        <v>显赫头盔</v>
      </c>
      <c r="E406" s="543" t="b">
        <v>0</v>
      </c>
      <c r="F406" s="409" t="str">
        <f ca="1">语言!$A$33&amp;"
"&amp;道具!$C$259</f>
        <v>隐藏道具的资讯
钢斧</v>
      </c>
      <c r="G406" s="543" t="b">
        <v>0</v>
      </c>
      <c r="H406" s="545" t="s">
        <v>46</v>
      </c>
      <c r="I406" s="409">
        <v>3</v>
      </c>
      <c r="J406" s="409"/>
      <c r="K406" s="409"/>
      <c r="L406" s="409"/>
      <c r="M406" s="409"/>
      <c r="N406" s="409"/>
      <c r="O406" s="409" t="str">
        <f ca="1">道具!$C$6</f>
        <v>ＳＰ恢复的李子</v>
      </c>
      <c r="P406" s="543"/>
      <c r="Q406" s="545" t="s">
        <v>46</v>
      </c>
      <c r="R406" s="24"/>
      <c r="S406" s="24" t="str">
        <f ca="1">Summon!$I$91</f>
        <v>大雷击魔法</v>
      </c>
      <c r="T406" s="545">
        <v>8</v>
      </c>
      <c r="U406" s="543"/>
      <c r="V406" s="409"/>
      <c r="W406" s="148"/>
    </row>
    <row r="407" spans="1:23" ht="12.75" x14ac:dyDescent="0.2">
      <c r="A407" s="148"/>
      <c r="B407" s="371"/>
      <c r="C407" s="371"/>
      <c r="D407" s="371"/>
      <c r="E407" s="371"/>
      <c r="F407" s="371"/>
      <c r="G407" s="371"/>
      <c r="H407" s="371"/>
      <c r="I407" s="371"/>
      <c r="J407" s="371"/>
      <c r="K407" s="371"/>
      <c r="L407" s="371"/>
      <c r="M407" s="371"/>
      <c r="N407" s="371"/>
      <c r="O407" s="371"/>
      <c r="P407" s="371"/>
      <c r="Q407" s="371"/>
      <c r="R407" s="24"/>
      <c r="S407" s="24" t="str">
        <f ca="1">Summon!$I$90</f>
        <v>雷击魔法</v>
      </c>
      <c r="T407" s="371"/>
      <c r="U407" s="371"/>
      <c r="V407" s="371"/>
      <c r="W407" s="148"/>
    </row>
    <row r="408" spans="1:23" ht="12.75" x14ac:dyDescent="0.2">
      <c r="A408" s="148"/>
      <c r="B408" s="544"/>
      <c r="C408" s="544"/>
      <c r="D408" s="544"/>
      <c r="E408" s="544"/>
      <c r="F408" s="544"/>
      <c r="G408" s="544"/>
      <c r="H408" s="544"/>
      <c r="I408" s="544"/>
      <c r="J408" s="544"/>
      <c r="K408" s="544"/>
      <c r="L408" s="544"/>
      <c r="M408" s="544"/>
      <c r="N408" s="544"/>
      <c r="O408" s="544"/>
      <c r="P408" s="544"/>
      <c r="Q408" s="544"/>
      <c r="R408" s="150"/>
      <c r="S408" s="150" t="str">
        <f ca="1">Summon!$I$4</f>
        <v>战斗</v>
      </c>
      <c r="T408" s="544"/>
      <c r="U408" s="544"/>
      <c r="V408" s="544"/>
      <c r="W408" s="148"/>
    </row>
    <row r="409" spans="1:23" ht="12.75" x14ac:dyDescent="0.2">
      <c r="A409" s="148"/>
      <c r="B409" s="410" t="str">
        <f ca="1">语言!$A$2087</f>
        <v>酒馆的客人</v>
      </c>
      <c r="C409" s="148" t="b">
        <v>0</v>
      </c>
      <c r="D409" s="25" t="str">
        <f ca="1">道具!$C$44</f>
        <v>光之精灵石（大）</v>
      </c>
      <c r="E409" s="543" t="b">
        <v>0</v>
      </c>
      <c r="F409" s="409" t="str">
        <f ca="1">语言!$A$24</f>
        <v>旅店的折扣资讯</v>
      </c>
      <c r="G409" s="543" t="b">
        <v>0</v>
      </c>
      <c r="H409" s="545" t="s">
        <v>57</v>
      </c>
      <c r="I409" s="409">
        <v>3</v>
      </c>
      <c r="J409" s="409"/>
      <c r="K409" s="409"/>
      <c r="L409" s="409"/>
      <c r="M409" s="409"/>
      <c r="N409" s="409"/>
      <c r="O409" s="409" t="str">
        <f ca="1">道具!$C$21</f>
        <v>混乱治疗药草</v>
      </c>
      <c r="P409" s="543"/>
      <c r="Q409" s="545" t="s">
        <v>57</v>
      </c>
      <c r="R409" s="24"/>
      <c r="S409" s="24" t="str">
        <f ca="1">Summon!$I$70</f>
        <v>乱射</v>
      </c>
      <c r="T409" s="545">
        <v>8</v>
      </c>
      <c r="U409" s="543"/>
      <c r="V409" s="409"/>
      <c r="W409" s="148"/>
    </row>
    <row r="410" spans="1:23" ht="12.75" x14ac:dyDescent="0.2">
      <c r="A410" s="148"/>
      <c r="B410" s="371"/>
      <c r="C410" s="148" t="b">
        <v>0</v>
      </c>
      <c r="D410" s="25" t="str">
        <f ca="1">道具!$C$47</f>
        <v>暗之精灵石（大）</v>
      </c>
      <c r="E410" s="371"/>
      <c r="F410" s="371"/>
      <c r="G410" s="371"/>
      <c r="H410" s="371"/>
      <c r="I410" s="371"/>
      <c r="J410" s="371"/>
      <c r="K410" s="371"/>
      <c r="L410" s="371"/>
      <c r="M410" s="371"/>
      <c r="N410" s="371"/>
      <c r="O410" s="371"/>
      <c r="P410" s="371"/>
      <c r="Q410" s="371"/>
      <c r="R410" s="24"/>
      <c r="S410" s="24" t="str">
        <f ca="1">Summon!$I$158</f>
        <v>防御力下降</v>
      </c>
      <c r="T410" s="371"/>
      <c r="U410" s="371"/>
      <c r="V410" s="371"/>
      <c r="W410" s="148"/>
    </row>
    <row r="411" spans="1:23" ht="12.75" x14ac:dyDescent="0.2">
      <c r="A411" s="148"/>
      <c r="B411" s="544"/>
      <c r="C411" s="152" t="b">
        <v>0</v>
      </c>
      <c r="D411" s="151" t="str">
        <f ca="1">道具!$C$37</f>
        <v>雷之精灵石（大）</v>
      </c>
      <c r="E411" s="544"/>
      <c r="F411" s="544"/>
      <c r="G411" s="544"/>
      <c r="H411" s="544"/>
      <c r="I411" s="544"/>
      <c r="J411" s="544"/>
      <c r="K411" s="544"/>
      <c r="L411" s="544"/>
      <c r="M411" s="544"/>
      <c r="N411" s="544"/>
      <c r="O411" s="544"/>
      <c r="P411" s="544"/>
      <c r="Q411" s="544"/>
      <c r="R411" s="150"/>
      <c r="S411" s="150" t="str">
        <f ca="1">Summon!$I$4</f>
        <v>战斗</v>
      </c>
      <c r="T411" s="544"/>
      <c r="U411" s="544"/>
      <c r="V411" s="544"/>
      <c r="W411" s="148"/>
    </row>
    <row r="412" spans="1:23" ht="12.75" x14ac:dyDescent="0.2">
      <c r="A412" s="148"/>
      <c r="B412" s="410" t="str">
        <f ca="1">语言!$A$2087</f>
        <v>酒馆的客人</v>
      </c>
      <c r="C412" s="148" t="b">
        <v>0</v>
      </c>
      <c r="D412" s="25" t="str">
        <f ca="1">道具!$C$192</f>
        <v>强盗长枪</v>
      </c>
      <c r="E412" s="543" t="b">
        <v>0</v>
      </c>
      <c r="F412" s="409" t="str">
        <f ca="1">语言!$A$28</f>
        <v>武器店商品追加资讯</v>
      </c>
      <c r="G412" s="543" t="b">
        <v>0</v>
      </c>
      <c r="H412" s="545" t="s">
        <v>45</v>
      </c>
      <c r="I412" s="409">
        <v>2</v>
      </c>
      <c r="J412" s="409"/>
      <c r="K412" s="409"/>
      <c r="L412" s="409"/>
      <c r="M412" s="409"/>
      <c r="N412" s="409"/>
      <c r="O412" s="409" t="str">
        <f ca="1">道具!$C$20</f>
        <v>黑暗治疗药草</v>
      </c>
      <c r="P412" s="543"/>
      <c r="Q412" s="545" t="s">
        <v>45</v>
      </c>
      <c r="R412" s="24"/>
      <c r="S412" s="24" t="str">
        <f ca="1">Summon!$I$30</f>
        <v>突刺</v>
      </c>
      <c r="T412" s="545">
        <v>9</v>
      </c>
      <c r="U412" s="543"/>
      <c r="V412" s="409"/>
      <c r="W412" s="148"/>
    </row>
    <row r="413" spans="1:23" ht="12.75" x14ac:dyDescent="0.2">
      <c r="A413" s="148"/>
      <c r="B413" s="371"/>
      <c r="C413" s="148" t="b">
        <v>0</v>
      </c>
      <c r="D413" s="25" t="str">
        <f ca="1">道具!$C$387</f>
        <v>大头盔</v>
      </c>
      <c r="E413" s="371"/>
      <c r="F413" s="371"/>
      <c r="G413" s="371"/>
      <c r="H413" s="371"/>
      <c r="I413" s="371"/>
      <c r="J413" s="371"/>
      <c r="K413" s="371"/>
      <c r="L413" s="371"/>
      <c r="M413" s="371"/>
      <c r="N413" s="371"/>
      <c r="O413" s="371"/>
      <c r="P413" s="371"/>
      <c r="Q413" s="371"/>
      <c r="R413" s="24"/>
      <c r="S413" s="24" t="str">
        <f ca="1">Summon!$I$4</f>
        <v>战斗</v>
      </c>
      <c r="T413" s="371"/>
      <c r="U413" s="371"/>
      <c r="V413" s="371"/>
      <c r="W413" s="148"/>
    </row>
    <row r="414" spans="1:23" ht="12.75" x14ac:dyDescent="0.2">
      <c r="A414" s="148"/>
      <c r="B414" s="544"/>
      <c r="C414" s="152" t="b">
        <v>0</v>
      </c>
      <c r="D414" s="151" t="str">
        <f ca="1">道具!$C$489</f>
        <v>精神戒指</v>
      </c>
      <c r="E414" s="544"/>
      <c r="F414" s="544"/>
      <c r="G414" s="544"/>
      <c r="H414" s="544"/>
      <c r="I414" s="544"/>
      <c r="J414" s="544"/>
      <c r="K414" s="544"/>
      <c r="L414" s="544"/>
      <c r="M414" s="544"/>
      <c r="N414" s="544"/>
      <c r="O414" s="544"/>
      <c r="P414" s="544"/>
      <c r="Q414" s="544"/>
      <c r="R414" s="150"/>
      <c r="S414" s="150"/>
      <c r="T414" s="544"/>
      <c r="U414" s="544"/>
      <c r="V414" s="544"/>
      <c r="W414" s="148"/>
    </row>
    <row r="415" spans="1:23" ht="12.75" x14ac:dyDescent="0.2">
      <c r="A415" s="148"/>
      <c r="B415" s="410" t="str">
        <f ca="1">语言!$A$2087</f>
        <v>酒馆的客人</v>
      </c>
      <c r="C415" s="543" t="b">
        <v>0</v>
      </c>
      <c r="D415" s="410" t="str">
        <f ca="1">道具!$C$419</f>
        <v>帝国背心</v>
      </c>
      <c r="E415" s="543" t="b">
        <v>0</v>
      </c>
      <c r="F415" s="409" t="str">
        <f ca="1">语言!$A$33&amp;"
"&amp;道具!$C$7</f>
        <v>隐藏道具的资讯
ＳＰ恢复的李子（大）</v>
      </c>
      <c r="G415" s="543" t="b">
        <v>0</v>
      </c>
      <c r="H415" s="545" t="s">
        <v>49</v>
      </c>
      <c r="I415" s="409">
        <v>4</v>
      </c>
      <c r="J415" s="409"/>
      <c r="K415" s="409"/>
      <c r="L415" s="409"/>
      <c r="M415" s="409"/>
      <c r="N415" s="409"/>
      <c r="O415" s="409" t="str">
        <f ca="1">道具!$C$384</f>
        <v>雪隐兜帽</v>
      </c>
      <c r="P415" s="543"/>
      <c r="Q415" s="545" t="s">
        <v>49</v>
      </c>
      <c r="R415" s="24"/>
      <c r="S415" s="24" t="str">
        <f ca="1">Summon!$I$124</f>
        <v>恢复全体ＨＰ的大技能</v>
      </c>
      <c r="T415" s="545">
        <v>7</v>
      </c>
      <c r="U415" s="543"/>
      <c r="V415" s="409"/>
      <c r="W415" s="148"/>
    </row>
    <row r="416" spans="1:23" ht="12.75" x14ac:dyDescent="0.2">
      <c r="A416" s="148"/>
      <c r="B416" s="371"/>
      <c r="C416" s="371"/>
      <c r="D416" s="371"/>
      <c r="E416" s="371"/>
      <c r="F416" s="371"/>
      <c r="G416" s="371"/>
      <c r="H416" s="371"/>
      <c r="I416" s="371"/>
      <c r="J416" s="371"/>
      <c r="K416" s="371"/>
      <c r="L416" s="371"/>
      <c r="M416" s="371"/>
      <c r="N416" s="371"/>
      <c r="O416" s="371"/>
      <c r="P416" s="371"/>
      <c r="Q416" s="371"/>
      <c r="R416" s="24"/>
      <c r="S416" s="24" t="str">
        <f ca="1">Summon!$I$52</f>
        <v>重拳</v>
      </c>
      <c r="T416" s="371"/>
      <c r="U416" s="371"/>
      <c r="V416" s="371"/>
      <c r="W416" s="148"/>
    </row>
    <row r="417" spans="1:23" ht="12.75" x14ac:dyDescent="0.2">
      <c r="A417" s="148"/>
      <c r="B417" s="544"/>
      <c r="C417" s="544"/>
      <c r="D417" s="544"/>
      <c r="E417" s="544"/>
      <c r="F417" s="544"/>
      <c r="G417" s="544"/>
      <c r="H417" s="544"/>
      <c r="I417" s="544"/>
      <c r="J417" s="544"/>
      <c r="K417" s="544"/>
      <c r="L417" s="544"/>
      <c r="M417" s="544"/>
      <c r="N417" s="544"/>
      <c r="O417" s="544"/>
      <c r="P417" s="544"/>
      <c r="Q417" s="544"/>
      <c r="R417" s="150"/>
      <c r="S417" s="150" t="str">
        <f ca="1">Summon!$I$4</f>
        <v>战斗</v>
      </c>
      <c r="T417" s="544"/>
      <c r="U417" s="544"/>
      <c r="V417" s="544"/>
      <c r="W417" s="148"/>
    </row>
    <row r="418" spans="1:23" ht="12.75" x14ac:dyDescent="0.2">
      <c r="A418" s="148"/>
      <c r="B418" s="410" t="str">
        <f ca="1">语言!$A$1962</f>
        <v>受到背叛的男子 /
完成复仇的男子</v>
      </c>
      <c r="C418" s="148" t="b">
        <v>0</v>
      </c>
      <c r="D418" s="25" t="str">
        <f ca="1">道具!$C$94</f>
        <v>空空的钱包</v>
      </c>
      <c r="E418" s="543" t="b">
        <v>0</v>
      </c>
      <c r="F418" s="409" t="str">
        <f ca="1">语言!$A$23</f>
        <v>无</v>
      </c>
      <c r="G418" s="543" t="b">
        <v>0</v>
      </c>
      <c r="H418" s="545" t="s">
        <v>47</v>
      </c>
      <c r="I418" s="409">
        <v>4</v>
      </c>
      <c r="J418" s="409"/>
      <c r="K418" s="409"/>
      <c r="L418" s="409"/>
      <c r="M418" s="409"/>
      <c r="N418" s="409"/>
      <c r="O418" s="409" t="str">
        <f ca="1">道具!$C$6</f>
        <v>ＳＰ恢复的李子</v>
      </c>
      <c r="P418" s="543"/>
      <c r="Q418" s="545" t="s">
        <v>47</v>
      </c>
      <c r="R418" s="24"/>
      <c r="S418" s="24" t="str">
        <f ca="1">Summon!$I$161</f>
        <v>全部下降</v>
      </c>
      <c r="T418" s="545">
        <v>6</v>
      </c>
      <c r="U418" s="543"/>
      <c r="V418" s="409" t="str">
        <f ca="1">"Name changes after quest: "&amp;支线!$C$33</f>
        <v>Name changes after quest: 代为报复</v>
      </c>
      <c r="W418" s="148"/>
    </row>
    <row r="419" spans="1:23" ht="12.75" x14ac:dyDescent="0.2">
      <c r="A419" s="148"/>
      <c r="B419" s="371"/>
      <c r="C419" s="148" t="b">
        <v>0</v>
      </c>
      <c r="D419" s="25" t="str">
        <f ca="1">道具!$C$103</f>
        <v>磨损的鞋子</v>
      </c>
      <c r="E419" s="371"/>
      <c r="F419" s="371"/>
      <c r="G419" s="371"/>
      <c r="H419" s="371"/>
      <c r="I419" s="371"/>
      <c r="J419" s="371"/>
      <c r="K419" s="371"/>
      <c r="L419" s="371"/>
      <c r="M419" s="371"/>
      <c r="N419" s="371"/>
      <c r="O419" s="371"/>
      <c r="P419" s="371"/>
      <c r="Q419" s="371"/>
      <c r="R419" s="24"/>
      <c r="S419" s="24" t="str">
        <f ca="1">Summon!$I$37</f>
        <v>疾风二连突刺</v>
      </c>
      <c r="T419" s="371"/>
      <c r="U419" s="371"/>
      <c r="V419" s="371"/>
      <c r="W419" s="148"/>
    </row>
    <row r="420" spans="1:23" ht="12.75" x14ac:dyDescent="0.2">
      <c r="A420" s="148"/>
      <c r="B420" s="371"/>
      <c r="C420" s="148" t="b">
        <v>0</v>
      </c>
      <c r="D420" s="25" t="str">
        <f ca="1">道具!$C$82</f>
        <v>一段麻绳</v>
      </c>
      <c r="E420" s="371"/>
      <c r="F420" s="371"/>
      <c r="G420" s="371"/>
      <c r="H420" s="371"/>
      <c r="I420" s="371"/>
      <c r="J420" s="371"/>
      <c r="K420" s="371"/>
      <c r="L420" s="371"/>
      <c r="M420" s="371"/>
      <c r="N420" s="371"/>
      <c r="O420" s="371"/>
      <c r="P420" s="371"/>
      <c r="Q420" s="371"/>
      <c r="R420" s="24"/>
      <c r="S420" s="24" t="str">
        <f ca="1">Summon!$I$34</f>
        <v>无双突刺</v>
      </c>
      <c r="T420" s="371"/>
      <c r="U420" s="371"/>
      <c r="V420" s="371"/>
      <c r="W420" s="148"/>
    </row>
    <row r="421" spans="1:23" ht="12.75" x14ac:dyDescent="0.2">
      <c r="A421" s="148"/>
      <c r="B421" s="544"/>
      <c r="C421" s="152"/>
      <c r="D421" s="151"/>
      <c r="E421" s="544"/>
      <c r="F421" s="544"/>
      <c r="G421" s="544"/>
      <c r="H421" s="544"/>
      <c r="I421" s="544"/>
      <c r="J421" s="544"/>
      <c r="K421" s="544"/>
      <c r="L421" s="544"/>
      <c r="M421" s="544"/>
      <c r="N421" s="544"/>
      <c r="O421" s="544"/>
      <c r="P421" s="544"/>
      <c r="Q421" s="544"/>
      <c r="R421" s="150"/>
      <c r="S421" s="150" t="str">
        <f ca="1">Summon!$I$4</f>
        <v>战斗</v>
      </c>
      <c r="T421" s="544"/>
      <c r="U421" s="544"/>
      <c r="V421" s="544"/>
      <c r="W421" s="148"/>
    </row>
    <row r="422" spans="1:23" ht="12.75" x14ac:dyDescent="0.2">
      <c r="A422" s="148"/>
      <c r="B422" s="410" t="str">
        <f ca="1">语言!$A$1832</f>
        <v>魔枪的孔德拉特</v>
      </c>
      <c r="C422" s="543" t="b">
        <v>0</v>
      </c>
      <c r="D422" s="410" t="str">
        <f ca="1">道具!$C$173</f>
        <v>名手之枪</v>
      </c>
      <c r="E422" s="543" t="b">
        <v>0</v>
      </c>
      <c r="F422" s="409" t="str">
        <f ca="1">语言!$A$23</f>
        <v>无</v>
      </c>
      <c r="G422" s="543" t="b">
        <v>0</v>
      </c>
      <c r="H422" s="545" t="s">
        <v>49</v>
      </c>
      <c r="I422" s="409">
        <v>4</v>
      </c>
      <c r="J422" s="409"/>
      <c r="K422" s="409"/>
      <c r="L422" s="409"/>
      <c r="M422" s="409"/>
      <c r="N422" s="409"/>
      <c r="O422" s="409" t="str">
        <f ca="1">道具!$C$40</f>
        <v>风之精灵石（大）</v>
      </c>
      <c r="P422" s="543"/>
      <c r="Q422" s="545" t="s">
        <v>49</v>
      </c>
      <c r="R422" s="24"/>
      <c r="S422" s="24" t="str">
        <f ca="1">Summon!$I$39</f>
        <v>神风５连突刺</v>
      </c>
      <c r="T422" s="545">
        <v>7</v>
      </c>
      <c r="U422" s="543"/>
      <c r="V422" s="409" t="str">
        <f ca="1">"NPC available after "&amp;语言!$A$38&amp;" chapter 4"</f>
        <v>NPC available after 欧尔贝克 chapter 4</v>
      </c>
      <c r="W422" s="148"/>
    </row>
    <row r="423" spans="1:23" ht="12.75" x14ac:dyDescent="0.2">
      <c r="A423" s="148"/>
      <c r="B423" s="371"/>
      <c r="C423" s="371"/>
      <c r="D423" s="371"/>
      <c r="E423" s="371"/>
      <c r="F423" s="371"/>
      <c r="G423" s="371"/>
      <c r="H423" s="371"/>
      <c r="I423" s="371"/>
      <c r="J423" s="371"/>
      <c r="K423" s="371"/>
      <c r="L423" s="371"/>
      <c r="M423" s="371"/>
      <c r="N423" s="371"/>
      <c r="O423" s="371"/>
      <c r="P423" s="371"/>
      <c r="Q423" s="371"/>
      <c r="R423" s="24"/>
      <c r="S423" s="24" t="str">
        <f ca="1">Summon!$I$34</f>
        <v>无双突刺</v>
      </c>
      <c r="T423" s="371"/>
      <c r="U423" s="371"/>
      <c r="V423" s="371"/>
      <c r="W423" s="148"/>
    </row>
    <row r="424" spans="1:23" ht="12.75" x14ac:dyDescent="0.2">
      <c r="A424" s="148"/>
      <c r="B424" s="544"/>
      <c r="C424" s="544"/>
      <c r="D424" s="544"/>
      <c r="E424" s="544"/>
      <c r="F424" s="544"/>
      <c r="G424" s="544"/>
      <c r="H424" s="544"/>
      <c r="I424" s="544"/>
      <c r="J424" s="544"/>
      <c r="K424" s="544"/>
      <c r="L424" s="544"/>
      <c r="M424" s="544"/>
      <c r="N424" s="544"/>
      <c r="O424" s="544"/>
      <c r="P424" s="544"/>
      <c r="Q424" s="544"/>
      <c r="R424" s="150"/>
      <c r="S424" s="150" t="str">
        <f ca="1">Summon!$I$4</f>
        <v>战斗</v>
      </c>
      <c r="T424" s="544"/>
      <c r="U424" s="544"/>
      <c r="V424" s="544"/>
      <c r="W424" s="148"/>
    </row>
    <row r="425" spans="1:23" ht="12.75" x14ac:dyDescent="0.2">
      <c r="A425" s="148"/>
      <c r="B425" s="410" t="str">
        <f ca="1">语言!$A$2102</f>
        <v>市民</v>
      </c>
      <c r="C425" s="148" t="b">
        <v>0</v>
      </c>
      <c r="D425" s="25" t="str">
        <f ca="1">道具!$C$9</f>
        <v>ＢＰ恢复的石榴</v>
      </c>
      <c r="E425" s="543" t="b">
        <v>0</v>
      </c>
      <c r="F425" s="409" t="str">
        <f ca="1">语言!$A$33&amp;"
"&amp;道具!$C$127</f>
        <v>隐藏道具的资讯
放了铜块的麻袋</v>
      </c>
      <c r="G425" s="543" t="b">
        <v>0</v>
      </c>
      <c r="H425" s="545" t="s">
        <v>57</v>
      </c>
      <c r="I425" s="409">
        <v>3</v>
      </c>
      <c r="J425" s="409"/>
      <c r="K425" s="409"/>
      <c r="L425" s="409"/>
      <c r="M425" s="409"/>
      <c r="N425" s="409"/>
      <c r="O425" s="409" t="str">
        <f ca="1">道具!$C$9</f>
        <v>ＢＰ恢复的石榴</v>
      </c>
      <c r="P425" s="543"/>
      <c r="Q425" s="545" t="s">
        <v>57</v>
      </c>
      <c r="R425" s="24"/>
      <c r="S425" s="24" t="str">
        <f ca="1">Summon!$I$31</f>
        <v>要害突刺</v>
      </c>
      <c r="T425" s="545">
        <v>8</v>
      </c>
      <c r="U425" s="543"/>
      <c r="V425" s="409"/>
      <c r="W425" s="148"/>
    </row>
    <row r="426" spans="1:23" ht="12.75" x14ac:dyDescent="0.2">
      <c r="A426" s="148"/>
      <c r="B426" s="371"/>
      <c r="C426" s="148" t="b">
        <v>0</v>
      </c>
      <c r="D426" s="25" t="str">
        <f ca="1">道具!$C$53</f>
        <v>增强ＳＰ的坚果（大）</v>
      </c>
      <c r="E426" s="371"/>
      <c r="F426" s="371"/>
      <c r="G426" s="371"/>
      <c r="H426" s="371"/>
      <c r="I426" s="371"/>
      <c r="J426" s="371"/>
      <c r="K426" s="371"/>
      <c r="L426" s="371"/>
      <c r="M426" s="371"/>
      <c r="N426" s="371"/>
      <c r="O426" s="371"/>
      <c r="P426" s="371"/>
      <c r="Q426" s="371"/>
      <c r="R426" s="24"/>
      <c r="S426" s="24" t="str">
        <f ca="1">Summon!$I$4</f>
        <v>战斗</v>
      </c>
      <c r="T426" s="371"/>
      <c r="U426" s="371"/>
      <c r="V426" s="371"/>
      <c r="W426" s="148"/>
    </row>
    <row r="427" spans="1:23" ht="12.75" x14ac:dyDescent="0.2">
      <c r="A427" s="148"/>
      <c r="B427" s="544"/>
      <c r="C427" s="152" t="b">
        <v>0</v>
      </c>
      <c r="D427" s="151" t="str">
        <f ca="1">道具!$C$420</f>
        <v>元素重甲</v>
      </c>
      <c r="E427" s="544"/>
      <c r="F427" s="544"/>
      <c r="G427" s="544"/>
      <c r="H427" s="544"/>
      <c r="I427" s="544"/>
      <c r="J427" s="544"/>
      <c r="K427" s="544"/>
      <c r="L427" s="544"/>
      <c r="M427" s="544"/>
      <c r="N427" s="544"/>
      <c r="O427" s="544"/>
      <c r="P427" s="544"/>
      <c r="Q427" s="544"/>
      <c r="R427" s="150"/>
      <c r="S427" s="150"/>
      <c r="T427" s="544"/>
      <c r="U427" s="544"/>
      <c r="V427" s="544"/>
      <c r="W427" s="148"/>
    </row>
    <row r="428" spans="1:23" ht="12.75" x14ac:dyDescent="0.2">
      <c r="A428" s="148"/>
      <c r="B428" s="410" t="str">
        <f ca="1">语言!$A$1975</f>
        <v>商人</v>
      </c>
      <c r="C428" s="543" t="b">
        <v>0</v>
      </c>
      <c r="D428" s="410" t="str">
        <f ca="1">"* "&amp;道具!$F$20</f>
        <v>* 飞龙的皮膜</v>
      </c>
      <c r="E428" s="543"/>
      <c r="F428" s="546" t="s">
        <v>119</v>
      </c>
      <c r="G428" s="543"/>
      <c r="H428" s="546" t="s">
        <v>119</v>
      </c>
      <c r="I428" s="546" t="s">
        <v>119</v>
      </c>
      <c r="J428" s="546" t="s">
        <v>119</v>
      </c>
      <c r="K428" s="546" t="s">
        <v>119</v>
      </c>
      <c r="L428" s="546" t="s">
        <v>119</v>
      </c>
      <c r="M428" s="546" t="s">
        <v>119</v>
      </c>
      <c r="N428" s="546" t="s">
        <v>119</v>
      </c>
      <c r="O428" s="546" t="s">
        <v>119</v>
      </c>
      <c r="P428" s="543"/>
      <c r="Q428" s="546" t="s">
        <v>119</v>
      </c>
      <c r="R428" s="546" t="s">
        <v>119</v>
      </c>
      <c r="S428" s="546" t="s">
        <v>119</v>
      </c>
      <c r="T428" s="546" t="s">
        <v>119</v>
      </c>
      <c r="U428" s="543"/>
      <c r="V428" s="409" t="str">
        <f ca="1">"NPC available only during "&amp;语言!$A$41&amp;" chapter 2"</f>
        <v>NPC available only during 泰里翁 chapter 2</v>
      </c>
      <c r="W428" s="148"/>
    </row>
    <row r="429" spans="1:23" ht="12.75" x14ac:dyDescent="0.2">
      <c r="A429" s="148"/>
      <c r="B429" s="544"/>
      <c r="C429" s="544"/>
      <c r="D429" s="544"/>
      <c r="E429" s="544"/>
      <c r="F429" s="544"/>
      <c r="G429" s="544"/>
      <c r="H429" s="544"/>
      <c r="I429" s="544"/>
      <c r="J429" s="544"/>
      <c r="K429" s="544"/>
      <c r="L429" s="544"/>
      <c r="M429" s="544"/>
      <c r="N429" s="544"/>
      <c r="O429" s="544"/>
      <c r="P429" s="544"/>
      <c r="Q429" s="544"/>
      <c r="R429" s="544"/>
      <c r="S429" s="544"/>
      <c r="T429" s="544"/>
      <c r="U429" s="544"/>
      <c r="V429" s="544"/>
      <c r="W429" s="148"/>
    </row>
    <row r="430" spans="1:23" ht="12.75" x14ac:dyDescent="0.2">
      <c r="A430" s="148"/>
      <c r="B430" s="410" t="str">
        <f ca="1">语言!$A$1934</f>
        <v>捡东西的男子</v>
      </c>
      <c r="C430" s="148" t="b">
        <v>0</v>
      </c>
      <c r="D430" s="25" t="str">
        <f ca="1">道具!$C$85</f>
        <v>玻璃珠</v>
      </c>
      <c r="E430" s="543" t="b">
        <v>0</v>
      </c>
      <c r="F430" s="409" t="str">
        <f ca="1">语言!$A$23</f>
        <v>无</v>
      </c>
      <c r="G430" s="543" t="b">
        <v>0</v>
      </c>
      <c r="H430" s="545" t="s">
        <v>48</v>
      </c>
      <c r="I430" s="409">
        <v>2</v>
      </c>
      <c r="J430" s="409"/>
      <c r="K430" s="409"/>
      <c r="L430" s="409"/>
      <c r="M430" s="409"/>
      <c r="N430" s="409"/>
      <c r="O430" s="409" t="str">
        <f ca="1">道具!$C$16</f>
        <v>复活的橄榄（大）</v>
      </c>
      <c r="P430" s="543"/>
      <c r="Q430" s="545" t="s">
        <v>48</v>
      </c>
      <c r="R430" s="409"/>
      <c r="S430" s="409" t="str">
        <f ca="1">Summon!$I$44</f>
        <v>剧毒猛击</v>
      </c>
      <c r="T430" s="545">
        <v>9</v>
      </c>
      <c r="U430" s="543"/>
      <c r="V430" s="409" t="str">
        <f ca="1">"NPC available after quest: "&amp;支线!$C$26</f>
        <v>NPC available after quest: 教师提拉奇亚（１）</v>
      </c>
      <c r="W430" s="148"/>
    </row>
    <row r="431" spans="1:23" ht="12.75" x14ac:dyDescent="0.2">
      <c r="A431" s="148"/>
      <c r="B431" s="371"/>
      <c r="C431" s="148" t="b">
        <v>0</v>
      </c>
      <c r="D431" s="25" t="str">
        <f ca="1">道具!$C$90</f>
        <v>原石</v>
      </c>
      <c r="E431" s="371"/>
      <c r="F431" s="371"/>
      <c r="G431" s="371"/>
      <c r="H431" s="371"/>
      <c r="I431" s="371"/>
      <c r="J431" s="371"/>
      <c r="K431" s="371"/>
      <c r="L431" s="371"/>
      <c r="M431" s="371"/>
      <c r="N431" s="371"/>
      <c r="O431" s="371"/>
      <c r="P431" s="371"/>
      <c r="Q431" s="371"/>
      <c r="R431" s="371"/>
      <c r="S431" s="371"/>
      <c r="T431" s="371"/>
      <c r="U431" s="371"/>
      <c r="V431" s="371"/>
      <c r="W431" s="148"/>
    </row>
    <row r="432" spans="1:23" ht="12.75" x14ac:dyDescent="0.2">
      <c r="A432" s="148"/>
      <c r="B432" s="371"/>
      <c r="C432" s="148" t="b">
        <v>0</v>
      </c>
      <c r="D432" s="25" t="str">
        <f ca="1">道具!$C$97</f>
        <v>大鸟的羽毛</v>
      </c>
      <c r="E432" s="371"/>
      <c r="F432" s="371"/>
      <c r="G432" s="371"/>
      <c r="H432" s="371"/>
      <c r="I432" s="371"/>
      <c r="J432" s="371"/>
      <c r="K432" s="371"/>
      <c r="L432" s="371"/>
      <c r="M432" s="371"/>
      <c r="N432" s="371"/>
      <c r="O432" s="371"/>
      <c r="P432" s="371"/>
      <c r="Q432" s="371"/>
      <c r="R432" s="409"/>
      <c r="S432" s="409" t="str">
        <f ca="1">Summon!$I$4</f>
        <v>战斗</v>
      </c>
      <c r="T432" s="371"/>
      <c r="U432" s="371"/>
      <c r="V432" s="371"/>
      <c r="W432" s="148"/>
    </row>
    <row r="433" spans="1:23" ht="12.75" x14ac:dyDescent="0.2">
      <c r="A433" s="148"/>
      <c r="B433" s="371"/>
      <c r="C433" s="148" t="b">
        <v>0</v>
      </c>
      <c r="D433" s="25" t="str">
        <f ca="1">"* "&amp;道具!$F$60</f>
        <v>* 学习用具</v>
      </c>
      <c r="E433" s="371"/>
      <c r="F433" s="371"/>
      <c r="G433" s="371"/>
      <c r="H433" s="371"/>
      <c r="I433" s="371"/>
      <c r="J433" s="371"/>
      <c r="K433" s="371"/>
      <c r="L433" s="371"/>
      <c r="M433" s="371"/>
      <c r="N433" s="371"/>
      <c r="O433" s="371"/>
      <c r="P433" s="371"/>
      <c r="Q433" s="371"/>
      <c r="R433" s="371"/>
      <c r="S433" s="371"/>
      <c r="T433" s="371"/>
      <c r="U433" s="371"/>
      <c r="V433" s="371"/>
      <c r="W433" s="148"/>
    </row>
    <row r="434" spans="1:23" ht="12.75" x14ac:dyDescent="0.2">
      <c r="A434" s="148"/>
      <c r="B434" s="544"/>
      <c r="C434" s="152" t="b">
        <v>0</v>
      </c>
      <c r="D434" s="151" t="str">
        <f ca="1">道具!$C$103</f>
        <v>磨损的鞋子</v>
      </c>
      <c r="E434" s="544"/>
      <c r="F434" s="544"/>
      <c r="G434" s="544"/>
      <c r="H434" s="544"/>
      <c r="I434" s="544"/>
      <c r="J434" s="544"/>
      <c r="K434" s="544"/>
      <c r="L434" s="544"/>
      <c r="M434" s="544"/>
      <c r="N434" s="544"/>
      <c r="O434" s="544"/>
      <c r="P434" s="544"/>
      <c r="Q434" s="544"/>
      <c r="R434" s="150"/>
      <c r="S434" s="150"/>
      <c r="T434" s="544"/>
      <c r="U434" s="544"/>
      <c r="V434" s="544"/>
      <c r="W434" s="148"/>
    </row>
    <row r="435" spans="1:23" ht="12.75" x14ac:dyDescent="0.2">
      <c r="A435" s="148"/>
      <c r="B435" s="410" t="str">
        <f ca="1">语言!$A$1813</f>
        <v>少年的母亲</v>
      </c>
      <c r="C435" s="148" t="b">
        <v>0</v>
      </c>
      <c r="D435" s="25" t="str">
        <f ca="1">道具!$C$6</f>
        <v>ＳＰ恢复的李子</v>
      </c>
      <c r="E435" s="543" t="b">
        <v>0</v>
      </c>
      <c r="F435" s="409" t="str">
        <f ca="1">语言!$A$33&amp;"
"&amp;道具!$C$115</f>
        <v>隐藏道具的资讯
简单！冒险者入门</v>
      </c>
      <c r="G435" s="543" t="b">
        <v>0</v>
      </c>
      <c r="H435" s="545" t="s">
        <v>45</v>
      </c>
      <c r="I435" s="409">
        <v>2</v>
      </c>
      <c r="J435" s="409"/>
      <c r="K435" s="409"/>
      <c r="L435" s="409"/>
      <c r="M435" s="409"/>
      <c r="N435" s="409"/>
      <c r="O435" s="409" t="str">
        <f ca="1">道具!$C$6</f>
        <v>ＳＰ恢复的李子</v>
      </c>
      <c r="P435" s="543"/>
      <c r="Q435" s="545" t="s">
        <v>45</v>
      </c>
      <c r="R435" s="24"/>
      <c r="S435" s="24" t="str">
        <f ca="1">Summon!$I$42</f>
        <v>猛击</v>
      </c>
      <c r="T435" s="545">
        <v>9</v>
      </c>
      <c r="U435" s="543"/>
      <c r="V435" s="409" t="str">
        <f ca="1">"NPC available after quest: "&amp;支线!$C$26</f>
        <v>NPC available after quest: 教师提拉奇亚（１）</v>
      </c>
      <c r="W435" s="148"/>
    </row>
    <row r="436" spans="1:23" ht="12.75" x14ac:dyDescent="0.2">
      <c r="A436" s="148"/>
      <c r="B436" s="544"/>
      <c r="C436" s="152" t="b">
        <v>0</v>
      </c>
      <c r="D436" s="151" t="str">
        <f ca="1">道具!$C$19</f>
        <v>沉默治疗药草</v>
      </c>
      <c r="E436" s="544"/>
      <c r="F436" s="544"/>
      <c r="G436" s="544"/>
      <c r="H436" s="544"/>
      <c r="I436" s="544"/>
      <c r="J436" s="544"/>
      <c r="K436" s="544"/>
      <c r="L436" s="544"/>
      <c r="M436" s="544"/>
      <c r="N436" s="544"/>
      <c r="O436" s="544"/>
      <c r="P436" s="544"/>
      <c r="Q436" s="544"/>
      <c r="R436" s="150"/>
      <c r="S436" s="150" t="str">
        <f ca="1">Summon!$I$4</f>
        <v>战斗</v>
      </c>
      <c r="T436" s="544"/>
      <c r="U436" s="544"/>
      <c r="V436" s="544"/>
      <c r="W436" s="148"/>
    </row>
    <row r="437" spans="1:23" ht="12.75" x14ac:dyDescent="0.2">
      <c r="A437" s="148"/>
      <c r="B437" s="410" t="str">
        <f ca="1">语言!$A$2102</f>
        <v>市民</v>
      </c>
      <c r="C437" s="148" t="b">
        <v>0</v>
      </c>
      <c r="D437" s="25" t="str">
        <f ca="1">道具!$C$4</f>
        <v>ＨＰ恢复的葡萄（大）</v>
      </c>
      <c r="E437" s="543" t="b">
        <v>0</v>
      </c>
      <c r="F437" s="409" t="str">
        <f ca="1">语言!$A$26</f>
        <v>「偷取」成功机率ＵＰ资讯</v>
      </c>
      <c r="G437" s="543" t="b">
        <v>0</v>
      </c>
      <c r="H437" s="545" t="s">
        <v>48</v>
      </c>
      <c r="I437" s="409">
        <v>2</v>
      </c>
      <c r="J437" s="409"/>
      <c r="K437" s="409"/>
      <c r="L437" s="409"/>
      <c r="M437" s="409"/>
      <c r="N437" s="409"/>
      <c r="O437" s="409" t="str">
        <f ca="1">道具!$C$4</f>
        <v>ＨＰ恢复的葡萄（大）</v>
      </c>
      <c r="P437" s="543"/>
      <c r="Q437" s="545" t="s">
        <v>48</v>
      </c>
      <c r="R437" s="24"/>
      <c r="S437" s="24" t="str">
        <f ca="1">Summon!$I$143</f>
        <v>暗暗药</v>
      </c>
      <c r="T437" s="545">
        <v>9</v>
      </c>
      <c r="U437" s="543"/>
      <c r="V437" s="409"/>
      <c r="W437" s="148"/>
    </row>
    <row r="438" spans="1:23" ht="12.75" x14ac:dyDescent="0.2">
      <c r="A438" s="148"/>
      <c r="B438" s="544"/>
      <c r="C438" s="152" t="b">
        <v>0</v>
      </c>
      <c r="D438" s="151" t="str">
        <f ca="1">道具!$C$4</f>
        <v>ＨＰ恢复的葡萄（大）</v>
      </c>
      <c r="E438" s="544"/>
      <c r="F438" s="544"/>
      <c r="G438" s="544"/>
      <c r="H438" s="544"/>
      <c r="I438" s="544"/>
      <c r="J438" s="544"/>
      <c r="K438" s="544"/>
      <c r="L438" s="544"/>
      <c r="M438" s="544"/>
      <c r="N438" s="544"/>
      <c r="O438" s="544"/>
      <c r="P438" s="544"/>
      <c r="Q438" s="544"/>
      <c r="R438" s="150"/>
      <c r="S438" s="150" t="str">
        <f ca="1">Summon!$I$4</f>
        <v>战斗</v>
      </c>
      <c r="T438" s="544"/>
      <c r="U438" s="544"/>
      <c r="V438" s="544"/>
      <c r="W438" s="148"/>
    </row>
    <row r="439" spans="1:23" ht="12.75" x14ac:dyDescent="0.2">
      <c r="A439" s="148"/>
      <c r="B439" s="410" t="str">
        <f ca="1">语言!$A$2094&amp;" (2)"</f>
        <v>提拉奇亚 (2)</v>
      </c>
      <c r="C439" s="543" t="b">
        <v>0</v>
      </c>
      <c r="D439" s="410" t="str">
        <f ca="1">道具!$C$6</f>
        <v>ＳＰ恢复的李子</v>
      </c>
      <c r="E439" s="543" t="b">
        <v>0</v>
      </c>
      <c r="F439" s="409" t="str">
        <f ca="1">语言!$A$23</f>
        <v>无</v>
      </c>
      <c r="G439" s="543" t="b">
        <v>0</v>
      </c>
      <c r="H439" s="545" t="s">
        <v>57</v>
      </c>
      <c r="I439" s="409">
        <v>3</v>
      </c>
      <c r="J439" s="409"/>
      <c r="K439" s="409"/>
      <c r="L439" s="409"/>
      <c r="M439" s="409"/>
      <c r="N439" s="409"/>
      <c r="O439" s="409" t="str">
        <f ca="1">道具!$C$7</f>
        <v>ＳＰ恢复的李子（大）</v>
      </c>
      <c r="P439" s="543"/>
      <c r="Q439" s="545" t="s">
        <v>57</v>
      </c>
      <c r="R439" s="24"/>
      <c r="S439" s="24" t="str">
        <f ca="1">Summon!$I$171</f>
        <v>圣职者的哲学</v>
      </c>
      <c r="T439" s="545">
        <v>8</v>
      </c>
      <c r="U439" s="543"/>
      <c r="V439" s="409" t="str">
        <f ca="1">"NPC at this location after quest: "&amp;支线!$C$26&amp;"
Moves to "&amp;语言!$A$360&amp;" after quest: "&amp;支线!$C$31</f>
        <v>NPC at this location after quest: 教师提拉奇亚（１）
Moves to 维斯帕米尔 after quest: 教师提拉奇亚（２）</v>
      </c>
      <c r="W439" s="148"/>
    </row>
    <row r="440" spans="1:23" ht="12.75" x14ac:dyDescent="0.2">
      <c r="A440" s="148"/>
      <c r="B440" s="371"/>
      <c r="C440" s="371"/>
      <c r="D440" s="371"/>
      <c r="E440" s="371"/>
      <c r="F440" s="371"/>
      <c r="G440" s="371"/>
      <c r="H440" s="371"/>
      <c r="I440" s="371"/>
      <c r="J440" s="371"/>
      <c r="K440" s="371"/>
      <c r="L440" s="371"/>
      <c r="M440" s="371"/>
      <c r="N440" s="371"/>
      <c r="O440" s="371"/>
      <c r="P440" s="371"/>
      <c r="Q440" s="371"/>
      <c r="R440" s="24"/>
      <c r="S440" s="24" t="str">
        <f ca="1">Summon!$I$107</f>
        <v>投掷教科书</v>
      </c>
      <c r="T440" s="371"/>
      <c r="U440" s="371"/>
      <c r="V440" s="371"/>
      <c r="W440" s="148"/>
    </row>
    <row r="441" spans="1:23" ht="12.75" x14ac:dyDescent="0.2">
      <c r="A441" s="148"/>
      <c r="B441" s="544"/>
      <c r="C441" s="544"/>
      <c r="D441" s="544"/>
      <c r="E441" s="544"/>
      <c r="F441" s="544"/>
      <c r="G441" s="544"/>
      <c r="H441" s="544"/>
      <c r="I441" s="544"/>
      <c r="J441" s="544"/>
      <c r="K441" s="544"/>
      <c r="L441" s="544"/>
      <c r="M441" s="544"/>
      <c r="N441" s="544"/>
      <c r="O441" s="544"/>
      <c r="P441" s="544"/>
      <c r="Q441" s="544"/>
      <c r="R441" s="150"/>
      <c r="S441" s="150" t="str">
        <f ca="1">Summon!$I$4</f>
        <v>战斗</v>
      </c>
      <c r="T441" s="544"/>
      <c r="U441" s="544"/>
      <c r="V441" s="544"/>
      <c r="W441" s="148"/>
    </row>
    <row r="442" spans="1:23" ht="12.75" x14ac:dyDescent="0.2">
      <c r="A442" s="148"/>
      <c r="B442" s="410" t="str">
        <f ca="1">语言!$A$1809</f>
        <v>爱书的少女</v>
      </c>
      <c r="C442" s="148" t="b">
        <v>0</v>
      </c>
      <c r="D442" s="25" t="str">
        <f ca="1">道具!$C$14</f>
        <v>复活的橄榄</v>
      </c>
      <c r="E442" s="543" t="b">
        <v>0</v>
      </c>
      <c r="F442" s="409" t="str">
        <f ca="1">语言!$A$33&amp;"
"&amp;道具!$C$116</f>
        <v>隐藏道具的资讯
稀奇的石头</v>
      </c>
      <c r="G442" s="543"/>
      <c r="H442" s="546" t="s">
        <v>119</v>
      </c>
      <c r="I442" s="546" t="s">
        <v>119</v>
      </c>
      <c r="J442" s="546" t="s">
        <v>119</v>
      </c>
      <c r="K442" s="546" t="s">
        <v>119</v>
      </c>
      <c r="L442" s="546" t="s">
        <v>119</v>
      </c>
      <c r="M442" s="546" t="s">
        <v>119</v>
      </c>
      <c r="N442" s="546" t="s">
        <v>119</v>
      </c>
      <c r="O442" s="546" t="s">
        <v>119</v>
      </c>
      <c r="P442" s="543"/>
      <c r="Q442" s="546" t="s">
        <v>119</v>
      </c>
      <c r="R442" s="546" t="s">
        <v>119</v>
      </c>
      <c r="S442" s="546" t="s">
        <v>119</v>
      </c>
      <c r="T442" s="546" t="s">
        <v>119</v>
      </c>
      <c r="U442" s="543"/>
      <c r="V442" s="409" t="str">
        <f ca="1">"NPC available after quest: "&amp;支线!$C$26&amp;"
Hidden Item available once you start "&amp;语言!$A$39&amp;" chapter 3"</f>
        <v>NPC available after quest: 教师提拉奇亚（１）
Hidden Item available once you start 普里姆萝洁 chapter 3</v>
      </c>
      <c r="W442" s="148"/>
    </row>
    <row r="443" spans="1:23" ht="12.75" x14ac:dyDescent="0.2">
      <c r="A443" s="148"/>
      <c r="B443" s="544"/>
      <c r="C443" s="152" t="b">
        <v>0</v>
      </c>
      <c r="D443" s="151" t="str">
        <f ca="1">道具!$C$537</f>
        <v>毒利米树之叶</v>
      </c>
      <c r="E443" s="544"/>
      <c r="F443" s="544"/>
      <c r="G443" s="544"/>
      <c r="H443" s="544"/>
      <c r="I443" s="544"/>
      <c r="J443" s="544"/>
      <c r="K443" s="544"/>
      <c r="L443" s="544"/>
      <c r="M443" s="544"/>
      <c r="N443" s="544"/>
      <c r="O443" s="544"/>
      <c r="P443" s="544"/>
      <c r="Q443" s="544"/>
      <c r="R443" s="544"/>
      <c r="S443" s="544"/>
      <c r="T443" s="544"/>
      <c r="U443" s="544"/>
      <c r="V443" s="544"/>
      <c r="W443" s="148"/>
    </row>
    <row r="444" spans="1:23" ht="12.75" x14ac:dyDescent="0.2">
      <c r="A444" s="148"/>
      <c r="B444" s="410" t="str">
        <f ca="1">语言!$A$1783</f>
        <v>爱做手工艺的少年</v>
      </c>
      <c r="C444" s="148" t="b">
        <v>0</v>
      </c>
      <c r="D444" s="25" t="str">
        <f ca="1">道具!$C$9</f>
        <v>ＢＰ恢复的石榴</v>
      </c>
      <c r="E444" s="543" t="b">
        <v>0</v>
      </c>
      <c r="F444" s="409" t="str">
        <f ca="1">语言!$A$23</f>
        <v>无</v>
      </c>
      <c r="G444" s="543"/>
      <c r="H444" s="546" t="s">
        <v>119</v>
      </c>
      <c r="I444" s="546" t="s">
        <v>119</v>
      </c>
      <c r="J444" s="546" t="s">
        <v>119</v>
      </c>
      <c r="K444" s="546" t="s">
        <v>119</v>
      </c>
      <c r="L444" s="546" t="s">
        <v>119</v>
      </c>
      <c r="M444" s="546" t="s">
        <v>119</v>
      </c>
      <c r="N444" s="546" t="s">
        <v>119</v>
      </c>
      <c r="O444" s="546" t="s">
        <v>119</v>
      </c>
      <c r="P444" s="543"/>
      <c r="Q444" s="546" t="s">
        <v>119</v>
      </c>
      <c r="R444" s="546" t="s">
        <v>119</v>
      </c>
      <c r="S444" s="546" t="s">
        <v>119</v>
      </c>
      <c r="T444" s="546" t="s">
        <v>119</v>
      </c>
      <c r="U444" s="543"/>
      <c r="V444" s="409" t="str">
        <f ca="1">"NPC available after quest: "&amp;支线!$C$26</f>
        <v>NPC available after quest: 教师提拉奇亚（１）</v>
      </c>
      <c r="W444" s="148"/>
    </row>
    <row r="445" spans="1:23" ht="12.75" x14ac:dyDescent="0.2">
      <c r="A445" s="148"/>
      <c r="B445" s="544"/>
      <c r="C445" s="152" t="b">
        <v>0</v>
      </c>
      <c r="D445" s="151" t="str">
        <f ca="1">道具!$C$532</f>
        <v>含毒的素材</v>
      </c>
      <c r="E445" s="544"/>
      <c r="F445" s="544"/>
      <c r="G445" s="544"/>
      <c r="H445" s="544"/>
      <c r="I445" s="544"/>
      <c r="J445" s="544"/>
      <c r="K445" s="544"/>
      <c r="L445" s="544"/>
      <c r="M445" s="544"/>
      <c r="N445" s="544"/>
      <c r="O445" s="544"/>
      <c r="P445" s="544"/>
      <c r="Q445" s="544"/>
      <c r="R445" s="544"/>
      <c r="S445" s="544"/>
      <c r="T445" s="544"/>
      <c r="U445" s="544"/>
      <c r="V445" s="544"/>
      <c r="W445" s="148"/>
    </row>
    <row r="446" spans="1:23" ht="12.75" x14ac:dyDescent="0.2">
      <c r="A446" s="148"/>
      <c r="B446" s="410" t="str">
        <f ca="1">语言!$A$1932</f>
        <v>让</v>
      </c>
      <c r="C446" s="148" t="b">
        <v>0</v>
      </c>
      <c r="D446" s="25" t="str">
        <f ca="1">道具!$C$357</f>
        <v>睡神宝冠</v>
      </c>
      <c r="E446" s="543" t="b">
        <v>0</v>
      </c>
      <c r="F446" s="409" t="str">
        <f ca="1">语言!$A$23</f>
        <v>无</v>
      </c>
      <c r="G446" s="543" t="b">
        <v>0</v>
      </c>
      <c r="H446" s="545" t="s">
        <v>51</v>
      </c>
      <c r="I446" s="409">
        <v>5</v>
      </c>
      <c r="J446" s="409"/>
      <c r="K446" s="409"/>
      <c r="L446" s="409"/>
      <c r="M446" s="409"/>
      <c r="N446" s="409"/>
      <c r="O446" s="409" t="str">
        <f ca="1">道具!$C$464</f>
        <v>物理腰带</v>
      </c>
      <c r="P446" s="543"/>
      <c r="Q446" s="545" t="s">
        <v>51</v>
      </c>
      <c r="R446" s="24"/>
      <c r="S446" s="24" t="str">
        <f ca="1">Summon!$I$25</f>
        <v>斩首</v>
      </c>
      <c r="T446" s="545">
        <v>6</v>
      </c>
      <c r="U446" s="543"/>
      <c r="V446" s="409" t="str">
        <f ca="1">"NPC available after "&amp;语言!$A$39&amp;" chapter 4"</f>
        <v>NPC available after 普里姆萝洁 chapter 4</v>
      </c>
      <c r="W446" s="148"/>
    </row>
    <row r="447" spans="1:23" ht="12.75" x14ac:dyDescent="0.2">
      <c r="A447" s="148"/>
      <c r="B447" s="371"/>
      <c r="C447" s="148" t="b">
        <v>0</v>
      </c>
      <c r="D447" s="25" t="str">
        <f ca="1">道具!$C$402</f>
        <v>水晶背心</v>
      </c>
      <c r="E447" s="371"/>
      <c r="F447" s="371"/>
      <c r="G447" s="371"/>
      <c r="H447" s="371"/>
      <c r="I447" s="371"/>
      <c r="J447" s="371"/>
      <c r="K447" s="371"/>
      <c r="L447" s="371"/>
      <c r="M447" s="371"/>
      <c r="N447" s="371"/>
      <c r="O447" s="371"/>
      <c r="P447" s="371"/>
      <c r="Q447" s="371"/>
      <c r="R447" s="24"/>
      <c r="S447" s="24" t="str">
        <f ca="1">Summon!$I$173</f>
        <v>攻击力提升</v>
      </c>
      <c r="T447" s="371"/>
      <c r="U447" s="371"/>
      <c r="V447" s="371"/>
      <c r="W447" s="148"/>
    </row>
    <row r="448" spans="1:23" ht="12.75" x14ac:dyDescent="0.2">
      <c r="A448" s="148"/>
      <c r="B448" s="544"/>
      <c r="C448" s="152"/>
      <c r="D448" s="151"/>
      <c r="E448" s="544"/>
      <c r="F448" s="544"/>
      <c r="G448" s="544"/>
      <c r="H448" s="544"/>
      <c r="I448" s="544"/>
      <c r="J448" s="544"/>
      <c r="K448" s="544"/>
      <c r="L448" s="544"/>
      <c r="M448" s="544"/>
      <c r="N448" s="544"/>
      <c r="O448" s="544"/>
      <c r="P448" s="544"/>
      <c r="Q448" s="544"/>
      <c r="R448" s="150"/>
      <c r="S448" s="150" t="str">
        <f ca="1">Summon!$I$4</f>
        <v>战斗</v>
      </c>
      <c r="T448" s="544"/>
      <c r="U448" s="544"/>
      <c r="V448" s="544"/>
      <c r="W448" s="148"/>
    </row>
    <row r="449" spans="1:23" ht="12.75" x14ac:dyDescent="0.2">
      <c r="A449" s="148"/>
      <c r="B449" s="410" t="str">
        <f ca="1">语言!$A$2046</f>
        <v>雷布洛男爵</v>
      </c>
      <c r="C449" s="148" t="b">
        <v>0</v>
      </c>
      <c r="D449" s="25" t="str">
        <f ca="1">道具!$C$321</f>
        <v>法师手杖</v>
      </c>
      <c r="E449" s="543" t="b">
        <v>0</v>
      </c>
      <c r="F449" s="409" t="str">
        <f ca="1">语言!$A$23</f>
        <v>无</v>
      </c>
      <c r="G449" s="543" t="b">
        <v>0</v>
      </c>
      <c r="H449" s="545" t="s">
        <v>57</v>
      </c>
      <c r="I449" s="409">
        <v>3</v>
      </c>
      <c r="J449" s="409"/>
      <c r="K449" s="409"/>
      <c r="L449" s="409"/>
      <c r="M449" s="409"/>
      <c r="N449" s="409"/>
      <c r="O449" s="409" t="str">
        <f ca="1">道具!$C$44</f>
        <v>光之精灵石（大）</v>
      </c>
      <c r="P449" s="543"/>
      <c r="Q449" s="545" t="s">
        <v>57</v>
      </c>
      <c r="R449" s="24"/>
      <c r="S449" s="24" t="str">
        <f ca="1">Summon!$I$80</f>
        <v>大火焰魔法</v>
      </c>
      <c r="T449" s="545">
        <v>8</v>
      </c>
      <c r="U449" s="543"/>
      <c r="V449" s="409" t="str">
        <f ca="1">"NPC available upon starting quest: "&amp;支线!$C$124&amp;"
"&amp;语言!$A$44&amp;" / "&amp;语言!$A$48&amp;" available after quest: "&amp;支线!$C$124</f>
        <v>NPC available upon starting quest: 雷布洛与奥黛特，在那之后
引导 / 诱惑 available after quest: 雷布洛与奥黛特，在那之后</v>
      </c>
      <c r="W449" s="148"/>
    </row>
    <row r="450" spans="1:23" ht="12.75" x14ac:dyDescent="0.2">
      <c r="A450" s="148"/>
      <c r="B450" s="371"/>
      <c r="C450" s="148" t="b">
        <v>0</v>
      </c>
      <c r="D450" s="25" t="str">
        <f ca="1">道具!$C$349</f>
        <v>闪避之盾</v>
      </c>
      <c r="E450" s="371"/>
      <c r="F450" s="371"/>
      <c r="G450" s="371"/>
      <c r="H450" s="371"/>
      <c r="I450" s="371"/>
      <c r="J450" s="371"/>
      <c r="K450" s="371"/>
      <c r="L450" s="371"/>
      <c r="M450" s="371"/>
      <c r="N450" s="371"/>
      <c r="O450" s="371"/>
      <c r="P450" s="371"/>
      <c r="Q450" s="371"/>
      <c r="R450" s="24"/>
      <c r="S450" s="24" t="str">
        <f ca="1">Summon!$I$94</f>
        <v>疾风魔法</v>
      </c>
      <c r="T450" s="371"/>
      <c r="U450" s="371"/>
      <c r="V450" s="371"/>
      <c r="W450" s="148"/>
    </row>
    <row r="451" spans="1:23" ht="12.75" x14ac:dyDescent="0.2">
      <c r="A451" s="148"/>
      <c r="B451" s="544"/>
      <c r="C451" s="152"/>
      <c r="D451" s="151"/>
      <c r="E451" s="544"/>
      <c r="F451" s="544"/>
      <c r="G451" s="544"/>
      <c r="H451" s="544"/>
      <c r="I451" s="544"/>
      <c r="J451" s="544"/>
      <c r="K451" s="544"/>
      <c r="L451" s="544"/>
      <c r="M451" s="544"/>
      <c r="N451" s="544"/>
      <c r="O451" s="544"/>
      <c r="P451" s="544"/>
      <c r="Q451" s="544"/>
      <c r="R451" s="150"/>
      <c r="S451" s="150" t="str">
        <f ca="1">Summon!$I$4</f>
        <v>战斗</v>
      </c>
      <c r="T451" s="544"/>
      <c r="U451" s="544"/>
      <c r="V451" s="544"/>
      <c r="W451" s="148"/>
    </row>
    <row r="452" spans="1:23" ht="12.75" x14ac:dyDescent="0.2">
      <c r="A452" s="148"/>
      <c r="B452" s="410" t="str">
        <f ca="1">语言!$A$1772</f>
        <v>安娜夫人</v>
      </c>
      <c r="C452" s="543" t="b">
        <v>0</v>
      </c>
      <c r="D452" s="410" t="str">
        <f ca="1">道具!$C$225</f>
        <v>银制匕首</v>
      </c>
      <c r="E452" s="543" t="b">
        <v>0</v>
      </c>
      <c r="F452" s="409" t="str">
        <f ca="1">语言!$A$23</f>
        <v>无</v>
      </c>
      <c r="G452" s="543" t="b">
        <v>0</v>
      </c>
      <c r="H452" s="545" t="s">
        <v>48</v>
      </c>
      <c r="I452" s="409">
        <v>2</v>
      </c>
      <c r="J452" s="409"/>
      <c r="K452" s="409"/>
      <c r="L452" s="409"/>
      <c r="M452" s="409"/>
      <c r="N452" s="409"/>
      <c r="O452" s="409" t="str">
        <f ca="1">道具!$C$7</f>
        <v>ＳＰ恢复的李子（大）</v>
      </c>
      <c r="P452" s="543"/>
      <c r="Q452" s="545" t="s">
        <v>48</v>
      </c>
      <c r="R452" s="24"/>
      <c r="S452" s="24" t="str">
        <f ca="1">Summon!$I$180</f>
        <v>暴击提升</v>
      </c>
      <c r="T452" s="545">
        <v>9</v>
      </c>
      <c r="U452" s="543"/>
      <c r="V452" s="565" t="str">
        <f ca="1">"NPC available after both "&amp;语言!$A$36&amp;" &amp; "&amp;语言!$A$39&amp;" chapter 4"</f>
        <v>NPC available after both 赛拉斯 &amp; 普里姆萝洁 chapter 4</v>
      </c>
      <c r="W452" s="148"/>
    </row>
    <row r="453" spans="1:23" ht="12.75" x14ac:dyDescent="0.2">
      <c r="A453" s="148"/>
      <c r="B453" s="371"/>
      <c r="C453" s="371"/>
      <c r="D453" s="371"/>
      <c r="E453" s="371"/>
      <c r="F453" s="371"/>
      <c r="G453" s="371"/>
      <c r="H453" s="371"/>
      <c r="I453" s="371"/>
      <c r="J453" s="371"/>
      <c r="K453" s="371"/>
      <c r="L453" s="371"/>
      <c r="M453" s="371"/>
      <c r="N453" s="371"/>
      <c r="O453" s="371"/>
      <c r="P453" s="371"/>
      <c r="Q453" s="371"/>
      <c r="R453" s="24"/>
      <c r="S453" s="24" t="str">
        <f ca="1">Summon!$I$48</f>
        <v>连掷短剑</v>
      </c>
      <c r="T453" s="371"/>
      <c r="U453" s="371"/>
      <c r="V453" s="371"/>
      <c r="W453" s="148"/>
    </row>
    <row r="454" spans="1:23" ht="12.75" x14ac:dyDescent="0.2">
      <c r="A454" s="148"/>
      <c r="B454" s="544"/>
      <c r="C454" s="544"/>
      <c r="D454" s="544"/>
      <c r="E454" s="544"/>
      <c r="F454" s="544"/>
      <c r="G454" s="544"/>
      <c r="H454" s="544"/>
      <c r="I454" s="544"/>
      <c r="J454" s="544"/>
      <c r="K454" s="544"/>
      <c r="L454" s="544"/>
      <c r="M454" s="544"/>
      <c r="N454" s="544"/>
      <c r="O454" s="544"/>
      <c r="P454" s="544"/>
      <c r="Q454" s="544"/>
      <c r="R454" s="150"/>
      <c r="S454" s="150" t="str">
        <f ca="1">Summon!$I$4</f>
        <v>战斗</v>
      </c>
      <c r="T454" s="544"/>
      <c r="U454" s="544"/>
      <c r="V454" s="544"/>
      <c r="W454" s="148"/>
    </row>
    <row r="455" spans="1:23" ht="12.75" x14ac:dyDescent="0.2">
      <c r="A455" s="18" t="s">
        <v>120</v>
      </c>
      <c r="B455" s="410" t="str">
        <f ca="1">语言!$A$1786&amp;" (1)"</f>
        <v>想当艺人的男子 (1)</v>
      </c>
      <c r="C455" s="543" t="b">
        <v>0</v>
      </c>
      <c r="D455" s="549" t="str">
        <f ca="1">道具!$C$386</f>
        <v>脉轮头带</v>
      </c>
      <c r="E455" s="543" t="b">
        <v>0</v>
      </c>
      <c r="F455" s="409" t="str">
        <f ca="1">语言!$A$23</f>
        <v>无</v>
      </c>
      <c r="G455" s="543"/>
      <c r="H455" s="546" t="s">
        <v>119</v>
      </c>
      <c r="I455" s="546" t="s">
        <v>119</v>
      </c>
      <c r="J455" s="546" t="s">
        <v>119</v>
      </c>
      <c r="K455" s="546" t="s">
        <v>119</v>
      </c>
      <c r="L455" s="546" t="s">
        <v>119</v>
      </c>
      <c r="M455" s="546" t="s">
        <v>119</v>
      </c>
      <c r="N455" s="546" t="s">
        <v>119</v>
      </c>
      <c r="O455" s="546" t="s">
        <v>119</v>
      </c>
      <c r="P455" s="543"/>
      <c r="Q455" s="545" t="s">
        <v>46</v>
      </c>
      <c r="R455" s="24"/>
      <c r="S455" s="24" t="str">
        <f ca="1">Summon!$I$31</f>
        <v>要害突刺</v>
      </c>
      <c r="T455" s="545">
        <v>8</v>
      </c>
      <c r="U455" s="543"/>
      <c r="V455" s="409" t="str">
        <f ca="1">"NPC available after quest: "&amp;支线!$C$4</f>
        <v>NPC available after quest: 旅行青年</v>
      </c>
      <c r="W455" s="148"/>
    </row>
    <row r="456" spans="1:23" ht="12.75" x14ac:dyDescent="0.2">
      <c r="A456" s="148"/>
      <c r="B456" s="371"/>
      <c r="C456" s="371"/>
      <c r="D456" s="371"/>
      <c r="E456" s="371"/>
      <c r="F456" s="371"/>
      <c r="G456" s="371"/>
      <c r="H456" s="371"/>
      <c r="I456" s="371"/>
      <c r="J456" s="371"/>
      <c r="K456" s="371"/>
      <c r="L456" s="371"/>
      <c r="M456" s="371"/>
      <c r="N456" s="371"/>
      <c r="O456" s="371"/>
      <c r="P456" s="371"/>
      <c r="Q456" s="371"/>
      <c r="R456" s="24"/>
      <c r="S456" s="24" t="str">
        <f ca="1">Summon!$I$30</f>
        <v>突刺</v>
      </c>
      <c r="T456" s="371"/>
      <c r="U456" s="371"/>
      <c r="V456" s="371"/>
      <c r="W456" s="148"/>
    </row>
    <row r="457" spans="1:23" ht="12.75" x14ac:dyDescent="0.2">
      <c r="A457" s="148"/>
      <c r="B457" s="544"/>
      <c r="C457" s="544"/>
      <c r="D457" s="544"/>
      <c r="E457" s="544"/>
      <c r="F457" s="544"/>
      <c r="G457" s="544"/>
      <c r="H457" s="544"/>
      <c r="I457" s="544"/>
      <c r="J457" s="544"/>
      <c r="K457" s="544"/>
      <c r="L457" s="544"/>
      <c r="M457" s="544"/>
      <c r="N457" s="544"/>
      <c r="O457" s="544"/>
      <c r="P457" s="544"/>
      <c r="Q457" s="544"/>
      <c r="R457" s="150"/>
      <c r="S457" s="150" t="str">
        <f ca="1">Summon!$I$4</f>
        <v>战斗</v>
      </c>
      <c r="T457" s="544"/>
      <c r="U457" s="544"/>
      <c r="V457" s="544"/>
      <c r="W457" s="148"/>
    </row>
    <row r="458" spans="1:23" ht="12.75" x14ac:dyDescent="0.2">
      <c r="A458" s="148"/>
      <c r="B458" s="410" t="str">
        <f ca="1">语言!$A$2013</f>
        <v>守墓的老人</v>
      </c>
      <c r="C458" s="148" t="b">
        <v>0</v>
      </c>
      <c r="D458" s="25" t="str">
        <f ca="1">道具!$C$481</f>
        <v>精神手环</v>
      </c>
      <c r="E458" s="543" t="b">
        <v>0</v>
      </c>
      <c r="F458" s="409" t="str">
        <f ca="1">语言!$A$23</f>
        <v>无</v>
      </c>
      <c r="G458" s="543" t="b">
        <v>0</v>
      </c>
      <c r="H458" s="545" t="s">
        <v>49</v>
      </c>
      <c r="I458" s="409">
        <v>4</v>
      </c>
      <c r="J458" s="409"/>
      <c r="K458" s="409"/>
      <c r="L458" s="409"/>
      <c r="M458" s="409"/>
      <c r="N458" s="409"/>
      <c r="O458" s="409" t="str">
        <f ca="1">道具!$C$256</f>
        <v>魔法手斧</v>
      </c>
      <c r="P458" s="543"/>
      <c r="Q458" s="545" t="s">
        <v>49</v>
      </c>
      <c r="R458" s="24"/>
      <c r="S458" s="24" t="str">
        <f ca="1">Summon!$I$140</f>
        <v>毒药</v>
      </c>
      <c r="T458" s="545">
        <v>7</v>
      </c>
      <c r="U458" s="543"/>
      <c r="V458" s="409" t="str">
        <f ca="1">语言!$A$44&amp;" / "&amp;语言!$A$48&amp;" available after quest: "&amp;支线!$C$34</f>
        <v>引导 / 诱惑 available after quest: 守墓的工作</v>
      </c>
      <c r="W458" s="148"/>
    </row>
    <row r="459" spans="1:23" ht="25.5" x14ac:dyDescent="0.2">
      <c r="A459" s="148"/>
      <c r="B459" s="371"/>
      <c r="C459" s="148" t="b">
        <v>0</v>
      </c>
      <c r="D459" s="25" t="str">
        <f ca="1">道具!$C$10</f>
        <v>ＢＰ恢复的石榴（大）</v>
      </c>
      <c r="E459" s="371"/>
      <c r="F459" s="371"/>
      <c r="G459" s="371"/>
      <c r="H459" s="371"/>
      <c r="I459" s="371"/>
      <c r="J459" s="371"/>
      <c r="K459" s="371"/>
      <c r="L459" s="371"/>
      <c r="M459" s="371"/>
      <c r="N459" s="371"/>
      <c r="O459" s="371"/>
      <c r="P459" s="371"/>
      <c r="Q459" s="371"/>
      <c r="R459" s="150"/>
      <c r="S459" s="24" t="str">
        <f ca="1">Summon!$I$57</f>
        <v>粉碎</v>
      </c>
      <c r="T459" s="371"/>
      <c r="U459" s="371"/>
      <c r="V459" s="371"/>
      <c r="W459" s="148"/>
    </row>
    <row r="460" spans="1:23" ht="25.5" x14ac:dyDescent="0.2">
      <c r="A460" s="148"/>
      <c r="B460" s="544"/>
      <c r="C460" s="152" t="b">
        <v>0</v>
      </c>
      <c r="D460" s="151" t="str">
        <f ca="1">道具!$C$10</f>
        <v>ＢＰ恢复的石榴（大）</v>
      </c>
      <c r="E460" s="544"/>
      <c r="F460" s="544"/>
      <c r="G460" s="544"/>
      <c r="H460" s="544"/>
      <c r="I460" s="544"/>
      <c r="J460" s="544"/>
      <c r="K460" s="544"/>
      <c r="L460" s="544"/>
      <c r="M460" s="544"/>
      <c r="N460" s="544"/>
      <c r="O460" s="544"/>
      <c r="P460" s="544"/>
      <c r="Q460" s="544"/>
      <c r="R460" s="150"/>
      <c r="S460" s="150" t="str">
        <f ca="1">Summon!$I$4</f>
        <v>战斗</v>
      </c>
      <c r="T460" s="544"/>
      <c r="U460" s="544"/>
      <c r="V460" s="544"/>
      <c r="W460" s="148"/>
    </row>
    <row r="461" spans="1:23" ht="12.75" x14ac:dyDescent="0.2">
      <c r="A461" s="148"/>
      <c r="B461" s="410" t="str">
        <f ca="1">语言!$A$1792&amp;" (2)"</f>
        <v>拙笨的青年 (2)</v>
      </c>
      <c r="C461" s="148" t="b">
        <v>0</v>
      </c>
      <c r="D461" s="25" t="str">
        <f ca="1">道具!$C$6</f>
        <v>ＳＰ恢复的李子</v>
      </c>
      <c r="E461" s="543" t="b">
        <v>0</v>
      </c>
      <c r="F461" s="409" t="str">
        <f ca="1">语言!$A$23</f>
        <v>无</v>
      </c>
      <c r="G461" s="543" t="b">
        <v>0</v>
      </c>
      <c r="H461" s="545" t="s">
        <v>57</v>
      </c>
      <c r="I461" s="409">
        <v>3</v>
      </c>
      <c r="J461" s="409"/>
      <c r="K461" s="409"/>
      <c r="L461" s="409"/>
      <c r="M461" s="409"/>
      <c r="N461" s="409"/>
      <c r="O461" s="409" t="str">
        <f ca="1">道具!$C$6</f>
        <v>ＳＰ恢复的李子</v>
      </c>
      <c r="P461" s="543"/>
      <c r="Q461" s="545" t="s">
        <v>57</v>
      </c>
      <c r="R461" s="24"/>
      <c r="S461" s="24" t="str">
        <f ca="1">Summon!$I$48</f>
        <v>连掷短剑</v>
      </c>
      <c r="T461" s="545">
        <v>8</v>
      </c>
      <c r="U461" s="543"/>
      <c r="V461" s="409" t="str">
        <f ca="1">"NPC at this location only after quest: "&amp;支线!$C$34&amp;"
("&amp;语言!$A$47&amp;" / "&amp;语言!$A$51&amp;" solution only)"</f>
        <v>NPC at this location only after quest: 守墓的工作
(比试 / 唆使 solution only)</v>
      </c>
      <c r="W461" s="148"/>
    </row>
    <row r="462" spans="1:23" ht="12.75" x14ac:dyDescent="0.2">
      <c r="A462" s="148"/>
      <c r="B462" s="371"/>
      <c r="C462" s="148" t="b">
        <v>0</v>
      </c>
      <c r="D462" s="25" t="str">
        <f ca="1">道具!$C$19</f>
        <v>沉默治疗药草</v>
      </c>
      <c r="E462" s="371"/>
      <c r="F462" s="371"/>
      <c r="G462" s="371"/>
      <c r="H462" s="371"/>
      <c r="I462" s="371"/>
      <c r="J462" s="371"/>
      <c r="K462" s="371"/>
      <c r="L462" s="371"/>
      <c r="M462" s="371"/>
      <c r="N462" s="371"/>
      <c r="O462" s="371"/>
      <c r="P462" s="371"/>
      <c r="Q462" s="371"/>
      <c r="R462" s="24"/>
      <c r="S462" s="24" t="str">
        <f ca="1">Summon!$I$42</f>
        <v>猛击</v>
      </c>
      <c r="T462" s="371"/>
      <c r="U462" s="371"/>
      <c r="V462" s="371"/>
      <c r="W462" s="148"/>
    </row>
    <row r="463" spans="1:23" ht="12.75" x14ac:dyDescent="0.2">
      <c r="A463" s="148"/>
      <c r="B463" s="544"/>
      <c r="C463" s="152"/>
      <c r="D463" s="151"/>
      <c r="E463" s="544"/>
      <c r="F463" s="544"/>
      <c r="G463" s="544"/>
      <c r="H463" s="544"/>
      <c r="I463" s="544"/>
      <c r="J463" s="544"/>
      <c r="K463" s="544"/>
      <c r="L463" s="544"/>
      <c r="M463" s="544"/>
      <c r="N463" s="544"/>
      <c r="O463" s="544"/>
      <c r="P463" s="544"/>
      <c r="Q463" s="544"/>
      <c r="R463" s="150"/>
      <c r="S463" s="150" t="str">
        <f ca="1">Summon!$I$4</f>
        <v>战斗</v>
      </c>
      <c r="T463" s="544"/>
      <c r="U463" s="544"/>
      <c r="V463" s="544"/>
      <c r="W463" s="148"/>
    </row>
    <row r="464" spans="1:23" ht="12.75" x14ac:dyDescent="0.2">
      <c r="A464" s="148"/>
      <c r="B464" s="410" t="str">
        <f ca="1">语言!$A$1973&amp;" (2)"</f>
        <v>忧郁的青年 (2)</v>
      </c>
      <c r="C464" s="148" t="b">
        <v>0</v>
      </c>
      <c r="D464" s="25" t="str">
        <f ca="1">道具!$C$25</f>
        <v>毒瓶</v>
      </c>
      <c r="E464" s="543" t="b">
        <v>0</v>
      </c>
      <c r="F464" s="409" t="str">
        <f ca="1">语言!$A$23</f>
        <v>无</v>
      </c>
      <c r="G464" s="543" t="b">
        <v>0</v>
      </c>
      <c r="H464" s="545" t="s">
        <v>48</v>
      </c>
      <c r="I464" s="409">
        <v>2</v>
      </c>
      <c r="J464" s="409"/>
      <c r="K464" s="409"/>
      <c r="L464" s="409"/>
      <c r="M464" s="409"/>
      <c r="N464" s="409"/>
      <c r="O464" s="409" t="str">
        <f ca="1">道具!$C$3</f>
        <v>ＨＰ恢复的葡萄</v>
      </c>
      <c r="P464" s="543"/>
      <c r="Q464" s="545" t="s">
        <v>48</v>
      </c>
      <c r="R464" s="409"/>
      <c r="S464" s="409" t="str">
        <f ca="1">Summon!$I$31</f>
        <v>要害突刺</v>
      </c>
      <c r="T464" s="545">
        <v>9</v>
      </c>
      <c r="U464" s="543"/>
      <c r="V464" s="409" t="str">
        <f ca="1">"NPC at this location after quest: "&amp;支线!$C$62</f>
        <v>NPC at this location after quest: 无法忘怀的回忆</v>
      </c>
      <c r="W464" s="148"/>
    </row>
    <row r="465" spans="1:23" ht="12.75" x14ac:dyDescent="0.2">
      <c r="A465" s="148"/>
      <c r="B465" s="371"/>
      <c r="C465" s="148" t="b">
        <v>0</v>
      </c>
      <c r="D465" s="25" t="str">
        <f ca="1">道具!$C$26</f>
        <v>暗黑瓶</v>
      </c>
      <c r="E465" s="371"/>
      <c r="F465" s="371"/>
      <c r="G465" s="371"/>
      <c r="H465" s="371"/>
      <c r="I465" s="371"/>
      <c r="J465" s="371"/>
      <c r="K465" s="371"/>
      <c r="L465" s="371"/>
      <c r="M465" s="371"/>
      <c r="N465" s="371"/>
      <c r="O465" s="371"/>
      <c r="P465" s="371"/>
      <c r="Q465" s="371"/>
      <c r="R465" s="371"/>
      <c r="S465" s="371"/>
      <c r="T465" s="371"/>
      <c r="U465" s="371"/>
      <c r="V465" s="371"/>
      <c r="W465" s="148"/>
    </row>
    <row r="466" spans="1:23" ht="12.75" x14ac:dyDescent="0.2">
      <c r="A466" s="148"/>
      <c r="B466" s="371"/>
      <c r="C466" s="148" t="b">
        <v>0</v>
      </c>
      <c r="D466" s="25" t="str">
        <f ca="1">道具!$C$27</f>
        <v>混乱瓶</v>
      </c>
      <c r="E466" s="371"/>
      <c r="F466" s="371"/>
      <c r="G466" s="371"/>
      <c r="H466" s="371"/>
      <c r="I466" s="371"/>
      <c r="J466" s="371"/>
      <c r="K466" s="371"/>
      <c r="L466" s="371"/>
      <c r="M466" s="371"/>
      <c r="N466" s="371"/>
      <c r="O466" s="371"/>
      <c r="P466" s="371"/>
      <c r="Q466" s="371"/>
      <c r="R466" s="409"/>
      <c r="S466" s="409" t="str">
        <f ca="1">Summon!$I$4</f>
        <v>战斗</v>
      </c>
      <c r="T466" s="371"/>
      <c r="U466" s="371"/>
      <c r="V466" s="371"/>
      <c r="W466" s="148"/>
    </row>
    <row r="467" spans="1:23" ht="12.75" x14ac:dyDescent="0.2">
      <c r="A467" s="148"/>
      <c r="B467" s="371"/>
      <c r="C467" s="148" t="b">
        <v>0</v>
      </c>
      <c r="D467" s="25" t="str">
        <f ca="1">道具!$C$29</f>
        <v>睡眠瓶</v>
      </c>
      <c r="E467" s="371"/>
      <c r="F467" s="371"/>
      <c r="G467" s="371"/>
      <c r="H467" s="371"/>
      <c r="I467" s="371"/>
      <c r="J467" s="371"/>
      <c r="K467" s="371"/>
      <c r="L467" s="371"/>
      <c r="M467" s="371"/>
      <c r="N467" s="371"/>
      <c r="O467" s="371"/>
      <c r="P467" s="371"/>
      <c r="Q467" s="371"/>
      <c r="R467" s="371"/>
      <c r="S467" s="371"/>
      <c r="T467" s="371"/>
      <c r="U467" s="371"/>
      <c r="V467" s="371"/>
      <c r="W467" s="148"/>
    </row>
    <row r="468" spans="1:23" ht="12.75" x14ac:dyDescent="0.2">
      <c r="A468" s="148"/>
      <c r="B468" s="547" t="str">
        <f ca="1">语言!$A$356</f>
        <v>西诺布尔寇德平原</v>
      </c>
      <c r="C468" s="371"/>
      <c r="D468" s="371"/>
      <c r="E468" s="371"/>
      <c r="F468" s="371"/>
      <c r="G468" s="371"/>
      <c r="H468" s="371"/>
      <c r="I468" s="371"/>
      <c r="J468" s="371"/>
      <c r="K468" s="371"/>
      <c r="L468" s="371"/>
      <c r="M468" s="371"/>
      <c r="N468" s="371"/>
      <c r="O468" s="371"/>
      <c r="P468" s="371"/>
      <c r="Q468" s="371"/>
      <c r="R468" s="371"/>
      <c r="S468" s="371"/>
      <c r="T468" s="371"/>
      <c r="U468" s="371"/>
      <c r="V468" s="371"/>
      <c r="W468" s="148"/>
    </row>
    <row r="469" spans="1:23" ht="18.75" customHeight="1" x14ac:dyDescent="0.2">
      <c r="A469" s="148"/>
      <c r="B469" s="480" t="str">
        <f ca="1">语言!$A$1792&amp;" (1)"</f>
        <v>拙笨的青年 (1)</v>
      </c>
      <c r="C469" s="148" t="b">
        <v>0</v>
      </c>
      <c r="D469" s="25" t="str">
        <f ca="1">道具!$C$6</f>
        <v>ＳＰ恢复的李子</v>
      </c>
      <c r="E469" s="543" t="b">
        <v>0</v>
      </c>
      <c r="F469" s="409" t="str">
        <f ca="1">语言!$A$23</f>
        <v>无</v>
      </c>
      <c r="G469" s="543" t="b">
        <v>0</v>
      </c>
      <c r="H469" s="545" t="s">
        <v>57</v>
      </c>
      <c r="I469" s="409">
        <v>3</v>
      </c>
      <c r="J469" s="409"/>
      <c r="K469" s="409"/>
      <c r="L469" s="409"/>
      <c r="M469" s="409"/>
      <c r="N469" s="409"/>
      <c r="O469" s="409" t="str">
        <f ca="1">道具!$C$6</f>
        <v>ＳＰ恢复的李子</v>
      </c>
      <c r="P469" s="543"/>
      <c r="Q469" s="546" t="s">
        <v>119</v>
      </c>
      <c r="R469" s="546" t="s">
        <v>119</v>
      </c>
      <c r="S469" s="546" t="s">
        <v>119</v>
      </c>
      <c r="T469" s="546" t="s">
        <v>119</v>
      </c>
      <c r="U469" s="543"/>
      <c r="V469" s="409" t="str">
        <f ca="1">"Moves to "&amp;语言!$A$355&amp;" after quest: "&amp;支线!$C$34&amp;"
("&amp;语言!$A$47&amp;" / "&amp;语言!$A$51&amp;" solution only)
Disapear after quest: "&amp;支线!$C$34&amp;" ("&amp;语言!$A$46&amp;" / "&amp;语言!$A$50&amp;" solution only)"</f>
        <v>Moves to 诺布尔寇德 -东地区- after quest: 守墓的工作
(比试 / 唆使 solution only)
Disapear after quest: 守墓的工作 (购买 / 偷取 solution only)</v>
      </c>
      <c r="W469" s="148"/>
    </row>
    <row r="470" spans="1:23" ht="18.75" customHeight="1" x14ac:dyDescent="0.2">
      <c r="A470" s="148"/>
      <c r="B470" s="544"/>
      <c r="C470" s="152" t="b">
        <v>0</v>
      </c>
      <c r="D470" s="151" t="str">
        <f ca="1">道具!$C$19</f>
        <v>沉默治疗药草</v>
      </c>
      <c r="E470" s="544"/>
      <c r="F470" s="544"/>
      <c r="G470" s="544"/>
      <c r="H470" s="544"/>
      <c r="I470" s="544"/>
      <c r="J470" s="544"/>
      <c r="K470" s="544"/>
      <c r="L470" s="544"/>
      <c r="M470" s="544"/>
      <c r="N470" s="544"/>
      <c r="O470" s="544"/>
      <c r="P470" s="544"/>
      <c r="Q470" s="544"/>
      <c r="R470" s="544"/>
      <c r="S470" s="544"/>
      <c r="T470" s="544"/>
      <c r="U470" s="544"/>
      <c r="V470" s="544"/>
      <c r="W470" s="148"/>
    </row>
    <row r="471" spans="1:23" ht="12.75" x14ac:dyDescent="0.2">
      <c r="A471" s="148"/>
      <c r="B471" s="564" t="str">
        <f ca="1">语言!$A$1923&amp;" (1)"</f>
        <v>流浪剧团团长 (1)</v>
      </c>
      <c r="C471" s="164" t="b">
        <v>0</v>
      </c>
      <c r="D471" s="163" t="str">
        <f ca="1">道具!$C$14</f>
        <v>复活的橄榄</v>
      </c>
      <c r="E471" s="562" t="b">
        <v>0</v>
      </c>
      <c r="F471" s="409" t="str">
        <f ca="1">语言!$A$23</f>
        <v>无</v>
      </c>
      <c r="G471" s="562"/>
      <c r="H471" s="561" t="s">
        <v>119</v>
      </c>
      <c r="I471" s="561" t="s">
        <v>119</v>
      </c>
      <c r="J471" s="561" t="s">
        <v>119</v>
      </c>
      <c r="K471" s="561" t="s">
        <v>119</v>
      </c>
      <c r="L471" s="561" t="s">
        <v>119</v>
      </c>
      <c r="M471" s="561" t="s">
        <v>119</v>
      </c>
      <c r="N471" s="561" t="s">
        <v>119</v>
      </c>
      <c r="O471" s="561" t="s">
        <v>119</v>
      </c>
      <c r="P471" s="562"/>
      <c r="Q471" s="561" t="s">
        <v>119</v>
      </c>
      <c r="R471" s="561" t="s">
        <v>119</v>
      </c>
      <c r="S471" s="561" t="s">
        <v>119</v>
      </c>
      <c r="T471" s="561" t="s">
        <v>119</v>
      </c>
      <c r="U471" s="562"/>
      <c r="V471" s="563" t="str">
        <f ca="1">"NPC available after quest: "&amp;支线!$C$4&amp;"
Disapear temporarily after quest: "&amp;支线!$C$32&amp;"
Next seen in Moonstruck Coast after quest: "&amp;支线!$C$51</f>
        <v>NPC available after quest: 旅行青年
Disapear temporarily after quest: 寻找父亲的旅行者克里斯（１）
Next seen in Moonstruck Coast after quest: 寻找父亲的旅行者克里斯（２）</v>
      </c>
      <c r="W471" s="164"/>
    </row>
    <row r="472" spans="1:23" ht="12.75" x14ac:dyDescent="0.2">
      <c r="A472" s="164"/>
      <c r="B472" s="371"/>
      <c r="C472" s="164" t="b">
        <v>0</v>
      </c>
      <c r="D472" s="163" t="str">
        <f ca="1">道具!$C$85</f>
        <v>玻璃珠</v>
      </c>
      <c r="E472" s="371"/>
      <c r="F472" s="371"/>
      <c r="G472" s="371"/>
      <c r="H472" s="371"/>
      <c r="I472" s="371"/>
      <c r="J472" s="371"/>
      <c r="K472" s="371"/>
      <c r="L472" s="371"/>
      <c r="M472" s="371"/>
      <c r="N472" s="371"/>
      <c r="O472" s="371"/>
      <c r="P472" s="371"/>
      <c r="Q472" s="371"/>
      <c r="R472" s="371"/>
      <c r="S472" s="371"/>
      <c r="T472" s="371"/>
      <c r="U472" s="371"/>
      <c r="V472" s="371"/>
      <c r="W472" s="164"/>
    </row>
    <row r="473" spans="1:23" ht="12.75" x14ac:dyDescent="0.2">
      <c r="A473" s="164"/>
      <c r="B473" s="371"/>
      <c r="C473" s="164" t="b">
        <v>0</v>
      </c>
      <c r="D473" s="163" t="str">
        <f ca="1">道具!$C$365</f>
        <v>海市蜃楼帽子</v>
      </c>
      <c r="E473" s="371"/>
      <c r="F473" s="371"/>
      <c r="G473" s="371"/>
      <c r="H473" s="371"/>
      <c r="I473" s="371"/>
      <c r="J473" s="371"/>
      <c r="K473" s="371"/>
      <c r="L473" s="371"/>
      <c r="M473" s="371"/>
      <c r="N473" s="371"/>
      <c r="O473" s="371"/>
      <c r="P473" s="371"/>
      <c r="Q473" s="371"/>
      <c r="R473" s="371"/>
      <c r="S473" s="371"/>
      <c r="T473" s="371"/>
      <c r="U473" s="371"/>
      <c r="V473" s="371"/>
      <c r="W473" s="164"/>
    </row>
    <row r="474" spans="1:23" ht="12.75" x14ac:dyDescent="0.2">
      <c r="A474" s="148"/>
      <c r="B474" s="548" t="str">
        <f ca="1">语言!$A$323&amp;" 3"</f>
        <v>Tier 3</v>
      </c>
      <c r="C474" s="371"/>
      <c r="D474" s="371"/>
      <c r="E474" s="371"/>
      <c r="F474" s="371"/>
      <c r="G474" s="371"/>
      <c r="H474" s="371"/>
      <c r="I474" s="371"/>
      <c r="J474" s="371"/>
      <c r="K474" s="371"/>
      <c r="L474" s="371"/>
      <c r="M474" s="371"/>
      <c r="N474" s="371"/>
      <c r="O474" s="371"/>
      <c r="P474" s="371"/>
      <c r="Q474" s="371"/>
      <c r="R474" s="371"/>
      <c r="S474" s="371"/>
      <c r="T474" s="371"/>
      <c r="U474" s="371"/>
      <c r="V474" s="371"/>
      <c r="W474" s="148"/>
    </row>
    <row r="475" spans="1:23" ht="12.75" x14ac:dyDescent="0.2">
      <c r="A475" s="148"/>
      <c r="B475" s="547" t="str">
        <f ca="1">语言!$A$360&amp;" (All interraction with NPC is unavailable until you complete "&amp;语言!$A$35&amp;" chapter 4 except some NPC related to sidequest like Theracio"</f>
        <v>维斯帕米尔 (All interraction with NPC is unavailable until you complete 欧菲莉亚 chapter 4 except some NPC related to sidequest like Theracio</v>
      </c>
      <c r="C475" s="371"/>
      <c r="D475" s="371"/>
      <c r="E475" s="371"/>
      <c r="F475" s="371"/>
      <c r="G475" s="371"/>
      <c r="H475" s="371"/>
      <c r="I475" s="371"/>
      <c r="J475" s="371"/>
      <c r="K475" s="371"/>
      <c r="L475" s="371"/>
      <c r="M475" s="371"/>
      <c r="N475" s="371"/>
      <c r="O475" s="371"/>
      <c r="P475" s="371"/>
      <c r="Q475" s="371"/>
      <c r="R475" s="371"/>
      <c r="S475" s="371"/>
      <c r="T475" s="371"/>
      <c r="U475" s="371"/>
      <c r="V475" s="371"/>
      <c r="W475" s="148"/>
    </row>
    <row r="476" spans="1:23" ht="12.75" x14ac:dyDescent="0.2">
      <c r="A476" s="148"/>
      <c r="B476" s="410" t="str">
        <f ca="1">语言!$A$2120</f>
        <v>村民</v>
      </c>
      <c r="C476" s="148" t="b">
        <v>0</v>
      </c>
      <c r="D476" s="25" t="str">
        <f ca="1">道具!$C$4</f>
        <v>ＨＰ恢复的葡萄（大）</v>
      </c>
      <c r="E476" s="543" t="b">
        <v>0</v>
      </c>
      <c r="F476" s="409" t="str">
        <f ca="1">语言!$A$27</f>
        <v>杂货店商品追加资讯</v>
      </c>
      <c r="G476" s="543" t="b">
        <v>0</v>
      </c>
      <c r="H476" s="545" t="s">
        <v>46</v>
      </c>
      <c r="I476" s="409">
        <v>3</v>
      </c>
      <c r="J476" s="409"/>
      <c r="K476" s="409"/>
      <c r="L476" s="409"/>
      <c r="M476" s="409"/>
      <c r="N476" s="409"/>
      <c r="O476" s="409" t="str">
        <f ca="1">道具!$C$7</f>
        <v>ＳＰ恢复的李子（大）</v>
      </c>
      <c r="P476" s="543"/>
      <c r="Q476" s="546" t="s">
        <v>119</v>
      </c>
      <c r="R476" s="546" t="s">
        <v>119</v>
      </c>
      <c r="S476" s="546" t="s">
        <v>119</v>
      </c>
      <c r="T476" s="546" t="s">
        <v>119</v>
      </c>
      <c r="U476" s="543"/>
      <c r="V476" s="409" t="str">
        <f ca="1">"Nothing until "&amp;语言!$A$35&amp;" chapter 4 completed"</f>
        <v>Nothing until 欧菲莉亚 chapter 4 completed</v>
      </c>
      <c r="W476" s="148"/>
    </row>
    <row r="477" spans="1:23" ht="12.75" x14ac:dyDescent="0.2">
      <c r="A477" s="148"/>
      <c r="B477" s="371"/>
      <c r="C477" s="148" t="b">
        <v>0</v>
      </c>
      <c r="D477" s="25" t="str">
        <f ca="1">道具!$C$4</f>
        <v>ＨＰ恢复的葡萄（大）</v>
      </c>
      <c r="E477" s="371"/>
      <c r="F477" s="371"/>
      <c r="G477" s="371"/>
      <c r="H477" s="371"/>
      <c r="I477" s="371"/>
      <c r="J477" s="371"/>
      <c r="K477" s="371"/>
      <c r="L477" s="371"/>
      <c r="M477" s="371"/>
      <c r="N477" s="371"/>
      <c r="O477" s="371"/>
      <c r="P477" s="371"/>
      <c r="Q477" s="371"/>
      <c r="R477" s="371"/>
      <c r="S477" s="371"/>
      <c r="T477" s="371"/>
      <c r="U477" s="371"/>
      <c r="V477" s="371"/>
      <c r="W477" s="148"/>
    </row>
    <row r="478" spans="1:23" ht="12.75" x14ac:dyDescent="0.2">
      <c r="A478" s="148"/>
      <c r="B478" s="544"/>
      <c r="C478" s="152" t="b">
        <v>0</v>
      </c>
      <c r="D478" s="151" t="str">
        <f ca="1">道具!$C$5</f>
        <v>ＨＰ全体恢复的葡萄</v>
      </c>
      <c r="E478" s="544"/>
      <c r="F478" s="544"/>
      <c r="G478" s="544"/>
      <c r="H478" s="544"/>
      <c r="I478" s="544"/>
      <c r="J478" s="544"/>
      <c r="K478" s="544"/>
      <c r="L478" s="544"/>
      <c r="M478" s="544"/>
      <c r="N478" s="544"/>
      <c r="O478" s="544"/>
      <c r="P478" s="544"/>
      <c r="Q478" s="544"/>
      <c r="R478" s="544"/>
      <c r="S478" s="544"/>
      <c r="T478" s="544"/>
      <c r="U478" s="544"/>
      <c r="V478" s="544"/>
      <c r="W478" s="148"/>
    </row>
    <row r="479" spans="1:23" ht="12.75" x14ac:dyDescent="0.2">
      <c r="A479" s="148"/>
      <c r="B479" s="410" t="str">
        <f ca="1">语言!$A$2052</f>
        <v>爱说闲话的男子</v>
      </c>
      <c r="C479" s="148" t="b">
        <v>0</v>
      </c>
      <c r="D479" s="25" t="str">
        <f ca="1">道具!$C$485</f>
        <v>察知手环</v>
      </c>
      <c r="E479" s="543" t="b">
        <v>0</v>
      </c>
      <c r="F479" s="409" t="str">
        <f ca="1">语言!$A$23</f>
        <v>无</v>
      </c>
      <c r="G479" s="543" t="b">
        <v>0</v>
      </c>
      <c r="H479" s="545" t="s">
        <v>46</v>
      </c>
      <c r="I479" s="409">
        <v>3</v>
      </c>
      <c r="J479" s="409"/>
      <c r="K479" s="409"/>
      <c r="L479" s="409"/>
      <c r="M479" s="409"/>
      <c r="N479" s="409"/>
      <c r="O479" s="409" t="str">
        <f ca="1">道具!$C$534</f>
        <v>超含毒的素材</v>
      </c>
      <c r="P479" s="543"/>
      <c r="Q479" s="545" t="s">
        <v>46</v>
      </c>
      <c r="R479" s="24"/>
      <c r="S479" s="24" t="str">
        <f ca="1">Summon!$I$47</f>
        <v>恐慌猛击</v>
      </c>
      <c r="T479" s="545">
        <v>8</v>
      </c>
      <c r="U479" s="543"/>
      <c r="V479" s="409" t="str">
        <f ca="1">"NPC available after "&amp;语言!$A$35&amp;" chapter 4"</f>
        <v>NPC available after 欧菲莉亚 chapter 4</v>
      </c>
      <c r="W479" s="148"/>
    </row>
    <row r="480" spans="1:23" ht="12.75" x14ac:dyDescent="0.2">
      <c r="A480" s="148"/>
      <c r="B480" s="371"/>
      <c r="C480" s="148" t="b">
        <v>0</v>
      </c>
      <c r="D480" s="25" t="str">
        <f ca="1">道具!$C$492</f>
        <v>察知戒指</v>
      </c>
      <c r="E480" s="371"/>
      <c r="F480" s="371"/>
      <c r="G480" s="371"/>
      <c r="H480" s="371"/>
      <c r="I480" s="371"/>
      <c r="J480" s="371"/>
      <c r="K480" s="371"/>
      <c r="L480" s="371"/>
      <c r="M480" s="371"/>
      <c r="N480" s="371"/>
      <c r="O480" s="371"/>
      <c r="P480" s="371"/>
      <c r="Q480" s="371"/>
      <c r="R480" s="24"/>
      <c r="S480" s="24" t="str">
        <f ca="1">Summon!$I$42</f>
        <v>猛击</v>
      </c>
      <c r="T480" s="371"/>
      <c r="U480" s="371"/>
      <c r="V480" s="371"/>
      <c r="W480" s="148"/>
    </row>
    <row r="481" spans="1:23" ht="12.75" x14ac:dyDescent="0.2">
      <c r="A481" s="148"/>
      <c r="B481" s="544"/>
      <c r="C481" s="152"/>
      <c r="D481" s="151"/>
      <c r="E481" s="544"/>
      <c r="F481" s="544"/>
      <c r="G481" s="544"/>
      <c r="H481" s="544"/>
      <c r="I481" s="544"/>
      <c r="J481" s="544"/>
      <c r="K481" s="544"/>
      <c r="L481" s="544"/>
      <c r="M481" s="544"/>
      <c r="N481" s="544"/>
      <c r="O481" s="544"/>
      <c r="P481" s="544"/>
      <c r="Q481" s="544"/>
      <c r="R481" s="150"/>
      <c r="S481" s="150" t="str">
        <f ca="1">Summon!$I$4</f>
        <v>战斗</v>
      </c>
      <c r="T481" s="544"/>
      <c r="U481" s="544"/>
      <c r="V481" s="544"/>
      <c r="W481" s="148"/>
    </row>
    <row r="482" spans="1:23" ht="12.75" x14ac:dyDescent="0.2">
      <c r="A482" s="148"/>
      <c r="B482" s="410" t="str">
        <f ca="1">语言!$A$2111</f>
        <v>苦笑的村民</v>
      </c>
      <c r="C482" s="543" t="b">
        <v>0</v>
      </c>
      <c r="D482" s="410" t="str">
        <f ca="1">道具!$C$235</f>
        <v>死亡猛击斧</v>
      </c>
      <c r="E482" s="543" t="b">
        <v>0</v>
      </c>
      <c r="F482" s="409" t="str">
        <f ca="1">语言!$A$33&amp;"
"&amp;道具!$C$8</f>
        <v>隐藏道具的资讯
ＳＰ全体恢复的李子</v>
      </c>
      <c r="G482" s="543" t="b">
        <v>0</v>
      </c>
      <c r="H482" s="545" t="s">
        <v>50</v>
      </c>
      <c r="I482" s="409">
        <v>4</v>
      </c>
      <c r="J482" s="409"/>
      <c r="K482" s="409"/>
      <c r="L482" s="409"/>
      <c r="M482" s="409"/>
      <c r="N482" s="409"/>
      <c r="O482" s="409" t="str">
        <f ca="1">道具!$C$372</f>
        <v>元素帽</v>
      </c>
      <c r="P482" s="543"/>
      <c r="Q482" s="545" t="s">
        <v>50</v>
      </c>
      <c r="R482" s="24"/>
      <c r="S482" s="24" t="str">
        <f ca="1">Summon!$I$173</f>
        <v>攻击力提升</v>
      </c>
      <c r="T482" s="545">
        <v>7</v>
      </c>
      <c r="U482" s="543"/>
      <c r="V482" s="409" t="str">
        <f ca="1">"NPC available after "&amp;语言!$A$35&amp;" chapter 4"</f>
        <v>NPC available after 欧菲莉亚 chapter 4</v>
      </c>
      <c r="W482" s="148"/>
    </row>
    <row r="483" spans="1:23" ht="12.75" x14ac:dyDescent="0.2">
      <c r="A483" s="148"/>
      <c r="B483" s="371"/>
      <c r="C483" s="371"/>
      <c r="D483" s="371"/>
      <c r="E483" s="371"/>
      <c r="F483" s="371"/>
      <c r="G483" s="371"/>
      <c r="H483" s="371"/>
      <c r="I483" s="371"/>
      <c r="J483" s="371"/>
      <c r="K483" s="371"/>
      <c r="L483" s="371"/>
      <c r="M483" s="371"/>
      <c r="N483" s="371"/>
      <c r="O483" s="371"/>
      <c r="P483" s="371"/>
      <c r="Q483" s="371"/>
      <c r="R483" s="24"/>
      <c r="S483" s="24" t="str">
        <f ca="1">Summon!$I$61</f>
        <v>全力斩击</v>
      </c>
      <c r="T483" s="371"/>
      <c r="U483" s="371"/>
      <c r="V483" s="371"/>
      <c r="W483" s="148"/>
    </row>
    <row r="484" spans="1:23" ht="12.75" x14ac:dyDescent="0.2">
      <c r="A484" s="148"/>
      <c r="B484" s="371"/>
      <c r="C484" s="371"/>
      <c r="D484" s="371"/>
      <c r="E484" s="371"/>
      <c r="F484" s="371"/>
      <c r="G484" s="371"/>
      <c r="H484" s="371"/>
      <c r="I484" s="371"/>
      <c r="J484" s="371"/>
      <c r="K484" s="371"/>
      <c r="L484" s="371"/>
      <c r="M484" s="371"/>
      <c r="N484" s="371"/>
      <c r="O484" s="371"/>
      <c r="P484" s="371"/>
      <c r="Q484" s="371"/>
      <c r="R484" s="24"/>
      <c r="S484" s="24" t="str">
        <f ca="1">Summon!$I$52</f>
        <v>重拳</v>
      </c>
      <c r="T484" s="371"/>
      <c r="U484" s="371"/>
      <c r="V484" s="371"/>
      <c r="W484" s="148"/>
    </row>
    <row r="485" spans="1:23" ht="12.75" x14ac:dyDescent="0.2">
      <c r="A485" s="148"/>
      <c r="B485" s="544"/>
      <c r="C485" s="544"/>
      <c r="D485" s="544"/>
      <c r="E485" s="544"/>
      <c r="F485" s="544"/>
      <c r="G485" s="544"/>
      <c r="H485" s="544"/>
      <c r="I485" s="544"/>
      <c r="J485" s="544"/>
      <c r="K485" s="544"/>
      <c r="L485" s="544"/>
      <c r="M485" s="544"/>
      <c r="N485" s="544"/>
      <c r="O485" s="544"/>
      <c r="P485" s="544"/>
      <c r="Q485" s="544"/>
      <c r="R485" s="150"/>
      <c r="S485" s="150" t="str">
        <f ca="1">Summon!$I$4</f>
        <v>战斗</v>
      </c>
      <c r="T485" s="544"/>
      <c r="U485" s="544"/>
      <c r="V485" s="544"/>
      <c r="W485" s="148"/>
    </row>
    <row r="486" spans="1:23" ht="12.75" x14ac:dyDescent="0.2">
      <c r="A486" s="148"/>
      <c r="B486" s="410" t="str">
        <f ca="1">语言!$A$2120</f>
        <v>村民</v>
      </c>
      <c r="C486" s="148" t="b">
        <v>0</v>
      </c>
      <c r="D486" s="25" t="str">
        <f ca="1">道具!$C$74</f>
        <v>增强回避的坚果（特大）</v>
      </c>
      <c r="E486" s="543" t="b">
        <v>0</v>
      </c>
      <c r="F486" s="409" t="str">
        <f ca="1">语言!$A$33&amp;"
"&amp;道具!$C$126</f>
        <v>隐藏道具的资讯
旧硬币</v>
      </c>
      <c r="G486" s="543" t="b">
        <v>0</v>
      </c>
      <c r="H486" s="545" t="s">
        <v>47</v>
      </c>
      <c r="I486" s="409">
        <v>4</v>
      </c>
      <c r="J486" s="409"/>
      <c r="K486" s="409"/>
      <c r="L486" s="409"/>
      <c r="M486" s="409"/>
      <c r="N486" s="409"/>
      <c r="O486" s="409" t="str">
        <f ca="1">道具!$C$368</f>
        <v>帝国头盔</v>
      </c>
      <c r="P486" s="543"/>
      <c r="Q486" s="545" t="s">
        <v>47</v>
      </c>
      <c r="R486" s="24"/>
      <c r="S486" s="24" t="str">
        <f ca="1">Summon!$I$21</f>
        <v>乱斩</v>
      </c>
      <c r="T486" s="545">
        <v>6</v>
      </c>
      <c r="U486" s="543"/>
      <c r="V486" s="409" t="str">
        <f ca="1">"Nothing until "&amp;语言!$A$35&amp;" chapter 4 completed"</f>
        <v>Nothing until 欧菲莉亚 chapter 4 completed</v>
      </c>
      <c r="W486" s="148"/>
    </row>
    <row r="487" spans="1:23" ht="12.75" x14ac:dyDescent="0.2">
      <c r="A487" s="148"/>
      <c r="B487" s="371"/>
      <c r="C487" s="148" t="b">
        <v>0</v>
      </c>
      <c r="D487" s="25" t="str">
        <f ca="1">道具!$C$51</f>
        <v>增强ＨＰ的坚果（特大）</v>
      </c>
      <c r="E487" s="371"/>
      <c r="F487" s="371"/>
      <c r="G487" s="371"/>
      <c r="H487" s="371"/>
      <c r="I487" s="371"/>
      <c r="J487" s="371"/>
      <c r="K487" s="371"/>
      <c r="L487" s="371"/>
      <c r="M487" s="371"/>
      <c r="N487" s="371"/>
      <c r="O487" s="371"/>
      <c r="P487" s="371"/>
      <c r="Q487" s="371"/>
      <c r="R487" s="24"/>
      <c r="S487" s="24" t="str">
        <f ca="1">Summon!$I$6</f>
        <v>斩击</v>
      </c>
      <c r="T487" s="371"/>
      <c r="U487" s="371"/>
      <c r="V487" s="371"/>
      <c r="W487" s="148"/>
    </row>
    <row r="488" spans="1:23" ht="12.75" x14ac:dyDescent="0.2">
      <c r="A488" s="148"/>
      <c r="B488" s="544"/>
      <c r="C488" s="152"/>
      <c r="D488" s="151"/>
      <c r="E488" s="544"/>
      <c r="F488" s="544"/>
      <c r="G488" s="544"/>
      <c r="H488" s="544"/>
      <c r="I488" s="544"/>
      <c r="J488" s="544"/>
      <c r="K488" s="544"/>
      <c r="L488" s="544"/>
      <c r="M488" s="544"/>
      <c r="N488" s="544"/>
      <c r="O488" s="544"/>
      <c r="P488" s="544"/>
      <c r="Q488" s="544"/>
      <c r="R488" s="150"/>
      <c r="S488" s="150" t="str">
        <f ca="1">Summon!$I$4</f>
        <v>战斗</v>
      </c>
      <c r="T488" s="544"/>
      <c r="U488" s="544"/>
      <c r="V488" s="544"/>
      <c r="W488" s="148"/>
    </row>
    <row r="489" spans="1:23" ht="12.75" x14ac:dyDescent="0.2">
      <c r="A489" s="148"/>
      <c r="B489" s="410" t="str">
        <f ca="1">语言!$A$2094&amp;" (3)"</f>
        <v>提拉奇亚 (3)</v>
      </c>
      <c r="C489" s="543" t="b">
        <v>0</v>
      </c>
      <c r="D489" s="410" t="str">
        <f ca="1">道具!$C$6</f>
        <v>ＳＰ恢复的李子</v>
      </c>
      <c r="E489" s="543" t="b">
        <v>0</v>
      </c>
      <c r="F489" s="409" t="str">
        <f ca="1">语言!$A$23</f>
        <v>无</v>
      </c>
      <c r="G489" s="543" t="b">
        <v>0</v>
      </c>
      <c r="H489" s="545" t="s">
        <v>57</v>
      </c>
      <c r="I489" s="409">
        <v>3</v>
      </c>
      <c r="J489" s="409"/>
      <c r="K489" s="409"/>
      <c r="L489" s="409"/>
      <c r="M489" s="409"/>
      <c r="N489" s="409"/>
      <c r="O489" s="409" t="str">
        <f ca="1">道具!$C$7</f>
        <v>ＳＰ恢复的李子（大）</v>
      </c>
      <c r="P489" s="543"/>
      <c r="Q489" s="545" t="s">
        <v>57</v>
      </c>
      <c r="R489" s="24"/>
      <c r="S489" s="24" t="str">
        <f ca="1">Summon!$I$171</f>
        <v>圣职者的哲学</v>
      </c>
      <c r="T489" s="545">
        <v>8</v>
      </c>
      <c r="U489" s="543"/>
      <c r="V489" s="409" t="str">
        <f ca="1">"NPC available after Quest: "&amp;支线!$C$31&amp;"
"&amp;语言!$A$44&amp;" / "&amp;语言!$A$48&amp;" available after quest: "&amp;支线!$C$37</f>
        <v>NPC available after Quest: 教师提拉奇亚（２）
引导 / 诱惑 available after quest: 教师提拉奇亚（３）</v>
      </c>
      <c r="W489" s="148"/>
    </row>
    <row r="490" spans="1:23" ht="12.75" x14ac:dyDescent="0.2">
      <c r="A490" s="148"/>
      <c r="B490" s="371"/>
      <c r="C490" s="371"/>
      <c r="D490" s="371"/>
      <c r="E490" s="371"/>
      <c r="F490" s="371"/>
      <c r="G490" s="371"/>
      <c r="H490" s="371"/>
      <c r="I490" s="371"/>
      <c r="J490" s="371"/>
      <c r="K490" s="371"/>
      <c r="L490" s="371"/>
      <c r="M490" s="371"/>
      <c r="N490" s="371"/>
      <c r="O490" s="371"/>
      <c r="P490" s="371"/>
      <c r="Q490" s="371"/>
      <c r="R490" s="24"/>
      <c r="S490" s="24" t="str">
        <f ca="1">Summon!$I$107</f>
        <v>投掷教科书</v>
      </c>
      <c r="T490" s="371"/>
      <c r="U490" s="371"/>
      <c r="V490" s="371"/>
      <c r="W490" s="148"/>
    </row>
    <row r="491" spans="1:23" ht="12.75" x14ac:dyDescent="0.2">
      <c r="A491" s="148"/>
      <c r="B491" s="544"/>
      <c r="C491" s="544"/>
      <c r="D491" s="544"/>
      <c r="E491" s="544"/>
      <c r="F491" s="544"/>
      <c r="G491" s="544"/>
      <c r="H491" s="544"/>
      <c r="I491" s="544"/>
      <c r="J491" s="544"/>
      <c r="K491" s="544"/>
      <c r="L491" s="544"/>
      <c r="M491" s="544"/>
      <c r="N491" s="544"/>
      <c r="O491" s="544"/>
      <c r="P491" s="544"/>
      <c r="Q491" s="544"/>
      <c r="R491" s="150"/>
      <c r="S491" s="150" t="str">
        <f ca="1">Summon!$I$4</f>
        <v>战斗</v>
      </c>
      <c r="T491" s="544"/>
      <c r="U491" s="544"/>
      <c r="V491" s="544"/>
      <c r="W491" s="148"/>
    </row>
    <row r="492" spans="1:23" ht="12.75" x14ac:dyDescent="0.2">
      <c r="A492" s="148"/>
      <c r="B492" s="410" t="str">
        <f ca="1">语言!$A$2025&amp;" (2)"</f>
        <v>狂热的年轻人 /
狂热的探险家 /
狂热的兼职农夫 (2)</v>
      </c>
      <c r="C492" s="148" t="b">
        <v>0</v>
      </c>
      <c r="D492" s="25" t="str">
        <f ca="1">道具!$C$25</f>
        <v>毒瓶</v>
      </c>
      <c r="E492" s="543" t="b">
        <v>0</v>
      </c>
      <c r="F492" s="409" t="str">
        <f ca="1">语言!$A$23</f>
        <v>无</v>
      </c>
      <c r="G492" s="543" t="b">
        <v>0</v>
      </c>
      <c r="H492" s="545" t="s">
        <v>47</v>
      </c>
      <c r="I492" s="409">
        <v>4</v>
      </c>
      <c r="J492" s="409"/>
      <c r="K492" s="409"/>
      <c r="L492" s="409"/>
      <c r="M492" s="409"/>
      <c r="N492" s="409"/>
      <c r="O492" s="409" t="str">
        <f ca="1">道具!$C$23</f>
        <v>恐怖治疗药草</v>
      </c>
      <c r="P492" s="543"/>
      <c r="Q492" s="545" t="s">
        <v>47</v>
      </c>
      <c r="R492" s="24"/>
      <c r="S492" s="24" t="str">
        <f ca="1">Summon!$I$125</f>
        <v>恢复全体ＨＰ的特大技能</v>
      </c>
      <c r="T492" s="545">
        <v>6</v>
      </c>
      <c r="U492" s="543"/>
      <c r="V492" s="409" t="str">
        <f ca="1">"NPC at this location after quest: "&amp;支线!$C$110&amp;"
("&amp;语言!$A$45&amp;" / "&amp;语言!$A$49&amp;" solution only)"</f>
        <v>NPC at this location after quest: 贵族的藏宝
(探查 / 打听 solution only)</v>
      </c>
      <c r="W492" s="148"/>
    </row>
    <row r="493" spans="1:23" ht="12.75" x14ac:dyDescent="0.2">
      <c r="A493" s="148"/>
      <c r="B493" s="371"/>
      <c r="C493" s="148" t="b">
        <v>0</v>
      </c>
      <c r="D493" s="25" t="str">
        <f ca="1">道具!$C$88</f>
        <v>种子</v>
      </c>
      <c r="E493" s="371"/>
      <c r="F493" s="371"/>
      <c r="G493" s="371"/>
      <c r="H493" s="371"/>
      <c r="I493" s="371"/>
      <c r="J493" s="371"/>
      <c r="K493" s="371"/>
      <c r="L493" s="371"/>
      <c r="M493" s="371"/>
      <c r="N493" s="371"/>
      <c r="O493" s="371"/>
      <c r="P493" s="371"/>
      <c r="Q493" s="371"/>
      <c r="R493" s="24"/>
      <c r="S493" s="24" t="str">
        <f ca="1">Summon!$I$14</f>
        <v>投掷肥料</v>
      </c>
      <c r="T493" s="371"/>
      <c r="U493" s="371"/>
      <c r="V493" s="371"/>
      <c r="W493" s="148"/>
    </row>
    <row r="494" spans="1:23" ht="12.75" x14ac:dyDescent="0.2">
      <c r="A494" s="148"/>
      <c r="B494" s="544"/>
      <c r="C494" s="152" t="b">
        <v>0</v>
      </c>
      <c r="D494" s="151" t="str">
        <f ca="1">道具!$C$533</f>
        <v>含毒的素材（扩散）</v>
      </c>
      <c r="E494" s="544"/>
      <c r="F494" s="544"/>
      <c r="G494" s="544"/>
      <c r="H494" s="544"/>
      <c r="I494" s="544"/>
      <c r="J494" s="544"/>
      <c r="K494" s="544"/>
      <c r="L494" s="544"/>
      <c r="M494" s="544"/>
      <c r="N494" s="544"/>
      <c r="O494" s="544"/>
      <c r="P494" s="544"/>
      <c r="Q494" s="544"/>
      <c r="R494" s="150"/>
      <c r="S494" s="150" t="str">
        <f ca="1">Summon!$I$4</f>
        <v>战斗</v>
      </c>
      <c r="T494" s="544"/>
      <c r="U494" s="544"/>
      <c r="V494" s="544"/>
      <c r="W494" s="148"/>
    </row>
    <row r="495" spans="1:23" ht="12.75" x14ac:dyDescent="0.2">
      <c r="A495" s="148"/>
      <c r="B495" s="410" t="str">
        <f ca="1">语言!$A$2120</f>
        <v>村民</v>
      </c>
      <c r="C495" s="148" t="b">
        <v>0</v>
      </c>
      <c r="D495" s="25" t="str">
        <f ca="1">道具!$C$38</f>
        <v>雷之精灵石（特大）</v>
      </c>
      <c r="E495" s="543" t="b">
        <v>0</v>
      </c>
      <c r="F495" s="409" t="str">
        <f ca="1">语言!$A$33&amp;"
"&amp;道具!$C$118</f>
        <v>隐藏道具的资讯
纪念金币</v>
      </c>
      <c r="G495" s="543" t="b">
        <v>0</v>
      </c>
      <c r="H495" s="545" t="s">
        <v>51</v>
      </c>
      <c r="I495" s="409">
        <v>5</v>
      </c>
      <c r="J495" s="409"/>
      <c r="K495" s="409"/>
      <c r="L495" s="409"/>
      <c r="M495" s="409"/>
      <c r="N495" s="409"/>
      <c r="O495" s="409" t="str">
        <f ca="1">道具!$C$48</f>
        <v>暗之精灵石（特大）</v>
      </c>
      <c r="P495" s="543"/>
      <c r="Q495" s="545" t="s">
        <v>51</v>
      </c>
      <c r="R495" s="24"/>
      <c r="S495" s="24" t="str">
        <f ca="1">Summon!$I$34</f>
        <v>无双突刺</v>
      </c>
      <c r="T495" s="545">
        <v>6</v>
      </c>
      <c r="U495" s="543"/>
      <c r="V495" s="409" t="str">
        <f ca="1">"Nothing until "&amp;语言!$A$35&amp;" chapter 4 completed"</f>
        <v>Nothing until 欧菲莉亚 chapter 4 completed</v>
      </c>
      <c r="W495" s="148"/>
    </row>
    <row r="496" spans="1:23" ht="12.75" x14ac:dyDescent="0.2">
      <c r="A496" s="148"/>
      <c r="B496" s="371"/>
      <c r="C496" s="148" t="b">
        <v>0</v>
      </c>
      <c r="D496" s="25" t="str">
        <f ca="1">道具!$C$42</f>
        <v>风之精灵石（特大）</v>
      </c>
      <c r="E496" s="371"/>
      <c r="F496" s="371"/>
      <c r="G496" s="371"/>
      <c r="H496" s="371"/>
      <c r="I496" s="371"/>
      <c r="J496" s="371"/>
      <c r="K496" s="371"/>
      <c r="L496" s="371"/>
      <c r="M496" s="371"/>
      <c r="N496" s="371"/>
      <c r="O496" s="371"/>
      <c r="P496" s="371"/>
      <c r="Q496" s="371"/>
      <c r="R496" s="24"/>
      <c r="S496" s="24" t="str">
        <f ca="1">Summon!$I$31</f>
        <v>要害突刺</v>
      </c>
      <c r="T496" s="371"/>
      <c r="U496" s="371"/>
      <c r="V496" s="371"/>
      <c r="W496" s="148"/>
    </row>
    <row r="497" spans="1:23" ht="12.75" x14ac:dyDescent="0.2">
      <c r="A497" s="148"/>
      <c r="B497" s="544"/>
      <c r="C497" s="152" t="b">
        <v>0</v>
      </c>
      <c r="D497" s="151" t="str">
        <f ca="1">道具!$C$45</f>
        <v>光之精灵石（特大）</v>
      </c>
      <c r="E497" s="544"/>
      <c r="F497" s="544"/>
      <c r="G497" s="544"/>
      <c r="H497" s="544"/>
      <c r="I497" s="544"/>
      <c r="J497" s="544"/>
      <c r="K497" s="544"/>
      <c r="L497" s="544"/>
      <c r="M497" s="544"/>
      <c r="N497" s="544"/>
      <c r="O497" s="544"/>
      <c r="P497" s="544"/>
      <c r="Q497" s="544"/>
      <c r="R497" s="150"/>
      <c r="S497" s="150" t="str">
        <f ca="1">Summon!$I$4</f>
        <v>战斗</v>
      </c>
      <c r="T497" s="544"/>
      <c r="U497" s="544"/>
      <c r="V497" s="544"/>
      <c r="W497" s="148"/>
    </row>
    <row r="498" spans="1:23" ht="12.75" x14ac:dyDescent="0.2">
      <c r="A498" s="148"/>
      <c r="B498" s="410" t="str">
        <f ca="1">语言!$A$1955&amp;" (2)"</f>
        <v>莉安娜 (2)</v>
      </c>
      <c r="C498" s="543" t="b">
        <v>0</v>
      </c>
      <c r="D498" s="410" t="str">
        <f ca="1">道具!$C$303</f>
        <v>大主教之杖</v>
      </c>
      <c r="E498" s="543" t="b">
        <v>0</v>
      </c>
      <c r="F498" s="409" t="str">
        <f ca="1">语言!$A$23</f>
        <v>无</v>
      </c>
      <c r="G498" s="543" t="b">
        <v>0</v>
      </c>
      <c r="H498" s="545" t="s">
        <v>57</v>
      </c>
      <c r="I498" s="409">
        <v>3</v>
      </c>
      <c r="J498" s="409"/>
      <c r="K498" s="409"/>
      <c r="L498" s="409"/>
      <c r="M498" s="409"/>
      <c r="N498" s="409"/>
      <c r="O498" s="409" t="str">
        <f ca="1">道具!$C$10</f>
        <v>ＢＰ恢复的石榴（大）</v>
      </c>
      <c r="P498" s="543"/>
      <c r="Q498" s="545" t="s">
        <v>57</v>
      </c>
      <c r="R498" s="24"/>
      <c r="S498" s="24" t="str">
        <f ca="1">Summon!$I$121</f>
        <v>ＨＰ疗愈</v>
      </c>
      <c r="T498" s="545">
        <v>8</v>
      </c>
      <c r="U498" s="543"/>
      <c r="V498" s="409" t="str">
        <f ca="1">"NPC at this location upon starting quest: "&amp;支线!$C$11</f>
        <v>NPC at this location upon starting quest: 莉安娜和爱丽莎，在那之后</v>
      </c>
      <c r="W498" s="148"/>
    </row>
    <row r="499" spans="1:23" ht="12.75" x14ac:dyDescent="0.2">
      <c r="A499" s="148"/>
      <c r="B499" s="371"/>
      <c r="C499" s="371"/>
      <c r="D499" s="371"/>
      <c r="E499" s="371"/>
      <c r="F499" s="371"/>
      <c r="G499" s="371"/>
      <c r="H499" s="371"/>
      <c r="I499" s="371"/>
      <c r="J499" s="371"/>
      <c r="K499" s="371"/>
      <c r="L499" s="371"/>
      <c r="M499" s="371"/>
      <c r="N499" s="371"/>
      <c r="O499" s="371"/>
      <c r="P499" s="371"/>
      <c r="Q499" s="371"/>
      <c r="R499" s="24"/>
      <c r="S499" s="24" t="str">
        <f ca="1">Summon!$I$72</f>
        <v>殴打</v>
      </c>
      <c r="T499" s="371"/>
      <c r="U499" s="371"/>
      <c r="V499" s="371"/>
      <c r="W499" s="148"/>
    </row>
    <row r="500" spans="1:23" ht="12.75" x14ac:dyDescent="0.2">
      <c r="A500" s="148"/>
      <c r="B500" s="544"/>
      <c r="C500" s="544"/>
      <c r="D500" s="544"/>
      <c r="E500" s="544"/>
      <c r="F500" s="544"/>
      <c r="G500" s="544"/>
      <c r="H500" s="544"/>
      <c r="I500" s="544"/>
      <c r="J500" s="544"/>
      <c r="K500" s="544"/>
      <c r="L500" s="544"/>
      <c r="M500" s="544"/>
      <c r="N500" s="544"/>
      <c r="O500" s="544"/>
      <c r="P500" s="544"/>
      <c r="Q500" s="544"/>
      <c r="R500" s="150"/>
      <c r="S500" s="150" t="str">
        <f ca="1">Summon!$I$4</f>
        <v>战斗</v>
      </c>
      <c r="T500" s="544"/>
      <c r="U500" s="544"/>
      <c r="V500" s="544"/>
      <c r="W500" s="148"/>
    </row>
    <row r="501" spans="1:23" ht="12.75" x14ac:dyDescent="0.2">
      <c r="A501" s="148"/>
      <c r="B501" s="410" t="str">
        <f ca="1">语言!$A$1855&amp;" (2)"</f>
        <v>圣火骑士爱丽莎 (2)</v>
      </c>
      <c r="C501" s="148" t="b">
        <v>0</v>
      </c>
      <c r="D501" s="25" t="str">
        <f ca="1">道具!$C$7</f>
        <v>ＳＰ恢复的李子（大）</v>
      </c>
      <c r="E501" s="543" t="b">
        <v>0</v>
      </c>
      <c r="F501" s="409" t="str">
        <f ca="1">语言!$A$23</f>
        <v>无</v>
      </c>
      <c r="G501" s="543" t="b">
        <v>0</v>
      </c>
      <c r="H501" s="545" t="s">
        <v>51</v>
      </c>
      <c r="I501" s="409">
        <v>5</v>
      </c>
      <c r="J501" s="409"/>
      <c r="K501" s="409"/>
      <c r="L501" s="409"/>
      <c r="M501" s="409"/>
      <c r="N501" s="409"/>
      <c r="O501" s="409" t="str">
        <f ca="1">道具!$C$16</f>
        <v>复活的橄榄（大）</v>
      </c>
      <c r="P501" s="543"/>
      <c r="Q501" s="545" t="s">
        <v>51</v>
      </c>
      <c r="R501" s="24"/>
      <c r="S501" s="24" t="str">
        <f ca="1">Summon!$I$178</f>
        <v>激励</v>
      </c>
      <c r="T501" s="545">
        <v>6</v>
      </c>
      <c r="U501" s="543"/>
      <c r="V501" s="409" t="str">
        <f ca="1">"NPC at this location upon starting quest: "&amp;支线!$C$11</f>
        <v>NPC at this location upon starting quest: 莉安娜和爱丽莎，在那之后</v>
      </c>
      <c r="W501" s="148"/>
    </row>
    <row r="502" spans="1:23" ht="12.75" x14ac:dyDescent="0.2">
      <c r="A502" s="148"/>
      <c r="B502" s="371"/>
      <c r="C502" s="148" t="b">
        <v>0</v>
      </c>
      <c r="D502" s="25" t="str">
        <f ca="1">道具!$C$32</f>
        <v>火之精灵石（特大）</v>
      </c>
      <c r="E502" s="371"/>
      <c r="F502" s="371"/>
      <c r="G502" s="371"/>
      <c r="H502" s="371"/>
      <c r="I502" s="371"/>
      <c r="J502" s="371"/>
      <c r="K502" s="371"/>
      <c r="L502" s="371"/>
      <c r="M502" s="371"/>
      <c r="N502" s="371"/>
      <c r="O502" s="371"/>
      <c r="P502" s="371"/>
      <c r="Q502" s="371"/>
      <c r="R502" s="24"/>
      <c r="S502" s="24" t="str">
        <f ca="1">Summon!$I$25</f>
        <v>斩首</v>
      </c>
      <c r="T502" s="371"/>
      <c r="U502" s="371"/>
      <c r="V502" s="371"/>
      <c r="W502" s="148"/>
    </row>
    <row r="503" spans="1:23" ht="12.75" x14ac:dyDescent="0.2">
      <c r="A503" s="148"/>
      <c r="B503" s="544"/>
      <c r="C503" s="152"/>
      <c r="D503" s="151"/>
      <c r="E503" s="544"/>
      <c r="F503" s="544"/>
      <c r="G503" s="544"/>
      <c r="H503" s="544"/>
      <c r="I503" s="544"/>
      <c r="J503" s="544"/>
      <c r="K503" s="544"/>
      <c r="L503" s="544"/>
      <c r="M503" s="544"/>
      <c r="N503" s="544"/>
      <c r="O503" s="544"/>
      <c r="P503" s="544"/>
      <c r="Q503" s="544"/>
      <c r="R503" s="150"/>
      <c r="S503" s="150" t="str">
        <f ca="1">Summon!$I$4</f>
        <v>战斗</v>
      </c>
      <c r="T503" s="544"/>
      <c r="U503" s="544"/>
      <c r="V503" s="544"/>
      <c r="W503" s="148"/>
    </row>
    <row r="504" spans="1:23" ht="12.75" x14ac:dyDescent="0.2">
      <c r="A504" s="148"/>
      <c r="B504" s="410" t="str">
        <f ca="1">语言!$A$2015</f>
        <v>老人 /
夜之瞳</v>
      </c>
      <c r="C504" s="543" t="b">
        <v>0</v>
      </c>
      <c r="D504" s="410" t="str">
        <f ca="1">道具!$C$7</f>
        <v>ＳＰ恢复的李子（大）</v>
      </c>
      <c r="E504" s="543" t="b">
        <v>0</v>
      </c>
      <c r="F504" s="409" t="str">
        <f ca="1">语言!$A$23</f>
        <v>无</v>
      </c>
      <c r="G504" s="543" t="b">
        <v>0</v>
      </c>
      <c r="H504" s="545" t="s">
        <v>51</v>
      </c>
      <c r="I504" s="409">
        <v>5</v>
      </c>
      <c r="J504" s="409"/>
      <c r="K504" s="409"/>
      <c r="L504" s="409"/>
      <c r="M504" s="409"/>
      <c r="N504" s="409"/>
      <c r="O504" s="409" t="str">
        <f ca="1">道具!$C$536</f>
        <v>超含毒的素材（扩散）</v>
      </c>
      <c r="P504" s="543"/>
      <c r="Q504" s="545" t="s">
        <v>51</v>
      </c>
      <c r="R504" s="24"/>
      <c r="S504" s="24" t="str">
        <f ca="1">Summon!$I$179</f>
        <v>速度提升</v>
      </c>
      <c r="T504" s="545">
        <v>6</v>
      </c>
      <c r="U504" s="543"/>
      <c r="V504" s="409" t="str">
        <f ca="1">"NPC available upon starting quest: "&amp;支线!$C$119</f>
        <v>NPC available upon starting quest: 希斯柯特，在那之后</v>
      </c>
      <c r="W504" s="148"/>
    </row>
    <row r="505" spans="1:23" ht="12.75" x14ac:dyDescent="0.2">
      <c r="A505" s="148"/>
      <c r="B505" s="371"/>
      <c r="C505" s="371"/>
      <c r="D505" s="371"/>
      <c r="E505" s="371"/>
      <c r="F505" s="371"/>
      <c r="G505" s="371"/>
      <c r="H505" s="371"/>
      <c r="I505" s="371"/>
      <c r="J505" s="371"/>
      <c r="K505" s="371"/>
      <c r="L505" s="371"/>
      <c r="M505" s="371"/>
      <c r="N505" s="371"/>
      <c r="O505" s="371"/>
      <c r="P505" s="371"/>
      <c r="Q505" s="371"/>
      <c r="R505" s="24"/>
      <c r="S505" s="24" t="str">
        <f ca="1">Summon!$I$46</f>
        <v>睡眠猛击</v>
      </c>
      <c r="T505" s="371"/>
      <c r="U505" s="371"/>
      <c r="V505" s="371"/>
      <c r="W505" s="148"/>
    </row>
    <row r="506" spans="1:23" ht="12.75" x14ac:dyDescent="0.2">
      <c r="A506" s="148"/>
      <c r="B506" s="371"/>
      <c r="C506" s="543" t="b">
        <v>0</v>
      </c>
      <c r="D506" s="410" t="str">
        <f ca="1">道具!$C$537</f>
        <v>毒利米树之叶</v>
      </c>
      <c r="E506" s="371"/>
      <c r="F506" s="371"/>
      <c r="G506" s="371"/>
      <c r="H506" s="371"/>
      <c r="I506" s="371"/>
      <c r="J506" s="371"/>
      <c r="K506" s="371"/>
      <c r="L506" s="371"/>
      <c r="M506" s="371"/>
      <c r="N506" s="371"/>
      <c r="O506" s="371"/>
      <c r="P506" s="371"/>
      <c r="Q506" s="371"/>
      <c r="R506" s="24"/>
      <c r="S506" s="24" t="str">
        <f ca="1">Summon!$I$48</f>
        <v>连掷短剑</v>
      </c>
      <c r="T506" s="371"/>
      <c r="U506" s="371"/>
      <c r="V506" s="371"/>
      <c r="W506" s="148"/>
    </row>
    <row r="507" spans="1:23" ht="12.75" x14ac:dyDescent="0.2">
      <c r="A507" s="148"/>
      <c r="B507" s="544"/>
      <c r="C507" s="544"/>
      <c r="D507" s="544"/>
      <c r="E507" s="544"/>
      <c r="F507" s="544"/>
      <c r="G507" s="544"/>
      <c r="H507" s="544"/>
      <c r="I507" s="544"/>
      <c r="J507" s="544"/>
      <c r="K507" s="544"/>
      <c r="L507" s="544"/>
      <c r="M507" s="544"/>
      <c r="N507" s="544"/>
      <c r="O507" s="544"/>
      <c r="P507" s="544"/>
      <c r="Q507" s="544"/>
      <c r="R507" s="150"/>
      <c r="S507" s="150" t="str">
        <f ca="1">Summon!$I$4</f>
        <v>战斗</v>
      </c>
      <c r="T507" s="544"/>
      <c r="U507" s="544"/>
      <c r="V507" s="544"/>
      <c r="W507" s="148"/>
    </row>
    <row r="508" spans="1:23" ht="12.75" x14ac:dyDescent="0.2">
      <c r="A508" s="148"/>
      <c r="B508" s="410" t="str">
        <f ca="1">语言!$A$2067&amp;" (1)"</f>
        <v>婀娜的农民 (1)</v>
      </c>
      <c r="C508" s="148" t="b">
        <v>0</v>
      </c>
      <c r="D508" s="25" t="str">
        <f ca="1">道具!$C$12</f>
        <v>ＨＰ／ＳＰ恢复的果酱</v>
      </c>
      <c r="E508" s="543" t="b">
        <v>0</v>
      </c>
      <c r="F508" s="409" t="str">
        <f ca="1">语言!$A$23</f>
        <v>无</v>
      </c>
      <c r="G508" s="543" t="b">
        <v>0</v>
      </c>
      <c r="H508" s="545" t="s">
        <v>48</v>
      </c>
      <c r="I508" s="409">
        <v>2</v>
      </c>
      <c r="J508" s="409"/>
      <c r="K508" s="409"/>
      <c r="L508" s="409"/>
      <c r="M508" s="409"/>
      <c r="N508" s="409"/>
      <c r="O508" s="409" t="str">
        <f ca="1">道具!$C$36</f>
        <v>雷之精灵石</v>
      </c>
      <c r="P508" s="543"/>
      <c r="Q508" s="545" t="s">
        <v>48</v>
      </c>
      <c r="R508" s="24"/>
      <c r="S508" s="155" t="str">
        <f ca="1">Summon!$I$31</f>
        <v>要害突刺</v>
      </c>
      <c r="T508" s="545">
        <v>9</v>
      </c>
      <c r="U508" s="543"/>
      <c r="V508" s="409" t="str">
        <f ca="1">"NPC available after "&amp;语言!$A$35&amp;" chapter 4 or after quest: "&amp;支线!$C$38&amp;"
Moves to "&amp;语言!$A$346&amp;" after quest: "&amp;支线!$C$38&amp;"
("&amp;语言!$A$44&amp;" / "&amp;语言!$A$48&amp;" solution only)"</f>
        <v>NPC available after 欧菲莉亚 chapter 4 or after quest: 村里的风车
Moves to 阿特拉斯达姆 after quest: 村里的风车
(引导 / 诱惑 solution only)</v>
      </c>
      <c r="W508" s="148"/>
    </row>
    <row r="509" spans="1:23" ht="12.75" x14ac:dyDescent="0.2">
      <c r="A509" s="148"/>
      <c r="B509" s="371"/>
      <c r="C509" s="148" t="b">
        <v>0</v>
      </c>
      <c r="D509" s="25" t="str">
        <f ca="1">道具!$C$81</f>
        <v>增强速度的坚果（特大）</v>
      </c>
      <c r="E509" s="371"/>
      <c r="F509" s="371"/>
      <c r="G509" s="371"/>
      <c r="H509" s="371"/>
      <c r="I509" s="371"/>
      <c r="J509" s="371"/>
      <c r="K509" s="371"/>
      <c r="L509" s="371"/>
      <c r="M509" s="371"/>
      <c r="N509" s="371"/>
      <c r="O509" s="371"/>
      <c r="P509" s="371"/>
      <c r="Q509" s="371"/>
      <c r="R509" s="24"/>
      <c r="S509" s="155" t="str">
        <f ca="1">Summon!$I$30</f>
        <v>突刺</v>
      </c>
      <c r="T509" s="371"/>
      <c r="U509" s="371"/>
      <c r="V509" s="371"/>
      <c r="W509" s="148"/>
    </row>
    <row r="510" spans="1:23" ht="12.75" x14ac:dyDescent="0.2">
      <c r="A510" s="148"/>
      <c r="B510" s="544"/>
      <c r="C510" s="152" t="b">
        <v>0</v>
      </c>
      <c r="D510" s="151" t="str">
        <f ca="1">道具!$C$32</f>
        <v>火之精灵石（特大）</v>
      </c>
      <c r="E510" s="544"/>
      <c r="F510" s="544"/>
      <c r="G510" s="544"/>
      <c r="H510" s="544"/>
      <c r="I510" s="544"/>
      <c r="J510" s="544"/>
      <c r="K510" s="544"/>
      <c r="L510" s="544"/>
      <c r="M510" s="544"/>
      <c r="N510" s="544"/>
      <c r="O510" s="544"/>
      <c r="P510" s="544"/>
      <c r="Q510" s="544"/>
      <c r="R510" s="150"/>
      <c r="S510" s="156" t="str">
        <f ca="1">Summon!$I$4</f>
        <v>战斗</v>
      </c>
      <c r="T510" s="544"/>
      <c r="U510" s="544"/>
      <c r="V510" s="544"/>
      <c r="W510" s="148"/>
    </row>
    <row r="511" spans="1:23" ht="12.75" x14ac:dyDescent="0.2">
      <c r="A511" s="148"/>
      <c r="B511" s="410" t="str">
        <f ca="1">语言!$A$2120</f>
        <v>村民</v>
      </c>
      <c r="C511" s="148" t="b">
        <v>0</v>
      </c>
      <c r="D511" s="25" t="str">
        <f ca="1">道具!$C$5</f>
        <v>ＨＰ全体恢复的葡萄</v>
      </c>
      <c r="E511" s="543" t="b">
        <v>0</v>
      </c>
      <c r="F511" s="409" t="str">
        <f ca="1">语言!$A$24</f>
        <v>旅店的折扣资讯</v>
      </c>
      <c r="G511" s="543" t="b">
        <v>0</v>
      </c>
      <c r="H511" s="545" t="s">
        <v>49</v>
      </c>
      <c r="I511" s="409">
        <v>4</v>
      </c>
      <c r="J511" s="409"/>
      <c r="K511" s="409"/>
      <c r="L511" s="409"/>
      <c r="M511" s="409"/>
      <c r="N511" s="409"/>
      <c r="O511" s="409" t="str">
        <f ca="1">道具!$C$7</f>
        <v>ＳＰ恢复的李子（大）</v>
      </c>
      <c r="P511" s="543"/>
      <c r="Q511" s="545" t="s">
        <v>49</v>
      </c>
      <c r="R511" s="24"/>
      <c r="S511" s="24" t="str">
        <f ca="1">Summon!$I$126</f>
        <v>疗愈的摇篮</v>
      </c>
      <c r="T511" s="545">
        <v>7</v>
      </c>
      <c r="U511" s="543"/>
      <c r="V511" s="409" t="str">
        <f ca="1">"Nothing until "&amp;语言!$A$35&amp;" chapter 4 completed"</f>
        <v>Nothing until 欧菲莉亚 chapter 4 completed</v>
      </c>
      <c r="W511" s="148"/>
    </row>
    <row r="512" spans="1:23" ht="12.75" x14ac:dyDescent="0.2">
      <c r="A512" s="148"/>
      <c r="B512" s="371"/>
      <c r="C512" s="148" t="b">
        <v>0</v>
      </c>
      <c r="D512" s="25" t="str">
        <f ca="1">道具!$C$7</f>
        <v>ＳＰ恢复的李子（大）</v>
      </c>
      <c r="E512" s="371"/>
      <c r="F512" s="371"/>
      <c r="G512" s="371"/>
      <c r="H512" s="371"/>
      <c r="I512" s="371"/>
      <c r="J512" s="371"/>
      <c r="K512" s="371"/>
      <c r="L512" s="371"/>
      <c r="M512" s="371"/>
      <c r="N512" s="371"/>
      <c r="O512" s="371"/>
      <c r="P512" s="371"/>
      <c r="Q512" s="371"/>
      <c r="R512" s="24"/>
      <c r="S512" s="24" t="str">
        <f ca="1">Summon!$I$130</f>
        <v>技能的气息</v>
      </c>
      <c r="T512" s="371"/>
      <c r="U512" s="371"/>
      <c r="V512" s="371"/>
      <c r="W512" s="148"/>
    </row>
    <row r="513" spans="1:23" ht="12.75" x14ac:dyDescent="0.2">
      <c r="A513" s="148"/>
      <c r="B513" s="544"/>
      <c r="C513" s="152" t="b">
        <v>0</v>
      </c>
      <c r="D513" s="151" t="str">
        <f ca="1">道具!$C$7</f>
        <v>ＳＰ恢复的李子（大）</v>
      </c>
      <c r="E513" s="544"/>
      <c r="F513" s="544"/>
      <c r="G513" s="544"/>
      <c r="H513" s="544"/>
      <c r="I513" s="544"/>
      <c r="J513" s="544"/>
      <c r="K513" s="544"/>
      <c r="L513" s="544"/>
      <c r="M513" s="544"/>
      <c r="N513" s="544"/>
      <c r="O513" s="544"/>
      <c r="P513" s="544"/>
      <c r="Q513" s="544"/>
      <c r="R513" s="150"/>
      <c r="S513" s="150" t="str">
        <f ca="1">Summon!$I$4</f>
        <v>战斗</v>
      </c>
      <c r="T513" s="544"/>
      <c r="U513" s="544"/>
      <c r="V513" s="544"/>
      <c r="W513" s="148"/>
    </row>
    <row r="514" spans="1:23" ht="12.75" x14ac:dyDescent="0.2">
      <c r="A514" s="148"/>
      <c r="B514" s="410" t="str">
        <f ca="1">语言!$A$1854</f>
        <v>老婆婆</v>
      </c>
      <c r="C514" s="148" t="b">
        <v>0</v>
      </c>
      <c r="D514" s="25" t="str">
        <f ca="1">道具!$C$317</f>
        <v>巨锤</v>
      </c>
      <c r="E514" s="543" t="b">
        <v>0</v>
      </c>
      <c r="F514" s="409" t="str">
        <f ca="1">语言!$A$29</f>
        <v>「引导」必须等级降低资讯</v>
      </c>
      <c r="G514" s="543" t="b">
        <v>0</v>
      </c>
      <c r="H514" s="545" t="s">
        <v>44</v>
      </c>
      <c r="I514" s="409">
        <v>6</v>
      </c>
      <c r="J514" s="409"/>
      <c r="K514" s="409"/>
      <c r="L514" s="409"/>
      <c r="M514" s="409"/>
      <c r="N514" s="409"/>
      <c r="O514" s="409" t="str">
        <f ca="1">道具!$C$403</f>
        <v>大圣火长袍</v>
      </c>
      <c r="P514" s="543"/>
      <c r="Q514" s="545" t="s">
        <v>44</v>
      </c>
      <c r="R514" s="24"/>
      <c r="S514" s="24" t="str">
        <f ca="1">Summon!$I$176</f>
        <v>精神提升</v>
      </c>
      <c r="T514" s="545">
        <v>5</v>
      </c>
      <c r="U514" s="543"/>
      <c r="V514" s="409" t="str">
        <f ca="1">"Nothing until "&amp;语言!$A$35&amp;" chapter 4 completed"</f>
        <v>Nothing until 欧菲莉亚 chapter 4 completed</v>
      </c>
      <c r="W514" s="148"/>
    </row>
    <row r="515" spans="1:23" ht="12.75" x14ac:dyDescent="0.2">
      <c r="A515" s="148"/>
      <c r="B515" s="371"/>
      <c r="C515" s="148" t="b">
        <v>0</v>
      </c>
      <c r="D515" s="25" t="str">
        <f ca="1">道具!$C$474</f>
        <v>精神项链</v>
      </c>
      <c r="E515" s="371"/>
      <c r="F515" s="371"/>
      <c r="G515" s="371"/>
      <c r="H515" s="371"/>
      <c r="I515" s="371"/>
      <c r="J515" s="371"/>
      <c r="K515" s="371"/>
      <c r="L515" s="371"/>
      <c r="M515" s="371"/>
      <c r="N515" s="371"/>
      <c r="O515" s="371"/>
      <c r="P515" s="371"/>
      <c r="Q515" s="371"/>
      <c r="R515" s="24"/>
      <c r="S515" s="24" t="str">
        <f ca="1">Summon!$I$99</f>
        <v>特大光明魔法</v>
      </c>
      <c r="T515" s="371"/>
      <c r="U515" s="371"/>
      <c r="V515" s="371"/>
      <c r="W515" s="148"/>
    </row>
    <row r="516" spans="1:23" ht="12.75" x14ac:dyDescent="0.2">
      <c r="A516" s="148"/>
      <c r="B516" s="371"/>
      <c r="C516" s="148"/>
      <c r="D516" s="25"/>
      <c r="E516" s="371"/>
      <c r="F516" s="371"/>
      <c r="G516" s="371"/>
      <c r="H516" s="371"/>
      <c r="I516" s="371"/>
      <c r="J516" s="371"/>
      <c r="K516" s="371"/>
      <c r="L516" s="371"/>
      <c r="M516" s="371"/>
      <c r="N516" s="371"/>
      <c r="O516" s="371"/>
      <c r="P516" s="371"/>
      <c r="Q516" s="371"/>
      <c r="R516" s="150"/>
      <c r="S516" s="24" t="str">
        <f ca="1">Summon!$I$4</f>
        <v>战斗</v>
      </c>
      <c r="T516" s="371"/>
      <c r="U516" s="371"/>
      <c r="V516" s="371"/>
      <c r="W516" s="148"/>
    </row>
    <row r="517" spans="1:23" ht="12.75" x14ac:dyDescent="0.2">
      <c r="A517" s="148"/>
      <c r="B517" s="547" t="str">
        <f ca="1">语言!$A$361</f>
        <v>西维斯帕米尔平原</v>
      </c>
      <c r="C517" s="371"/>
      <c r="D517" s="371"/>
      <c r="E517" s="371"/>
      <c r="F517" s="371"/>
      <c r="G517" s="371"/>
      <c r="H517" s="371"/>
      <c r="I517" s="371"/>
      <c r="J517" s="371"/>
      <c r="K517" s="371"/>
      <c r="L517" s="371"/>
      <c r="M517" s="371"/>
      <c r="N517" s="371"/>
      <c r="O517" s="371"/>
      <c r="P517" s="371"/>
      <c r="Q517" s="371"/>
      <c r="R517" s="371"/>
      <c r="S517" s="371"/>
      <c r="T517" s="371"/>
      <c r="U517" s="371"/>
      <c r="V517" s="371"/>
      <c r="W517" s="148"/>
    </row>
    <row r="518" spans="1:23" ht="12.75" x14ac:dyDescent="0.2">
      <c r="A518" s="148"/>
      <c r="B518" s="410" t="str">
        <f ca="1">语言!$A$1825</f>
        <v>悠闲的牧羊人</v>
      </c>
      <c r="C518" s="148" t="b">
        <v>0</v>
      </c>
      <c r="D518" s="25" t="str">
        <f ca="1">道具!$C$7</f>
        <v>ＳＰ恢复的李子（大）</v>
      </c>
      <c r="E518" s="543" t="b">
        <v>0</v>
      </c>
      <c r="F518" s="409" t="str">
        <f ca="1">语言!$A$33&amp;"
"&amp;道具!$C$12&amp;" ("&amp;语言!$A$360&amp;")"</f>
        <v>隐藏道具的资讯
ＨＰ／ＳＰ恢复的果酱 (维斯帕米尔)</v>
      </c>
      <c r="G518" s="543" t="b">
        <v>0</v>
      </c>
      <c r="H518" s="545" t="s">
        <v>48</v>
      </c>
      <c r="I518" s="409">
        <v>2</v>
      </c>
      <c r="J518" s="409"/>
      <c r="K518" s="409"/>
      <c r="L518" s="409"/>
      <c r="M518" s="409"/>
      <c r="N518" s="409"/>
      <c r="O518" s="409" t="str">
        <f ca="1">道具!$C$42</f>
        <v>风之精灵石（特大）</v>
      </c>
      <c r="P518" s="543"/>
      <c r="Q518" s="545" t="s">
        <v>48</v>
      </c>
      <c r="R518" s="24"/>
      <c r="S518" s="24" t="str">
        <f ca="1">Summon!$I$30</f>
        <v>突刺</v>
      </c>
      <c r="T518" s="545">
        <v>9</v>
      </c>
      <c r="U518" s="543"/>
      <c r="V518" s="409" t="str">
        <f ca="1">"NPC available after "&amp;语言!$A$35&amp;" chapter 4"</f>
        <v>NPC available after 欧菲莉亚 chapter 4</v>
      </c>
      <c r="W518" s="148"/>
    </row>
    <row r="519" spans="1:23" ht="12.75" x14ac:dyDescent="0.2">
      <c r="A519" s="148"/>
      <c r="B519" s="544"/>
      <c r="C519" s="152" t="b">
        <v>0</v>
      </c>
      <c r="D519" s="151" t="str">
        <f ca="1">道具!$C$42</f>
        <v>风之精灵石（特大）</v>
      </c>
      <c r="E519" s="544"/>
      <c r="F519" s="544"/>
      <c r="G519" s="544"/>
      <c r="H519" s="544"/>
      <c r="I519" s="544"/>
      <c r="J519" s="544"/>
      <c r="K519" s="544"/>
      <c r="L519" s="544"/>
      <c r="M519" s="544"/>
      <c r="N519" s="544"/>
      <c r="O519" s="544"/>
      <c r="P519" s="544"/>
      <c r="Q519" s="544"/>
      <c r="R519" s="150"/>
      <c r="S519" s="150" t="str">
        <f ca="1">Summon!$I$4</f>
        <v>战斗</v>
      </c>
      <c r="T519" s="544"/>
      <c r="U519" s="544"/>
      <c r="V519" s="544"/>
      <c r="W519" s="148"/>
    </row>
    <row r="520" spans="1:23" ht="12.75" x14ac:dyDescent="0.2">
      <c r="A520" s="148"/>
      <c r="B520" s="410" t="str">
        <f ca="1">语言!$A$2109</f>
        <v>发抖的行商人</v>
      </c>
      <c r="C520" s="148" t="b">
        <v>0</v>
      </c>
      <c r="D520" s="25" t="str">
        <f ca="1">道具!$C$7</f>
        <v>ＳＰ恢复的李子（大）</v>
      </c>
      <c r="E520" s="543" t="b">
        <v>0</v>
      </c>
      <c r="F520" s="409" t="str">
        <f ca="1">道具!$I$58</f>
        <v>大狼出现的地方</v>
      </c>
      <c r="G520" s="543" t="b">
        <v>0</v>
      </c>
      <c r="H520" s="545" t="s">
        <v>47</v>
      </c>
      <c r="I520" s="409">
        <v>4</v>
      </c>
      <c r="J520" s="409"/>
      <c r="K520" s="409"/>
      <c r="L520" s="409"/>
      <c r="M520" s="409"/>
      <c r="N520" s="409"/>
      <c r="O520" s="409" t="str">
        <f ca="1">道具!$C$38</f>
        <v>雷之精灵石（特大）</v>
      </c>
      <c r="P520" s="543"/>
      <c r="Q520" s="546" t="s">
        <v>119</v>
      </c>
      <c r="R520" s="546" t="s">
        <v>119</v>
      </c>
      <c r="S520" s="546" t="s">
        <v>119</v>
      </c>
      <c r="T520" s="546" t="s">
        <v>119</v>
      </c>
      <c r="U520" s="543"/>
      <c r="V520" s="409" t="str">
        <f ca="1">"NPC available after "&amp;语言!$A$35&amp;" chapter 4"</f>
        <v>NPC available after 欧菲莉亚 chapter 4</v>
      </c>
      <c r="W520" s="148"/>
    </row>
    <row r="521" spans="1:23" ht="12.75" x14ac:dyDescent="0.2">
      <c r="A521" s="148"/>
      <c r="B521" s="371"/>
      <c r="C521" s="148" t="b">
        <v>0</v>
      </c>
      <c r="D521" s="25" t="str">
        <f ca="1">道具!$C$538</f>
        <v>睡眠花之叶</v>
      </c>
      <c r="E521" s="371"/>
      <c r="F521" s="371"/>
      <c r="G521" s="371"/>
      <c r="H521" s="371"/>
      <c r="I521" s="371"/>
      <c r="J521" s="371"/>
      <c r="K521" s="371"/>
      <c r="L521" s="371"/>
      <c r="M521" s="371"/>
      <c r="N521" s="371"/>
      <c r="O521" s="371"/>
      <c r="P521" s="371"/>
      <c r="Q521" s="371"/>
      <c r="R521" s="371"/>
      <c r="S521" s="371"/>
      <c r="T521" s="371"/>
      <c r="U521" s="371"/>
      <c r="V521" s="371"/>
      <c r="W521" s="148"/>
    </row>
    <row r="522" spans="1:23" ht="12.75" x14ac:dyDescent="0.2">
      <c r="A522" s="148"/>
      <c r="B522" s="371"/>
      <c r="C522" s="148" t="b">
        <v>0</v>
      </c>
      <c r="D522" s="25" t="str">
        <f ca="1">道具!$C$539</f>
        <v>混乱多之叶</v>
      </c>
      <c r="E522" s="371"/>
      <c r="F522" s="371"/>
      <c r="G522" s="371"/>
      <c r="H522" s="371"/>
      <c r="I522" s="371"/>
      <c r="J522" s="371"/>
      <c r="K522" s="371"/>
      <c r="L522" s="371"/>
      <c r="M522" s="371"/>
      <c r="N522" s="371"/>
      <c r="O522" s="371"/>
      <c r="P522" s="371"/>
      <c r="Q522" s="371"/>
      <c r="R522" s="371"/>
      <c r="S522" s="371"/>
      <c r="T522" s="371"/>
      <c r="U522" s="371"/>
      <c r="V522" s="371"/>
      <c r="W522" s="148"/>
    </row>
    <row r="523" spans="1:23" ht="12.75" x14ac:dyDescent="0.2">
      <c r="A523" s="148"/>
      <c r="B523" s="371"/>
      <c r="C523" s="148" t="b">
        <v>0</v>
      </c>
      <c r="D523" s="25" t="str">
        <f ca="1">道具!$C$473</f>
        <v>体力项链</v>
      </c>
      <c r="E523" s="371"/>
      <c r="F523" s="371"/>
      <c r="G523" s="371"/>
      <c r="H523" s="371"/>
      <c r="I523" s="371"/>
      <c r="J523" s="371"/>
      <c r="K523" s="371"/>
      <c r="L523" s="371"/>
      <c r="M523" s="371"/>
      <c r="N523" s="371"/>
      <c r="O523" s="371"/>
      <c r="P523" s="371"/>
      <c r="Q523" s="371"/>
      <c r="R523" s="371"/>
      <c r="S523" s="371"/>
      <c r="T523" s="371"/>
      <c r="U523" s="371"/>
      <c r="V523" s="371"/>
      <c r="W523" s="148"/>
    </row>
    <row r="524" spans="1:23" ht="12.75" x14ac:dyDescent="0.2">
      <c r="A524" s="148"/>
      <c r="B524" s="547" t="str">
        <f ca="1">语言!$A$362</f>
        <v>净化之森</v>
      </c>
      <c r="C524" s="371"/>
      <c r="D524" s="371"/>
      <c r="E524" s="371"/>
      <c r="F524" s="371"/>
      <c r="G524" s="371"/>
      <c r="H524" s="371"/>
      <c r="I524" s="371"/>
      <c r="J524" s="371"/>
      <c r="K524" s="371"/>
      <c r="L524" s="371"/>
      <c r="M524" s="371"/>
      <c r="N524" s="371"/>
      <c r="O524" s="371"/>
      <c r="P524" s="371"/>
      <c r="Q524" s="371"/>
      <c r="R524" s="371"/>
      <c r="S524" s="371"/>
      <c r="T524" s="371"/>
      <c r="U524" s="371"/>
      <c r="V524" s="371"/>
      <c r="W524" s="148"/>
    </row>
    <row r="525" spans="1:23" ht="12.75" x14ac:dyDescent="0.2">
      <c r="A525" s="148"/>
      <c r="B525" s="410" t="str">
        <f ca="1">语言!$A$2044</f>
        <v>残党领袖</v>
      </c>
      <c r="C525" s="543"/>
      <c r="D525" s="553" t="s">
        <v>119</v>
      </c>
      <c r="E525" s="543" t="b">
        <v>0</v>
      </c>
      <c r="F525" s="409" t="str">
        <f ca="1">语言!$A$23</f>
        <v>无</v>
      </c>
      <c r="G525" s="543" t="b">
        <v>0</v>
      </c>
      <c r="H525" s="545" t="s">
        <v>51</v>
      </c>
      <c r="I525" s="409">
        <v>5</v>
      </c>
      <c r="J525" s="409"/>
      <c r="K525" s="409"/>
      <c r="L525" s="409"/>
      <c r="M525" s="409"/>
      <c r="N525" s="409"/>
      <c r="O525" s="409" t="str">
        <f ca="1">道具!$C$37</f>
        <v>雷之精灵石（大）</v>
      </c>
      <c r="P525" s="543"/>
      <c r="Q525" s="546" t="s">
        <v>119</v>
      </c>
      <c r="R525" s="546" t="s">
        <v>119</v>
      </c>
      <c r="S525" s="546" t="s">
        <v>119</v>
      </c>
      <c r="T525" s="546" t="s">
        <v>119</v>
      </c>
      <c r="U525" s="543"/>
      <c r="V525" s="409" t="str">
        <f ca="1">"NPC available during quest: "&amp;支线!$C$11</f>
        <v>NPC available during quest: 莉安娜和爱丽莎，在那之后</v>
      </c>
      <c r="W525" s="148"/>
    </row>
    <row r="526" spans="1:23" ht="12.75" x14ac:dyDescent="0.2">
      <c r="A526" s="148"/>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148"/>
    </row>
    <row r="527" spans="1:23" ht="12.75" x14ac:dyDescent="0.2">
      <c r="A527" s="147"/>
      <c r="B527" s="166"/>
      <c r="C527" s="147"/>
      <c r="D527" s="166"/>
      <c r="E527" s="147"/>
      <c r="F527" s="147"/>
      <c r="G527" s="147"/>
      <c r="H527" s="167"/>
      <c r="I527" s="147"/>
      <c r="J527" s="147"/>
      <c r="K527" s="147"/>
      <c r="L527" s="147"/>
      <c r="M527" s="147"/>
      <c r="N527" s="147"/>
      <c r="O527" s="147"/>
      <c r="P527" s="147"/>
      <c r="Q527" s="167"/>
      <c r="R527" s="147"/>
      <c r="S527" s="147"/>
      <c r="T527" s="167"/>
      <c r="U527" s="147"/>
      <c r="V527" s="147"/>
      <c r="W527" s="147"/>
    </row>
    <row r="528" spans="1:23" ht="23.25" x14ac:dyDescent="0.2">
      <c r="A528" s="557" t="str">
        <f ca="1">语言!$A$365</f>
        <v>寇斯特兰多地区</v>
      </c>
      <c r="B528" s="371"/>
      <c r="C528" s="550"/>
      <c r="D528" s="371"/>
      <c r="E528" s="371"/>
      <c r="F528" s="371"/>
      <c r="G528" s="371"/>
      <c r="H528" s="371"/>
      <c r="I528" s="371"/>
      <c r="J528" s="371"/>
      <c r="K528" s="371"/>
      <c r="L528" s="371"/>
      <c r="M528" s="371"/>
      <c r="N528" s="371"/>
      <c r="O528" s="371"/>
      <c r="P528" s="371"/>
      <c r="Q528" s="371"/>
      <c r="R528" s="371"/>
      <c r="S528" s="371"/>
      <c r="T528" s="371"/>
      <c r="U528" s="371"/>
      <c r="V528" s="371"/>
      <c r="W528" s="371"/>
    </row>
    <row r="529" spans="1:23" ht="12.75" x14ac:dyDescent="0.2">
      <c r="A529" s="168"/>
      <c r="B529" s="551" t="str">
        <f ca="1">语言!$A$323&amp;" 1"</f>
        <v>Tier 1</v>
      </c>
      <c r="C529" s="371"/>
      <c r="D529" s="371"/>
      <c r="E529" s="371"/>
      <c r="F529" s="371"/>
      <c r="G529" s="371"/>
      <c r="H529" s="371"/>
      <c r="I529" s="371"/>
      <c r="J529" s="371"/>
      <c r="K529" s="371"/>
      <c r="L529" s="371"/>
      <c r="M529" s="371"/>
      <c r="N529" s="371"/>
      <c r="O529" s="371"/>
      <c r="P529" s="371"/>
      <c r="Q529" s="371"/>
      <c r="R529" s="371"/>
      <c r="S529" s="371"/>
      <c r="T529" s="371"/>
      <c r="U529" s="371"/>
      <c r="V529" s="371"/>
      <c r="W529" s="168"/>
    </row>
    <row r="530" spans="1:23" ht="12.75" x14ac:dyDescent="0.2">
      <c r="A530" s="168"/>
      <c r="B530" s="552" t="str">
        <f ca="1">语言!$A$366</f>
        <v>利布尔泰德</v>
      </c>
      <c r="C530" s="371"/>
      <c r="D530" s="371"/>
      <c r="E530" s="371"/>
      <c r="F530" s="371"/>
      <c r="G530" s="371"/>
      <c r="H530" s="371"/>
      <c r="I530" s="371"/>
      <c r="J530" s="371"/>
      <c r="K530" s="371"/>
      <c r="L530" s="371"/>
      <c r="M530" s="371"/>
      <c r="N530" s="371"/>
      <c r="O530" s="371"/>
      <c r="P530" s="371"/>
      <c r="Q530" s="371"/>
      <c r="R530" s="371"/>
      <c r="S530" s="371"/>
      <c r="T530" s="371"/>
      <c r="U530" s="371"/>
      <c r="V530" s="371"/>
      <c r="W530" s="168"/>
    </row>
    <row r="531" spans="1:23" ht="12.75" x14ac:dyDescent="0.2">
      <c r="A531" s="168"/>
      <c r="B531" s="472" t="str">
        <f ca="1">语言!$A$2102</f>
        <v>市民</v>
      </c>
      <c r="C531" s="168" t="b">
        <v>0</v>
      </c>
      <c r="D531" s="40" t="str">
        <f ca="1">道具!$C$230</f>
        <v>刺击匕首</v>
      </c>
      <c r="E531" s="554" t="b">
        <v>0</v>
      </c>
      <c r="F531" s="471" t="str">
        <f ca="1">语言!$A$33&amp;"
"&amp;道具!$C$4</f>
        <v>隐藏道具的资讯
ＨＰ恢复的葡萄（大）</v>
      </c>
      <c r="G531" s="554" t="b">
        <v>0</v>
      </c>
      <c r="H531" s="556" t="s">
        <v>57</v>
      </c>
      <c r="I531" s="471">
        <v>3</v>
      </c>
      <c r="J531" s="471"/>
      <c r="K531" s="471"/>
      <c r="L531" s="471"/>
      <c r="M531" s="471"/>
      <c r="N531" s="471"/>
      <c r="O531" s="471" t="str">
        <f ca="1">道具!$C$4</f>
        <v>ＨＰ恢复的葡萄（大）</v>
      </c>
      <c r="P531" s="554"/>
      <c r="Q531" s="556" t="s">
        <v>57</v>
      </c>
      <c r="R531" s="38"/>
      <c r="S531" s="38" t="str">
        <f ca="1">Summon!$I$65</f>
        <v>剧毒之矢</v>
      </c>
      <c r="T531" s="556">
        <v>8</v>
      </c>
      <c r="U531" s="554"/>
      <c r="V531" s="471"/>
      <c r="W531" s="168"/>
    </row>
    <row r="532" spans="1:23" ht="12.75" x14ac:dyDescent="0.2">
      <c r="A532" s="168"/>
      <c r="B532" s="555"/>
      <c r="C532" s="171" t="b">
        <v>0</v>
      </c>
      <c r="D532" s="172" t="str">
        <f ca="1">道具!$C$446</f>
        <v>黑装束</v>
      </c>
      <c r="E532" s="555"/>
      <c r="F532" s="555"/>
      <c r="G532" s="555"/>
      <c r="H532" s="555"/>
      <c r="I532" s="555"/>
      <c r="J532" s="555"/>
      <c r="K532" s="555"/>
      <c r="L532" s="555"/>
      <c r="M532" s="555"/>
      <c r="N532" s="555"/>
      <c r="O532" s="555"/>
      <c r="P532" s="555"/>
      <c r="Q532" s="555"/>
      <c r="R532" s="173"/>
      <c r="S532" s="173" t="str">
        <f ca="1">Summon!$I$4</f>
        <v>战斗</v>
      </c>
      <c r="T532" s="555"/>
      <c r="U532" s="555"/>
      <c r="V532" s="555"/>
      <c r="W532" s="168"/>
    </row>
    <row r="533" spans="1:23" ht="12.75" x14ac:dyDescent="0.2">
      <c r="A533" s="168"/>
      <c r="B533" s="472" t="str">
        <f ca="1">语言!$A$2017</f>
        <v>商人欧尔涅欧</v>
      </c>
      <c r="C533" s="168" t="b">
        <v>0</v>
      </c>
      <c r="D533" s="40" t="str">
        <f ca="1">道具!$C$13</f>
        <v>ＨＰ／ＳＰ／ＢＰ恢复的果酱</v>
      </c>
      <c r="E533" s="554" t="b">
        <v>0</v>
      </c>
      <c r="F533" s="471" t="str">
        <f ca="1">语言!$A$23</f>
        <v>无</v>
      </c>
      <c r="G533" s="554" t="b">
        <v>0</v>
      </c>
      <c r="H533" s="556" t="s">
        <v>46</v>
      </c>
      <c r="I533" s="471">
        <v>3</v>
      </c>
      <c r="J533" s="471"/>
      <c r="K533" s="471"/>
      <c r="L533" s="471"/>
      <c r="M533" s="471"/>
      <c r="N533" s="471"/>
      <c r="O533" s="471" t="str">
        <f ca="1">道具!$C$387</f>
        <v>大头盔</v>
      </c>
      <c r="P533" s="554"/>
      <c r="Q533" s="556" t="s">
        <v>46</v>
      </c>
      <c r="R533" s="38"/>
      <c r="S533" s="38" t="str">
        <f ca="1">Summon!$I$31</f>
        <v>要害突刺</v>
      </c>
      <c r="T533" s="556">
        <v>8</v>
      </c>
      <c r="U533" s="554"/>
      <c r="V533" s="471" t="str">
        <f ca="1">"Can't "&amp;语言!$A$50&amp;" "&amp;道具!$C$461&amp;", only "&amp;语言!$A$46</f>
        <v>Can't 偷取 兽之领巾, only 购买</v>
      </c>
      <c r="W533" s="168"/>
    </row>
    <row r="534" spans="1:23" ht="12.75" x14ac:dyDescent="0.2">
      <c r="A534" s="168"/>
      <c r="B534" s="371"/>
      <c r="C534" s="168" t="b">
        <v>0</v>
      </c>
      <c r="D534" s="40" t="str">
        <f ca="1">道具!$C$73</f>
        <v>增强回避的坚果（大）</v>
      </c>
      <c r="E534" s="371"/>
      <c r="F534" s="371"/>
      <c r="G534" s="371"/>
      <c r="H534" s="371"/>
      <c r="I534" s="371"/>
      <c r="J534" s="371"/>
      <c r="K534" s="371"/>
      <c r="L534" s="371"/>
      <c r="M534" s="371"/>
      <c r="N534" s="371"/>
      <c r="O534" s="371"/>
      <c r="P534" s="371"/>
      <c r="Q534" s="371"/>
      <c r="R534" s="38"/>
      <c r="S534" s="38" t="str">
        <f ca="1">Summon!$I$4</f>
        <v>战斗</v>
      </c>
      <c r="T534" s="371"/>
      <c r="U534" s="371"/>
      <c r="V534" s="371"/>
      <c r="W534" s="168"/>
    </row>
    <row r="535" spans="1:23" ht="12.75" x14ac:dyDescent="0.2">
      <c r="A535" s="168"/>
      <c r="B535" s="555"/>
      <c r="C535" s="171" t="b">
        <v>0</v>
      </c>
      <c r="D535" s="172" t="str">
        <f ca="1">道具!$C$461</f>
        <v>兽之领巾</v>
      </c>
      <c r="E535" s="555"/>
      <c r="F535" s="555"/>
      <c r="G535" s="555"/>
      <c r="H535" s="555"/>
      <c r="I535" s="555"/>
      <c r="J535" s="555"/>
      <c r="K535" s="555"/>
      <c r="L535" s="555"/>
      <c r="M535" s="555"/>
      <c r="N535" s="555"/>
      <c r="O535" s="555"/>
      <c r="P535" s="555"/>
      <c r="Q535" s="555"/>
      <c r="R535" s="173"/>
      <c r="S535" s="173"/>
      <c r="T535" s="555"/>
      <c r="U535" s="555"/>
      <c r="V535" s="555"/>
      <c r="W535" s="168"/>
    </row>
    <row r="536" spans="1:23" ht="12.75" x14ac:dyDescent="0.2">
      <c r="A536" s="168"/>
      <c r="B536" s="472" t="str">
        <f ca="1">语言!$A$1967</f>
        <v>玛莉娜</v>
      </c>
      <c r="C536" s="168" t="b">
        <v>0</v>
      </c>
      <c r="D536" s="40" t="str">
        <f ca="1">道具!$C$460</f>
        <v>龙之领巾</v>
      </c>
      <c r="E536" s="554" t="b">
        <v>0</v>
      </c>
      <c r="F536" s="471" t="str">
        <f ca="1">语言!$A$23</f>
        <v>无</v>
      </c>
      <c r="G536" s="554" t="b">
        <v>0</v>
      </c>
      <c r="H536" s="556" t="s">
        <v>57</v>
      </c>
      <c r="I536" s="471">
        <v>3</v>
      </c>
      <c r="J536" s="471"/>
      <c r="K536" s="471"/>
      <c r="L536" s="471"/>
      <c r="M536" s="471"/>
      <c r="N536" s="471"/>
      <c r="O536" s="471" t="str">
        <f ca="1">道具!$C$6</f>
        <v>ＳＰ恢复的李子</v>
      </c>
      <c r="P536" s="554"/>
      <c r="Q536" s="556" t="s">
        <v>57</v>
      </c>
      <c r="R536" s="38"/>
      <c r="S536" s="38" t="str">
        <f ca="1">Summon!$I$69</f>
        <v>五月雨箭</v>
      </c>
      <c r="T536" s="556">
        <v>8</v>
      </c>
      <c r="U536" s="554"/>
      <c r="V536" s="471" t="str">
        <f ca="1">"Can't "&amp;语言!$A$50&amp;" "&amp;道具!$C$460&amp;", only "&amp;语言!$A$46</f>
        <v>Can't 偷取 龙之领巾, only 购买</v>
      </c>
      <c r="W536" s="168"/>
    </row>
    <row r="537" spans="1:23" ht="12.75" x14ac:dyDescent="0.2">
      <c r="A537" s="168"/>
      <c r="B537" s="371"/>
      <c r="C537" s="168" t="b">
        <v>0</v>
      </c>
      <c r="D537" s="40" t="str">
        <f ca="1">道具!$C$116</f>
        <v>稀奇的石头</v>
      </c>
      <c r="E537" s="371"/>
      <c r="F537" s="371"/>
      <c r="G537" s="371"/>
      <c r="H537" s="371"/>
      <c r="I537" s="371"/>
      <c r="J537" s="371"/>
      <c r="K537" s="371"/>
      <c r="L537" s="371"/>
      <c r="M537" s="371"/>
      <c r="N537" s="371"/>
      <c r="O537" s="371"/>
      <c r="P537" s="371"/>
      <c r="Q537" s="371"/>
      <c r="R537" s="38"/>
      <c r="S537" s="38" t="str">
        <f ca="1">Summon!$I$94</f>
        <v>疾风魔法</v>
      </c>
      <c r="T537" s="371"/>
      <c r="U537" s="371"/>
      <c r="V537" s="371"/>
      <c r="W537" s="168"/>
    </row>
    <row r="538" spans="1:23" ht="12.75" x14ac:dyDescent="0.2">
      <c r="A538" s="168"/>
      <c r="B538" s="555"/>
      <c r="C538" s="171" t="b">
        <v>0</v>
      </c>
      <c r="D538" s="172" t="str">
        <f ca="1">道具!$C$66</f>
        <v>增强属防的坚果（大）</v>
      </c>
      <c r="E538" s="555"/>
      <c r="F538" s="555"/>
      <c r="G538" s="555"/>
      <c r="H538" s="555"/>
      <c r="I538" s="555"/>
      <c r="J538" s="555"/>
      <c r="K538" s="555"/>
      <c r="L538" s="555"/>
      <c r="M538" s="555"/>
      <c r="N538" s="555"/>
      <c r="O538" s="555"/>
      <c r="P538" s="555"/>
      <c r="Q538" s="555"/>
      <c r="R538" s="173"/>
      <c r="S538" s="173" t="str">
        <f ca="1">Summon!$I$4</f>
        <v>战斗</v>
      </c>
      <c r="T538" s="555"/>
      <c r="U538" s="555"/>
      <c r="V538" s="555"/>
      <c r="W538" s="168"/>
    </row>
    <row r="539" spans="1:23" ht="12.75" x14ac:dyDescent="0.2">
      <c r="A539" s="168"/>
      <c r="B539" s="472" t="str">
        <f ca="1">语言!$A$1975</f>
        <v>商人</v>
      </c>
      <c r="C539" s="168" t="b">
        <v>0</v>
      </c>
      <c r="D539" s="40" t="str">
        <f ca="1">道具!$C$20</f>
        <v>黑暗治疗药草</v>
      </c>
      <c r="E539" s="554" t="b">
        <v>0</v>
      </c>
      <c r="F539" s="471" t="str">
        <f ca="1">语言!$A$33&amp;"
"&amp;道具!$C$521</f>
        <v>隐藏道具的资讯
沉默耐性石</v>
      </c>
      <c r="G539" s="554" t="b">
        <v>0</v>
      </c>
      <c r="H539" s="556" t="s">
        <v>57</v>
      </c>
      <c r="I539" s="471">
        <v>3</v>
      </c>
      <c r="J539" s="471"/>
      <c r="K539" s="471"/>
      <c r="L539" s="471"/>
      <c r="M539" s="471"/>
      <c r="N539" s="471"/>
      <c r="O539" s="471" t="str">
        <f ca="1">道具!$C$22</f>
        <v>睡眠治疗药草</v>
      </c>
      <c r="P539" s="554"/>
      <c r="Q539" s="556" t="s">
        <v>57</v>
      </c>
      <c r="R539" s="38"/>
      <c r="S539" s="38" t="str">
        <f ca="1">Summon!$I$147</f>
        <v>混乱药</v>
      </c>
      <c r="T539" s="556">
        <v>8</v>
      </c>
      <c r="U539" s="554"/>
      <c r="V539" s="471"/>
      <c r="W539" s="168"/>
    </row>
    <row r="540" spans="1:23" ht="12.75" x14ac:dyDescent="0.2">
      <c r="A540" s="168"/>
      <c r="B540" s="371"/>
      <c r="C540" s="168" t="b">
        <v>0</v>
      </c>
      <c r="D540" s="40" t="str">
        <f ca="1">道具!$C$22</f>
        <v>睡眠治疗药草</v>
      </c>
      <c r="E540" s="371"/>
      <c r="F540" s="371"/>
      <c r="G540" s="371"/>
      <c r="H540" s="371"/>
      <c r="I540" s="371"/>
      <c r="J540" s="371"/>
      <c r="K540" s="371"/>
      <c r="L540" s="371"/>
      <c r="M540" s="371"/>
      <c r="N540" s="371"/>
      <c r="O540" s="371"/>
      <c r="P540" s="371"/>
      <c r="Q540" s="371"/>
      <c r="R540" s="38"/>
      <c r="S540" s="38" t="str">
        <f ca="1">Summon!$I$30</f>
        <v>突刺</v>
      </c>
      <c r="T540" s="371"/>
      <c r="U540" s="371"/>
      <c r="V540" s="371"/>
      <c r="W540" s="168"/>
    </row>
    <row r="541" spans="1:23" ht="12.75" x14ac:dyDescent="0.2">
      <c r="A541" s="168"/>
      <c r="B541" s="555"/>
      <c r="C541" s="171" t="b">
        <v>0</v>
      </c>
      <c r="D541" s="172" t="str">
        <f ca="1">道具!$C$24</f>
        <v>昏迷治疗药草</v>
      </c>
      <c r="E541" s="555"/>
      <c r="F541" s="555"/>
      <c r="G541" s="555"/>
      <c r="H541" s="555"/>
      <c r="I541" s="555"/>
      <c r="J541" s="555"/>
      <c r="K541" s="555"/>
      <c r="L541" s="555"/>
      <c r="M541" s="555"/>
      <c r="N541" s="555"/>
      <c r="O541" s="555"/>
      <c r="P541" s="555"/>
      <c r="Q541" s="555"/>
      <c r="R541" s="173"/>
      <c r="S541" s="173" t="str">
        <f ca="1">Summon!$I$4</f>
        <v>战斗</v>
      </c>
      <c r="T541" s="555"/>
      <c r="U541" s="555"/>
      <c r="V541" s="555"/>
      <c r="W541" s="168"/>
    </row>
    <row r="542" spans="1:23" ht="12.75" x14ac:dyDescent="0.2">
      <c r="A542" s="168"/>
      <c r="B542" s="472" t="str">
        <f ca="1">语言!$A$1972</f>
        <v>玛蒂尔达</v>
      </c>
      <c r="C542" s="554" t="b">
        <v>0</v>
      </c>
      <c r="D542" s="472" t="str">
        <f ca="1">道具!$C$350</f>
        <v>板盾</v>
      </c>
      <c r="E542" s="554" t="b">
        <v>0</v>
      </c>
      <c r="F542" s="471" t="str">
        <f ca="1">语言!$A$23</f>
        <v>无</v>
      </c>
      <c r="G542" s="554" t="b">
        <v>0</v>
      </c>
      <c r="H542" s="556" t="s">
        <v>57</v>
      </c>
      <c r="I542" s="471">
        <v>3</v>
      </c>
      <c r="J542" s="471"/>
      <c r="K542" s="471"/>
      <c r="L542" s="471"/>
      <c r="M542" s="471"/>
      <c r="N542" s="471"/>
      <c r="O542" s="471" t="str">
        <f ca="1">道具!$C$6</f>
        <v>ＳＰ恢复的李子</v>
      </c>
      <c r="P542" s="554"/>
      <c r="Q542" s="556" t="s">
        <v>57</v>
      </c>
      <c r="R542" s="38"/>
      <c r="S542" s="38" t="str">
        <f ca="1">Summon!$I$67</f>
        <v>睡眠之矢</v>
      </c>
      <c r="T542" s="556">
        <v>8</v>
      </c>
      <c r="U542" s="554"/>
      <c r="V542" s="471" t="str">
        <f ca="1">"NPC available after "&amp;语言!$A$37&amp;" chapter 1
"&amp;语言!$A$44&amp;" / "&amp;语言!$A$48&amp;" available after quest: "&amp;支线!$C$44</f>
        <v>NPC available after 特蕾莎 chapter 1
引导 / 诱惑 available after quest: 难缠的男子</v>
      </c>
      <c r="W542" s="168"/>
    </row>
    <row r="543" spans="1:23" ht="12.75" x14ac:dyDescent="0.2">
      <c r="A543" s="168"/>
      <c r="B543" s="371"/>
      <c r="C543" s="371"/>
      <c r="D543" s="371"/>
      <c r="E543" s="371"/>
      <c r="F543" s="371"/>
      <c r="G543" s="371"/>
      <c r="H543" s="371"/>
      <c r="I543" s="371"/>
      <c r="J543" s="371"/>
      <c r="K543" s="371"/>
      <c r="L543" s="371"/>
      <c r="M543" s="371"/>
      <c r="N543" s="371"/>
      <c r="O543" s="371"/>
      <c r="P543" s="371"/>
      <c r="Q543" s="371"/>
      <c r="R543" s="38"/>
      <c r="S543" s="38" t="str">
        <f ca="1">Summon!$I$64</f>
        <v>精准射击</v>
      </c>
      <c r="T543" s="371"/>
      <c r="U543" s="371"/>
      <c r="V543" s="371"/>
      <c r="W543" s="168"/>
    </row>
    <row r="544" spans="1:23" ht="12.75" x14ac:dyDescent="0.2">
      <c r="A544" s="168"/>
      <c r="B544" s="555"/>
      <c r="C544" s="555"/>
      <c r="D544" s="555"/>
      <c r="E544" s="555"/>
      <c r="F544" s="555"/>
      <c r="G544" s="555"/>
      <c r="H544" s="555"/>
      <c r="I544" s="555"/>
      <c r="J544" s="555"/>
      <c r="K544" s="555"/>
      <c r="L544" s="555"/>
      <c r="M544" s="555"/>
      <c r="N544" s="555"/>
      <c r="O544" s="555"/>
      <c r="P544" s="555"/>
      <c r="Q544" s="555"/>
      <c r="R544" s="173"/>
      <c r="S544" s="173" t="str">
        <f ca="1">Summon!$I$4</f>
        <v>战斗</v>
      </c>
      <c r="T544" s="555"/>
      <c r="U544" s="555"/>
      <c r="V544" s="555"/>
      <c r="W544" s="168"/>
    </row>
    <row r="545" spans="1:23" ht="12.75" x14ac:dyDescent="0.2">
      <c r="A545" s="168"/>
      <c r="B545" s="472" t="str">
        <f ca="1">语言!$A$2100</f>
        <v>汤尼</v>
      </c>
      <c r="C545" s="554" t="b">
        <v>0</v>
      </c>
      <c r="D545" s="472" t="str">
        <f ca="1">道具!$C$293</f>
        <v>重弓</v>
      </c>
      <c r="E545" s="554" t="b">
        <v>0</v>
      </c>
      <c r="F545" s="471" t="str">
        <f ca="1">语言!$A$23</f>
        <v>无</v>
      </c>
      <c r="G545" s="554" t="b">
        <v>0</v>
      </c>
      <c r="H545" s="556" t="s">
        <v>49</v>
      </c>
      <c r="I545" s="471">
        <v>4</v>
      </c>
      <c r="J545" s="471"/>
      <c r="K545" s="471"/>
      <c r="L545" s="471"/>
      <c r="M545" s="471"/>
      <c r="N545" s="471"/>
      <c r="O545" s="471" t="str">
        <f ca="1">道具!$C$4</f>
        <v>ＨＰ恢复的葡萄（大）</v>
      </c>
      <c r="P545" s="554"/>
      <c r="Q545" s="556" t="s">
        <v>49</v>
      </c>
      <c r="R545" s="38"/>
      <c r="S545" s="38" t="str">
        <f ca="1">Summon!$I$34</f>
        <v>无双突刺</v>
      </c>
      <c r="T545" s="556">
        <v>7</v>
      </c>
      <c r="U545" s="554"/>
      <c r="V545" s="471" t="str">
        <f ca="1">"NPC available after "&amp;语言!$A$37&amp;" chapter 1
"&amp;语言!$A$44&amp;" / "&amp;语言!$A$48&amp;" available after quest: "&amp;支线!$C$44</f>
        <v>NPC available after 特蕾莎 chapter 1
引导 / 诱惑 available after quest: 难缠的男子</v>
      </c>
      <c r="W545" s="168"/>
    </row>
    <row r="546" spans="1:23" ht="12.75" x14ac:dyDescent="0.2">
      <c r="A546" s="168"/>
      <c r="B546" s="371"/>
      <c r="C546" s="371"/>
      <c r="D546" s="371"/>
      <c r="E546" s="371"/>
      <c r="F546" s="371"/>
      <c r="G546" s="371"/>
      <c r="H546" s="371"/>
      <c r="I546" s="371"/>
      <c r="J546" s="371"/>
      <c r="K546" s="371"/>
      <c r="L546" s="371"/>
      <c r="M546" s="371"/>
      <c r="N546" s="371"/>
      <c r="O546" s="371"/>
      <c r="P546" s="371"/>
      <c r="Q546" s="371"/>
      <c r="R546" s="38"/>
      <c r="S546" s="38" t="str">
        <f ca="1">Summon!$I$31</f>
        <v>要害突刺</v>
      </c>
      <c r="T546" s="371"/>
      <c r="U546" s="371"/>
      <c r="V546" s="371"/>
      <c r="W546" s="168"/>
    </row>
    <row r="547" spans="1:23" ht="12.75" x14ac:dyDescent="0.2">
      <c r="A547" s="168"/>
      <c r="B547" s="555"/>
      <c r="C547" s="555"/>
      <c r="D547" s="555"/>
      <c r="E547" s="555"/>
      <c r="F547" s="555"/>
      <c r="G547" s="555"/>
      <c r="H547" s="555"/>
      <c r="I547" s="555"/>
      <c r="J547" s="555"/>
      <c r="K547" s="555"/>
      <c r="L547" s="555"/>
      <c r="M547" s="555"/>
      <c r="N547" s="555"/>
      <c r="O547" s="555"/>
      <c r="P547" s="555"/>
      <c r="Q547" s="555"/>
      <c r="R547" s="173"/>
      <c r="S547" s="173" t="str">
        <f ca="1">Summon!$I$4</f>
        <v>战斗</v>
      </c>
      <c r="T547" s="555"/>
      <c r="U547" s="555"/>
      <c r="V547" s="555"/>
      <c r="W547" s="168"/>
    </row>
    <row r="548" spans="1:23" ht="12.75" x14ac:dyDescent="0.2">
      <c r="A548" s="168"/>
      <c r="B548" s="472" t="str">
        <f ca="1">语言!$A$1803</f>
        <v>酒商</v>
      </c>
      <c r="C548" s="554"/>
      <c r="D548" s="560" t="s">
        <v>119</v>
      </c>
      <c r="E548" s="554" t="b">
        <v>0</v>
      </c>
      <c r="F548" s="471" t="str">
        <f ca="1">语言!$A$33&amp;"
"&amp;道具!$C$540</f>
        <v>隐藏道具的资讯
葡萄树液</v>
      </c>
      <c r="G548" s="554" t="b">
        <v>0</v>
      </c>
      <c r="H548" s="556" t="s">
        <v>48</v>
      </c>
      <c r="I548" s="471">
        <v>2</v>
      </c>
      <c r="J548" s="471"/>
      <c r="K548" s="471"/>
      <c r="L548" s="471"/>
      <c r="M548" s="471"/>
      <c r="N548" s="471"/>
      <c r="O548" s="471" t="str">
        <f ca="1">道具!$C$9</f>
        <v>ＢＰ恢复的石榴</v>
      </c>
      <c r="P548" s="554"/>
      <c r="Q548" s="556" t="s">
        <v>48</v>
      </c>
      <c r="R548" s="38"/>
      <c r="S548" s="38" t="str">
        <f ca="1">Summon!$I$31</f>
        <v>要害突刺</v>
      </c>
      <c r="T548" s="556">
        <v>9</v>
      </c>
      <c r="U548" s="554"/>
      <c r="V548" s="471"/>
      <c r="W548" s="168"/>
    </row>
    <row r="549" spans="1:23" ht="12.75" x14ac:dyDescent="0.2">
      <c r="A549" s="168"/>
      <c r="B549" s="371"/>
      <c r="C549" s="371"/>
      <c r="D549" s="371"/>
      <c r="E549" s="371"/>
      <c r="F549" s="371"/>
      <c r="G549" s="371"/>
      <c r="H549" s="371"/>
      <c r="I549" s="371"/>
      <c r="J549" s="371"/>
      <c r="K549" s="371"/>
      <c r="L549" s="371"/>
      <c r="M549" s="371"/>
      <c r="N549" s="371"/>
      <c r="O549" s="371"/>
      <c r="P549" s="371"/>
      <c r="Q549" s="371"/>
      <c r="R549" s="38"/>
      <c r="S549" s="38" t="str">
        <f ca="1">Summon!$I$30</f>
        <v>突刺</v>
      </c>
      <c r="T549" s="371"/>
      <c r="U549" s="371"/>
      <c r="V549" s="371"/>
      <c r="W549" s="168"/>
    </row>
    <row r="550" spans="1:23" ht="12.75" x14ac:dyDescent="0.2">
      <c r="A550" s="168"/>
      <c r="B550" s="555"/>
      <c r="C550" s="555"/>
      <c r="D550" s="555"/>
      <c r="E550" s="555"/>
      <c r="F550" s="555"/>
      <c r="G550" s="555"/>
      <c r="H550" s="555"/>
      <c r="I550" s="555"/>
      <c r="J550" s="555"/>
      <c r="K550" s="555"/>
      <c r="L550" s="555"/>
      <c r="M550" s="555"/>
      <c r="N550" s="555"/>
      <c r="O550" s="555"/>
      <c r="P550" s="555"/>
      <c r="Q550" s="555"/>
      <c r="R550" s="173"/>
      <c r="S550" s="173" t="str">
        <f ca="1">Summon!$I$4</f>
        <v>战斗</v>
      </c>
      <c r="T550" s="555"/>
      <c r="U550" s="555"/>
      <c r="V550" s="555"/>
      <c r="W550" s="168"/>
    </row>
    <row r="551" spans="1:23" ht="12.75" x14ac:dyDescent="0.2">
      <c r="A551" s="168"/>
      <c r="B551" s="472" t="str">
        <f ca="1">语言!$A$2118&amp;" (2)"</f>
        <v>海盗杀手维克托里诺 (2)</v>
      </c>
      <c r="C551" s="168" t="b">
        <v>0</v>
      </c>
      <c r="D551" s="40" t="str">
        <f ca="1">道具!$C$468</f>
        <v>力量腰带</v>
      </c>
      <c r="E551" s="554" t="b">
        <v>0</v>
      </c>
      <c r="F551" s="471" t="str">
        <f ca="1">语言!$A$23</f>
        <v>无</v>
      </c>
      <c r="G551" s="554" t="b">
        <v>0</v>
      </c>
      <c r="H551" s="556" t="s">
        <v>49</v>
      </c>
      <c r="I551" s="471">
        <v>4</v>
      </c>
      <c r="J551" s="471"/>
      <c r="K551" s="471"/>
      <c r="L551" s="471"/>
      <c r="M551" s="471"/>
      <c r="N551" s="471"/>
      <c r="O551" s="471" t="str">
        <f ca="1">道具!$C$4</f>
        <v>ＨＰ恢复的葡萄（大）</v>
      </c>
      <c r="P551" s="554"/>
      <c r="Q551" s="556" t="s">
        <v>49</v>
      </c>
      <c r="R551" s="38"/>
      <c r="S551" s="38" t="str">
        <f ca="1">Summon!$I$13</f>
        <v>海盗杀手之重击</v>
      </c>
      <c r="T551" s="556">
        <v>7</v>
      </c>
      <c r="U551" s="554"/>
      <c r="V551" s="471" t="str">
        <f ca="1">"NPC at this location after "&amp;语言!$A$38&amp;" chapter 4"</f>
        <v>NPC at this location after 欧尔贝克 chapter 4</v>
      </c>
      <c r="W551" s="168"/>
    </row>
    <row r="552" spans="1:23" ht="12.75" x14ac:dyDescent="0.2">
      <c r="A552" s="168"/>
      <c r="B552" s="371"/>
      <c r="C552" s="168" t="b">
        <v>0</v>
      </c>
      <c r="D552" s="40" t="str">
        <f ca="1">道具!$C$144</f>
        <v>三位一体剑</v>
      </c>
      <c r="E552" s="371"/>
      <c r="F552" s="371"/>
      <c r="G552" s="371"/>
      <c r="H552" s="371"/>
      <c r="I552" s="371"/>
      <c r="J552" s="371"/>
      <c r="K552" s="371"/>
      <c r="L552" s="371"/>
      <c r="M552" s="371"/>
      <c r="N552" s="371"/>
      <c r="O552" s="371"/>
      <c r="P552" s="371"/>
      <c r="Q552" s="371"/>
      <c r="R552" s="38"/>
      <c r="S552" s="38" t="str">
        <f ca="1">Summon!$I$15</f>
        <v>剧毒猛击</v>
      </c>
      <c r="T552" s="371"/>
      <c r="U552" s="371"/>
      <c r="V552" s="371"/>
      <c r="W552" s="168"/>
    </row>
    <row r="553" spans="1:23" ht="12.75" x14ac:dyDescent="0.2">
      <c r="A553" s="168"/>
      <c r="B553" s="555"/>
      <c r="C553" s="171"/>
      <c r="D553" s="172"/>
      <c r="E553" s="555"/>
      <c r="F553" s="555"/>
      <c r="G553" s="555"/>
      <c r="H553" s="555"/>
      <c r="I553" s="555"/>
      <c r="J553" s="555"/>
      <c r="K553" s="555"/>
      <c r="L553" s="555"/>
      <c r="M553" s="555"/>
      <c r="N553" s="555"/>
      <c r="O553" s="555"/>
      <c r="P553" s="555"/>
      <c r="Q553" s="555"/>
      <c r="R553" s="173"/>
      <c r="S553" s="173" t="str">
        <f ca="1">Summon!$I$4</f>
        <v>战斗</v>
      </c>
      <c r="T553" s="555"/>
      <c r="U553" s="555"/>
      <c r="V553" s="555"/>
      <c r="W553" s="168"/>
    </row>
    <row r="554" spans="1:23" ht="12.75" x14ac:dyDescent="0.2">
      <c r="A554" s="168"/>
      <c r="B554" s="472" t="str">
        <f ca="1">语言!$A$2101</f>
        <v>汤尼的母亲</v>
      </c>
      <c r="C554" s="168" t="b">
        <v>0</v>
      </c>
      <c r="D554" s="40" t="str">
        <f ca="1">道具!$C$36</f>
        <v>雷之精灵石</v>
      </c>
      <c r="E554" s="554" t="b">
        <v>0</v>
      </c>
      <c r="F554" s="471" t="str">
        <f ca="1">语言!$A$33&amp;"
"&amp;道具!$C$38</f>
        <v>隐藏道具的资讯
雷之精灵石（特大）</v>
      </c>
      <c r="G554" s="554" t="b">
        <v>0</v>
      </c>
      <c r="H554" s="556" t="s">
        <v>46</v>
      </c>
      <c r="I554" s="471">
        <v>3</v>
      </c>
      <c r="J554" s="471"/>
      <c r="K554" s="471"/>
      <c r="L554" s="471"/>
      <c r="M554" s="471"/>
      <c r="N554" s="471"/>
      <c r="O554" s="471" t="str">
        <f ca="1">道具!$C$4</f>
        <v>ＨＰ恢复的葡萄（大）</v>
      </c>
      <c r="P554" s="554"/>
      <c r="Q554" s="556" t="s">
        <v>46</v>
      </c>
      <c r="R554" s="38"/>
      <c r="S554" s="38" t="str">
        <f ca="1">Summon!$I$87</f>
        <v>大冰冻魔法</v>
      </c>
      <c r="T554" s="556">
        <v>8</v>
      </c>
      <c r="U554" s="554"/>
      <c r="V554" s="471" t="str">
        <f ca="1">"NPC available after "&amp;语言!$A$37&amp;" chapter 1"</f>
        <v>NPC available after 特蕾莎 chapter 1</v>
      </c>
      <c r="W554" s="168"/>
    </row>
    <row r="555" spans="1:23" ht="12.75" x14ac:dyDescent="0.2">
      <c r="A555" s="168"/>
      <c r="B555" s="371"/>
      <c r="C555" s="168" t="b">
        <v>0</v>
      </c>
      <c r="D555" s="40" t="str">
        <f ca="1">道具!$C$37</f>
        <v>雷之精灵石（大）</v>
      </c>
      <c r="E555" s="371"/>
      <c r="F555" s="371"/>
      <c r="G555" s="371"/>
      <c r="H555" s="371"/>
      <c r="I555" s="371"/>
      <c r="J555" s="371"/>
      <c r="K555" s="371"/>
      <c r="L555" s="371"/>
      <c r="M555" s="371"/>
      <c r="N555" s="371"/>
      <c r="O555" s="371"/>
      <c r="P555" s="371"/>
      <c r="Q555" s="371"/>
      <c r="R555" s="38"/>
      <c r="S555" s="38" t="str">
        <f ca="1">Summon!$I$86</f>
        <v>冰冻魔法</v>
      </c>
      <c r="T555" s="371"/>
      <c r="U555" s="371"/>
      <c r="V555" s="371"/>
      <c r="W555" s="168"/>
    </row>
    <row r="556" spans="1:23" ht="12.75" x14ac:dyDescent="0.2">
      <c r="A556" s="168"/>
      <c r="B556" s="555"/>
      <c r="C556" s="171"/>
      <c r="D556" s="172"/>
      <c r="E556" s="555"/>
      <c r="F556" s="555"/>
      <c r="G556" s="555"/>
      <c r="H556" s="555"/>
      <c r="I556" s="555"/>
      <c r="J556" s="555"/>
      <c r="K556" s="555"/>
      <c r="L556" s="555"/>
      <c r="M556" s="555"/>
      <c r="N556" s="555"/>
      <c r="O556" s="555"/>
      <c r="P556" s="555"/>
      <c r="Q556" s="555"/>
      <c r="R556" s="173"/>
      <c r="S556" s="173" t="str">
        <f ca="1">Summon!$I$4</f>
        <v>战斗</v>
      </c>
      <c r="T556" s="555"/>
      <c r="U556" s="555"/>
      <c r="V556" s="555"/>
      <c r="W556" s="168"/>
    </row>
    <row r="557" spans="1:23" ht="12.75" x14ac:dyDescent="0.2">
      <c r="A557" s="168"/>
      <c r="B557" s="472" t="str">
        <f ca="1">语言!$A$1912</f>
        <v>哈里斯</v>
      </c>
      <c r="C557" s="168" t="b">
        <v>0</v>
      </c>
      <c r="D557" s="40" t="str">
        <f ca="1">道具!$C$9</f>
        <v>ＢＰ恢复的石榴</v>
      </c>
      <c r="E557" s="554" t="b">
        <v>0</v>
      </c>
      <c r="F557" s="471" t="str">
        <f ca="1">语言!$A$23</f>
        <v>无</v>
      </c>
      <c r="G557" s="554" t="b">
        <v>0</v>
      </c>
      <c r="H557" s="556" t="s">
        <v>57</v>
      </c>
      <c r="I557" s="471">
        <v>3</v>
      </c>
      <c r="J557" s="471"/>
      <c r="K557" s="471"/>
      <c r="L557" s="471"/>
      <c r="M557" s="471"/>
      <c r="N557" s="471"/>
      <c r="O557" s="471" t="str">
        <f ca="1">道具!$C$7</f>
        <v>ＳＰ恢复的李子（大）</v>
      </c>
      <c r="P557" s="554"/>
      <c r="Q557" s="556" t="s">
        <v>57</v>
      </c>
      <c r="R557" s="38"/>
      <c r="S557" s="38" t="str">
        <f ca="1">Summon!$I$42</f>
        <v>猛击</v>
      </c>
      <c r="T557" s="556">
        <v>8</v>
      </c>
      <c r="U557" s="554"/>
      <c r="V557" s="471" t="str">
        <f ca="1">"NPC available after "&amp;语言!$A$37&amp;" chapter 1"</f>
        <v>NPC available after 特蕾莎 chapter 1</v>
      </c>
      <c r="W557" s="168"/>
    </row>
    <row r="558" spans="1:23" ht="12.75" x14ac:dyDescent="0.2">
      <c r="A558" s="168"/>
      <c r="B558" s="371"/>
      <c r="C558" s="168" t="b">
        <v>0</v>
      </c>
      <c r="D558" s="40" t="str">
        <f ca="1">道具!$C$16</f>
        <v>复活的橄榄（大）</v>
      </c>
      <c r="E558" s="371"/>
      <c r="F558" s="371"/>
      <c r="G558" s="371"/>
      <c r="H558" s="371"/>
      <c r="I558" s="371"/>
      <c r="J558" s="371"/>
      <c r="K558" s="371"/>
      <c r="L558" s="371"/>
      <c r="M558" s="371"/>
      <c r="N558" s="371"/>
      <c r="O558" s="371"/>
      <c r="P558" s="371"/>
      <c r="Q558" s="371"/>
      <c r="R558" s="38"/>
      <c r="S558" s="38" t="str">
        <f ca="1">Summon!$I$178</f>
        <v>激励</v>
      </c>
      <c r="T558" s="371"/>
      <c r="U558" s="371"/>
      <c r="V558" s="371"/>
      <c r="W558" s="168"/>
    </row>
    <row r="559" spans="1:23" ht="12.75" x14ac:dyDescent="0.2">
      <c r="A559" s="168"/>
      <c r="B559" s="555"/>
      <c r="C559" s="171"/>
      <c r="D559" s="172"/>
      <c r="E559" s="555"/>
      <c r="F559" s="555"/>
      <c r="G559" s="555"/>
      <c r="H559" s="555"/>
      <c r="I559" s="555"/>
      <c r="J559" s="555"/>
      <c r="K559" s="555"/>
      <c r="L559" s="555"/>
      <c r="M559" s="555"/>
      <c r="N559" s="555"/>
      <c r="O559" s="555"/>
      <c r="P559" s="555"/>
      <c r="Q559" s="555"/>
      <c r="R559" s="173"/>
      <c r="S559" s="173" t="str">
        <f ca="1">Summon!$I$4</f>
        <v>战斗</v>
      </c>
      <c r="T559" s="555"/>
      <c r="U559" s="555"/>
      <c r="V559" s="555"/>
      <c r="W559" s="168"/>
    </row>
    <row r="560" spans="1:23" ht="12.75" x14ac:dyDescent="0.2">
      <c r="A560" s="168"/>
      <c r="B560" s="472" t="str">
        <f ca="1">语言!$A$1871&amp;" (1)"</f>
        <v>异国的老婆婆 (1)</v>
      </c>
      <c r="C560" s="168" t="b">
        <v>0</v>
      </c>
      <c r="D560" s="40" t="str">
        <f ca="1">道具!$C$30</f>
        <v>火之精灵石</v>
      </c>
      <c r="E560" s="554" t="b">
        <v>0</v>
      </c>
      <c r="F560" s="471" t="str">
        <f ca="1">语言!$A$23</f>
        <v>无</v>
      </c>
      <c r="G560" s="554" t="b">
        <v>0</v>
      </c>
      <c r="H560" s="556" t="s">
        <v>48</v>
      </c>
      <c r="I560" s="556">
        <v>2</v>
      </c>
      <c r="J560" s="471"/>
      <c r="K560" s="471"/>
      <c r="L560" s="471"/>
      <c r="M560" s="556"/>
      <c r="N560" s="556"/>
      <c r="O560" s="558" t="str">
        <f ca="1">道具!$C$20</f>
        <v>黑暗治疗药草</v>
      </c>
      <c r="P560" s="554"/>
      <c r="Q560" s="556" t="s">
        <v>48</v>
      </c>
      <c r="R560" s="170"/>
      <c r="S560" s="174" t="str">
        <f ca="1">Summon!$I$118</f>
        <v>恢复ＨＰ的葡萄</v>
      </c>
      <c r="T560" s="556">
        <v>9</v>
      </c>
      <c r="U560" s="554"/>
      <c r="V560" s="471" t="str">
        <f ca="1">"NPC available after "&amp;语言!$A$37&amp;" chapter 1
Moves to "&amp;语言!$A$395&amp;" after quest: "&amp;支线!$C$66</f>
        <v>NPC available after 特蕾莎 chapter 1
Moves to 斯托冈德 after quest: 异国的语言</v>
      </c>
      <c r="W560" s="168"/>
    </row>
    <row r="561" spans="1:23" ht="12.75" x14ac:dyDescent="0.2">
      <c r="A561" s="168"/>
      <c r="B561" s="371"/>
      <c r="C561" s="168" t="b">
        <v>0</v>
      </c>
      <c r="D561" s="40" t="str">
        <f ca="1">道具!$C$33</f>
        <v>冰之精灵石</v>
      </c>
      <c r="E561" s="371"/>
      <c r="F561" s="371"/>
      <c r="G561" s="371"/>
      <c r="H561" s="371"/>
      <c r="I561" s="371"/>
      <c r="J561" s="371"/>
      <c r="K561" s="371"/>
      <c r="L561" s="371"/>
      <c r="M561" s="371"/>
      <c r="N561" s="371"/>
      <c r="O561" s="371"/>
      <c r="P561" s="371"/>
      <c r="Q561" s="371"/>
      <c r="R561" s="38"/>
      <c r="S561" s="174" t="str">
        <f ca="1">Summon!$I$48</f>
        <v>连掷短剑</v>
      </c>
      <c r="T561" s="371"/>
      <c r="U561" s="371"/>
      <c r="V561" s="371"/>
      <c r="W561" s="168"/>
    </row>
    <row r="562" spans="1:23" ht="12.75" x14ac:dyDescent="0.2">
      <c r="A562" s="168"/>
      <c r="B562" s="371"/>
      <c r="C562" s="168" t="b">
        <v>0</v>
      </c>
      <c r="D562" s="40" t="str">
        <f ca="1">道具!$C$36</f>
        <v>雷之精灵石</v>
      </c>
      <c r="E562" s="371"/>
      <c r="F562" s="371"/>
      <c r="G562" s="371"/>
      <c r="H562" s="371"/>
      <c r="I562" s="371"/>
      <c r="J562" s="371"/>
      <c r="K562" s="371"/>
      <c r="L562" s="371"/>
      <c r="M562" s="371"/>
      <c r="N562" s="371"/>
      <c r="O562" s="371"/>
      <c r="P562" s="371"/>
      <c r="Q562" s="371"/>
      <c r="R562" s="38"/>
      <c r="S562" s="174" t="str">
        <f ca="1">Summon!$I$4</f>
        <v>战斗</v>
      </c>
      <c r="T562" s="371"/>
      <c r="U562" s="371"/>
      <c r="V562" s="371"/>
      <c r="W562" s="168"/>
    </row>
    <row r="563" spans="1:23" ht="12.75" x14ac:dyDescent="0.2">
      <c r="A563" s="168"/>
      <c r="B563" s="555"/>
      <c r="C563" s="171" t="b">
        <v>0</v>
      </c>
      <c r="D563" s="172" t="str">
        <f ca="1">道具!$C$39</f>
        <v>风之精灵石</v>
      </c>
      <c r="E563" s="555"/>
      <c r="F563" s="555"/>
      <c r="G563" s="555"/>
      <c r="H563" s="555"/>
      <c r="I563" s="555"/>
      <c r="J563" s="555"/>
      <c r="K563" s="555"/>
      <c r="L563" s="555"/>
      <c r="M563" s="555"/>
      <c r="N563" s="555"/>
      <c r="O563" s="555"/>
      <c r="P563" s="555"/>
      <c r="Q563" s="555"/>
      <c r="R563" s="175"/>
      <c r="S563" s="176"/>
      <c r="T563" s="555"/>
      <c r="U563" s="555"/>
      <c r="V563" s="555"/>
      <c r="W563" s="168"/>
    </row>
    <row r="564" spans="1:23" ht="12.75" x14ac:dyDescent="0.2">
      <c r="A564" s="168"/>
      <c r="B564" s="472" t="str">
        <f ca="1">语言!$A$1790</f>
        <v>聪明的少年</v>
      </c>
      <c r="C564" s="168" t="b">
        <v>0</v>
      </c>
      <c r="D564" s="40" t="str">
        <f ca="1">道具!$C$6</f>
        <v>ＳＰ恢复的李子</v>
      </c>
      <c r="E564" s="554" t="b">
        <v>0</v>
      </c>
      <c r="F564" s="471" t="str">
        <f ca="1">语言!$A$23</f>
        <v>无</v>
      </c>
      <c r="G564" s="554"/>
      <c r="H564" s="559" t="s">
        <v>119</v>
      </c>
      <c r="I564" s="559" t="s">
        <v>119</v>
      </c>
      <c r="J564" s="559" t="s">
        <v>119</v>
      </c>
      <c r="K564" s="559" t="s">
        <v>119</v>
      </c>
      <c r="L564" s="559" t="s">
        <v>119</v>
      </c>
      <c r="M564" s="559" t="s">
        <v>119</v>
      </c>
      <c r="N564" s="559" t="s">
        <v>119</v>
      </c>
      <c r="O564" s="559" t="s">
        <v>119</v>
      </c>
      <c r="P564" s="554"/>
      <c r="Q564" s="559" t="s">
        <v>119</v>
      </c>
      <c r="R564" s="559" t="s">
        <v>119</v>
      </c>
      <c r="S564" s="559" t="s">
        <v>119</v>
      </c>
      <c r="T564" s="559" t="s">
        <v>119</v>
      </c>
      <c r="U564" s="554"/>
      <c r="V564" s="471" t="str">
        <f ca="1">"NPC available after "&amp;语言!$A$37&amp;" chapter 1"</f>
        <v>NPC available after 特蕾莎 chapter 1</v>
      </c>
      <c r="W564" s="168"/>
    </row>
    <row r="565" spans="1:23" ht="12.75" x14ac:dyDescent="0.2">
      <c r="A565" s="168"/>
      <c r="B565" s="555"/>
      <c r="C565" s="171" t="b">
        <v>0</v>
      </c>
      <c r="D565" s="172" t="str">
        <f ca="1">道具!$C$7</f>
        <v>ＳＰ恢复的李子（大）</v>
      </c>
      <c r="E565" s="555"/>
      <c r="F565" s="555"/>
      <c r="G565" s="555"/>
      <c r="H565" s="555"/>
      <c r="I565" s="555"/>
      <c r="J565" s="555"/>
      <c r="K565" s="555"/>
      <c r="L565" s="555"/>
      <c r="M565" s="555"/>
      <c r="N565" s="555"/>
      <c r="O565" s="555"/>
      <c r="P565" s="555"/>
      <c r="Q565" s="555"/>
      <c r="R565" s="555"/>
      <c r="S565" s="555"/>
      <c r="T565" s="555"/>
      <c r="U565" s="555"/>
      <c r="V565" s="555"/>
      <c r="W565" s="168"/>
    </row>
    <row r="566" spans="1:23" ht="12.75" x14ac:dyDescent="0.2">
      <c r="A566" s="168"/>
      <c r="B566" s="472" t="str">
        <f ca="1">语言!$A$2102</f>
        <v>市民</v>
      </c>
      <c r="C566" s="168" t="b">
        <v>0</v>
      </c>
      <c r="D566" s="40" t="str">
        <f ca="1">道具!$C$3</f>
        <v>ＨＰ恢复的葡萄</v>
      </c>
      <c r="E566" s="554" t="b">
        <v>0</v>
      </c>
      <c r="F566" s="471" t="str">
        <f ca="1">语言!$A$25</f>
        <v>「购买」杀价机率ＵＰ资讯</v>
      </c>
      <c r="G566" s="554" t="b">
        <v>0</v>
      </c>
      <c r="H566" s="556" t="s">
        <v>50</v>
      </c>
      <c r="I566" s="471">
        <v>4</v>
      </c>
      <c r="J566" s="471"/>
      <c r="K566" s="471"/>
      <c r="L566" s="471"/>
      <c r="M566" s="471"/>
      <c r="N566" s="471"/>
      <c r="O566" s="471" t="str">
        <f ca="1">道具!$C$5</f>
        <v>ＨＰ全体恢复的葡萄</v>
      </c>
      <c r="P566" s="554"/>
      <c r="Q566" s="559" t="s">
        <v>119</v>
      </c>
      <c r="R566" s="559" t="s">
        <v>119</v>
      </c>
      <c r="S566" s="559" t="s">
        <v>119</v>
      </c>
      <c r="T566" s="559" t="s">
        <v>119</v>
      </c>
      <c r="U566" s="554"/>
      <c r="V566" s="471"/>
      <c r="W566" s="168"/>
    </row>
    <row r="567" spans="1:23" ht="12.75" x14ac:dyDescent="0.2">
      <c r="A567" s="168"/>
      <c r="B567" s="371"/>
      <c r="C567" s="168" t="b">
        <v>0</v>
      </c>
      <c r="D567" s="40" t="str">
        <f ca="1">道具!$C$3</f>
        <v>ＨＰ恢复的葡萄</v>
      </c>
      <c r="E567" s="371"/>
      <c r="F567" s="371"/>
      <c r="G567" s="371"/>
      <c r="H567" s="371"/>
      <c r="I567" s="371"/>
      <c r="J567" s="371"/>
      <c r="K567" s="371"/>
      <c r="L567" s="371"/>
      <c r="M567" s="371"/>
      <c r="N567" s="371"/>
      <c r="O567" s="371"/>
      <c r="P567" s="371"/>
      <c r="Q567" s="371"/>
      <c r="R567" s="371"/>
      <c r="S567" s="371"/>
      <c r="T567" s="371"/>
      <c r="U567" s="371"/>
      <c r="V567" s="371"/>
      <c r="W567" s="168"/>
    </row>
    <row r="568" spans="1:23" ht="12.75" x14ac:dyDescent="0.2">
      <c r="A568" s="168"/>
      <c r="B568" s="371"/>
      <c r="C568" s="168" t="b">
        <v>0</v>
      </c>
      <c r="D568" s="40" t="str">
        <f ca="1">道具!$C$6</f>
        <v>ＳＰ恢复的李子</v>
      </c>
      <c r="E568" s="371"/>
      <c r="F568" s="371"/>
      <c r="G568" s="371"/>
      <c r="H568" s="371"/>
      <c r="I568" s="371"/>
      <c r="J568" s="371"/>
      <c r="K568" s="371"/>
      <c r="L568" s="371"/>
      <c r="M568" s="371"/>
      <c r="N568" s="371"/>
      <c r="O568" s="371"/>
      <c r="P568" s="371"/>
      <c r="Q568" s="371"/>
      <c r="R568" s="371"/>
      <c r="S568" s="371"/>
      <c r="T568" s="371"/>
      <c r="U568" s="371"/>
      <c r="V568" s="371"/>
      <c r="W568" s="168"/>
    </row>
    <row r="569" spans="1:23" ht="12.75" x14ac:dyDescent="0.2">
      <c r="A569" s="168"/>
      <c r="B569" s="555"/>
      <c r="C569" s="171" t="b">
        <v>0</v>
      </c>
      <c r="D569" s="172" t="str">
        <f ca="1">道具!$C$6</f>
        <v>ＳＰ恢复的李子</v>
      </c>
      <c r="E569" s="555"/>
      <c r="F569" s="555"/>
      <c r="G569" s="555"/>
      <c r="H569" s="555"/>
      <c r="I569" s="555"/>
      <c r="J569" s="555"/>
      <c r="K569" s="555"/>
      <c r="L569" s="555"/>
      <c r="M569" s="555"/>
      <c r="N569" s="555"/>
      <c r="O569" s="555"/>
      <c r="P569" s="555"/>
      <c r="Q569" s="555"/>
      <c r="R569" s="555"/>
      <c r="S569" s="555"/>
      <c r="T569" s="555"/>
      <c r="U569" s="555"/>
      <c r="V569" s="555"/>
      <c r="W569" s="168"/>
    </row>
    <row r="570" spans="1:23" ht="12.75" x14ac:dyDescent="0.2">
      <c r="A570" s="168"/>
      <c r="B570" s="472" t="str">
        <f ca="1">语言!$A$1854</f>
        <v>老婆婆</v>
      </c>
      <c r="C570" s="168" t="b">
        <v>0</v>
      </c>
      <c r="D570" s="40" t="str">
        <f ca="1">道具!$C$9</f>
        <v>ＢＰ恢复的石榴</v>
      </c>
      <c r="E570" s="554" t="b">
        <v>0</v>
      </c>
      <c r="F570" s="471" t="str">
        <f ca="1">语言!$A$28</f>
        <v>武器店商品追加资讯</v>
      </c>
      <c r="G570" s="554" t="b">
        <v>0</v>
      </c>
      <c r="H570" s="556">
        <v>10</v>
      </c>
      <c r="I570" s="471">
        <v>6</v>
      </c>
      <c r="J570" s="471"/>
      <c r="K570" s="471"/>
      <c r="L570" s="471"/>
      <c r="M570" s="471"/>
      <c r="N570" s="471"/>
      <c r="O570" s="471" t="str">
        <f ca="1">道具!$C$170</f>
        <v>历战之枪</v>
      </c>
      <c r="P570" s="554"/>
      <c r="Q570" s="556" t="s">
        <v>55</v>
      </c>
      <c r="R570" s="38"/>
      <c r="S570" s="38" t="str">
        <f ca="1">Summon!$I$33</f>
        <v>极击</v>
      </c>
      <c r="T570" s="556">
        <v>4</v>
      </c>
      <c r="U570" s="554"/>
      <c r="V570" s="471" t="str">
        <f ca="1">"Behind other NPC ("&amp;语言!$A$47&amp;" / "&amp;语言!$A$51&amp;")"</f>
        <v>Behind other NPC (比试 / 唆使)</v>
      </c>
      <c r="W570" s="168"/>
    </row>
    <row r="571" spans="1:23" ht="25.5" x14ac:dyDescent="0.2">
      <c r="A571" s="168"/>
      <c r="B571" s="371"/>
      <c r="C571" s="168" t="b">
        <v>0</v>
      </c>
      <c r="D571" s="40" t="str">
        <f ca="1">道具!$C$10</f>
        <v>ＢＰ恢复的石榴（大）</v>
      </c>
      <c r="E571" s="371"/>
      <c r="F571" s="371"/>
      <c r="G571" s="371"/>
      <c r="H571" s="371"/>
      <c r="I571" s="371"/>
      <c r="J571" s="371"/>
      <c r="K571" s="371"/>
      <c r="L571" s="371"/>
      <c r="M571" s="371"/>
      <c r="N571" s="371"/>
      <c r="O571" s="371"/>
      <c r="P571" s="371"/>
      <c r="Q571" s="371"/>
      <c r="R571" s="38"/>
      <c r="S571" s="38" t="str">
        <f ca="1">Summon!$I$34</f>
        <v>无双突刺</v>
      </c>
      <c r="T571" s="371"/>
      <c r="U571" s="371"/>
      <c r="V571" s="371"/>
      <c r="W571" s="168"/>
    </row>
    <row r="572" spans="1:23" ht="25.5" x14ac:dyDescent="0.2">
      <c r="A572" s="168"/>
      <c r="B572" s="555"/>
      <c r="C572" s="171" t="b">
        <v>0</v>
      </c>
      <c r="D572" s="172" t="str">
        <f ca="1">道具!$C$11</f>
        <v>ＢＰ恢复的石榴（特大）</v>
      </c>
      <c r="E572" s="555"/>
      <c r="F572" s="555"/>
      <c r="G572" s="555"/>
      <c r="H572" s="555"/>
      <c r="I572" s="555"/>
      <c r="J572" s="555"/>
      <c r="K572" s="555"/>
      <c r="L572" s="555"/>
      <c r="M572" s="555"/>
      <c r="N572" s="555"/>
      <c r="O572" s="555"/>
      <c r="P572" s="555"/>
      <c r="Q572" s="555"/>
      <c r="R572" s="173"/>
      <c r="S572" s="173" t="str">
        <f ca="1">Summon!$I$4</f>
        <v>战斗</v>
      </c>
      <c r="T572" s="555"/>
      <c r="U572" s="555"/>
      <c r="V572" s="555"/>
      <c r="W572" s="168"/>
    </row>
    <row r="573" spans="1:23" ht="25.5" x14ac:dyDescent="0.2">
      <c r="A573" s="168"/>
      <c r="B573" s="178" t="str">
        <f ca="1">语言!$A$1760&amp;" (2)"</f>
        <v>被怀疑的男子 (2)</v>
      </c>
      <c r="C573" s="171" t="b">
        <v>0</v>
      </c>
      <c r="D573" s="172" t="str">
        <f ca="1">道具!$C$4</f>
        <v>ＨＰ恢复的葡萄（大）</v>
      </c>
      <c r="E573" s="171" t="b">
        <v>0</v>
      </c>
      <c r="F573" s="173" t="str">
        <f ca="1">语言!$A$23</f>
        <v>无</v>
      </c>
      <c r="G573" s="171" t="b">
        <v>0</v>
      </c>
      <c r="H573" s="175" t="s">
        <v>57</v>
      </c>
      <c r="I573" s="173">
        <v>3</v>
      </c>
      <c r="J573" s="173"/>
      <c r="K573" s="173"/>
      <c r="L573" s="173"/>
      <c r="M573" s="173"/>
      <c r="N573" s="173"/>
      <c r="O573" s="173" t="str">
        <f ca="1">道具!$C$228</f>
        <v>迷惑短剑</v>
      </c>
      <c r="P573" s="171"/>
      <c r="Q573" s="179" t="s">
        <v>119</v>
      </c>
      <c r="R573" s="179" t="s">
        <v>119</v>
      </c>
      <c r="S573" s="179" t="s">
        <v>119</v>
      </c>
      <c r="T573" s="179" t="s">
        <v>119</v>
      </c>
      <c r="U573" s="171"/>
      <c r="V573" s="172" t="str">
        <f ca="1">"NPC at this location after quest: "&amp;支线!$C$9&amp;" ("&amp;语言!$A$46&amp;" / "&amp;语言!$A$50&amp;" solution only)"</f>
        <v>NPC at this location after quest: 被冤枉的囚犯 (购买 / 偷取 solution only)</v>
      </c>
      <c r="W573" s="168"/>
    </row>
    <row r="574" spans="1:23" ht="12.75" x14ac:dyDescent="0.2">
      <c r="A574" s="168"/>
      <c r="B574" s="172" t="str">
        <f ca="1">语言!$A$2038&amp;" (1)"</f>
        <v>玛莉公主 (1)</v>
      </c>
      <c r="C574" s="171" t="b">
        <v>0</v>
      </c>
      <c r="D574" s="172" t="str">
        <f ca="1">道具!$C$495</f>
        <v>体力耳环</v>
      </c>
      <c r="E574" s="171" t="b">
        <v>0</v>
      </c>
      <c r="F574" s="173" t="str">
        <f ca="1">语言!$A$23</f>
        <v>无</v>
      </c>
      <c r="G574" s="171"/>
      <c r="H574" s="179" t="s">
        <v>119</v>
      </c>
      <c r="I574" s="179" t="s">
        <v>119</v>
      </c>
      <c r="J574" s="179" t="s">
        <v>119</v>
      </c>
      <c r="K574" s="179" t="s">
        <v>119</v>
      </c>
      <c r="L574" s="179" t="s">
        <v>119</v>
      </c>
      <c r="M574" s="179" t="s">
        <v>119</v>
      </c>
      <c r="N574" s="179" t="s">
        <v>119</v>
      </c>
      <c r="O574" s="179" t="s">
        <v>119</v>
      </c>
      <c r="P574" s="171"/>
      <c r="Q574" s="179" t="s">
        <v>119</v>
      </c>
      <c r="R574" s="179" t="s">
        <v>119</v>
      </c>
      <c r="S574" s="179" t="s">
        <v>119</v>
      </c>
      <c r="T574" s="179" t="s">
        <v>119</v>
      </c>
      <c r="U574" s="171"/>
      <c r="V574" s="173" t="str">
        <f ca="1">"NPC available after "&amp;语言!$A$36&amp;" chapter 4
Moves to "&amp;语言!$A$348&amp;" after quest: "&amp;支线!$C$45</f>
        <v>NPC available after 赛拉斯 chapter 4
Moves to 阿特拉斯达姆 -王立学院- after quest: 玛莉公主，在那之后</v>
      </c>
      <c r="W574" s="168"/>
    </row>
    <row r="575" spans="1:23" ht="12.75" x14ac:dyDescent="0.2">
      <c r="A575" s="168"/>
      <c r="B575" s="472" t="str">
        <f ca="1">语言!$A$1773</f>
        <v>旧货商</v>
      </c>
      <c r="C575" s="554" t="b">
        <v>0</v>
      </c>
      <c r="D575" s="472" t="str">
        <f ca="1">"* "&amp;道具!$F$61</f>
        <v>* 冒险家的装备</v>
      </c>
      <c r="E575" s="554" t="b">
        <v>0</v>
      </c>
      <c r="F575" s="471" t="str">
        <f ca="1">语言!$A$33&amp;"
"&amp;道具!$C$538</f>
        <v>隐藏道具的资讯
睡眠花之叶</v>
      </c>
      <c r="G575" s="554" t="b">
        <v>0</v>
      </c>
      <c r="H575" s="556" t="s">
        <v>57</v>
      </c>
      <c r="I575" s="471">
        <v>3</v>
      </c>
      <c r="J575" s="471"/>
      <c r="K575" s="471"/>
      <c r="L575" s="471"/>
      <c r="M575" s="471"/>
      <c r="N575" s="471"/>
      <c r="O575" s="471" t="str">
        <f ca="1">道具!$C$264</f>
        <v>银制斧</v>
      </c>
      <c r="P575" s="554"/>
      <c r="Q575" s="556" t="s">
        <v>57</v>
      </c>
      <c r="R575" s="38"/>
      <c r="S575" s="38" t="str">
        <f ca="1">Summon!$I$52</f>
        <v>重拳</v>
      </c>
      <c r="T575" s="556">
        <v>8</v>
      </c>
      <c r="U575" s="554"/>
      <c r="V575" s="471" t="str">
        <f ca="1">"NPC available after "&amp;语言!$A$37&amp;" chapter 1"</f>
        <v>NPC available after 特蕾莎 chapter 1</v>
      </c>
      <c r="W575" s="168"/>
    </row>
    <row r="576" spans="1:23" ht="12.75" x14ac:dyDescent="0.2">
      <c r="A576" s="168"/>
      <c r="B576" s="555"/>
      <c r="C576" s="555"/>
      <c r="D576" s="555"/>
      <c r="E576" s="555"/>
      <c r="F576" s="555"/>
      <c r="G576" s="555"/>
      <c r="H576" s="555"/>
      <c r="I576" s="555"/>
      <c r="J576" s="555"/>
      <c r="K576" s="555"/>
      <c r="L576" s="555"/>
      <c r="M576" s="555"/>
      <c r="N576" s="555"/>
      <c r="O576" s="555"/>
      <c r="P576" s="555"/>
      <c r="Q576" s="555"/>
      <c r="R576" s="173"/>
      <c r="S576" s="173" t="str">
        <f ca="1">Summon!$I$4</f>
        <v>战斗</v>
      </c>
      <c r="T576" s="555"/>
      <c r="U576" s="555"/>
      <c r="V576" s="555"/>
      <c r="W576" s="168"/>
    </row>
    <row r="577" spans="1:23" ht="12.75" x14ac:dyDescent="0.2">
      <c r="A577" s="168"/>
      <c r="B577" s="472" t="str">
        <f ca="1">语言!$A$1820&amp;" (2)"</f>
        <v>商船船长雷欧 (2)</v>
      </c>
      <c r="C577" s="554" t="b">
        <v>0</v>
      </c>
      <c r="D577" s="472" t="str">
        <f ca="1">道具!$C$170</f>
        <v>历战之枪</v>
      </c>
      <c r="E577" s="554" t="b">
        <v>0</v>
      </c>
      <c r="F577" s="471" t="str">
        <f ca="1">语言!$A$23</f>
        <v>无</v>
      </c>
      <c r="G577" s="554" t="b">
        <v>0</v>
      </c>
      <c r="H577" s="556" t="s">
        <v>44</v>
      </c>
      <c r="I577" s="471">
        <v>6</v>
      </c>
      <c r="J577" s="471"/>
      <c r="K577" s="471"/>
      <c r="L577" s="471"/>
      <c r="M577" s="471"/>
      <c r="N577" s="471"/>
      <c r="O577" s="471" t="str">
        <f ca="1">道具!$C$174</f>
        <v>符文长柄刀</v>
      </c>
      <c r="P577" s="554"/>
      <c r="Q577" s="556" t="s">
        <v>44</v>
      </c>
      <c r="R577" s="38"/>
      <c r="S577" s="38" t="str">
        <f ca="1">Summon!$I$39</f>
        <v>神风５连突刺</v>
      </c>
      <c r="T577" s="556">
        <v>5</v>
      </c>
      <c r="U577" s="554"/>
      <c r="V577" s="471" t="str">
        <f ca="1">"NPC available after quest: "&amp;支线!$C$35</f>
        <v>NPC available after quest: 米克与马克，在那之后</v>
      </c>
      <c r="W577" s="168"/>
    </row>
    <row r="578" spans="1:23" ht="12.75" x14ac:dyDescent="0.2">
      <c r="A578" s="168"/>
      <c r="B578" s="371"/>
      <c r="C578" s="371"/>
      <c r="D578" s="371"/>
      <c r="E578" s="371"/>
      <c r="F578" s="371"/>
      <c r="G578" s="371"/>
      <c r="H578" s="371"/>
      <c r="I578" s="371"/>
      <c r="J578" s="371"/>
      <c r="K578" s="371"/>
      <c r="L578" s="371"/>
      <c r="M578" s="371"/>
      <c r="N578" s="371"/>
      <c r="O578" s="371"/>
      <c r="P578" s="371"/>
      <c r="Q578" s="371"/>
      <c r="R578" s="38"/>
      <c r="S578" s="38" t="str">
        <f ca="1">Summon!$I$36</f>
        <v>连环突刺</v>
      </c>
      <c r="T578" s="371"/>
      <c r="U578" s="371"/>
      <c r="V578" s="371"/>
      <c r="W578" s="168"/>
    </row>
    <row r="579" spans="1:23" ht="12.75" x14ac:dyDescent="0.2">
      <c r="A579" s="168"/>
      <c r="B579" s="555"/>
      <c r="C579" s="555"/>
      <c r="D579" s="555"/>
      <c r="E579" s="555"/>
      <c r="F579" s="555"/>
      <c r="G579" s="555"/>
      <c r="H579" s="555"/>
      <c r="I579" s="555"/>
      <c r="J579" s="555"/>
      <c r="K579" s="555"/>
      <c r="L579" s="555"/>
      <c r="M579" s="555"/>
      <c r="N579" s="555"/>
      <c r="O579" s="555"/>
      <c r="P579" s="555"/>
      <c r="Q579" s="555"/>
      <c r="R579" s="173"/>
      <c r="S579" s="173" t="str">
        <f ca="1">Summon!$I$34</f>
        <v>无双突刺</v>
      </c>
      <c r="T579" s="555"/>
      <c r="U579" s="555"/>
      <c r="V579" s="555"/>
      <c r="W579" s="168"/>
    </row>
    <row r="580" spans="1:23" ht="12.75" x14ac:dyDescent="0.2">
      <c r="A580" s="168"/>
      <c r="B580" s="480" t="str">
        <f ca="1">语言!$A$1975</f>
        <v>商人</v>
      </c>
      <c r="C580" s="168" t="b">
        <v>0</v>
      </c>
      <c r="D580" s="40" t="str">
        <f ca="1">道具!$C$20</f>
        <v>黑暗治疗药草</v>
      </c>
      <c r="E580" s="554"/>
      <c r="F580" s="559" t="s">
        <v>119</v>
      </c>
      <c r="G580" s="554"/>
      <c r="H580" s="559" t="s">
        <v>119</v>
      </c>
      <c r="I580" s="559" t="s">
        <v>119</v>
      </c>
      <c r="J580" s="559" t="s">
        <v>119</v>
      </c>
      <c r="K580" s="559" t="s">
        <v>119</v>
      </c>
      <c r="L580" s="559" t="s">
        <v>119</v>
      </c>
      <c r="M580" s="559" t="s">
        <v>119</v>
      </c>
      <c r="N580" s="559" t="s">
        <v>119</v>
      </c>
      <c r="O580" s="559" t="s">
        <v>119</v>
      </c>
      <c r="P580" s="554"/>
      <c r="Q580" s="559" t="s">
        <v>119</v>
      </c>
      <c r="R580" s="559" t="s">
        <v>119</v>
      </c>
      <c r="S580" s="559" t="s">
        <v>119</v>
      </c>
      <c r="T580" s="559" t="s">
        <v>119</v>
      </c>
      <c r="U580" s="554"/>
      <c r="V580" s="471" t="str">
        <f ca="1">"NPC available only during "&amp;语言!$A$37&amp;" Chapter 1 tale
Disapear as soon as you "&amp;语言!$A$46&amp;": *Sleepweed"</f>
        <v>NPC available only during 特蕾莎 Chapter 1 tale
Disapear as soon as you 购买: *Sleepweed</v>
      </c>
      <c r="W580" s="168"/>
    </row>
    <row r="581" spans="1:23" ht="12.75" x14ac:dyDescent="0.2">
      <c r="A581" s="168"/>
      <c r="B581" s="371"/>
      <c r="C581" s="168" t="b">
        <v>0</v>
      </c>
      <c r="D581" s="40" t="str">
        <f ca="1">道具!$C$21</f>
        <v>混乱治疗药草</v>
      </c>
      <c r="E581" s="371"/>
      <c r="F581" s="371"/>
      <c r="G581" s="371"/>
      <c r="H581" s="371"/>
      <c r="I581" s="371"/>
      <c r="J581" s="371"/>
      <c r="K581" s="371"/>
      <c r="L581" s="371"/>
      <c r="M581" s="371"/>
      <c r="N581" s="371"/>
      <c r="O581" s="371"/>
      <c r="P581" s="371"/>
      <c r="Q581" s="371"/>
      <c r="R581" s="371"/>
      <c r="S581" s="371"/>
      <c r="T581" s="371"/>
      <c r="U581" s="371"/>
      <c r="V581" s="371"/>
      <c r="W581" s="168"/>
    </row>
    <row r="582" spans="1:23" ht="12.75" x14ac:dyDescent="0.2">
      <c r="A582" s="168"/>
      <c r="B582" s="371"/>
      <c r="C582" s="168" t="b">
        <v>0</v>
      </c>
      <c r="D582" s="39" t="str">
        <f ca="1">道具!$C$91</f>
        <v>树木果实</v>
      </c>
      <c r="E582" s="371"/>
      <c r="F582" s="371"/>
      <c r="G582" s="371"/>
      <c r="H582" s="371"/>
      <c r="I582" s="371"/>
      <c r="J582" s="371"/>
      <c r="K582" s="371"/>
      <c r="L582" s="371"/>
      <c r="M582" s="371"/>
      <c r="N582" s="371"/>
      <c r="O582" s="371"/>
      <c r="P582" s="371"/>
      <c r="Q582" s="371"/>
      <c r="R582" s="371"/>
      <c r="S582" s="371"/>
      <c r="T582" s="371"/>
      <c r="U582" s="371"/>
      <c r="V582" s="371"/>
      <c r="W582" s="168"/>
    </row>
    <row r="583" spans="1:23" ht="12.75" x14ac:dyDescent="0.2">
      <c r="A583" s="168"/>
      <c r="B583" s="555"/>
      <c r="C583" s="171" t="b">
        <v>0</v>
      </c>
      <c r="D583" s="172" t="str">
        <f ca="1">道具!$C$84</f>
        <v>糖果</v>
      </c>
      <c r="E583" s="555"/>
      <c r="F583" s="555"/>
      <c r="G583" s="555"/>
      <c r="H583" s="555"/>
      <c r="I583" s="555"/>
      <c r="J583" s="555"/>
      <c r="K583" s="555"/>
      <c r="L583" s="555"/>
      <c r="M583" s="555"/>
      <c r="N583" s="555"/>
      <c r="O583" s="555"/>
      <c r="P583" s="555"/>
      <c r="Q583" s="555"/>
      <c r="R583" s="555"/>
      <c r="S583" s="555"/>
      <c r="T583" s="555"/>
      <c r="U583" s="555"/>
      <c r="V583" s="555"/>
      <c r="W583" s="168"/>
    </row>
    <row r="584" spans="1:23" ht="12.75" x14ac:dyDescent="0.2">
      <c r="A584" s="168"/>
      <c r="B584" s="480" t="str">
        <f ca="1">语言!$A$1975</f>
        <v>商人</v>
      </c>
      <c r="C584" s="168" t="b">
        <v>0</v>
      </c>
      <c r="D584" s="40" t="str">
        <f ca="1">道具!$C$23</f>
        <v>恐怖治疗药草</v>
      </c>
      <c r="E584" s="554"/>
      <c r="F584" s="559" t="s">
        <v>119</v>
      </c>
      <c r="G584" s="554"/>
      <c r="H584" s="559" t="s">
        <v>119</v>
      </c>
      <c r="I584" s="559" t="s">
        <v>119</v>
      </c>
      <c r="J584" s="559" t="s">
        <v>119</v>
      </c>
      <c r="K584" s="559" t="s">
        <v>119</v>
      </c>
      <c r="L584" s="559" t="s">
        <v>119</v>
      </c>
      <c r="M584" s="559" t="s">
        <v>119</v>
      </c>
      <c r="N584" s="559" t="s">
        <v>119</v>
      </c>
      <c r="O584" s="559" t="s">
        <v>119</v>
      </c>
      <c r="P584" s="554"/>
      <c r="Q584" s="559" t="s">
        <v>119</v>
      </c>
      <c r="R584" s="559" t="s">
        <v>119</v>
      </c>
      <c r="S584" s="559" t="s">
        <v>119</v>
      </c>
      <c r="T584" s="559" t="s">
        <v>119</v>
      </c>
      <c r="U584" s="554"/>
      <c r="V584" s="471" t="str">
        <f ca="1">"NPC available only during "&amp;语言!$A$37&amp;" Chapter 1 tale
Disapear as soon as you "&amp;语言!$A$46&amp;": *Sleepweed"</f>
        <v>NPC available only during 特蕾莎 Chapter 1 tale
Disapear as soon as you 购买: *Sleepweed</v>
      </c>
      <c r="W584" s="168"/>
    </row>
    <row r="585" spans="1:23" ht="12.75" x14ac:dyDescent="0.2">
      <c r="A585" s="168"/>
      <c r="B585" s="371"/>
      <c r="C585" s="168" t="b">
        <v>0</v>
      </c>
      <c r="D585" s="40" t="str">
        <f ca="1">道具!$C$86</f>
        <v>手帕</v>
      </c>
      <c r="E585" s="371"/>
      <c r="F585" s="371"/>
      <c r="G585" s="371"/>
      <c r="H585" s="371"/>
      <c r="I585" s="371"/>
      <c r="J585" s="371"/>
      <c r="K585" s="371"/>
      <c r="L585" s="371"/>
      <c r="M585" s="371"/>
      <c r="N585" s="371"/>
      <c r="O585" s="371"/>
      <c r="P585" s="371"/>
      <c r="Q585" s="371"/>
      <c r="R585" s="371"/>
      <c r="S585" s="371"/>
      <c r="T585" s="371"/>
      <c r="U585" s="371"/>
      <c r="V585" s="371"/>
      <c r="W585" s="168"/>
    </row>
    <row r="586" spans="1:23" ht="12.75" x14ac:dyDescent="0.2">
      <c r="A586" s="168"/>
      <c r="B586" s="555"/>
      <c r="C586" s="171" t="b">
        <v>0</v>
      </c>
      <c r="D586" s="172" t="str">
        <f ca="1">道具!$C$87</f>
        <v>小酒壶</v>
      </c>
      <c r="E586" s="555"/>
      <c r="F586" s="555"/>
      <c r="G586" s="555"/>
      <c r="H586" s="555"/>
      <c r="I586" s="555"/>
      <c r="J586" s="555"/>
      <c r="K586" s="555"/>
      <c r="L586" s="555"/>
      <c r="M586" s="555"/>
      <c r="N586" s="555"/>
      <c r="O586" s="555"/>
      <c r="P586" s="555"/>
      <c r="Q586" s="555"/>
      <c r="R586" s="555"/>
      <c r="S586" s="555"/>
      <c r="T586" s="555"/>
      <c r="U586" s="555"/>
      <c r="V586" s="555"/>
      <c r="W586" s="168"/>
    </row>
    <row r="587" spans="1:23" ht="12.75" x14ac:dyDescent="0.2">
      <c r="A587" s="168"/>
      <c r="B587" s="480" t="str">
        <f ca="1">语言!$A$1975</f>
        <v>商人</v>
      </c>
      <c r="C587" s="168" t="b">
        <v>0</v>
      </c>
      <c r="D587" s="40" t="str">
        <f ca="1">"* "&amp;道具!$F$10</f>
        <v>* 睡眠草</v>
      </c>
      <c r="E587" s="554"/>
      <c r="F587" s="559" t="s">
        <v>119</v>
      </c>
      <c r="G587" s="554"/>
      <c r="H587" s="559" t="s">
        <v>119</v>
      </c>
      <c r="I587" s="559" t="s">
        <v>119</v>
      </c>
      <c r="J587" s="559" t="s">
        <v>119</v>
      </c>
      <c r="K587" s="559" t="s">
        <v>119</v>
      </c>
      <c r="L587" s="559" t="s">
        <v>119</v>
      </c>
      <c r="M587" s="559" t="s">
        <v>119</v>
      </c>
      <c r="N587" s="559" t="s">
        <v>119</v>
      </c>
      <c r="O587" s="559" t="s">
        <v>119</v>
      </c>
      <c r="P587" s="554"/>
      <c r="Q587" s="559" t="s">
        <v>119</v>
      </c>
      <c r="R587" s="559" t="s">
        <v>119</v>
      </c>
      <c r="S587" s="559" t="s">
        <v>119</v>
      </c>
      <c r="T587" s="559" t="s">
        <v>119</v>
      </c>
      <c r="U587" s="554"/>
      <c r="V587" s="471" t="str">
        <f ca="1">"NPC available only during "&amp;语言!$A$37&amp;" Chapter 1 tale
Disapear as soon as you "&amp;语言!$A$46&amp;": *Sleepweed"</f>
        <v>NPC available only during 特蕾莎 Chapter 1 tale
Disapear as soon as you 购买: *Sleepweed</v>
      </c>
      <c r="W587" s="168"/>
    </row>
    <row r="588" spans="1:23" ht="12.75" x14ac:dyDescent="0.2">
      <c r="A588" s="168"/>
      <c r="B588" s="555"/>
      <c r="C588" s="171" t="b">
        <v>0</v>
      </c>
      <c r="D588" s="172" t="str">
        <f ca="1">道具!$C$3</f>
        <v>ＨＰ恢复的葡萄</v>
      </c>
      <c r="E588" s="555"/>
      <c r="F588" s="555"/>
      <c r="G588" s="555"/>
      <c r="H588" s="555"/>
      <c r="I588" s="555"/>
      <c r="J588" s="555"/>
      <c r="K588" s="555"/>
      <c r="L588" s="555"/>
      <c r="M588" s="555"/>
      <c r="N588" s="555"/>
      <c r="O588" s="555"/>
      <c r="P588" s="555"/>
      <c r="Q588" s="555"/>
      <c r="R588" s="555"/>
      <c r="S588" s="555"/>
      <c r="T588" s="555"/>
      <c r="U588" s="555"/>
      <c r="V588" s="555"/>
      <c r="W588" s="168"/>
    </row>
    <row r="589" spans="1:23" ht="12.75" x14ac:dyDescent="0.2">
      <c r="A589" s="168"/>
      <c r="B589" s="472" t="str">
        <f ca="1">语言!$A$1931</f>
        <v>爱说话的商人</v>
      </c>
      <c r="C589" s="168" t="b">
        <v>0</v>
      </c>
      <c r="D589" s="40" t="str">
        <f ca="1">道具!$C$537</f>
        <v>毒利米树之叶</v>
      </c>
      <c r="E589" s="554" t="b">
        <v>0</v>
      </c>
      <c r="F589" s="471" t="str">
        <f ca="1">语言!$A$23</f>
        <v>无</v>
      </c>
      <c r="G589" s="554" t="b">
        <v>0</v>
      </c>
      <c r="H589" s="556" t="s">
        <v>57</v>
      </c>
      <c r="I589" s="471">
        <v>3</v>
      </c>
      <c r="J589" s="471"/>
      <c r="K589" s="471"/>
      <c r="L589" s="471"/>
      <c r="M589" s="471"/>
      <c r="N589" s="471"/>
      <c r="O589" s="471" t="str">
        <f ca="1">道具!$C$19</f>
        <v>沉默治疗药草</v>
      </c>
      <c r="P589" s="554"/>
      <c r="Q589" s="556" t="s">
        <v>57</v>
      </c>
      <c r="R589" s="38"/>
      <c r="S589" s="38" t="str">
        <f ca="1">Summon!$I$147</f>
        <v>混乱药</v>
      </c>
      <c r="T589" s="556">
        <v>8</v>
      </c>
      <c r="U589" s="554"/>
      <c r="V589" s="471" t="str">
        <f ca="1">"NPC available after "&amp;语言!$A$37&amp;" chapter 1"</f>
        <v>NPC available after 特蕾莎 chapter 1</v>
      </c>
      <c r="W589" s="168"/>
    </row>
    <row r="590" spans="1:23" ht="12.75" x14ac:dyDescent="0.2">
      <c r="A590" s="168"/>
      <c r="B590" s="371"/>
      <c r="C590" s="168" t="b">
        <v>0</v>
      </c>
      <c r="D590" s="40" t="str">
        <f ca="1">道具!$C$538</f>
        <v>睡眠花之叶</v>
      </c>
      <c r="E590" s="371"/>
      <c r="F590" s="371"/>
      <c r="G590" s="371"/>
      <c r="H590" s="371"/>
      <c r="I590" s="371"/>
      <c r="J590" s="371"/>
      <c r="K590" s="371"/>
      <c r="L590" s="371"/>
      <c r="M590" s="371"/>
      <c r="N590" s="371"/>
      <c r="O590" s="371"/>
      <c r="P590" s="371"/>
      <c r="Q590" s="371"/>
      <c r="R590" s="38"/>
      <c r="S590" s="38" t="str">
        <f ca="1">Summon!$I$4</f>
        <v>战斗</v>
      </c>
      <c r="T590" s="371"/>
      <c r="U590" s="371"/>
      <c r="V590" s="371"/>
      <c r="W590" s="168"/>
    </row>
    <row r="591" spans="1:23" ht="12.75" x14ac:dyDescent="0.2">
      <c r="A591" s="168"/>
      <c r="B591" s="555"/>
      <c r="C591" s="171" t="b">
        <v>0</v>
      </c>
      <c r="D591" s="172" t="str">
        <f ca="1">道具!$C$539</f>
        <v>混乱多之叶</v>
      </c>
      <c r="E591" s="555"/>
      <c r="F591" s="555"/>
      <c r="G591" s="555"/>
      <c r="H591" s="555"/>
      <c r="I591" s="555"/>
      <c r="J591" s="555"/>
      <c r="K591" s="555"/>
      <c r="L591" s="555"/>
      <c r="M591" s="555"/>
      <c r="N591" s="555"/>
      <c r="O591" s="555"/>
      <c r="P591" s="555"/>
      <c r="Q591" s="555"/>
      <c r="R591" s="173"/>
      <c r="S591" s="173"/>
      <c r="T591" s="555"/>
      <c r="U591" s="555"/>
      <c r="V591" s="555"/>
      <c r="W591" s="168"/>
    </row>
    <row r="592" spans="1:23" ht="25.5" x14ac:dyDescent="0.2">
      <c r="A592" s="168"/>
      <c r="B592" s="472" t="str">
        <f ca="1">语言!$A$1952&amp;" (1)"</f>
        <v>卢・曼 (1)</v>
      </c>
      <c r="C592" s="168" t="b">
        <v>0</v>
      </c>
      <c r="D592" s="40" t="str">
        <f ca="1">道具!$C$115</f>
        <v>简单！冒险者入门</v>
      </c>
      <c r="E592" s="554" t="b">
        <v>0</v>
      </c>
      <c r="F592" s="471" t="str">
        <f ca="1">语言!$A$23</f>
        <v>无</v>
      </c>
      <c r="G592" s="554" t="b">
        <v>0</v>
      </c>
      <c r="H592" s="556" t="s">
        <v>45</v>
      </c>
      <c r="I592" s="471">
        <v>2</v>
      </c>
      <c r="J592" s="471"/>
      <c r="K592" s="471"/>
      <c r="L592" s="471"/>
      <c r="M592" s="471"/>
      <c r="N592" s="471"/>
      <c r="O592" s="471" t="str">
        <f ca="1">道具!$C$9</f>
        <v>ＢＰ恢复的石榴</v>
      </c>
      <c r="P592" s="554"/>
      <c r="Q592" s="556" t="s">
        <v>45</v>
      </c>
      <c r="R592" s="38"/>
      <c r="S592" s="38" t="str">
        <f ca="1">Summon!$I$73</f>
        <v>拳骨</v>
      </c>
      <c r="T592" s="556">
        <v>9</v>
      </c>
      <c r="U592" s="554"/>
      <c r="V592" s="471" t="str">
        <f ca="1">"NPC available after "&amp;语言!$A$37&amp;" chapter 1
Moves to "&amp;语言!$A$372&amp;" after quest: "&amp;支线!$C$43</f>
        <v>NPC available after 特蕾莎 chapter 1
Moves to 葛鲁德修亚 after quest: 冒险家卢・曼（１）</v>
      </c>
      <c r="W592" s="168"/>
    </row>
    <row r="593" spans="1:23" ht="12.75" x14ac:dyDescent="0.2">
      <c r="A593" s="168"/>
      <c r="B593" s="371"/>
      <c r="C593" s="168" t="b">
        <v>0</v>
      </c>
      <c r="D593" s="40" t="str">
        <f ca="1">道具!$C$126</f>
        <v>旧硬币</v>
      </c>
      <c r="E593" s="371"/>
      <c r="F593" s="371"/>
      <c r="G593" s="371"/>
      <c r="H593" s="371"/>
      <c r="I593" s="371"/>
      <c r="J593" s="371"/>
      <c r="K593" s="371"/>
      <c r="L593" s="371"/>
      <c r="M593" s="371"/>
      <c r="N593" s="371"/>
      <c r="O593" s="371"/>
      <c r="P593" s="371"/>
      <c r="Q593" s="371"/>
      <c r="R593" s="38"/>
      <c r="S593" s="38" t="str">
        <f ca="1">Summon!$I$74</f>
        <v>殴打</v>
      </c>
      <c r="T593" s="371"/>
      <c r="U593" s="371"/>
      <c r="V593" s="371"/>
      <c r="W593" s="168"/>
    </row>
    <row r="594" spans="1:23" ht="12.75" x14ac:dyDescent="0.2">
      <c r="A594" s="168"/>
      <c r="B594" s="555"/>
      <c r="C594" s="171" t="b">
        <v>0</v>
      </c>
      <c r="D594" s="172" t="str">
        <f ca="1">道具!$C$101</f>
        <v>铜制提灯</v>
      </c>
      <c r="E594" s="555"/>
      <c r="F594" s="555"/>
      <c r="G594" s="555"/>
      <c r="H594" s="555"/>
      <c r="I594" s="555"/>
      <c r="J594" s="555"/>
      <c r="K594" s="555"/>
      <c r="L594" s="555"/>
      <c r="M594" s="555"/>
      <c r="N594" s="555"/>
      <c r="O594" s="555"/>
      <c r="P594" s="555"/>
      <c r="Q594" s="555"/>
      <c r="R594" s="173"/>
      <c r="S594" s="173" t="str">
        <f ca="1">Summon!$I$75</f>
        <v>脚踢</v>
      </c>
      <c r="T594" s="555"/>
      <c r="U594" s="555"/>
      <c r="V594" s="555"/>
      <c r="W594" s="168"/>
    </row>
    <row r="595" spans="1:23" ht="12.75" x14ac:dyDescent="0.2">
      <c r="A595" s="168"/>
      <c r="B595" s="472" t="str">
        <f ca="1">语言!$A$2129&amp;" (2)"</f>
        <v>来自卡拉戈沙的女子 (2)</v>
      </c>
      <c r="C595" s="168" t="b">
        <v>0</v>
      </c>
      <c r="D595" s="40" t="str">
        <f ca="1">道具!$C$530</f>
        <v>秘药的素材</v>
      </c>
      <c r="E595" s="554" t="b">
        <v>0</v>
      </c>
      <c r="F595" s="471" t="str">
        <f ca="1">语言!$A$23</f>
        <v>无</v>
      </c>
      <c r="G595" s="554" t="b">
        <v>0</v>
      </c>
      <c r="H595" s="556" t="s">
        <v>48</v>
      </c>
      <c r="I595" s="471">
        <v>2</v>
      </c>
      <c r="J595" s="471"/>
      <c r="K595" s="471"/>
      <c r="L595" s="471"/>
      <c r="M595" s="471"/>
      <c r="N595" s="471"/>
      <c r="O595" s="471" t="str">
        <f ca="1">道具!$C$18</f>
        <v>毒治疗药草</v>
      </c>
      <c r="P595" s="554"/>
      <c r="Q595" s="556" t="s">
        <v>48</v>
      </c>
      <c r="R595" s="38"/>
      <c r="S595" s="38" t="str">
        <f ca="1">Summon!$I$48</f>
        <v>连掷短剑</v>
      </c>
      <c r="T595" s="556">
        <v>9</v>
      </c>
      <c r="U595" s="554"/>
      <c r="V595" s="471" t="str">
        <f ca="1">"NPC at this location after quest: "&amp;支线!$C$54&amp;" ("&amp;语言!$A$44&amp;" / "&amp;语言!$A$48&amp;" solution only)"</f>
        <v>NPC at this location after quest: 异国的香氛 (引导 / 诱惑 solution only)</v>
      </c>
      <c r="W595" s="168"/>
    </row>
    <row r="596" spans="1:23" ht="12.75" x14ac:dyDescent="0.2">
      <c r="A596" s="168"/>
      <c r="B596" s="555"/>
      <c r="C596" s="171" t="b">
        <v>0</v>
      </c>
      <c r="D596" s="172" t="str">
        <f ca="1">道具!$C$7</f>
        <v>ＳＰ恢复的李子（大）</v>
      </c>
      <c r="E596" s="555"/>
      <c r="F596" s="555"/>
      <c r="G596" s="555"/>
      <c r="H596" s="555"/>
      <c r="I596" s="555"/>
      <c r="J596" s="555"/>
      <c r="K596" s="555"/>
      <c r="L596" s="555"/>
      <c r="M596" s="555"/>
      <c r="N596" s="555"/>
      <c r="O596" s="555"/>
      <c r="P596" s="555"/>
      <c r="Q596" s="555"/>
      <c r="R596" s="173"/>
      <c r="S596" s="173" t="str">
        <f ca="1">Summon!$I$4</f>
        <v>战斗</v>
      </c>
      <c r="T596" s="555"/>
      <c r="U596" s="555"/>
      <c r="V596" s="555"/>
      <c r="W596" s="168"/>
    </row>
    <row r="597" spans="1:23" ht="12.75" x14ac:dyDescent="0.2">
      <c r="A597" s="168"/>
      <c r="B597" s="472" t="str">
        <f ca="1">语言!$A$1823</f>
        <v>卡拉邦的男子</v>
      </c>
      <c r="C597" s="168" t="b">
        <v>0</v>
      </c>
      <c r="D597" s="40" t="str">
        <f ca="1">道具!$C$4</f>
        <v>ＨＰ恢复的葡萄（大）</v>
      </c>
      <c r="E597" s="554" t="b">
        <v>0</v>
      </c>
      <c r="F597" s="471" t="str">
        <f ca="1">语言!$A$23</f>
        <v>无</v>
      </c>
      <c r="G597" s="554" t="b">
        <v>0</v>
      </c>
      <c r="H597" s="556" t="s">
        <v>57</v>
      </c>
      <c r="I597" s="471">
        <v>3</v>
      </c>
      <c r="J597" s="471"/>
      <c r="K597" s="471"/>
      <c r="L597" s="471"/>
      <c r="M597" s="471"/>
      <c r="N597" s="471"/>
      <c r="O597" s="471" t="str">
        <f ca="1">道具!$C$9</f>
        <v>ＢＰ恢复的石榴</v>
      </c>
      <c r="P597" s="554"/>
      <c r="Q597" s="556" t="s">
        <v>57</v>
      </c>
      <c r="R597" s="38"/>
      <c r="S597" s="38" t="str">
        <f ca="1">Summon!$I$21</f>
        <v>乱斩</v>
      </c>
      <c r="T597" s="556">
        <v>8</v>
      </c>
      <c r="U597" s="554"/>
      <c r="V597" s="471" t="str">
        <f ca="1">"NPC available after "&amp;语言!$A$37&amp;" chapter 1
"&amp;语言!$A$44&amp;" / "&amp;语言!$A$48&amp;" available after quest: "&amp;支线!$C$54&amp;" ("&amp;语言!$A$44&amp;" / "&amp;语言!$A$48&amp;" solution only)"</f>
        <v>NPC available after 特蕾莎 chapter 1
引导 / 诱惑 available after quest: 异国的香氛 (引导 / 诱惑 solution only)</v>
      </c>
      <c r="W597" s="168"/>
    </row>
    <row r="598" spans="1:23" ht="12.75" x14ac:dyDescent="0.2">
      <c r="A598" s="168"/>
      <c r="B598" s="371"/>
      <c r="C598" s="168" t="b">
        <v>0</v>
      </c>
      <c r="D598" s="40" t="str">
        <f ca="1">道具!$C$7</f>
        <v>ＳＰ恢复的李子（大）</v>
      </c>
      <c r="E598" s="371"/>
      <c r="F598" s="371"/>
      <c r="G598" s="371"/>
      <c r="H598" s="371"/>
      <c r="I598" s="371"/>
      <c r="J598" s="371"/>
      <c r="K598" s="371"/>
      <c r="L598" s="371"/>
      <c r="M598" s="371"/>
      <c r="N598" s="371"/>
      <c r="O598" s="371"/>
      <c r="P598" s="371"/>
      <c r="Q598" s="371"/>
      <c r="R598" s="38"/>
      <c r="S598" s="38" t="str">
        <f ca="1">Summon!$I$4</f>
        <v>战斗</v>
      </c>
      <c r="T598" s="371"/>
      <c r="U598" s="371"/>
      <c r="V598" s="371"/>
      <c r="W598" s="168"/>
    </row>
    <row r="599" spans="1:23" ht="12.75" x14ac:dyDescent="0.2">
      <c r="A599" s="168"/>
      <c r="B599" s="555"/>
      <c r="C599" s="171" t="b">
        <v>0</v>
      </c>
      <c r="D599" s="172" t="str">
        <f ca="1">道具!$C$16</f>
        <v>复活的橄榄（大）</v>
      </c>
      <c r="E599" s="555"/>
      <c r="F599" s="555"/>
      <c r="G599" s="555"/>
      <c r="H599" s="555"/>
      <c r="I599" s="555"/>
      <c r="J599" s="555"/>
      <c r="K599" s="555"/>
      <c r="L599" s="555"/>
      <c r="M599" s="555"/>
      <c r="N599" s="555"/>
      <c r="O599" s="555"/>
      <c r="P599" s="555"/>
      <c r="Q599" s="555"/>
      <c r="R599" s="173"/>
      <c r="S599" s="173"/>
      <c r="T599" s="555"/>
      <c r="U599" s="555"/>
      <c r="V599" s="555"/>
      <c r="W599" s="168"/>
    </row>
    <row r="600" spans="1:23" ht="12.75" x14ac:dyDescent="0.2">
      <c r="A600" s="168"/>
      <c r="B600" s="472" t="str">
        <f ca="1">语言!$A$2102</f>
        <v>市民</v>
      </c>
      <c r="C600" s="168" t="b">
        <v>0</v>
      </c>
      <c r="D600" s="40" t="str">
        <f ca="1">道具!$C$199</f>
        <v>纪念鱼叉</v>
      </c>
      <c r="E600" s="554" t="b">
        <v>0</v>
      </c>
      <c r="F600" s="471" t="str">
        <f ca="1">语言!$A$24</f>
        <v>旅店的折扣资讯</v>
      </c>
      <c r="G600" s="554" t="b">
        <v>0</v>
      </c>
      <c r="H600" s="556" t="s">
        <v>46</v>
      </c>
      <c r="I600" s="471">
        <v>3</v>
      </c>
      <c r="J600" s="471"/>
      <c r="K600" s="471"/>
      <c r="L600" s="471"/>
      <c r="M600" s="471"/>
      <c r="N600" s="471"/>
      <c r="O600" s="471" t="str">
        <f ca="1">道具!$C$21</f>
        <v>混乱治疗药草</v>
      </c>
      <c r="P600" s="554"/>
      <c r="Q600" s="556" t="s">
        <v>46</v>
      </c>
      <c r="R600" s="38"/>
      <c r="S600" s="38" t="str">
        <f ca="1">Summon!$I$80</f>
        <v>大火焰魔法</v>
      </c>
      <c r="T600" s="556">
        <v>8</v>
      </c>
      <c r="U600" s="554"/>
      <c r="V600" s="471" t="str">
        <f ca="1">道具!$C$199&amp;" Not for Sale"</f>
        <v>纪念鱼叉 Not for Sale</v>
      </c>
      <c r="W600" s="168"/>
    </row>
    <row r="601" spans="1:23" ht="12.75" x14ac:dyDescent="0.2">
      <c r="A601" s="168"/>
      <c r="B601" s="371"/>
      <c r="C601" s="168" t="b">
        <v>0</v>
      </c>
      <c r="D601" s="40" t="str">
        <f ca="1">道具!$C$72</f>
        <v>增强回避的坚果</v>
      </c>
      <c r="E601" s="371"/>
      <c r="F601" s="371"/>
      <c r="G601" s="371"/>
      <c r="H601" s="371"/>
      <c r="I601" s="371"/>
      <c r="J601" s="371"/>
      <c r="K601" s="371"/>
      <c r="L601" s="371"/>
      <c r="M601" s="371"/>
      <c r="N601" s="371"/>
      <c r="O601" s="371"/>
      <c r="P601" s="371"/>
      <c r="Q601" s="371"/>
      <c r="R601" s="38"/>
      <c r="S601" s="38" t="str">
        <f ca="1">Summon!$I$78</f>
        <v>火焰魔法</v>
      </c>
      <c r="T601" s="371"/>
      <c r="U601" s="371"/>
      <c r="V601" s="371"/>
      <c r="W601" s="168"/>
    </row>
    <row r="602" spans="1:23" ht="12.75" x14ac:dyDescent="0.2">
      <c r="A602" s="168"/>
      <c r="B602" s="371"/>
      <c r="C602" s="168"/>
      <c r="D602" s="40"/>
      <c r="E602" s="371"/>
      <c r="F602" s="371"/>
      <c r="G602" s="371"/>
      <c r="H602" s="371"/>
      <c r="I602" s="371"/>
      <c r="J602" s="371"/>
      <c r="K602" s="371"/>
      <c r="L602" s="371"/>
      <c r="M602" s="371"/>
      <c r="N602" s="371"/>
      <c r="O602" s="371"/>
      <c r="P602" s="371"/>
      <c r="Q602" s="371"/>
      <c r="R602" s="38"/>
      <c r="S602" s="38" t="str">
        <f ca="1">Summon!$I$4</f>
        <v>战斗</v>
      </c>
      <c r="T602" s="371"/>
      <c r="U602" s="371"/>
      <c r="V602" s="371"/>
      <c r="W602" s="168"/>
    </row>
    <row r="603" spans="1:23" ht="12.75" x14ac:dyDescent="0.2">
      <c r="A603" s="168"/>
      <c r="B603" s="552" t="str">
        <f ca="1">语言!$A$369</f>
        <v>波隐岩窟</v>
      </c>
      <c r="C603" s="371"/>
      <c r="D603" s="371"/>
      <c r="E603" s="371"/>
      <c r="F603" s="371"/>
      <c r="G603" s="371"/>
      <c r="H603" s="371"/>
      <c r="I603" s="371"/>
      <c r="J603" s="371"/>
      <c r="K603" s="371"/>
      <c r="L603" s="371"/>
      <c r="M603" s="371"/>
      <c r="N603" s="371"/>
      <c r="O603" s="371"/>
      <c r="P603" s="371"/>
      <c r="Q603" s="371"/>
      <c r="R603" s="371"/>
      <c r="S603" s="371"/>
      <c r="T603" s="371"/>
      <c r="U603" s="371"/>
      <c r="V603" s="371"/>
      <c r="W603" s="168"/>
    </row>
    <row r="604" spans="1:23" ht="12.75" x14ac:dyDescent="0.2">
      <c r="A604" s="168"/>
      <c r="B604" s="472" t="str">
        <f ca="1">语言!$A$2029&amp;" (1)"</f>
        <v>保罗 (1)</v>
      </c>
      <c r="C604" s="168" t="b">
        <v>0</v>
      </c>
      <c r="D604" s="40" t="str">
        <f ca="1">道具!$C$538</f>
        <v>睡眠花之叶</v>
      </c>
      <c r="E604" s="554" t="b">
        <v>0</v>
      </c>
      <c r="F604" s="471" t="str">
        <f ca="1">语言!$A$23</f>
        <v>无</v>
      </c>
      <c r="G604" s="554" t="b">
        <v>0</v>
      </c>
      <c r="H604" s="556" t="s">
        <v>49</v>
      </c>
      <c r="I604" s="471">
        <v>4</v>
      </c>
      <c r="J604" s="471"/>
      <c r="K604" s="471"/>
      <c r="L604" s="471"/>
      <c r="M604" s="471"/>
      <c r="N604" s="471"/>
      <c r="O604" s="471" t="str">
        <f ca="1">道具!$C$537</f>
        <v>毒利米树之叶</v>
      </c>
      <c r="P604" s="554"/>
      <c r="Q604" s="556" t="s">
        <v>49</v>
      </c>
      <c r="R604" s="38"/>
      <c r="S604" s="38" t="str">
        <f ca="1">Summon!$I$91</f>
        <v>大雷击魔法</v>
      </c>
      <c r="T604" s="556">
        <v>7</v>
      </c>
      <c r="U604" s="554"/>
      <c r="V604" s="471" t="str">
        <f ca="1">"NPC available after "&amp;语言!$A$36&amp;" chapter 4
Moves to "&amp;语言!$A$348&amp;" after quest: "&amp;支线!$C$45</f>
        <v>NPC available after 赛拉斯 chapter 4
Moves to 阿特拉斯达姆 -王立学院- after quest: 玛莉公主，在那之后</v>
      </c>
      <c r="W604" s="168"/>
    </row>
    <row r="605" spans="1:23" ht="12.75" x14ac:dyDescent="0.2">
      <c r="A605" s="168"/>
      <c r="B605" s="371"/>
      <c r="C605" s="168" t="b">
        <v>0</v>
      </c>
      <c r="D605" s="40" t="str">
        <f ca="1">道具!$C$497</f>
        <v>精神耳环</v>
      </c>
      <c r="E605" s="371"/>
      <c r="F605" s="371"/>
      <c r="G605" s="371"/>
      <c r="H605" s="371"/>
      <c r="I605" s="371"/>
      <c r="J605" s="371"/>
      <c r="K605" s="371"/>
      <c r="L605" s="371"/>
      <c r="M605" s="371"/>
      <c r="N605" s="371"/>
      <c r="O605" s="371"/>
      <c r="P605" s="371"/>
      <c r="Q605" s="371"/>
      <c r="R605" s="38"/>
      <c r="S605" s="38" t="str">
        <f ca="1">Summon!$I$90</f>
        <v>雷击魔法</v>
      </c>
      <c r="T605" s="371"/>
      <c r="U605" s="371"/>
      <c r="V605" s="371"/>
      <c r="W605" s="168"/>
    </row>
    <row r="606" spans="1:23" ht="12.75" x14ac:dyDescent="0.2">
      <c r="A606" s="168"/>
      <c r="B606" s="555"/>
      <c r="C606" s="171"/>
      <c r="D606" s="172"/>
      <c r="E606" s="555"/>
      <c r="F606" s="555"/>
      <c r="G606" s="555"/>
      <c r="H606" s="555"/>
      <c r="I606" s="555"/>
      <c r="J606" s="555"/>
      <c r="K606" s="555"/>
      <c r="L606" s="555"/>
      <c r="M606" s="555"/>
      <c r="N606" s="555"/>
      <c r="O606" s="555"/>
      <c r="P606" s="555"/>
      <c r="Q606" s="555"/>
      <c r="R606" s="173"/>
      <c r="S606" s="173" t="str">
        <f ca="1">Summon!$I$4</f>
        <v>战斗</v>
      </c>
      <c r="T606" s="555"/>
      <c r="U606" s="555"/>
      <c r="V606" s="555"/>
      <c r="W606" s="168"/>
    </row>
    <row r="607" spans="1:23" ht="12.75" x14ac:dyDescent="0.2">
      <c r="A607" s="168"/>
      <c r="B607" s="472" t="str">
        <f ca="1">语言!$A$2115</f>
        <v>药师凡妮莎</v>
      </c>
      <c r="C607" s="168" t="b">
        <v>0</v>
      </c>
      <c r="D607" s="40" t="str">
        <f ca="1">道具!$C$17</f>
        <v>复活的橄榄（特大）</v>
      </c>
      <c r="E607" s="554" t="b">
        <v>0</v>
      </c>
      <c r="F607" s="471" t="str">
        <f ca="1">语言!$A$23</f>
        <v>无</v>
      </c>
      <c r="G607" s="554" t="b">
        <v>0</v>
      </c>
      <c r="H607" s="556" t="s">
        <v>49</v>
      </c>
      <c r="I607" s="471">
        <v>4</v>
      </c>
      <c r="J607" s="471"/>
      <c r="K607" s="471"/>
      <c r="L607" s="471"/>
      <c r="M607" s="471"/>
      <c r="N607" s="471"/>
      <c r="O607" s="471" t="str">
        <f ca="1">道具!$C$16</f>
        <v>复活的橄榄（大）</v>
      </c>
      <c r="P607" s="554"/>
      <c r="Q607" s="556" t="s">
        <v>49</v>
      </c>
      <c r="R607" s="38"/>
      <c r="S607" s="38" t="str">
        <f ca="1">Summon!$I$115</f>
        <v>调和「炸裂爆药」</v>
      </c>
      <c r="T607" s="556">
        <v>7</v>
      </c>
      <c r="U607" s="554"/>
      <c r="V607" s="471" t="str">
        <f ca="1">"NPC available after "&amp;语言!$A$40&amp;" chapter 4"</f>
        <v>NPC available after 亚芬 chapter 4</v>
      </c>
      <c r="W607" s="168"/>
    </row>
    <row r="608" spans="1:23" ht="12.75" x14ac:dyDescent="0.2">
      <c r="A608" s="168"/>
      <c r="B608" s="371"/>
      <c r="C608" s="168" t="b">
        <v>0</v>
      </c>
      <c r="D608" s="40" t="str">
        <f ca="1">道具!$C$537</f>
        <v>毒利米树之叶</v>
      </c>
      <c r="E608" s="371"/>
      <c r="F608" s="371"/>
      <c r="G608" s="371"/>
      <c r="H608" s="371"/>
      <c r="I608" s="371"/>
      <c r="J608" s="371"/>
      <c r="K608" s="371"/>
      <c r="L608" s="371"/>
      <c r="M608" s="371"/>
      <c r="N608" s="371"/>
      <c r="O608" s="371"/>
      <c r="P608" s="371"/>
      <c r="Q608" s="371"/>
      <c r="R608" s="38"/>
      <c r="S608" s="38" t="str">
        <f ca="1">Summon!$I$146</f>
        <v>调和「睡眠药」</v>
      </c>
      <c r="T608" s="371"/>
      <c r="U608" s="371"/>
      <c r="V608" s="371"/>
      <c r="W608" s="168"/>
    </row>
    <row r="609" spans="1:23" ht="25.5" x14ac:dyDescent="0.2">
      <c r="A609" s="168"/>
      <c r="B609" s="371"/>
      <c r="C609" s="168" t="b">
        <v>0</v>
      </c>
      <c r="D609" s="40" t="str">
        <f ca="1">道具!$C$202</f>
        <v>历战短剑</v>
      </c>
      <c r="E609" s="371"/>
      <c r="F609" s="371"/>
      <c r="G609" s="371"/>
      <c r="H609" s="371"/>
      <c r="I609" s="371"/>
      <c r="J609" s="371"/>
      <c r="K609" s="371"/>
      <c r="L609" s="371"/>
      <c r="M609" s="371"/>
      <c r="N609" s="371"/>
      <c r="O609" s="371"/>
      <c r="P609" s="371"/>
      <c r="Q609" s="371"/>
      <c r="R609" s="38"/>
      <c r="S609" s="40" t="str">
        <f ca="1">Summon!$I$142</f>
        <v>调和「猛毒药」 (药师凡妮莎)</v>
      </c>
      <c r="T609" s="371"/>
      <c r="U609" s="371"/>
      <c r="V609" s="371"/>
      <c r="W609" s="168"/>
    </row>
    <row r="610" spans="1:23" ht="12.75" x14ac:dyDescent="0.2">
      <c r="A610" s="168"/>
      <c r="B610" s="371"/>
      <c r="C610" s="168"/>
      <c r="D610" s="40"/>
      <c r="E610" s="371"/>
      <c r="F610" s="371"/>
      <c r="G610" s="371"/>
      <c r="H610" s="371"/>
      <c r="I610" s="371"/>
      <c r="J610" s="371"/>
      <c r="K610" s="371"/>
      <c r="L610" s="371"/>
      <c r="M610" s="371"/>
      <c r="N610" s="371"/>
      <c r="O610" s="371"/>
      <c r="P610" s="371"/>
      <c r="Q610" s="371"/>
      <c r="R610" s="38"/>
      <c r="S610" s="38" t="str">
        <f ca="1">Summon!$I$172</f>
        <v>调和「增强药」</v>
      </c>
      <c r="T610" s="371"/>
      <c r="U610" s="371"/>
      <c r="V610" s="371"/>
      <c r="W610" s="168"/>
    </row>
    <row r="611" spans="1:23" ht="12.75" x14ac:dyDescent="0.2">
      <c r="A611" s="168"/>
      <c r="B611" s="551" t="str">
        <f ca="1">语言!$A$323&amp;" 2"</f>
        <v>Tier 2</v>
      </c>
      <c r="C611" s="371"/>
      <c r="D611" s="371"/>
      <c r="E611" s="371"/>
      <c r="F611" s="371"/>
      <c r="G611" s="371"/>
      <c r="H611" s="371"/>
      <c r="I611" s="371"/>
      <c r="J611" s="371"/>
      <c r="K611" s="371"/>
      <c r="L611" s="371"/>
      <c r="M611" s="371"/>
      <c r="N611" s="371"/>
      <c r="O611" s="371"/>
      <c r="P611" s="371"/>
      <c r="Q611" s="371"/>
      <c r="R611" s="371"/>
      <c r="S611" s="371"/>
      <c r="T611" s="371"/>
      <c r="U611" s="371"/>
      <c r="V611" s="371"/>
      <c r="W611" s="168"/>
    </row>
    <row r="612" spans="1:23" ht="12.75" x14ac:dyDescent="0.2">
      <c r="A612" s="168"/>
      <c r="B612" s="552" t="str">
        <f ca="1">语言!$A$372</f>
        <v>葛鲁德修亚</v>
      </c>
      <c r="C612" s="371"/>
      <c r="D612" s="371"/>
      <c r="E612" s="371"/>
      <c r="F612" s="371"/>
      <c r="G612" s="371"/>
      <c r="H612" s="371"/>
      <c r="I612" s="371"/>
      <c r="J612" s="371"/>
      <c r="K612" s="371"/>
      <c r="L612" s="371"/>
      <c r="M612" s="371"/>
      <c r="N612" s="371"/>
      <c r="O612" s="371"/>
      <c r="P612" s="371"/>
      <c r="Q612" s="371"/>
      <c r="R612" s="371"/>
      <c r="S612" s="371"/>
      <c r="T612" s="371"/>
      <c r="U612" s="371"/>
      <c r="V612" s="371"/>
      <c r="W612" s="168"/>
    </row>
    <row r="613" spans="1:23" ht="12.75" x14ac:dyDescent="0.2">
      <c r="A613" s="168"/>
      <c r="B613" s="472" t="str">
        <f ca="1">语言!$A$2014</f>
        <v>老人</v>
      </c>
      <c r="C613" s="554" t="b">
        <v>0</v>
      </c>
      <c r="D613" s="472" t="str">
        <f ca="1">道具!$C$406</f>
        <v>龙之背心</v>
      </c>
      <c r="E613" s="554" t="b">
        <v>0</v>
      </c>
      <c r="F613" s="471" t="str">
        <f ca="1">语言!$A$33&amp;"
"&amp;道具!$C$38</f>
        <v>隐藏道具的资讯
雷之精灵石（特大）</v>
      </c>
      <c r="G613" s="554" t="b">
        <v>0</v>
      </c>
      <c r="H613" s="556" t="s">
        <v>57</v>
      </c>
      <c r="I613" s="471">
        <v>3</v>
      </c>
      <c r="J613" s="471"/>
      <c r="K613" s="471"/>
      <c r="L613" s="471"/>
      <c r="M613" s="471"/>
      <c r="N613" s="471"/>
      <c r="O613" s="471" t="str">
        <f ca="1">道具!$C$4</f>
        <v>ＨＰ恢复的葡萄（大）</v>
      </c>
      <c r="P613" s="554"/>
      <c r="Q613" s="556" t="s">
        <v>57</v>
      </c>
      <c r="R613" s="38"/>
      <c r="S613" s="38" t="str">
        <f ca="1">Summon!$I$157</f>
        <v>攻击力下降</v>
      </c>
      <c r="T613" s="556">
        <v>8</v>
      </c>
      <c r="U613" s="554"/>
      <c r="V613" s="471"/>
      <c r="W613" s="168"/>
    </row>
    <row r="614" spans="1:23" ht="12.75" x14ac:dyDescent="0.2">
      <c r="A614" s="168"/>
      <c r="B614" s="371"/>
      <c r="C614" s="371"/>
      <c r="D614" s="371"/>
      <c r="E614" s="371"/>
      <c r="F614" s="371"/>
      <c r="G614" s="371"/>
      <c r="H614" s="371"/>
      <c r="I614" s="371"/>
      <c r="J614" s="371"/>
      <c r="K614" s="371"/>
      <c r="L614" s="371"/>
      <c r="M614" s="371"/>
      <c r="N614" s="371"/>
      <c r="O614" s="371"/>
      <c r="P614" s="371"/>
      <c r="Q614" s="371"/>
      <c r="R614" s="38"/>
      <c r="S614" s="38" t="str">
        <f ca="1">Summon!$I$6</f>
        <v>斩击</v>
      </c>
      <c r="T614" s="371"/>
      <c r="U614" s="371"/>
      <c r="V614" s="371"/>
      <c r="W614" s="168"/>
    </row>
    <row r="615" spans="1:23" ht="12.75" x14ac:dyDescent="0.2">
      <c r="A615" s="168"/>
      <c r="B615" s="555"/>
      <c r="C615" s="555"/>
      <c r="D615" s="555"/>
      <c r="E615" s="555"/>
      <c r="F615" s="555"/>
      <c r="G615" s="555"/>
      <c r="H615" s="555"/>
      <c r="I615" s="555"/>
      <c r="J615" s="555"/>
      <c r="K615" s="555"/>
      <c r="L615" s="555"/>
      <c r="M615" s="555"/>
      <c r="N615" s="555"/>
      <c r="O615" s="555"/>
      <c r="P615" s="555"/>
      <c r="Q615" s="555"/>
      <c r="R615" s="173"/>
      <c r="S615" s="173" t="str">
        <f ca="1">Summon!$I$4</f>
        <v>战斗</v>
      </c>
      <c r="T615" s="555"/>
      <c r="U615" s="555"/>
      <c r="V615" s="555"/>
      <c r="W615" s="168"/>
    </row>
    <row r="616" spans="1:23" ht="12.75" x14ac:dyDescent="0.2">
      <c r="A616" s="168"/>
      <c r="B616" s="472" t="str">
        <f ca="1">语言!$A$2110</f>
        <v>烦恼的行商人</v>
      </c>
      <c r="C616" s="168" t="b">
        <v>0</v>
      </c>
      <c r="D616" s="40" t="str">
        <f ca="1">道具!$C$4</f>
        <v>ＨＰ恢复的葡萄（大）</v>
      </c>
      <c r="E616" s="554" t="b">
        <v>0</v>
      </c>
      <c r="F616" s="471" t="str">
        <f ca="1">语言!$A$23</f>
        <v>无</v>
      </c>
      <c r="G616" s="554" t="b">
        <v>0</v>
      </c>
      <c r="H616" s="556" t="s">
        <v>57</v>
      </c>
      <c r="I616" s="471">
        <v>3</v>
      </c>
      <c r="J616" s="471"/>
      <c r="K616" s="471"/>
      <c r="L616" s="471"/>
      <c r="M616" s="471"/>
      <c r="N616" s="471"/>
      <c r="O616" s="471" t="str">
        <f ca="1">道具!$C$10</f>
        <v>ＢＰ恢复的石榴（大）</v>
      </c>
      <c r="P616" s="554"/>
      <c r="Q616" s="556" t="s">
        <v>57</v>
      </c>
      <c r="R616" s="38"/>
      <c r="S616" s="38" t="str">
        <f ca="1">Summon!$I$138</f>
        <v>万能药</v>
      </c>
      <c r="T616" s="556">
        <v>8</v>
      </c>
      <c r="U616" s="554"/>
      <c r="V616" s="471"/>
      <c r="W616" s="168"/>
    </row>
    <row r="617" spans="1:23" ht="12.75" x14ac:dyDescent="0.2">
      <c r="A617" s="168"/>
      <c r="B617" s="371"/>
      <c r="C617" s="168" t="b">
        <v>0</v>
      </c>
      <c r="D617" s="40" t="str">
        <f ca="1">道具!$C$7</f>
        <v>ＳＰ恢复的李子（大）</v>
      </c>
      <c r="E617" s="371"/>
      <c r="F617" s="371"/>
      <c r="G617" s="371"/>
      <c r="H617" s="371"/>
      <c r="I617" s="371"/>
      <c r="J617" s="371"/>
      <c r="K617" s="371"/>
      <c r="L617" s="371"/>
      <c r="M617" s="371"/>
      <c r="N617" s="371"/>
      <c r="O617" s="371"/>
      <c r="P617" s="371"/>
      <c r="Q617" s="371"/>
      <c r="R617" s="38"/>
      <c r="S617" s="38" t="str">
        <f ca="1">Summon!$I$40</f>
        <v>乱挥</v>
      </c>
      <c r="T617" s="371"/>
      <c r="U617" s="371"/>
      <c r="V617" s="371"/>
      <c r="W617" s="168"/>
    </row>
    <row r="618" spans="1:23" ht="25.5" x14ac:dyDescent="0.2">
      <c r="A618" s="168"/>
      <c r="B618" s="555"/>
      <c r="C618" s="171" t="b">
        <v>0</v>
      </c>
      <c r="D618" s="172" t="str">
        <f ca="1">道具!$C$10</f>
        <v>ＢＰ恢复的石榴（大）</v>
      </c>
      <c r="E618" s="555"/>
      <c r="F618" s="555"/>
      <c r="G618" s="555"/>
      <c r="H618" s="555"/>
      <c r="I618" s="555"/>
      <c r="J618" s="555"/>
      <c r="K618" s="555"/>
      <c r="L618" s="555"/>
      <c r="M618" s="555"/>
      <c r="N618" s="555"/>
      <c r="O618" s="555"/>
      <c r="P618" s="555"/>
      <c r="Q618" s="555"/>
      <c r="R618" s="173"/>
      <c r="S618" s="173" t="str">
        <f ca="1">Summon!$I$4</f>
        <v>战斗</v>
      </c>
      <c r="T618" s="555"/>
      <c r="U618" s="555"/>
      <c r="V618" s="555"/>
      <c r="W618" s="168"/>
    </row>
    <row r="619" spans="1:23" ht="12.75" x14ac:dyDescent="0.2">
      <c r="A619" s="168"/>
      <c r="B619" s="472" t="str">
        <f ca="1">语言!$A$1875</f>
        <v>渔夫的情人</v>
      </c>
      <c r="C619" s="168" t="b">
        <v>0</v>
      </c>
      <c r="D619" s="40" t="str">
        <f ca="1">道具!$C$89</f>
        <v>鱼齿</v>
      </c>
      <c r="E619" s="554" t="b">
        <v>0</v>
      </c>
      <c r="F619" s="471" t="str">
        <f ca="1">语言!$A$23</f>
        <v>无</v>
      </c>
      <c r="G619" s="554" t="b">
        <v>0</v>
      </c>
      <c r="H619" s="556" t="s">
        <v>45</v>
      </c>
      <c r="I619" s="471">
        <v>2</v>
      </c>
      <c r="J619" s="471"/>
      <c r="K619" s="471"/>
      <c r="L619" s="471"/>
      <c r="M619" s="471"/>
      <c r="N619" s="471"/>
      <c r="O619" s="471" t="str">
        <f ca="1">道具!$C$7</f>
        <v>ＳＰ恢复的李子（大）</v>
      </c>
      <c r="P619" s="554"/>
      <c r="Q619" s="556" t="s">
        <v>45</v>
      </c>
      <c r="R619" s="38"/>
      <c r="S619" s="38" t="str">
        <f ca="1">Summon!$I$48</f>
        <v>连掷短剑</v>
      </c>
      <c r="T619" s="556">
        <v>9</v>
      </c>
      <c r="U619" s="554"/>
      <c r="V619" s="471"/>
      <c r="W619" s="168"/>
    </row>
    <row r="620" spans="1:23" ht="12.75" x14ac:dyDescent="0.2">
      <c r="A620" s="168"/>
      <c r="B620" s="371"/>
      <c r="C620" s="168" t="b">
        <v>0</v>
      </c>
      <c r="D620" s="40" t="str">
        <f ca="1">道具!$C$96</f>
        <v>装了破烂儿的小袋子</v>
      </c>
      <c r="E620" s="371"/>
      <c r="F620" s="371"/>
      <c r="G620" s="371"/>
      <c r="H620" s="371"/>
      <c r="I620" s="371"/>
      <c r="J620" s="371"/>
      <c r="K620" s="371"/>
      <c r="L620" s="371"/>
      <c r="M620" s="371"/>
      <c r="N620" s="371"/>
      <c r="O620" s="371"/>
      <c r="P620" s="371"/>
      <c r="Q620" s="371"/>
      <c r="R620" s="38"/>
      <c r="S620" s="38" t="str">
        <f ca="1">Summon!$I$4</f>
        <v>战斗</v>
      </c>
      <c r="T620" s="371"/>
      <c r="U620" s="371"/>
      <c r="V620" s="371"/>
      <c r="W620" s="168"/>
    </row>
    <row r="621" spans="1:23" ht="12.75" x14ac:dyDescent="0.2">
      <c r="A621" s="168"/>
      <c r="B621" s="555"/>
      <c r="C621" s="171" t="b">
        <v>0</v>
      </c>
      <c r="D621" s="172" t="str">
        <f ca="1">道具!$C$377</f>
        <v>星屑帽子</v>
      </c>
      <c r="E621" s="555"/>
      <c r="F621" s="555"/>
      <c r="G621" s="555"/>
      <c r="H621" s="555"/>
      <c r="I621" s="555"/>
      <c r="J621" s="555"/>
      <c r="K621" s="555"/>
      <c r="L621" s="555"/>
      <c r="M621" s="555"/>
      <c r="N621" s="555"/>
      <c r="O621" s="555"/>
      <c r="P621" s="555"/>
      <c r="Q621" s="555"/>
      <c r="R621" s="173"/>
      <c r="S621" s="173"/>
      <c r="T621" s="555"/>
      <c r="U621" s="555"/>
      <c r="V621" s="555"/>
      <c r="W621" s="168"/>
    </row>
    <row r="622" spans="1:23" ht="12.75" x14ac:dyDescent="0.2">
      <c r="A622" s="168"/>
      <c r="B622" s="472" t="str">
        <f ca="1">语言!$A$1968</f>
        <v>玛琳</v>
      </c>
      <c r="C622" s="168" t="b">
        <v>0</v>
      </c>
      <c r="D622" s="40" t="str">
        <f ca="1">道具!$C$473</f>
        <v>体力项链</v>
      </c>
      <c r="E622" s="554" t="b">
        <v>0</v>
      </c>
      <c r="F622" s="471" t="str">
        <f ca="1">语言!$A$23</f>
        <v>无</v>
      </c>
      <c r="G622" s="554" t="b">
        <v>0</v>
      </c>
      <c r="H622" s="556" t="s">
        <v>57</v>
      </c>
      <c r="I622" s="471">
        <v>3</v>
      </c>
      <c r="J622" s="471"/>
      <c r="K622" s="471"/>
      <c r="L622" s="471"/>
      <c r="M622" s="471"/>
      <c r="N622" s="471"/>
      <c r="O622" s="471" t="str">
        <f ca="1">道具!$C$7</f>
        <v>ＳＰ恢复的李子（大）</v>
      </c>
      <c r="P622" s="554"/>
      <c r="Q622" s="556" t="s">
        <v>57</v>
      </c>
      <c r="R622" s="38"/>
      <c r="S622" s="38" t="str">
        <f ca="1">Summon!$I$149</f>
        <v>撒上小麦粉</v>
      </c>
      <c r="T622" s="556">
        <v>8</v>
      </c>
      <c r="U622" s="554"/>
      <c r="V622" s="471" t="str">
        <f ca="1">"NPC available after "&amp;语言!$A$40&amp;" chapter 4"</f>
        <v>NPC available after 亚芬 chapter 4</v>
      </c>
      <c r="W622" s="168"/>
    </row>
    <row r="623" spans="1:23" ht="12.75" x14ac:dyDescent="0.2">
      <c r="A623" s="168"/>
      <c r="B623" s="555"/>
      <c r="C623" s="171" t="b">
        <v>0</v>
      </c>
      <c r="D623" s="172" t="str">
        <f ca="1">道具!$C$12</f>
        <v>ＨＰ／ＳＰ恢复的果酱</v>
      </c>
      <c r="E623" s="555"/>
      <c r="F623" s="555"/>
      <c r="G623" s="555"/>
      <c r="H623" s="555"/>
      <c r="I623" s="555"/>
      <c r="J623" s="555"/>
      <c r="K623" s="555"/>
      <c r="L623" s="555"/>
      <c r="M623" s="555"/>
      <c r="N623" s="555"/>
      <c r="O623" s="555"/>
      <c r="P623" s="555"/>
      <c r="Q623" s="555"/>
      <c r="R623" s="173"/>
      <c r="S623" s="173" t="str">
        <f ca="1">Summon!$I$110</f>
        <v>投掷抹布</v>
      </c>
      <c r="T623" s="555"/>
      <c r="U623" s="555"/>
      <c r="V623" s="555"/>
      <c r="W623" s="168"/>
    </row>
    <row r="624" spans="1:23" ht="12.75" x14ac:dyDescent="0.2">
      <c r="A624" s="168"/>
      <c r="B624" s="472" t="str">
        <f ca="1">语言!$A$1767&amp;" (2)"</f>
        <v>失忆的男子 /
船长 (2)</v>
      </c>
      <c r="C624" s="168" t="b">
        <v>0</v>
      </c>
      <c r="D624" s="40" t="str">
        <f ca="1">道具!$C$20</f>
        <v>黑暗治疗药草</v>
      </c>
      <c r="E624" s="554" t="b">
        <v>0</v>
      </c>
      <c r="F624" s="471" t="str">
        <f ca="1">语言!$A$23</f>
        <v>无</v>
      </c>
      <c r="G624" s="554" t="b">
        <v>0</v>
      </c>
      <c r="H624" s="556" t="s">
        <v>47</v>
      </c>
      <c r="I624" s="471">
        <v>4</v>
      </c>
      <c r="J624" s="471"/>
      <c r="K624" s="471"/>
      <c r="L624" s="471"/>
      <c r="M624" s="471"/>
      <c r="N624" s="471"/>
      <c r="O624" s="471" t="str">
        <f ca="1">道具!$C$16</f>
        <v>复活的橄榄（大）</v>
      </c>
      <c r="P624" s="554"/>
      <c r="Q624" s="556" t="s">
        <v>47</v>
      </c>
      <c r="R624" s="38"/>
      <c r="S624" s="38" t="str">
        <f ca="1">Summon!$I$173</f>
        <v>攻击力提升</v>
      </c>
      <c r="T624" s="556">
        <v>6</v>
      </c>
      <c r="U624" s="554"/>
      <c r="V624" s="471" t="str">
        <f ca="1">"NPC at this location after quest: "&amp;支线!$C$48</f>
        <v>NPC at this location after quest: 被抛弃的男子</v>
      </c>
      <c r="W624" s="168"/>
    </row>
    <row r="625" spans="1:23" ht="12.75" x14ac:dyDescent="0.2">
      <c r="A625" s="168"/>
      <c r="B625" s="371"/>
      <c r="C625" s="168" t="b">
        <v>0</v>
      </c>
      <c r="D625" s="40" t="str">
        <f ca="1">道具!$C$21</f>
        <v>混乱治疗药草</v>
      </c>
      <c r="E625" s="371"/>
      <c r="F625" s="371"/>
      <c r="G625" s="371"/>
      <c r="H625" s="371"/>
      <c r="I625" s="371"/>
      <c r="J625" s="371"/>
      <c r="K625" s="371"/>
      <c r="L625" s="371"/>
      <c r="M625" s="371"/>
      <c r="N625" s="371"/>
      <c r="O625" s="371"/>
      <c r="P625" s="371"/>
      <c r="Q625" s="371"/>
      <c r="R625" s="38"/>
      <c r="S625" s="38" t="str">
        <f ca="1">Summon!$I$34</f>
        <v>无双突刺</v>
      </c>
      <c r="T625" s="371"/>
      <c r="U625" s="371"/>
      <c r="V625" s="371"/>
      <c r="W625" s="168"/>
    </row>
    <row r="626" spans="1:23" ht="12.75" x14ac:dyDescent="0.2">
      <c r="A626" s="168"/>
      <c r="B626" s="555"/>
      <c r="C626" s="171" t="b">
        <v>0</v>
      </c>
      <c r="D626" s="172" t="str">
        <f ca="1">道具!$C$23</f>
        <v>恐怖治疗药草</v>
      </c>
      <c r="E626" s="555"/>
      <c r="F626" s="555"/>
      <c r="G626" s="555"/>
      <c r="H626" s="555"/>
      <c r="I626" s="555"/>
      <c r="J626" s="555"/>
      <c r="K626" s="555"/>
      <c r="L626" s="555"/>
      <c r="M626" s="555"/>
      <c r="N626" s="555"/>
      <c r="O626" s="555"/>
      <c r="P626" s="555"/>
      <c r="Q626" s="555"/>
      <c r="R626" s="173"/>
      <c r="S626" s="173" t="str">
        <f ca="1">Summon!$I$4</f>
        <v>战斗</v>
      </c>
      <c r="T626" s="555"/>
      <c r="U626" s="555"/>
      <c r="V626" s="555"/>
      <c r="W626" s="168"/>
    </row>
    <row r="627" spans="1:23" ht="12.75" x14ac:dyDescent="0.2">
      <c r="A627" s="168"/>
      <c r="B627" s="472" t="str">
        <f ca="1">语言!$A$1883</f>
        <v>前船员 /
船员</v>
      </c>
      <c r="C627" s="168" t="b">
        <v>0</v>
      </c>
      <c r="D627" s="40" t="str">
        <f ca="1">道具!$C$538</f>
        <v>睡眠花之叶</v>
      </c>
      <c r="E627" s="554" t="b">
        <v>0</v>
      </c>
      <c r="F627" s="471" t="str">
        <f ca="1">语言!$A$23</f>
        <v>无</v>
      </c>
      <c r="G627" s="554" t="b">
        <v>0</v>
      </c>
      <c r="H627" s="556" t="s">
        <v>46</v>
      </c>
      <c r="I627" s="471">
        <v>3</v>
      </c>
      <c r="J627" s="471"/>
      <c r="K627" s="471"/>
      <c r="L627" s="471"/>
      <c r="M627" s="471"/>
      <c r="N627" s="471"/>
      <c r="O627" s="471" t="str">
        <f ca="1">道具!$C$539</f>
        <v>混乱多之叶</v>
      </c>
      <c r="P627" s="554"/>
      <c r="Q627" s="556" t="s">
        <v>46</v>
      </c>
      <c r="R627" s="38"/>
      <c r="S627" s="38" t="str">
        <f ca="1">Summon!$I$31</f>
        <v>要害突刺</v>
      </c>
      <c r="T627" s="556">
        <v>8</v>
      </c>
      <c r="U627" s="554"/>
      <c r="V627" s="471" t="str">
        <f ca="1">语言!$A$44&amp;" / "&amp;语言!$A$48&amp;" available after quest: "&amp;支线!$C$48</f>
        <v>引导 / 诱惑 available after quest: 被抛弃的男子</v>
      </c>
      <c r="W627" s="168"/>
    </row>
    <row r="628" spans="1:23" ht="12.75" x14ac:dyDescent="0.2">
      <c r="A628" s="168"/>
      <c r="B628" s="371"/>
      <c r="C628" s="168" t="b">
        <v>0</v>
      </c>
      <c r="D628" s="40" t="str">
        <f ca="1">道具!$C$539</f>
        <v>混乱多之叶</v>
      </c>
      <c r="E628" s="371"/>
      <c r="F628" s="371"/>
      <c r="G628" s="371"/>
      <c r="H628" s="371"/>
      <c r="I628" s="371"/>
      <c r="J628" s="371"/>
      <c r="K628" s="371"/>
      <c r="L628" s="371"/>
      <c r="M628" s="371"/>
      <c r="N628" s="371"/>
      <c r="O628" s="371"/>
      <c r="P628" s="371"/>
      <c r="Q628" s="371"/>
      <c r="R628" s="38"/>
      <c r="S628" s="38" t="str">
        <f ca="1">Summon!$I$30</f>
        <v>突刺</v>
      </c>
      <c r="T628" s="371"/>
      <c r="U628" s="371"/>
      <c r="V628" s="371"/>
      <c r="W628" s="168"/>
    </row>
    <row r="629" spans="1:23" ht="12.75" x14ac:dyDescent="0.2">
      <c r="A629" s="168"/>
      <c r="B629" s="555"/>
      <c r="C629" s="171"/>
      <c r="D629" s="172"/>
      <c r="E629" s="555"/>
      <c r="F629" s="555"/>
      <c r="G629" s="555"/>
      <c r="H629" s="555"/>
      <c r="I629" s="555"/>
      <c r="J629" s="555"/>
      <c r="K629" s="555"/>
      <c r="L629" s="555"/>
      <c r="M629" s="555"/>
      <c r="N629" s="555"/>
      <c r="O629" s="555"/>
      <c r="P629" s="555"/>
      <c r="Q629" s="555"/>
      <c r="R629" s="173"/>
      <c r="S629" s="173" t="str">
        <f ca="1">Summon!$I$4</f>
        <v>战斗</v>
      </c>
      <c r="T629" s="555"/>
      <c r="U629" s="555"/>
      <c r="V629" s="555"/>
      <c r="W629" s="168"/>
    </row>
    <row r="630" spans="1:23" ht="12.75" x14ac:dyDescent="0.2">
      <c r="A630" s="168"/>
      <c r="B630" s="472" t="str">
        <f ca="1">语言!$A$1881</f>
        <v>芙琳</v>
      </c>
      <c r="C630" s="168" t="b">
        <v>0</v>
      </c>
      <c r="D630" s="40" t="str">
        <f ca="1">道具!$C$68</f>
        <v>增强属防的坚果（特大）</v>
      </c>
      <c r="E630" s="554" t="b">
        <v>0</v>
      </c>
      <c r="F630" s="471" t="str">
        <f ca="1">语言!$A$23</f>
        <v>无</v>
      </c>
      <c r="G630" s="554"/>
      <c r="H630" s="559" t="s">
        <v>119</v>
      </c>
      <c r="I630" s="559" t="s">
        <v>119</v>
      </c>
      <c r="J630" s="559" t="s">
        <v>119</v>
      </c>
      <c r="K630" s="559" t="s">
        <v>119</v>
      </c>
      <c r="L630" s="559" t="s">
        <v>119</v>
      </c>
      <c r="M630" s="559" t="s">
        <v>119</v>
      </c>
      <c r="N630" s="559" t="s">
        <v>119</v>
      </c>
      <c r="O630" s="559" t="s">
        <v>119</v>
      </c>
      <c r="P630" s="554"/>
      <c r="Q630" s="559" t="s">
        <v>119</v>
      </c>
      <c r="R630" s="559" t="s">
        <v>119</v>
      </c>
      <c r="S630" s="559" t="s">
        <v>119</v>
      </c>
      <c r="T630" s="559" t="s">
        <v>119</v>
      </c>
      <c r="U630" s="554"/>
      <c r="V630" s="471" t="str">
        <f ca="1">"NPC available after "&amp;语言!$A$40&amp;" chapter 4"</f>
        <v>NPC available after 亚芬 chapter 4</v>
      </c>
      <c r="W630" s="168"/>
    </row>
    <row r="631" spans="1:23" ht="12.75" x14ac:dyDescent="0.2">
      <c r="A631" s="168"/>
      <c r="B631" s="371"/>
      <c r="C631" s="168" t="b">
        <v>0</v>
      </c>
      <c r="D631" s="40" t="str">
        <f ca="1">道具!$C$7</f>
        <v>ＳＰ恢复的李子（大）</v>
      </c>
      <c r="E631" s="371"/>
      <c r="F631" s="371"/>
      <c r="G631" s="371"/>
      <c r="H631" s="371"/>
      <c r="I631" s="371"/>
      <c r="J631" s="371"/>
      <c r="K631" s="371"/>
      <c r="L631" s="371"/>
      <c r="M631" s="371"/>
      <c r="N631" s="371"/>
      <c r="O631" s="371"/>
      <c r="P631" s="371"/>
      <c r="Q631" s="371"/>
      <c r="R631" s="371"/>
      <c r="S631" s="371"/>
      <c r="T631" s="371"/>
      <c r="U631" s="371"/>
      <c r="V631" s="371"/>
      <c r="W631" s="168"/>
    </row>
    <row r="632" spans="1:23" ht="12.75" x14ac:dyDescent="0.2">
      <c r="A632" s="168"/>
      <c r="B632" s="555"/>
      <c r="C632" s="171" t="b">
        <v>0</v>
      </c>
      <c r="D632" s="172" t="str">
        <f ca="1">道具!$C$8</f>
        <v>ＳＰ全体恢复的李子</v>
      </c>
      <c r="E632" s="555"/>
      <c r="F632" s="555"/>
      <c r="G632" s="555"/>
      <c r="H632" s="555"/>
      <c r="I632" s="555"/>
      <c r="J632" s="555"/>
      <c r="K632" s="555"/>
      <c r="L632" s="555"/>
      <c r="M632" s="555"/>
      <c r="N632" s="555"/>
      <c r="O632" s="555"/>
      <c r="P632" s="555"/>
      <c r="Q632" s="555"/>
      <c r="R632" s="555"/>
      <c r="S632" s="555"/>
      <c r="T632" s="555"/>
      <c r="U632" s="555"/>
      <c r="V632" s="555"/>
      <c r="W632" s="168"/>
    </row>
    <row r="633" spans="1:23" ht="12.75" x14ac:dyDescent="0.2">
      <c r="A633" s="168"/>
      <c r="B633" s="472" t="str">
        <f ca="1">语言!$A$1856&amp;" (1)"</f>
        <v>艾琳 (1)</v>
      </c>
      <c r="C633" s="168" t="b">
        <v>0</v>
      </c>
      <c r="D633" s="40" t="str">
        <f ca="1">道具!$C$538</f>
        <v>睡眠花之叶</v>
      </c>
      <c r="E633" s="554" t="b">
        <v>0</v>
      </c>
      <c r="F633" s="471" t="str">
        <f ca="1">语言!$A$23</f>
        <v>无</v>
      </c>
      <c r="G633" s="554"/>
      <c r="H633" s="559" t="s">
        <v>119</v>
      </c>
      <c r="I633" s="559" t="s">
        <v>119</v>
      </c>
      <c r="J633" s="559" t="s">
        <v>119</v>
      </c>
      <c r="K633" s="559" t="s">
        <v>119</v>
      </c>
      <c r="L633" s="559" t="s">
        <v>119</v>
      </c>
      <c r="M633" s="559" t="s">
        <v>119</v>
      </c>
      <c r="N633" s="559" t="s">
        <v>119</v>
      </c>
      <c r="O633" s="559" t="s">
        <v>119</v>
      </c>
      <c r="P633" s="554"/>
      <c r="Q633" s="559" t="s">
        <v>119</v>
      </c>
      <c r="R633" s="559" t="s">
        <v>119</v>
      </c>
      <c r="S633" s="559" t="s">
        <v>119</v>
      </c>
      <c r="T633" s="559" t="s">
        <v>119</v>
      </c>
      <c r="U633" s="554"/>
      <c r="V633" s="471" t="str">
        <f ca="1">"NPC available during "&amp;语言!$A$40&amp;" chapter 2, can "&amp;语言!$A$46&amp;" / "&amp;语言!$A$50&amp;" before she gets sick"</f>
        <v>NPC available during 亚芬 chapter 2, can 购买 / 偷取 before she gets sick</v>
      </c>
      <c r="W633" s="168"/>
    </row>
    <row r="634" spans="1:23" ht="12.75" x14ac:dyDescent="0.2">
      <c r="A634" s="168"/>
      <c r="B634" s="371"/>
      <c r="C634" s="168" t="b">
        <v>0</v>
      </c>
      <c r="D634" s="40" t="str">
        <f ca="1">道具!$C$539</f>
        <v>混乱多之叶</v>
      </c>
      <c r="E634" s="371"/>
      <c r="F634" s="371"/>
      <c r="G634" s="371"/>
      <c r="H634" s="371"/>
      <c r="I634" s="371"/>
      <c r="J634" s="371"/>
      <c r="K634" s="371"/>
      <c r="L634" s="371"/>
      <c r="M634" s="371"/>
      <c r="N634" s="371"/>
      <c r="O634" s="371"/>
      <c r="P634" s="371"/>
      <c r="Q634" s="371"/>
      <c r="R634" s="371"/>
      <c r="S634" s="371"/>
      <c r="T634" s="371"/>
      <c r="U634" s="371"/>
      <c r="V634" s="371"/>
      <c r="W634" s="168"/>
    </row>
    <row r="635" spans="1:23" ht="12.75" x14ac:dyDescent="0.2">
      <c r="A635" s="168"/>
      <c r="B635" s="555"/>
      <c r="C635" s="171" t="b">
        <v>0</v>
      </c>
      <c r="D635" s="172" t="str">
        <f ca="1">道具!$C$61</f>
        <v>增强物防的坚果（特大）</v>
      </c>
      <c r="E635" s="555"/>
      <c r="F635" s="555"/>
      <c r="G635" s="555"/>
      <c r="H635" s="555"/>
      <c r="I635" s="555"/>
      <c r="J635" s="555"/>
      <c r="K635" s="555"/>
      <c r="L635" s="555"/>
      <c r="M635" s="555"/>
      <c r="N635" s="555"/>
      <c r="O635" s="555"/>
      <c r="P635" s="555"/>
      <c r="Q635" s="555"/>
      <c r="R635" s="555"/>
      <c r="S635" s="555"/>
      <c r="T635" s="555"/>
      <c r="U635" s="555"/>
      <c r="V635" s="555"/>
      <c r="W635" s="168"/>
    </row>
    <row r="636" spans="1:23" ht="12.75" x14ac:dyDescent="0.2">
      <c r="A636" s="168"/>
      <c r="B636" s="472" t="str">
        <f ca="1">语言!$A$1856&amp;" (2)"</f>
        <v>艾琳 (2)</v>
      </c>
      <c r="C636" s="168" t="b">
        <v>0</v>
      </c>
      <c r="D636" s="40" t="str">
        <f ca="1">道具!$C$538</f>
        <v>睡眠花之叶</v>
      </c>
      <c r="E636" s="554" t="b">
        <v>0</v>
      </c>
      <c r="F636" s="471" t="str">
        <f ca="1">语言!$A$23</f>
        <v>无</v>
      </c>
      <c r="G636" s="554"/>
      <c r="H636" s="559" t="s">
        <v>119</v>
      </c>
      <c r="I636" s="559" t="s">
        <v>119</v>
      </c>
      <c r="J636" s="559" t="s">
        <v>119</v>
      </c>
      <c r="K636" s="559" t="s">
        <v>119</v>
      </c>
      <c r="L636" s="559" t="s">
        <v>119</v>
      </c>
      <c r="M636" s="559" t="s">
        <v>119</v>
      </c>
      <c r="N636" s="559" t="s">
        <v>119</v>
      </c>
      <c r="O636" s="559" t="s">
        <v>119</v>
      </c>
      <c r="P636" s="554"/>
      <c r="Q636" s="559" t="s">
        <v>119</v>
      </c>
      <c r="R636" s="559" t="s">
        <v>119</v>
      </c>
      <c r="S636" s="559" t="s">
        <v>119</v>
      </c>
      <c r="T636" s="559" t="s">
        <v>119</v>
      </c>
      <c r="U636" s="554"/>
      <c r="V636" s="471" t="str">
        <f ca="1">"NPC available after "&amp;语言!$A$40&amp;" chapter 4"</f>
        <v>NPC available after 亚芬 chapter 4</v>
      </c>
      <c r="W636" s="168"/>
    </row>
    <row r="637" spans="1:23" ht="12.75" x14ac:dyDescent="0.2">
      <c r="A637" s="168"/>
      <c r="B637" s="371"/>
      <c r="C637" s="168" t="b">
        <v>0</v>
      </c>
      <c r="D637" s="40" t="str">
        <f ca="1">道具!$C$539</f>
        <v>混乱多之叶</v>
      </c>
      <c r="E637" s="371"/>
      <c r="F637" s="371"/>
      <c r="G637" s="371"/>
      <c r="H637" s="371"/>
      <c r="I637" s="371"/>
      <c r="J637" s="371"/>
      <c r="K637" s="371"/>
      <c r="L637" s="371"/>
      <c r="M637" s="371"/>
      <c r="N637" s="371"/>
      <c r="O637" s="371"/>
      <c r="P637" s="371"/>
      <c r="Q637" s="371"/>
      <c r="R637" s="371"/>
      <c r="S637" s="371"/>
      <c r="T637" s="371"/>
      <c r="U637" s="371"/>
      <c r="V637" s="371"/>
      <c r="W637" s="168"/>
    </row>
    <row r="638" spans="1:23" ht="12.75" x14ac:dyDescent="0.2">
      <c r="A638" s="168"/>
      <c r="B638" s="371"/>
      <c r="C638" s="168" t="b">
        <v>0</v>
      </c>
      <c r="D638" s="40" t="str">
        <f ca="1">道具!$C$61</f>
        <v>增强物防的坚果（特大）</v>
      </c>
      <c r="E638" s="371"/>
      <c r="F638" s="371"/>
      <c r="G638" s="371"/>
      <c r="H638" s="371"/>
      <c r="I638" s="371"/>
      <c r="J638" s="371"/>
      <c r="K638" s="371"/>
      <c r="L638" s="371"/>
      <c r="M638" s="371"/>
      <c r="N638" s="371"/>
      <c r="O638" s="371"/>
      <c r="P638" s="371"/>
      <c r="Q638" s="371"/>
      <c r="R638" s="371"/>
      <c r="S638" s="371"/>
      <c r="T638" s="371"/>
      <c r="U638" s="371"/>
      <c r="V638" s="371"/>
      <c r="W638" s="168"/>
    </row>
    <row r="639" spans="1:23" ht="12.75" x14ac:dyDescent="0.2">
      <c r="A639" s="168"/>
      <c r="B639" s="371"/>
      <c r="C639" s="168" t="b">
        <v>0</v>
      </c>
      <c r="D639" s="40" t="str">
        <f ca="1">道具!$C$55</f>
        <v>增强ＳＰ的坚果（特大）</v>
      </c>
      <c r="E639" s="371"/>
      <c r="F639" s="371"/>
      <c r="G639" s="371"/>
      <c r="H639" s="371"/>
      <c r="I639" s="371"/>
      <c r="J639" s="371"/>
      <c r="K639" s="371"/>
      <c r="L639" s="371"/>
      <c r="M639" s="371"/>
      <c r="N639" s="371"/>
      <c r="O639" s="371"/>
      <c r="P639" s="371"/>
      <c r="Q639" s="371"/>
      <c r="R639" s="371"/>
      <c r="S639" s="371"/>
      <c r="T639" s="371"/>
      <c r="U639" s="371"/>
      <c r="V639" s="371"/>
      <c r="W639" s="168"/>
    </row>
    <row r="640" spans="1:23" ht="12.75" x14ac:dyDescent="0.2">
      <c r="A640" s="168"/>
      <c r="B640" s="555"/>
      <c r="C640" s="171" t="b">
        <v>0</v>
      </c>
      <c r="D640" s="172" t="str">
        <f ca="1">道具!$C$5</f>
        <v>ＨＰ全体恢复的葡萄</v>
      </c>
      <c r="E640" s="555"/>
      <c r="F640" s="555"/>
      <c r="G640" s="555"/>
      <c r="H640" s="555"/>
      <c r="I640" s="555"/>
      <c r="J640" s="555"/>
      <c r="K640" s="555"/>
      <c r="L640" s="555"/>
      <c r="M640" s="555"/>
      <c r="N640" s="555"/>
      <c r="O640" s="555"/>
      <c r="P640" s="555"/>
      <c r="Q640" s="555"/>
      <c r="R640" s="555"/>
      <c r="S640" s="555"/>
      <c r="T640" s="555"/>
      <c r="U640" s="555"/>
      <c r="V640" s="555"/>
      <c r="W640" s="168"/>
    </row>
    <row r="641" spans="1:23" ht="12.75" x14ac:dyDescent="0.2">
      <c r="A641" s="168"/>
      <c r="B641" s="480" t="str">
        <f ca="1">语言!$A$1838</f>
        <v>持有勋章的凶暴男子</v>
      </c>
      <c r="C641" s="168" t="b">
        <v>0</v>
      </c>
      <c r="D641" s="180" t="str">
        <f ca="1">道具!$C$260</f>
        <v>猛击斧</v>
      </c>
      <c r="E641" s="554" t="b">
        <v>0</v>
      </c>
      <c r="F641" s="471" t="str">
        <f ca="1">语言!$A$23</f>
        <v>无</v>
      </c>
      <c r="G641" s="554" t="b">
        <v>0</v>
      </c>
      <c r="H641" s="556" t="s">
        <v>50</v>
      </c>
      <c r="I641" s="471">
        <v>4</v>
      </c>
      <c r="J641" s="471"/>
      <c r="K641" s="471"/>
      <c r="L641" s="471"/>
      <c r="M641" s="471"/>
      <c r="N641" s="471"/>
      <c r="O641" s="471" t="str">
        <f ca="1">"* "&amp;道具!$F$70</f>
        <v>* 誓约的勋章</v>
      </c>
      <c r="P641" s="554"/>
      <c r="Q641" s="556" t="s">
        <v>50</v>
      </c>
      <c r="R641" s="38"/>
      <c r="S641" s="38" t="str">
        <f ca="1">Summon!$I$57</f>
        <v>粉碎</v>
      </c>
      <c r="T641" s="556">
        <v>7</v>
      </c>
      <c r="U641" s="554"/>
      <c r="V641" s="471" t="str">
        <f ca="1">"Disapear after "&amp;语言!$A$47&amp;" / "&amp;语言!$A$51&amp;""</f>
        <v>Disapear after 比试 / 唆使</v>
      </c>
      <c r="W641" s="168"/>
    </row>
    <row r="642" spans="1:23" ht="12.75" x14ac:dyDescent="0.2">
      <c r="A642" s="168"/>
      <c r="B642" s="371"/>
      <c r="C642" s="168" t="b">
        <v>0</v>
      </c>
      <c r="D642" s="180" t="str">
        <f ca="1">道具!$C$439</f>
        <v>铁制盔甲</v>
      </c>
      <c r="E642" s="371"/>
      <c r="F642" s="371"/>
      <c r="G642" s="371"/>
      <c r="H642" s="371"/>
      <c r="I642" s="371"/>
      <c r="J642" s="371"/>
      <c r="K642" s="371"/>
      <c r="L642" s="371"/>
      <c r="M642" s="371"/>
      <c r="N642" s="371"/>
      <c r="O642" s="371"/>
      <c r="P642" s="371"/>
      <c r="Q642" s="371"/>
      <c r="R642" s="38"/>
      <c r="S642" s="38" t="str">
        <f ca="1">Summon!$I$52</f>
        <v>重拳</v>
      </c>
      <c r="T642" s="371"/>
      <c r="U642" s="371"/>
      <c r="V642" s="371"/>
      <c r="W642" s="168"/>
    </row>
    <row r="643" spans="1:23" ht="12.75" x14ac:dyDescent="0.2">
      <c r="A643" s="168"/>
      <c r="B643" s="555"/>
      <c r="C643" s="171" t="b">
        <v>0</v>
      </c>
      <c r="D643" s="181" t="str">
        <f ca="1">道具!$C$541</f>
        <v>李子树液</v>
      </c>
      <c r="E643" s="555"/>
      <c r="F643" s="555"/>
      <c r="G643" s="555"/>
      <c r="H643" s="555"/>
      <c r="I643" s="555"/>
      <c r="J643" s="555"/>
      <c r="K643" s="555"/>
      <c r="L643" s="555"/>
      <c r="M643" s="555"/>
      <c r="N643" s="555"/>
      <c r="O643" s="555"/>
      <c r="P643" s="555"/>
      <c r="Q643" s="555"/>
      <c r="R643" s="173"/>
      <c r="S643" s="173" t="str">
        <f ca="1">Summon!$I$4</f>
        <v>战斗</v>
      </c>
      <c r="T643" s="555"/>
      <c r="U643" s="555"/>
      <c r="V643" s="555"/>
      <c r="W643" s="168"/>
    </row>
    <row r="644" spans="1:23" ht="12.75" x14ac:dyDescent="0.2">
      <c r="A644" s="168"/>
      <c r="B644" s="472" t="str">
        <f ca="1">语言!$A$1854</f>
        <v>老婆婆</v>
      </c>
      <c r="C644" s="554" t="b">
        <v>0</v>
      </c>
      <c r="D644" s="566" t="str">
        <f ca="1">道具!$C$273</f>
        <v>禁忌之弓</v>
      </c>
      <c r="E644" s="554" t="b">
        <v>0</v>
      </c>
      <c r="F644" s="471" t="str">
        <f ca="1">语言!$A$33&amp;"
"&amp;道具!$C$127</f>
        <v>隐藏道具的资讯
放了铜块的麻袋</v>
      </c>
      <c r="G644" s="554" t="b">
        <v>0</v>
      </c>
      <c r="H644" s="556" t="s">
        <v>49</v>
      </c>
      <c r="I644" s="471">
        <v>4</v>
      </c>
      <c r="J644" s="471"/>
      <c r="K644" s="471"/>
      <c r="L644" s="471"/>
      <c r="M644" s="471"/>
      <c r="N644" s="471"/>
      <c r="O644" s="471" t="str">
        <f ca="1">道具!$C$293</f>
        <v>重弓</v>
      </c>
      <c r="P644" s="554"/>
      <c r="Q644" s="556" t="s">
        <v>49</v>
      </c>
      <c r="R644" s="38"/>
      <c r="S644" s="38" t="str">
        <f ca="1">Summon!$I$65</f>
        <v>剧毒之矢</v>
      </c>
      <c r="T644" s="556">
        <v>7</v>
      </c>
      <c r="U644" s="554"/>
      <c r="V644" s="471" t="str">
        <f ca="1">"Can't "&amp;语言!$A$50&amp;", only "&amp;语言!$A$46</f>
        <v>Can't 偷取, only 购买</v>
      </c>
      <c r="W644" s="168"/>
    </row>
    <row r="645" spans="1:23" ht="12.75" x14ac:dyDescent="0.2">
      <c r="A645" s="168"/>
      <c r="B645" s="371"/>
      <c r="C645" s="371"/>
      <c r="D645" s="371"/>
      <c r="E645" s="371"/>
      <c r="F645" s="371"/>
      <c r="G645" s="371"/>
      <c r="H645" s="371"/>
      <c r="I645" s="371"/>
      <c r="J645" s="371"/>
      <c r="K645" s="371"/>
      <c r="L645" s="371"/>
      <c r="M645" s="371"/>
      <c r="N645" s="371"/>
      <c r="O645" s="371"/>
      <c r="P645" s="371"/>
      <c r="Q645" s="371"/>
      <c r="R645" s="38"/>
      <c r="S645" s="38" t="str">
        <f ca="1">Summon!$I$70</f>
        <v>乱射</v>
      </c>
      <c r="T645" s="371"/>
      <c r="U645" s="371"/>
      <c r="V645" s="371"/>
      <c r="W645" s="168"/>
    </row>
    <row r="646" spans="1:23" ht="12.75" x14ac:dyDescent="0.2">
      <c r="A646" s="168"/>
      <c r="B646" s="555"/>
      <c r="C646" s="555"/>
      <c r="D646" s="555"/>
      <c r="E646" s="555"/>
      <c r="F646" s="555"/>
      <c r="G646" s="555"/>
      <c r="H646" s="555"/>
      <c r="I646" s="555"/>
      <c r="J646" s="555"/>
      <c r="K646" s="555"/>
      <c r="L646" s="555"/>
      <c r="M646" s="555"/>
      <c r="N646" s="555"/>
      <c r="O646" s="555"/>
      <c r="P646" s="555"/>
      <c r="Q646" s="555"/>
      <c r="R646" s="173"/>
      <c r="S646" s="173" t="str">
        <f ca="1">Summon!$I$4</f>
        <v>战斗</v>
      </c>
      <c r="T646" s="555"/>
      <c r="U646" s="555"/>
      <c r="V646" s="555"/>
      <c r="W646" s="168"/>
    </row>
    <row r="647" spans="1:23" ht="12.75" x14ac:dyDescent="0.2">
      <c r="A647" s="168"/>
      <c r="B647" s="472" t="str">
        <f ca="1">语言!$A$2102</f>
        <v>市民</v>
      </c>
      <c r="C647" s="168" t="b">
        <v>0</v>
      </c>
      <c r="D647" s="40" t="str">
        <f ca="1">道具!$C$40</f>
        <v>风之精灵石（大）</v>
      </c>
      <c r="E647" s="554" t="b">
        <v>0</v>
      </c>
      <c r="F647" s="471" t="str">
        <f ca="1">语言!$A$24</f>
        <v>旅店的折扣资讯</v>
      </c>
      <c r="G647" s="554" t="b">
        <v>0</v>
      </c>
      <c r="H647" s="556" t="s">
        <v>46</v>
      </c>
      <c r="I647" s="471">
        <v>3</v>
      </c>
      <c r="J647" s="471"/>
      <c r="K647" s="471"/>
      <c r="L647" s="471"/>
      <c r="M647" s="471"/>
      <c r="N647" s="471"/>
      <c r="O647" s="471" t="str">
        <f ca="1">道具!$C$541</f>
        <v>李子树液</v>
      </c>
      <c r="P647" s="554"/>
      <c r="Q647" s="559" t="s">
        <v>119</v>
      </c>
      <c r="R647" s="559" t="s">
        <v>119</v>
      </c>
      <c r="S647" s="559" t="s">
        <v>119</v>
      </c>
      <c r="T647" s="559" t="s">
        <v>119</v>
      </c>
      <c r="U647" s="554"/>
      <c r="V647" s="471"/>
      <c r="W647" s="168"/>
    </row>
    <row r="648" spans="1:23" ht="12.75" x14ac:dyDescent="0.2">
      <c r="A648" s="168"/>
      <c r="B648" s="555"/>
      <c r="C648" s="171" t="b">
        <v>0</v>
      </c>
      <c r="D648" s="172" t="str">
        <f ca="1">道具!$C$43</f>
        <v>光之精灵石</v>
      </c>
      <c r="E648" s="555"/>
      <c r="F648" s="555"/>
      <c r="G648" s="555"/>
      <c r="H648" s="555"/>
      <c r="I648" s="555"/>
      <c r="J648" s="555"/>
      <c r="K648" s="555"/>
      <c r="L648" s="555"/>
      <c r="M648" s="555"/>
      <c r="N648" s="555"/>
      <c r="O648" s="555"/>
      <c r="P648" s="555"/>
      <c r="Q648" s="555"/>
      <c r="R648" s="555"/>
      <c r="S648" s="555"/>
      <c r="T648" s="555"/>
      <c r="U648" s="555"/>
      <c r="V648" s="555"/>
      <c r="W648" s="168"/>
    </row>
    <row r="649" spans="1:23" ht="12.75" x14ac:dyDescent="0.2">
      <c r="A649" s="168"/>
      <c r="B649" s="172" t="str">
        <f ca="1">语言!$A$1831</f>
        <v>车夫</v>
      </c>
      <c r="C649" s="171"/>
      <c r="D649" s="182" t="s">
        <v>119</v>
      </c>
      <c r="E649" s="171" t="b">
        <v>0</v>
      </c>
      <c r="F649" s="173" t="str">
        <f ca="1">道具!$I$57</f>
        <v>凡妮莎的去向</v>
      </c>
      <c r="G649" s="171"/>
      <c r="H649" s="179" t="s">
        <v>119</v>
      </c>
      <c r="I649" s="179" t="s">
        <v>119</v>
      </c>
      <c r="J649" s="179" t="s">
        <v>119</v>
      </c>
      <c r="K649" s="179" t="s">
        <v>119</v>
      </c>
      <c r="L649" s="179" t="s">
        <v>119</v>
      </c>
      <c r="M649" s="179" t="s">
        <v>119</v>
      </c>
      <c r="N649" s="179" t="s">
        <v>119</v>
      </c>
      <c r="O649" s="179" t="s">
        <v>119</v>
      </c>
      <c r="P649" s="171"/>
      <c r="Q649" s="179" t="s">
        <v>119</v>
      </c>
      <c r="R649" s="179" t="s">
        <v>119</v>
      </c>
      <c r="S649" s="179" t="s">
        <v>119</v>
      </c>
      <c r="T649" s="179" t="s">
        <v>119</v>
      </c>
      <c r="U649" s="171"/>
      <c r="V649" s="173" t="str">
        <f ca="1">"NPC available only during "&amp;语言!$A$40&amp;" chapter 2"</f>
        <v>NPC available only during 亚芬 chapter 2</v>
      </c>
      <c r="W649" s="168"/>
    </row>
    <row r="650" spans="1:23" ht="12.75" x14ac:dyDescent="0.2">
      <c r="A650" s="168"/>
      <c r="B650" s="472" t="str">
        <f ca="1">语言!$A$2102</f>
        <v>市民</v>
      </c>
      <c r="C650" s="168" t="b">
        <v>0</v>
      </c>
      <c r="D650" s="40" t="str">
        <f ca="1">道具!$C$532</f>
        <v>含毒的素材</v>
      </c>
      <c r="E650" s="554" t="b">
        <v>0</v>
      </c>
      <c r="F650" s="471" t="str">
        <f ca="1">语言!$A$33&amp;"
"&amp;道具!$C$5</f>
        <v>隐藏道具的资讯
ＨＰ全体恢复的葡萄</v>
      </c>
      <c r="G650" s="554" t="b">
        <v>0</v>
      </c>
      <c r="H650" s="556" t="s">
        <v>48</v>
      </c>
      <c r="I650" s="471">
        <v>2</v>
      </c>
      <c r="J650" s="471"/>
      <c r="K650" s="471"/>
      <c r="L650" s="471"/>
      <c r="M650" s="471"/>
      <c r="N650" s="471"/>
      <c r="O650" s="471" t="str">
        <f ca="1">道具!$C$530</f>
        <v>秘药的素材</v>
      </c>
      <c r="P650" s="554"/>
      <c r="Q650" s="556" t="s">
        <v>48</v>
      </c>
      <c r="R650" s="38"/>
      <c r="S650" s="38" t="str">
        <f ca="1">Summon!$I$64</f>
        <v>精准射击</v>
      </c>
      <c r="T650" s="556">
        <v>9</v>
      </c>
      <c r="U650" s="554"/>
      <c r="V650" s="471"/>
      <c r="W650" s="168"/>
    </row>
    <row r="651" spans="1:23" ht="12.75" x14ac:dyDescent="0.2">
      <c r="A651" s="168"/>
      <c r="B651" s="371"/>
      <c r="C651" s="168" t="b">
        <v>0</v>
      </c>
      <c r="D651" s="40" t="str">
        <f ca="1">道具!$C$533</f>
        <v>含毒的素材（扩散）</v>
      </c>
      <c r="E651" s="371"/>
      <c r="F651" s="371"/>
      <c r="G651" s="371"/>
      <c r="H651" s="371"/>
      <c r="I651" s="371"/>
      <c r="J651" s="371"/>
      <c r="K651" s="371"/>
      <c r="L651" s="371"/>
      <c r="M651" s="371"/>
      <c r="N651" s="371"/>
      <c r="O651" s="371"/>
      <c r="P651" s="371"/>
      <c r="Q651" s="371"/>
      <c r="R651" s="38"/>
      <c r="S651" s="38" t="str">
        <f ca="1">Summon!$I$4</f>
        <v>战斗</v>
      </c>
      <c r="T651" s="371"/>
      <c r="U651" s="371"/>
      <c r="V651" s="371"/>
      <c r="W651" s="168"/>
    </row>
    <row r="652" spans="1:23" ht="12.75" x14ac:dyDescent="0.2">
      <c r="A652" s="168"/>
      <c r="B652" s="555"/>
      <c r="C652" s="171" t="b">
        <v>0</v>
      </c>
      <c r="D652" s="172" t="str">
        <f ca="1">道具!$C$534</f>
        <v>超含毒的素材</v>
      </c>
      <c r="E652" s="555"/>
      <c r="F652" s="555"/>
      <c r="G652" s="555"/>
      <c r="H652" s="555"/>
      <c r="I652" s="555"/>
      <c r="J652" s="555"/>
      <c r="K652" s="555"/>
      <c r="L652" s="555"/>
      <c r="M652" s="555"/>
      <c r="N652" s="555"/>
      <c r="O652" s="555"/>
      <c r="P652" s="555"/>
      <c r="Q652" s="555"/>
      <c r="R652" s="173"/>
      <c r="S652" s="173"/>
      <c r="T652" s="555"/>
      <c r="U652" s="555"/>
      <c r="V652" s="555"/>
      <c r="W652" s="168"/>
    </row>
    <row r="653" spans="1:23" ht="25.5" x14ac:dyDescent="0.2">
      <c r="A653" s="168"/>
      <c r="B653" s="472" t="str">
        <f ca="1">语言!$A$1952&amp;" (2)"</f>
        <v>卢・曼 (2)</v>
      </c>
      <c r="C653" s="168" t="b">
        <v>0</v>
      </c>
      <c r="D653" s="40" t="str">
        <f ca="1">道具!$C$115</f>
        <v>简单！冒险者入门</v>
      </c>
      <c r="E653" s="554" t="b">
        <v>0</v>
      </c>
      <c r="F653" s="471" t="str">
        <f ca="1">语言!$A$23</f>
        <v>无</v>
      </c>
      <c r="G653" s="554" t="b">
        <v>0</v>
      </c>
      <c r="H653" s="556" t="s">
        <v>48</v>
      </c>
      <c r="I653" s="471">
        <v>2</v>
      </c>
      <c r="J653" s="471"/>
      <c r="K653" s="471"/>
      <c r="L653" s="471"/>
      <c r="M653" s="471"/>
      <c r="N653" s="471"/>
      <c r="O653" s="471" t="str">
        <f ca="1">道具!$C$9</f>
        <v>ＢＰ恢复的石榴</v>
      </c>
      <c r="P653" s="554"/>
      <c r="Q653" s="559" t="s">
        <v>119</v>
      </c>
      <c r="R653" s="559" t="s">
        <v>119</v>
      </c>
      <c r="S653" s="559" t="s">
        <v>119</v>
      </c>
      <c r="T653" s="559" t="s">
        <v>119</v>
      </c>
      <c r="U653" s="554"/>
      <c r="V653" s="471" t="str">
        <f ca="1">"NPC available after quest: "&amp;支线!$C$43&amp;"
Moves to "&amp;语言!$A$382&amp;" after quest: "&amp;支线!$C$47</f>
        <v>NPC available after quest: 冒险家卢・曼（１）
Moves to 格兰波特 after quest: 冒险家卢・曼（２）</v>
      </c>
      <c r="W653" s="168"/>
    </row>
    <row r="654" spans="1:23" ht="12.75" x14ac:dyDescent="0.2">
      <c r="A654" s="168"/>
      <c r="B654" s="371"/>
      <c r="C654" s="168" t="b">
        <v>0</v>
      </c>
      <c r="D654" s="40" t="str">
        <f ca="1">道具!$C$126</f>
        <v>旧硬币</v>
      </c>
      <c r="E654" s="371"/>
      <c r="F654" s="371"/>
      <c r="G654" s="371"/>
      <c r="H654" s="371"/>
      <c r="I654" s="371"/>
      <c r="J654" s="371"/>
      <c r="K654" s="371"/>
      <c r="L654" s="371"/>
      <c r="M654" s="371"/>
      <c r="N654" s="371"/>
      <c r="O654" s="371"/>
      <c r="P654" s="371"/>
      <c r="Q654" s="371"/>
      <c r="R654" s="371"/>
      <c r="S654" s="371"/>
      <c r="T654" s="371"/>
      <c r="U654" s="371"/>
      <c r="V654" s="371"/>
      <c r="W654" s="168"/>
    </row>
    <row r="655" spans="1:23" ht="12.75" x14ac:dyDescent="0.2">
      <c r="A655" s="168"/>
      <c r="B655" s="371"/>
      <c r="C655" s="168" t="b">
        <v>0</v>
      </c>
      <c r="D655" s="40" t="str">
        <f ca="1">道具!$C$101</f>
        <v>铜制提灯</v>
      </c>
      <c r="E655" s="371"/>
      <c r="F655" s="371"/>
      <c r="G655" s="371"/>
      <c r="H655" s="371"/>
      <c r="I655" s="371"/>
      <c r="J655" s="371"/>
      <c r="K655" s="371"/>
      <c r="L655" s="371"/>
      <c r="M655" s="371"/>
      <c r="N655" s="371"/>
      <c r="O655" s="371"/>
      <c r="P655" s="371"/>
      <c r="Q655" s="371"/>
      <c r="R655" s="371"/>
      <c r="S655" s="371"/>
      <c r="T655" s="371"/>
      <c r="U655" s="371"/>
      <c r="V655" s="371"/>
      <c r="W655" s="168"/>
    </row>
    <row r="656" spans="1:23" ht="12.75" x14ac:dyDescent="0.2">
      <c r="A656" s="168"/>
      <c r="B656" s="552" t="str">
        <f ca="1">语言!$A$373</f>
        <v>葛鲁德修亚 -贵族街-</v>
      </c>
      <c r="C656" s="371"/>
      <c r="D656" s="371"/>
      <c r="E656" s="371"/>
      <c r="F656" s="371"/>
      <c r="G656" s="371"/>
      <c r="H656" s="371"/>
      <c r="I656" s="371"/>
      <c r="J656" s="371"/>
      <c r="K656" s="371"/>
      <c r="L656" s="371"/>
      <c r="M656" s="371"/>
      <c r="N656" s="371"/>
      <c r="O656" s="371"/>
      <c r="P656" s="371"/>
      <c r="Q656" s="371"/>
      <c r="R656" s="371"/>
      <c r="S656" s="371"/>
      <c r="T656" s="371"/>
      <c r="U656" s="371"/>
      <c r="V656" s="371"/>
      <c r="W656" s="168"/>
    </row>
    <row r="657" spans="1:23" ht="12.75" x14ac:dyDescent="0.2">
      <c r="A657" s="168"/>
      <c r="B657" s="472" t="str">
        <f ca="1">语言!$A$2102</f>
        <v>市民</v>
      </c>
      <c r="C657" s="168" t="b">
        <v>0</v>
      </c>
      <c r="D657" s="40" t="str">
        <f ca="1">道具!$C$4</f>
        <v>ＨＰ恢复的葡萄（大）</v>
      </c>
      <c r="E657" s="554" t="b">
        <v>0</v>
      </c>
      <c r="F657" s="471" t="str">
        <f ca="1">语言!$A$29</f>
        <v>「引导」必须等级降低资讯</v>
      </c>
      <c r="G657" s="554" t="b">
        <v>0</v>
      </c>
      <c r="H657" s="556" t="s">
        <v>49</v>
      </c>
      <c r="I657" s="471">
        <v>4</v>
      </c>
      <c r="J657" s="471"/>
      <c r="K657" s="471"/>
      <c r="L657" s="471"/>
      <c r="M657" s="471"/>
      <c r="N657" s="471"/>
      <c r="O657" s="471" t="str">
        <f ca="1">道具!$C$162</f>
        <v>精神剑</v>
      </c>
      <c r="P657" s="554"/>
      <c r="Q657" s="556" t="s">
        <v>49</v>
      </c>
      <c r="R657" s="38"/>
      <c r="S657" s="38" t="str">
        <f ca="1">Summon!$I$168</f>
        <v>攻击架式</v>
      </c>
      <c r="T657" s="556">
        <v>7</v>
      </c>
      <c r="U657" s="554"/>
      <c r="V657" s="471"/>
      <c r="W657" s="168"/>
    </row>
    <row r="658" spans="1:23" ht="12.75" x14ac:dyDescent="0.2">
      <c r="A658" s="168"/>
      <c r="B658" s="371"/>
      <c r="C658" s="168" t="b">
        <v>0</v>
      </c>
      <c r="D658" s="40" t="str">
        <f ca="1">道具!$C$7</f>
        <v>ＳＰ恢复的李子（大）</v>
      </c>
      <c r="E658" s="371"/>
      <c r="F658" s="371"/>
      <c r="G658" s="371"/>
      <c r="H658" s="371"/>
      <c r="I658" s="371"/>
      <c r="J658" s="371"/>
      <c r="K658" s="371"/>
      <c r="L658" s="371"/>
      <c r="M658" s="371"/>
      <c r="N658" s="371"/>
      <c r="O658" s="371"/>
      <c r="P658" s="371"/>
      <c r="Q658" s="371"/>
      <c r="R658" s="38"/>
      <c r="S658" s="38" t="str">
        <f ca="1">Summon!$I$21</f>
        <v>乱斩</v>
      </c>
      <c r="T658" s="371"/>
      <c r="U658" s="371"/>
      <c r="V658" s="371"/>
      <c r="W658" s="168"/>
    </row>
    <row r="659" spans="1:23" ht="12.75" x14ac:dyDescent="0.2">
      <c r="A659" s="168"/>
      <c r="B659" s="555"/>
      <c r="C659" s="171"/>
      <c r="D659" s="172"/>
      <c r="E659" s="555"/>
      <c r="F659" s="555"/>
      <c r="G659" s="555"/>
      <c r="H659" s="555"/>
      <c r="I659" s="555"/>
      <c r="J659" s="555"/>
      <c r="K659" s="555"/>
      <c r="L659" s="555"/>
      <c r="M659" s="555"/>
      <c r="N659" s="555"/>
      <c r="O659" s="555"/>
      <c r="P659" s="555"/>
      <c r="Q659" s="555"/>
      <c r="R659" s="173"/>
      <c r="S659" s="173" t="str">
        <f ca="1">Summon!$I$4</f>
        <v>战斗</v>
      </c>
      <c r="T659" s="555"/>
      <c r="U659" s="555"/>
      <c r="V659" s="555"/>
      <c r="W659" s="168"/>
    </row>
    <row r="660" spans="1:23" ht="12.75" x14ac:dyDescent="0.2">
      <c r="A660" s="168"/>
      <c r="B660" s="472" t="str">
        <f ca="1">语言!$A$2079</f>
        <v>石匠</v>
      </c>
      <c r="C660" s="554" t="b">
        <v>0</v>
      </c>
      <c r="D660" s="472" t="str">
        <f ca="1">"* "&amp;道具!$F$53</f>
        <v>* 欧亚威尔产磨刀石</v>
      </c>
      <c r="E660" s="554" t="b">
        <v>0</v>
      </c>
      <c r="F660" s="471" t="str">
        <f ca="1">语言!$A$23</f>
        <v>无</v>
      </c>
      <c r="G660" s="554" t="b">
        <v>0</v>
      </c>
      <c r="H660" s="556" t="s">
        <v>48</v>
      </c>
      <c r="I660" s="471">
        <v>2</v>
      </c>
      <c r="J660" s="471"/>
      <c r="K660" s="471"/>
      <c r="L660" s="471"/>
      <c r="M660" s="471"/>
      <c r="N660" s="471"/>
      <c r="O660" s="471" t="str">
        <f ca="1">道具!$C$7</f>
        <v>ＳＰ恢复的李子（大）</v>
      </c>
      <c r="P660" s="554"/>
      <c r="Q660" s="556" t="s">
        <v>48</v>
      </c>
      <c r="R660" s="38"/>
      <c r="S660" s="38" t="str">
        <f ca="1">Summon!$I$6</f>
        <v>斩击</v>
      </c>
      <c r="T660" s="556">
        <v>9</v>
      </c>
      <c r="U660" s="554"/>
      <c r="V660" s="471"/>
      <c r="W660" s="168"/>
    </row>
    <row r="661" spans="1:23" ht="12.75" x14ac:dyDescent="0.2">
      <c r="A661" s="168"/>
      <c r="B661" s="555"/>
      <c r="C661" s="555"/>
      <c r="D661" s="555"/>
      <c r="E661" s="555"/>
      <c r="F661" s="555"/>
      <c r="G661" s="555"/>
      <c r="H661" s="555"/>
      <c r="I661" s="555"/>
      <c r="J661" s="555"/>
      <c r="K661" s="555"/>
      <c r="L661" s="555"/>
      <c r="M661" s="555"/>
      <c r="N661" s="555"/>
      <c r="O661" s="555"/>
      <c r="P661" s="555"/>
      <c r="Q661" s="555"/>
      <c r="R661" s="173"/>
      <c r="S661" s="173" t="str">
        <f ca="1">Summon!$I$4</f>
        <v>战斗</v>
      </c>
      <c r="T661" s="555"/>
      <c r="U661" s="555"/>
      <c r="V661" s="555"/>
      <c r="W661" s="168"/>
    </row>
    <row r="662" spans="1:23" ht="12.75" x14ac:dyDescent="0.2">
      <c r="A662" s="168"/>
      <c r="B662" s="472" t="str">
        <f ca="1">语言!$A$1780</f>
        <v>贵族</v>
      </c>
      <c r="C662" s="168" t="b">
        <v>0</v>
      </c>
      <c r="D662" s="40" t="str">
        <f ca="1">道具!$C$480</f>
        <v>体力手环</v>
      </c>
      <c r="E662" s="554" t="b">
        <v>0</v>
      </c>
      <c r="F662" s="471" t="str">
        <f ca="1">语言!$A$23</f>
        <v>无</v>
      </c>
      <c r="G662" s="554" t="b">
        <v>0</v>
      </c>
      <c r="H662" s="556" t="s">
        <v>46</v>
      </c>
      <c r="I662" s="471">
        <v>3</v>
      </c>
      <c r="J662" s="471"/>
      <c r="K662" s="471"/>
      <c r="L662" s="471"/>
      <c r="M662" s="471"/>
      <c r="N662" s="471"/>
      <c r="O662" s="471" t="str">
        <f ca="1">道具!$C$4</f>
        <v>ＨＰ恢复的葡萄（大）</v>
      </c>
      <c r="P662" s="554"/>
      <c r="Q662" s="556" t="s">
        <v>46</v>
      </c>
      <c r="R662" s="38"/>
      <c r="S662" s="38" t="str">
        <f ca="1">Summon!$I$91</f>
        <v>大雷击魔法</v>
      </c>
      <c r="T662" s="556">
        <v>8</v>
      </c>
      <c r="U662" s="554"/>
      <c r="V662" s="471"/>
      <c r="W662" s="168"/>
    </row>
    <row r="663" spans="1:23" ht="25.5" x14ac:dyDescent="0.2">
      <c r="A663" s="168"/>
      <c r="B663" s="371"/>
      <c r="C663" s="168" t="b">
        <v>0</v>
      </c>
      <c r="D663" s="40" t="str">
        <f ca="1">道具!$C$10</f>
        <v>ＢＰ恢复的石榴（大）</v>
      </c>
      <c r="E663" s="371"/>
      <c r="F663" s="371"/>
      <c r="G663" s="371"/>
      <c r="H663" s="371"/>
      <c r="I663" s="371"/>
      <c r="J663" s="371"/>
      <c r="K663" s="371"/>
      <c r="L663" s="371"/>
      <c r="M663" s="371"/>
      <c r="N663" s="371"/>
      <c r="O663" s="371"/>
      <c r="P663" s="371"/>
      <c r="Q663" s="371"/>
      <c r="R663" s="38"/>
      <c r="S663" s="38" t="str">
        <f ca="1">Summon!$I$160</f>
        <v>精神下降</v>
      </c>
      <c r="T663" s="371"/>
      <c r="U663" s="371"/>
      <c r="V663" s="371"/>
      <c r="W663" s="168"/>
    </row>
    <row r="664" spans="1:23" ht="25.5" x14ac:dyDescent="0.2">
      <c r="A664" s="168"/>
      <c r="B664" s="555"/>
      <c r="C664" s="171" t="b">
        <v>0</v>
      </c>
      <c r="D664" s="172" t="str">
        <f ca="1">道具!$C$10</f>
        <v>ＢＰ恢复的石榴（大）</v>
      </c>
      <c r="E664" s="555"/>
      <c r="F664" s="555"/>
      <c r="G664" s="555"/>
      <c r="H664" s="555"/>
      <c r="I664" s="555"/>
      <c r="J664" s="555"/>
      <c r="K664" s="555"/>
      <c r="L664" s="555"/>
      <c r="M664" s="555"/>
      <c r="N664" s="555"/>
      <c r="O664" s="555"/>
      <c r="P664" s="555"/>
      <c r="Q664" s="555"/>
      <c r="R664" s="173"/>
      <c r="S664" s="173" t="str">
        <f ca="1">Summon!$I$4</f>
        <v>战斗</v>
      </c>
      <c r="T664" s="555"/>
      <c r="U664" s="555"/>
      <c r="V664" s="555"/>
      <c r="W664" s="168"/>
    </row>
    <row r="665" spans="1:23" ht="12.75" x14ac:dyDescent="0.2">
      <c r="A665" s="168"/>
      <c r="B665" s="472" t="str">
        <f ca="1">语言!$A$1877</f>
        <v>菜鸟渔夫</v>
      </c>
      <c r="C665" s="168" t="b">
        <v>0</v>
      </c>
      <c r="D665" s="40" t="str">
        <f ca="1">"* "&amp;道具!$F$51</f>
        <v>* 海兽之蛋</v>
      </c>
      <c r="E665" s="554" t="b">
        <v>0</v>
      </c>
      <c r="F665" s="471" t="str">
        <f ca="1">语言!$A$33&amp;"
"&amp;道具!$C$96</f>
        <v>隐藏道具的资讯
装了破烂儿的小袋子</v>
      </c>
      <c r="G665" s="554" t="b">
        <v>0</v>
      </c>
      <c r="H665" s="556" t="s">
        <v>46</v>
      </c>
      <c r="I665" s="471">
        <v>3</v>
      </c>
      <c r="J665" s="471"/>
      <c r="K665" s="471"/>
      <c r="L665" s="471"/>
      <c r="M665" s="471"/>
      <c r="N665" s="471"/>
      <c r="O665" s="471" t="str">
        <f ca="1">道具!$C$10</f>
        <v>ＢＰ恢复的石榴（大）</v>
      </c>
      <c r="P665" s="554"/>
      <c r="Q665" s="556" t="s">
        <v>46</v>
      </c>
      <c r="R665" s="38"/>
      <c r="S665" s="38" t="str">
        <f ca="1">Summon!$I$150</f>
        <v>混乱之粉</v>
      </c>
      <c r="T665" s="556">
        <v>8</v>
      </c>
      <c r="U665" s="554"/>
      <c r="V665" s="471" t="str">
        <f ca="1">"Hidden Item in other part of town
"&amp;语言!$A$44&amp;" / "&amp;语言!$A$48&amp;" available after quest: "&amp;支线!$C$50</f>
        <v>Hidden Item in other part of town
引导 / 诱惑 available after quest: 凶暴的海兽</v>
      </c>
      <c r="W665" s="168"/>
    </row>
    <row r="666" spans="1:23" ht="12.75" x14ac:dyDescent="0.2">
      <c r="A666" s="168"/>
      <c r="B666" s="371"/>
      <c r="C666" s="168" t="b">
        <v>0</v>
      </c>
      <c r="D666" s="40" t="str">
        <f ca="1">道具!$C$85</f>
        <v>玻璃珠</v>
      </c>
      <c r="E666" s="371"/>
      <c r="F666" s="371"/>
      <c r="G666" s="371"/>
      <c r="H666" s="371"/>
      <c r="I666" s="371"/>
      <c r="J666" s="371"/>
      <c r="K666" s="371"/>
      <c r="L666" s="371"/>
      <c r="M666" s="371"/>
      <c r="N666" s="371"/>
      <c r="O666" s="371"/>
      <c r="P666" s="371"/>
      <c r="Q666" s="371"/>
      <c r="R666" s="38"/>
      <c r="S666" s="38" t="str">
        <f ca="1">Summon!$I$31</f>
        <v>要害突刺</v>
      </c>
      <c r="T666" s="371"/>
      <c r="U666" s="371"/>
      <c r="V666" s="371"/>
      <c r="W666" s="168"/>
    </row>
    <row r="667" spans="1:23" ht="12.75" x14ac:dyDescent="0.2">
      <c r="A667" s="168"/>
      <c r="B667" s="555"/>
      <c r="C667" s="171" t="b">
        <v>0</v>
      </c>
      <c r="D667" s="172" t="str">
        <f ca="1">道具!$C$131</f>
        <v>锈蚀腐朽的杯子</v>
      </c>
      <c r="E667" s="555"/>
      <c r="F667" s="555"/>
      <c r="G667" s="555"/>
      <c r="H667" s="555"/>
      <c r="I667" s="555"/>
      <c r="J667" s="555"/>
      <c r="K667" s="555"/>
      <c r="L667" s="555"/>
      <c r="M667" s="555"/>
      <c r="N667" s="555"/>
      <c r="O667" s="555"/>
      <c r="P667" s="555"/>
      <c r="Q667" s="555"/>
      <c r="R667" s="173"/>
      <c r="S667" s="173" t="str">
        <f ca="1">Summon!$I$4</f>
        <v>战斗</v>
      </c>
      <c r="T667" s="555"/>
      <c r="U667" s="555"/>
      <c r="V667" s="555"/>
      <c r="W667" s="168"/>
    </row>
    <row r="668" spans="1:23" ht="12.75" x14ac:dyDescent="0.2">
      <c r="A668" s="168"/>
      <c r="B668" s="472" t="str">
        <f ca="1">语言!$A$1964</f>
        <v>丽莎</v>
      </c>
      <c r="C668" s="168" t="b">
        <v>0</v>
      </c>
      <c r="D668" s="40" t="str">
        <f ca="1">道具!$C$70</f>
        <v>增强命中的坚果（大）</v>
      </c>
      <c r="E668" s="554" t="b">
        <v>0</v>
      </c>
      <c r="F668" s="471" t="str">
        <f ca="1">语言!$A$23</f>
        <v>无</v>
      </c>
      <c r="G668" s="554"/>
      <c r="H668" s="559" t="s">
        <v>119</v>
      </c>
      <c r="I668" s="559" t="s">
        <v>119</v>
      </c>
      <c r="J668" s="559" t="s">
        <v>119</v>
      </c>
      <c r="K668" s="559" t="s">
        <v>119</v>
      </c>
      <c r="L668" s="559" t="s">
        <v>119</v>
      </c>
      <c r="M668" s="559" t="s">
        <v>119</v>
      </c>
      <c r="N668" s="559" t="s">
        <v>119</v>
      </c>
      <c r="O668" s="559" t="s">
        <v>119</v>
      </c>
      <c r="P668" s="554"/>
      <c r="Q668" s="559" t="s">
        <v>119</v>
      </c>
      <c r="R668" s="559" t="s">
        <v>119</v>
      </c>
      <c r="S668" s="559" t="s">
        <v>119</v>
      </c>
      <c r="T668" s="559" t="s">
        <v>119</v>
      </c>
      <c r="U668" s="554"/>
      <c r="V668" s="471" t="str">
        <f ca="1">"NPC available after "&amp;语言!$A$35&amp;" chapter 4"</f>
        <v>NPC available after 欧菲莉亚 chapter 4</v>
      </c>
      <c r="W668" s="168"/>
    </row>
    <row r="669" spans="1:23" ht="12.75" x14ac:dyDescent="0.2">
      <c r="A669" s="168"/>
      <c r="B669" s="371"/>
      <c r="C669" s="168" t="b">
        <v>0</v>
      </c>
      <c r="D669" s="40" t="str">
        <f ca="1">道具!$C$7</f>
        <v>ＳＰ恢复的李子（大）</v>
      </c>
      <c r="E669" s="371"/>
      <c r="F669" s="371"/>
      <c r="G669" s="371"/>
      <c r="H669" s="371"/>
      <c r="I669" s="371"/>
      <c r="J669" s="371"/>
      <c r="K669" s="371"/>
      <c r="L669" s="371"/>
      <c r="M669" s="371"/>
      <c r="N669" s="371"/>
      <c r="O669" s="371"/>
      <c r="P669" s="371"/>
      <c r="Q669" s="371"/>
      <c r="R669" s="371"/>
      <c r="S669" s="371"/>
      <c r="T669" s="371"/>
      <c r="U669" s="371"/>
      <c r="V669" s="371"/>
      <c r="W669" s="168"/>
    </row>
    <row r="670" spans="1:23" ht="12.75" x14ac:dyDescent="0.2">
      <c r="A670" s="168"/>
      <c r="B670" s="555"/>
      <c r="C670" s="171" t="b">
        <v>0</v>
      </c>
      <c r="D670" s="172" t="str">
        <f ca="1">道具!$C$64</f>
        <v>增强属攻的坚果（特大）</v>
      </c>
      <c r="E670" s="555"/>
      <c r="F670" s="555"/>
      <c r="G670" s="555"/>
      <c r="H670" s="555"/>
      <c r="I670" s="555"/>
      <c r="J670" s="555"/>
      <c r="K670" s="555"/>
      <c r="L670" s="555"/>
      <c r="M670" s="555"/>
      <c r="N670" s="555"/>
      <c r="O670" s="555"/>
      <c r="P670" s="555"/>
      <c r="Q670" s="555"/>
      <c r="R670" s="555"/>
      <c r="S670" s="555"/>
      <c r="T670" s="555"/>
      <c r="U670" s="555"/>
      <c r="V670" s="555"/>
      <c r="W670" s="168"/>
    </row>
    <row r="671" spans="1:23" ht="12.75" x14ac:dyDescent="0.2">
      <c r="A671" s="168"/>
      <c r="B671" s="472" t="str">
        <f ca="1">语言!$A$2102</f>
        <v>市民</v>
      </c>
      <c r="C671" s="168" t="b">
        <v>0</v>
      </c>
      <c r="D671" s="40" t="str">
        <f ca="1">道具!$C$127</f>
        <v>放了铜块的麻袋</v>
      </c>
      <c r="E671" s="554" t="b">
        <v>0</v>
      </c>
      <c r="F671" s="471" t="str">
        <f ca="1">语言!$A$23</f>
        <v>无</v>
      </c>
      <c r="G671" s="554" t="b">
        <v>0</v>
      </c>
      <c r="H671" s="556" t="s">
        <v>48</v>
      </c>
      <c r="I671" s="471">
        <v>2</v>
      </c>
      <c r="J671" s="471"/>
      <c r="K671" s="471"/>
      <c r="L671" s="471"/>
      <c r="M671" s="471"/>
      <c r="N671" s="471"/>
      <c r="O671" s="471" t="str">
        <f ca="1">道具!$C$4</f>
        <v>ＨＰ恢复的葡萄（大）</v>
      </c>
      <c r="P671" s="554"/>
      <c r="Q671" s="559" t="s">
        <v>119</v>
      </c>
      <c r="R671" s="559" t="s">
        <v>119</v>
      </c>
      <c r="S671" s="559" t="s">
        <v>119</v>
      </c>
      <c r="T671" s="559" t="s">
        <v>119</v>
      </c>
      <c r="U671" s="554"/>
      <c r="V671" s="471"/>
      <c r="W671" s="168"/>
    </row>
    <row r="672" spans="1:23" ht="12.75" x14ac:dyDescent="0.2">
      <c r="A672" s="168"/>
      <c r="B672" s="555"/>
      <c r="C672" s="171" t="b">
        <v>0</v>
      </c>
      <c r="D672" s="172" t="str">
        <f ca="1">道具!$C$6</f>
        <v>ＳＰ恢复的李子</v>
      </c>
      <c r="E672" s="555"/>
      <c r="F672" s="555"/>
      <c r="G672" s="555"/>
      <c r="H672" s="555"/>
      <c r="I672" s="555"/>
      <c r="J672" s="555"/>
      <c r="K672" s="555"/>
      <c r="L672" s="555"/>
      <c r="M672" s="555"/>
      <c r="N672" s="555"/>
      <c r="O672" s="555"/>
      <c r="P672" s="555"/>
      <c r="Q672" s="555"/>
      <c r="R672" s="555"/>
      <c r="S672" s="555"/>
      <c r="T672" s="555"/>
      <c r="U672" s="555"/>
      <c r="V672" s="555"/>
      <c r="W672" s="168"/>
    </row>
    <row r="673" spans="1:23" ht="12.75" x14ac:dyDescent="0.2">
      <c r="A673" s="168"/>
      <c r="B673" s="472" t="str">
        <f ca="1">语言!$A$2014</f>
        <v>老人</v>
      </c>
      <c r="C673" s="168" t="b">
        <v>0</v>
      </c>
      <c r="D673" s="40" t="str">
        <f ca="1">道具!$C$124</f>
        <v>猫眼石</v>
      </c>
      <c r="E673" s="554" t="b">
        <v>0</v>
      </c>
      <c r="F673" s="471" t="str">
        <f ca="1">语言!$A$33&amp;"
"&amp;道具!$C$4</f>
        <v>隐藏道具的资讯
ＨＰ恢复的葡萄（大）</v>
      </c>
      <c r="G673" s="554" t="b">
        <v>0</v>
      </c>
      <c r="H673" s="556" t="s">
        <v>44</v>
      </c>
      <c r="I673" s="471">
        <v>6</v>
      </c>
      <c r="J673" s="471"/>
      <c r="K673" s="471"/>
      <c r="L673" s="471"/>
      <c r="M673" s="471"/>
      <c r="N673" s="471"/>
      <c r="O673" s="471" t="str">
        <f ca="1">道具!$C$8</f>
        <v>ＳＰ全体恢复的李子</v>
      </c>
      <c r="P673" s="554"/>
      <c r="Q673" s="556" t="s">
        <v>44</v>
      </c>
      <c r="R673" s="38"/>
      <c r="S673" s="38" t="str">
        <f ca="1">Summon!$I$34</f>
        <v>无双突刺</v>
      </c>
      <c r="T673" s="556">
        <v>5</v>
      </c>
      <c r="U673" s="554"/>
      <c r="V673" s="471" t="str">
        <f ca="1">"Behind other NPC ("&amp;语言!$A$47&amp;" / "&amp;语言!$A$51&amp;")"</f>
        <v>Behind other NPC (比试 / 唆使)</v>
      </c>
      <c r="W673" s="168"/>
    </row>
    <row r="674" spans="1:23" ht="12.75" x14ac:dyDescent="0.2">
      <c r="A674" s="168"/>
      <c r="B674" s="371"/>
      <c r="C674" s="168" t="b">
        <v>0</v>
      </c>
      <c r="D674" s="40" t="str">
        <f ca="1">道具!$C$124</f>
        <v>猫眼石</v>
      </c>
      <c r="E674" s="371"/>
      <c r="F674" s="371"/>
      <c r="G674" s="371"/>
      <c r="H674" s="371"/>
      <c r="I674" s="371"/>
      <c r="J674" s="371"/>
      <c r="K674" s="371"/>
      <c r="L674" s="371"/>
      <c r="M674" s="371"/>
      <c r="N674" s="371"/>
      <c r="O674" s="371"/>
      <c r="P674" s="371"/>
      <c r="Q674" s="371"/>
      <c r="R674" s="38"/>
      <c r="S674" s="38" t="str">
        <f ca="1">Summon!$I$40</f>
        <v>乱挥</v>
      </c>
      <c r="T674" s="371"/>
      <c r="U674" s="371"/>
      <c r="V674" s="371"/>
      <c r="W674" s="168"/>
    </row>
    <row r="675" spans="1:23" ht="12.75" x14ac:dyDescent="0.2">
      <c r="A675" s="168"/>
      <c r="B675" s="555"/>
      <c r="C675" s="171" t="b">
        <v>0</v>
      </c>
      <c r="D675" s="172" t="str">
        <f ca="1">道具!$C$124</f>
        <v>猫眼石</v>
      </c>
      <c r="E675" s="555"/>
      <c r="F675" s="555"/>
      <c r="G675" s="555"/>
      <c r="H675" s="555"/>
      <c r="I675" s="555"/>
      <c r="J675" s="555"/>
      <c r="K675" s="555"/>
      <c r="L675" s="555"/>
      <c r="M675" s="555"/>
      <c r="N675" s="555"/>
      <c r="O675" s="555"/>
      <c r="P675" s="555"/>
      <c r="Q675" s="555"/>
      <c r="R675" s="173"/>
      <c r="S675" s="173" t="str">
        <f ca="1">Summon!$I$31</f>
        <v>要害突刺</v>
      </c>
      <c r="T675" s="555"/>
      <c r="U675" s="555"/>
      <c r="V675" s="555"/>
      <c r="W675" s="168"/>
    </row>
    <row r="676" spans="1:23" ht="12.75" x14ac:dyDescent="0.2">
      <c r="A676" s="168"/>
      <c r="B676" s="472" t="str">
        <f ca="1">语言!$A$1976</f>
        <v>商会主人</v>
      </c>
      <c r="C676" s="168" t="b">
        <v>0</v>
      </c>
      <c r="D676" s="40" t="str">
        <f ca="1">道具!$C$16</f>
        <v>复活的橄榄（大）</v>
      </c>
      <c r="E676" s="554" t="b">
        <v>0</v>
      </c>
      <c r="F676" s="471" t="str">
        <f ca="1">语言!$A$23</f>
        <v>无</v>
      </c>
      <c r="G676" s="554" t="b">
        <v>0</v>
      </c>
      <c r="H676" s="556" t="s">
        <v>46</v>
      </c>
      <c r="I676" s="471">
        <v>3</v>
      </c>
      <c r="J676" s="471"/>
      <c r="K676" s="471"/>
      <c r="L676" s="471"/>
      <c r="M676" s="471"/>
      <c r="N676" s="471"/>
      <c r="O676" s="471" t="str">
        <f ca="1">道具!$C$16</f>
        <v>复活的橄榄（大）</v>
      </c>
      <c r="P676" s="554"/>
      <c r="Q676" s="556" t="s">
        <v>46</v>
      </c>
      <c r="R676" s="38"/>
      <c r="S676" s="38" t="str">
        <f ca="1">Summon!$I$46</f>
        <v>睡眠猛击</v>
      </c>
      <c r="T676" s="556">
        <v>8</v>
      </c>
      <c r="U676" s="554"/>
      <c r="V676" s="471"/>
      <c r="W676" s="168"/>
    </row>
    <row r="677" spans="1:23" ht="12.75" x14ac:dyDescent="0.2">
      <c r="A677" s="168"/>
      <c r="B677" s="371"/>
      <c r="C677" s="168" t="b">
        <v>0</v>
      </c>
      <c r="D677" s="40" t="str">
        <f ca="1">道具!$C$490</f>
        <v>守护戒指</v>
      </c>
      <c r="E677" s="371"/>
      <c r="F677" s="371"/>
      <c r="G677" s="371"/>
      <c r="H677" s="371"/>
      <c r="I677" s="371"/>
      <c r="J677" s="371"/>
      <c r="K677" s="371"/>
      <c r="L677" s="371"/>
      <c r="M677" s="371"/>
      <c r="N677" s="371"/>
      <c r="O677" s="371"/>
      <c r="P677" s="371"/>
      <c r="Q677" s="371"/>
      <c r="R677" s="38"/>
      <c r="S677" s="38" t="str">
        <f ca="1">Summon!$I$42</f>
        <v>猛击</v>
      </c>
      <c r="T677" s="371"/>
      <c r="U677" s="371"/>
      <c r="V677" s="371"/>
      <c r="W677" s="168"/>
    </row>
    <row r="678" spans="1:23" ht="12.75" x14ac:dyDescent="0.2">
      <c r="A678" s="168"/>
      <c r="B678" s="555"/>
      <c r="C678" s="171" t="b">
        <v>0</v>
      </c>
      <c r="D678" s="172" t="str">
        <f ca="1">道具!$C$530</f>
        <v>秘药的素材</v>
      </c>
      <c r="E678" s="555"/>
      <c r="F678" s="555"/>
      <c r="G678" s="555"/>
      <c r="H678" s="555"/>
      <c r="I678" s="555"/>
      <c r="J678" s="555"/>
      <c r="K678" s="555"/>
      <c r="L678" s="555"/>
      <c r="M678" s="555"/>
      <c r="N678" s="555"/>
      <c r="O678" s="555"/>
      <c r="P678" s="555"/>
      <c r="Q678" s="555"/>
      <c r="R678" s="173"/>
      <c r="S678" s="173" t="str">
        <f ca="1">Summon!$I$4</f>
        <v>战斗</v>
      </c>
      <c r="T678" s="555"/>
      <c r="U678" s="555"/>
      <c r="V678" s="555"/>
      <c r="W678" s="168"/>
    </row>
    <row r="679" spans="1:23" ht="12.75" x14ac:dyDescent="0.2">
      <c r="A679" s="168"/>
      <c r="B679" s="472" t="str">
        <f ca="1">语言!$A$1869</f>
        <v>知识渊博的老人</v>
      </c>
      <c r="C679" s="168" t="b">
        <v>0</v>
      </c>
      <c r="D679" s="40" t="str">
        <f ca="1">道具!$C$544</f>
        <v>神秘之花</v>
      </c>
      <c r="E679" s="554" t="b">
        <v>0</v>
      </c>
      <c r="F679" s="471" t="str">
        <f ca="1">语言!$A$23</f>
        <v>无</v>
      </c>
      <c r="G679" s="554" t="b">
        <v>0</v>
      </c>
      <c r="H679" s="556" t="s">
        <v>45</v>
      </c>
      <c r="I679" s="471">
        <v>2</v>
      </c>
      <c r="J679" s="471"/>
      <c r="K679" s="471"/>
      <c r="L679" s="471"/>
      <c r="M679" s="471"/>
      <c r="N679" s="471"/>
      <c r="O679" s="471" t="str">
        <f ca="1">道具!$C$12</f>
        <v>ＨＰ／ＳＰ恢复的果酱</v>
      </c>
      <c r="P679" s="554"/>
      <c r="Q679" s="556" t="s">
        <v>45</v>
      </c>
      <c r="R679" s="38"/>
      <c r="S679" s="38" t="str">
        <f ca="1">Summon!$I$72</f>
        <v>殴打</v>
      </c>
      <c r="T679" s="556">
        <v>9</v>
      </c>
      <c r="U679" s="554"/>
      <c r="V679" s="471" t="str">
        <f ca="1">"NPC available after quest: "&amp;支线!$C$53</f>
        <v>NPC available after quest: 冒险家卢・曼（３）</v>
      </c>
      <c r="W679" s="168"/>
    </row>
    <row r="680" spans="1:23" ht="12.75" x14ac:dyDescent="0.2">
      <c r="A680" s="168"/>
      <c r="B680" s="555"/>
      <c r="C680" s="171" t="b">
        <v>0</v>
      </c>
      <c r="D680" s="172" t="str">
        <f ca="1">道具!$C$12</f>
        <v>ＨＰ／ＳＰ恢复的果酱</v>
      </c>
      <c r="E680" s="555"/>
      <c r="F680" s="555"/>
      <c r="G680" s="555"/>
      <c r="H680" s="555"/>
      <c r="I680" s="555"/>
      <c r="J680" s="555"/>
      <c r="K680" s="555"/>
      <c r="L680" s="555"/>
      <c r="M680" s="555"/>
      <c r="N680" s="555"/>
      <c r="O680" s="555"/>
      <c r="P680" s="555"/>
      <c r="Q680" s="555"/>
      <c r="R680" s="173"/>
      <c r="S680" s="173" t="str">
        <f ca="1">Summon!$I$4</f>
        <v>战斗</v>
      </c>
      <c r="T680" s="555"/>
      <c r="U680" s="555"/>
      <c r="V680" s="555"/>
      <c r="W680" s="168"/>
    </row>
    <row r="681" spans="1:23" ht="12.75" x14ac:dyDescent="0.2">
      <c r="A681" s="168"/>
      <c r="B681" s="472" t="str">
        <f ca="1">语言!$A$1780</f>
        <v>贵族</v>
      </c>
      <c r="C681" s="554"/>
      <c r="D681" s="560" t="s">
        <v>119</v>
      </c>
      <c r="E681" s="554" t="b">
        <v>0</v>
      </c>
      <c r="F681" s="471" t="str">
        <f ca="1">语言!$A$23&amp;" /
"&amp;道具!$I$24</f>
        <v>无 /
蓝萤苔的事</v>
      </c>
      <c r="G681" s="554" t="b">
        <v>0</v>
      </c>
      <c r="H681" s="556" t="s">
        <v>48</v>
      </c>
      <c r="I681" s="471">
        <v>2</v>
      </c>
      <c r="J681" s="471"/>
      <c r="K681" s="471"/>
      <c r="L681" s="471"/>
      <c r="M681" s="471"/>
      <c r="N681" s="471"/>
      <c r="O681" s="471" t="str">
        <f ca="1">道具!$C$7</f>
        <v>ＳＰ恢复的李子（大）</v>
      </c>
      <c r="P681" s="554"/>
      <c r="Q681" s="556" t="s">
        <v>48</v>
      </c>
      <c r="R681" s="38"/>
      <c r="S681" s="38" t="str">
        <f ca="1">Summon!$I$134</f>
        <v>睡眠治疗药</v>
      </c>
      <c r="T681" s="556">
        <v>9</v>
      </c>
      <c r="U681" s="554"/>
      <c r="V681" s="471" t="str">
        <f ca="1">语言!$A$44&amp;" / "&amp;语言!$A$48&amp;" available upon starting "&amp;语言!$A$40&amp;" chapter 2
"&amp;道具!$I$24&amp;" available during "&amp;语言!$A$40&amp;" chapter 2 only"</f>
        <v>引导 / 诱惑 available upon starting 亚芬 chapter 2
蓝萤苔的事 available during 亚芬 chapter 2 only</v>
      </c>
      <c r="W681" s="168"/>
    </row>
    <row r="682" spans="1:23" ht="12.75" x14ac:dyDescent="0.2">
      <c r="A682" s="168"/>
      <c r="B682" s="371"/>
      <c r="C682" s="371"/>
      <c r="D682" s="371"/>
      <c r="E682" s="371"/>
      <c r="F682" s="371"/>
      <c r="G682" s="371"/>
      <c r="H682" s="371"/>
      <c r="I682" s="371"/>
      <c r="J682" s="371"/>
      <c r="K682" s="371"/>
      <c r="L682" s="371"/>
      <c r="M682" s="371"/>
      <c r="N682" s="371"/>
      <c r="O682" s="371"/>
      <c r="P682" s="371"/>
      <c r="Q682" s="371"/>
      <c r="R682" s="38"/>
      <c r="S682" s="38" t="str">
        <f ca="1">Summon!$I$42</f>
        <v>猛击</v>
      </c>
      <c r="T682" s="371"/>
      <c r="U682" s="371"/>
      <c r="V682" s="371"/>
      <c r="W682" s="168"/>
    </row>
    <row r="683" spans="1:23" ht="12.75" x14ac:dyDescent="0.2">
      <c r="A683" s="168"/>
      <c r="B683" s="555"/>
      <c r="C683" s="555"/>
      <c r="D683" s="555"/>
      <c r="E683" s="555"/>
      <c r="F683" s="555"/>
      <c r="G683" s="555"/>
      <c r="H683" s="555"/>
      <c r="I683" s="555"/>
      <c r="J683" s="555"/>
      <c r="K683" s="555"/>
      <c r="L683" s="555"/>
      <c r="M683" s="555"/>
      <c r="N683" s="555"/>
      <c r="O683" s="555"/>
      <c r="P683" s="555"/>
      <c r="Q683" s="555"/>
      <c r="R683" s="173"/>
      <c r="S683" s="173" t="str">
        <f ca="1">Summon!$I$4</f>
        <v>战斗</v>
      </c>
      <c r="T683" s="555"/>
      <c r="U683" s="555"/>
      <c r="V683" s="555"/>
      <c r="W683" s="168"/>
    </row>
    <row r="684" spans="1:23" ht="12.75" x14ac:dyDescent="0.2">
      <c r="A684" s="168"/>
      <c r="B684" s="472" t="str">
        <f ca="1">语言!$A$1849</f>
        <v>贵族德雷文</v>
      </c>
      <c r="C684" s="168" t="b">
        <v>0</v>
      </c>
      <c r="D684" s="40" t="str">
        <f ca="1">道具!$C$5</f>
        <v>ＨＰ全体恢复的葡萄</v>
      </c>
      <c r="E684" s="554" t="b">
        <v>0</v>
      </c>
      <c r="F684" s="471" t="str">
        <f ca="1">语言!$A$23</f>
        <v>无</v>
      </c>
      <c r="G684" s="554" t="b">
        <v>0</v>
      </c>
      <c r="H684" s="556" t="s">
        <v>48</v>
      </c>
      <c r="I684" s="471" t="s">
        <v>48</v>
      </c>
      <c r="J684" s="471"/>
      <c r="K684" s="471"/>
      <c r="L684" s="471"/>
      <c r="M684" s="471"/>
      <c r="N684" s="471"/>
      <c r="O684" s="471" t="str">
        <f ca="1">道具!$C$10</f>
        <v>ＢＰ恢复的石榴（大）</v>
      </c>
      <c r="P684" s="554"/>
      <c r="Q684" s="556" t="s">
        <v>48</v>
      </c>
      <c r="R684" s="38"/>
      <c r="S684" s="38" t="str">
        <f ca="1">Summon!$I$42</f>
        <v>猛击</v>
      </c>
      <c r="T684" s="556">
        <v>9</v>
      </c>
      <c r="U684" s="554"/>
      <c r="V684" s="471"/>
      <c r="W684" s="168"/>
    </row>
    <row r="685" spans="1:23" ht="25.5" x14ac:dyDescent="0.2">
      <c r="A685" s="168"/>
      <c r="B685" s="555"/>
      <c r="C685" s="171" t="b">
        <v>0</v>
      </c>
      <c r="D685" s="172" t="str">
        <f ca="1">道具!$C$10</f>
        <v>ＢＰ恢复的石榴（大）</v>
      </c>
      <c r="E685" s="555"/>
      <c r="F685" s="555"/>
      <c r="G685" s="555"/>
      <c r="H685" s="555"/>
      <c r="I685" s="555"/>
      <c r="J685" s="555"/>
      <c r="K685" s="555"/>
      <c r="L685" s="555"/>
      <c r="M685" s="555"/>
      <c r="N685" s="555"/>
      <c r="O685" s="555"/>
      <c r="P685" s="555"/>
      <c r="Q685" s="555"/>
      <c r="R685" s="173"/>
      <c r="S685" s="173" t="str">
        <f ca="1">Summon!$I$4</f>
        <v>战斗</v>
      </c>
      <c r="T685" s="555"/>
      <c r="U685" s="555"/>
      <c r="V685" s="555"/>
      <c r="W685" s="168"/>
    </row>
    <row r="686" spans="1:23" ht="12.75" x14ac:dyDescent="0.2">
      <c r="A686" s="168"/>
      <c r="B686" s="472" t="str">
        <f ca="1">语言!$A$2113&amp;" (2)"</f>
        <v>形迹可疑的男子 (2)</v>
      </c>
      <c r="C686" s="168" t="b">
        <v>0</v>
      </c>
      <c r="D686" s="40" t="str">
        <f ca="1">道具!$C$7</f>
        <v>ＳＰ恢复的李子（大）</v>
      </c>
      <c r="E686" s="554" t="b">
        <v>0</v>
      </c>
      <c r="F686" s="471" t="str">
        <f ca="1">语言!$A$23</f>
        <v>无</v>
      </c>
      <c r="G686" s="554" t="b">
        <v>0</v>
      </c>
      <c r="H686" s="556" t="s">
        <v>49</v>
      </c>
      <c r="I686" s="471">
        <v>4</v>
      </c>
      <c r="J686" s="471"/>
      <c r="K686" s="471"/>
      <c r="L686" s="471"/>
      <c r="M686" s="471"/>
      <c r="N686" s="471"/>
      <c r="O686" s="471" t="str">
        <f ca="1">道具!$C$5</f>
        <v>ＨＰ全体恢复的葡萄</v>
      </c>
      <c r="P686" s="554"/>
      <c r="Q686" s="556" t="s">
        <v>49</v>
      </c>
      <c r="R686" s="38"/>
      <c r="S686" s="38" t="str">
        <f ca="1">Summon!$I$145</f>
        <v>可疑的什么东西</v>
      </c>
      <c r="T686" s="556">
        <v>7</v>
      </c>
      <c r="U686" s="554"/>
      <c r="V686" s="471" t="str">
        <f ca="1">"NPC at this location after quest: "&amp;支线!$C$49&amp;"
("&amp;语言!$A$47&amp;" / "&amp;语言!$A$51&amp;" solution only)"</f>
        <v>NPC at this location after quest: 商人的道路
(比试 / 唆使 solution only)</v>
      </c>
      <c r="W686" s="168"/>
    </row>
    <row r="687" spans="1:23" ht="12.75" x14ac:dyDescent="0.2">
      <c r="A687" s="168"/>
      <c r="B687" s="371"/>
      <c r="C687" s="168" t="b">
        <v>0</v>
      </c>
      <c r="D687" s="40" t="str">
        <f ca="1">道具!$C$12</f>
        <v>ＨＰ／ＳＰ恢复的果酱</v>
      </c>
      <c r="E687" s="371"/>
      <c r="F687" s="371"/>
      <c r="G687" s="371"/>
      <c r="H687" s="371"/>
      <c r="I687" s="371"/>
      <c r="J687" s="371"/>
      <c r="K687" s="371"/>
      <c r="L687" s="371"/>
      <c r="M687" s="371"/>
      <c r="N687" s="371"/>
      <c r="O687" s="371"/>
      <c r="P687" s="371"/>
      <c r="Q687" s="371"/>
      <c r="R687" s="38"/>
      <c r="S687" s="38" t="str">
        <f ca="1">Summon!$I$20</f>
        <v>横扫</v>
      </c>
      <c r="T687" s="371"/>
      <c r="U687" s="371"/>
      <c r="V687" s="371"/>
      <c r="W687" s="168"/>
    </row>
    <row r="688" spans="1:23" ht="12.75" x14ac:dyDescent="0.2">
      <c r="A688" s="168"/>
      <c r="B688" s="555"/>
      <c r="C688" s="171"/>
      <c r="D688" s="172"/>
      <c r="E688" s="555"/>
      <c r="F688" s="555"/>
      <c r="G688" s="555"/>
      <c r="H688" s="555"/>
      <c r="I688" s="555"/>
      <c r="J688" s="555"/>
      <c r="K688" s="555"/>
      <c r="L688" s="555"/>
      <c r="M688" s="555"/>
      <c r="N688" s="555"/>
      <c r="O688" s="555"/>
      <c r="P688" s="555"/>
      <c r="Q688" s="555"/>
      <c r="R688" s="173"/>
      <c r="S688" s="173" t="str">
        <f ca="1">Summon!$I$4</f>
        <v>战斗</v>
      </c>
      <c r="T688" s="555"/>
      <c r="U688" s="555"/>
      <c r="V688" s="555"/>
      <c r="W688" s="168"/>
    </row>
    <row r="689" spans="1:23" ht="12.75" x14ac:dyDescent="0.2">
      <c r="A689" s="168"/>
      <c r="B689" s="472" t="str">
        <f ca="1">语言!$A$1941</f>
        <v>圣火骑士</v>
      </c>
      <c r="C689" s="168" t="b">
        <v>0</v>
      </c>
      <c r="D689" s="40" t="str">
        <f ca="1">道具!$C$253</f>
        <v>灵魂手斧</v>
      </c>
      <c r="E689" s="554" t="b">
        <v>0</v>
      </c>
      <c r="F689" s="471" t="str">
        <f ca="1">语言!$A$33&amp;"
"&amp;道具!$C$264</f>
        <v>隐藏道具的资讯
银制斧</v>
      </c>
      <c r="G689" s="554" t="b">
        <v>0</v>
      </c>
      <c r="H689" s="556" t="s">
        <v>50</v>
      </c>
      <c r="I689" s="471">
        <v>4</v>
      </c>
      <c r="J689" s="471"/>
      <c r="K689" s="471"/>
      <c r="L689" s="471"/>
      <c r="M689" s="471"/>
      <c r="N689" s="471"/>
      <c r="O689" s="471" t="str">
        <f ca="1">道具!$C$375</f>
        <v>显赫头盔</v>
      </c>
      <c r="P689" s="554"/>
      <c r="Q689" s="556" t="s">
        <v>50</v>
      </c>
      <c r="R689" s="38"/>
      <c r="S689" s="38" t="str">
        <f ca="1">Summon!$I$53</f>
        <v>脑天击</v>
      </c>
      <c r="T689" s="556">
        <v>7</v>
      </c>
      <c r="U689" s="554"/>
      <c r="V689" s="471"/>
      <c r="W689" s="168"/>
    </row>
    <row r="690" spans="1:23" ht="12.75" x14ac:dyDescent="0.2">
      <c r="A690" s="168"/>
      <c r="B690" s="371"/>
      <c r="C690" s="168" t="b">
        <v>0</v>
      </c>
      <c r="D690" s="40" t="str">
        <f ca="1">道具!$C$482</f>
        <v>守护手环</v>
      </c>
      <c r="E690" s="371"/>
      <c r="F690" s="371"/>
      <c r="G690" s="371"/>
      <c r="H690" s="371"/>
      <c r="I690" s="371"/>
      <c r="J690" s="371"/>
      <c r="K690" s="371"/>
      <c r="L690" s="371"/>
      <c r="M690" s="371"/>
      <c r="N690" s="371"/>
      <c r="O690" s="371"/>
      <c r="P690" s="371"/>
      <c r="Q690" s="371"/>
      <c r="R690" s="38"/>
      <c r="S690" s="38" t="str">
        <f ca="1">Summon!$I$56</f>
        <v>一刀两断</v>
      </c>
      <c r="T690" s="371"/>
      <c r="U690" s="371"/>
      <c r="V690" s="371"/>
      <c r="W690" s="168"/>
    </row>
    <row r="691" spans="1:23" ht="12.75" x14ac:dyDescent="0.2">
      <c r="A691" s="168"/>
      <c r="B691" s="555"/>
      <c r="C691" s="171" t="b">
        <v>0</v>
      </c>
      <c r="D691" s="172" t="str">
        <f ca="1">道具!$C$416</f>
        <v>帝国盔甲</v>
      </c>
      <c r="E691" s="555"/>
      <c r="F691" s="555"/>
      <c r="G691" s="555"/>
      <c r="H691" s="555"/>
      <c r="I691" s="555"/>
      <c r="J691" s="555"/>
      <c r="K691" s="555"/>
      <c r="L691" s="555"/>
      <c r="M691" s="555"/>
      <c r="N691" s="555"/>
      <c r="O691" s="555"/>
      <c r="P691" s="555"/>
      <c r="Q691" s="555"/>
      <c r="R691" s="173"/>
      <c r="S691" s="173" t="str">
        <f ca="1">Summon!$I$4</f>
        <v>战斗</v>
      </c>
      <c r="T691" s="555"/>
      <c r="U691" s="555"/>
      <c r="V691" s="555"/>
      <c r="W691" s="168"/>
    </row>
    <row r="692" spans="1:23" ht="12.75" x14ac:dyDescent="0.2">
      <c r="A692" s="168"/>
      <c r="B692" s="472" t="str">
        <f ca="1">语言!$A$2102</f>
        <v>市民</v>
      </c>
      <c r="C692" s="168" t="b">
        <v>0</v>
      </c>
      <c r="D692" s="40" t="str">
        <f ca="1">道具!$C$305</f>
        <v>术士之杖</v>
      </c>
      <c r="E692" s="554" t="b">
        <v>0</v>
      </c>
      <c r="F692" s="471" t="str">
        <f ca="1">语言!$A$33&amp;"
"&amp;道具!$C$42</f>
        <v>隐藏道具的资讯
风之精灵石（特大）</v>
      </c>
      <c r="G692" s="554" t="b">
        <v>0</v>
      </c>
      <c r="H692" s="556" t="s">
        <v>45</v>
      </c>
      <c r="I692" s="471">
        <v>2</v>
      </c>
      <c r="J692" s="471"/>
      <c r="K692" s="471"/>
      <c r="L692" s="471"/>
      <c r="M692" s="471"/>
      <c r="N692" s="471"/>
      <c r="O692" s="471" t="str">
        <f ca="1">道具!$C$7</f>
        <v>ＳＰ恢复的李子（大）</v>
      </c>
      <c r="P692" s="554"/>
      <c r="Q692" s="556" t="s">
        <v>45</v>
      </c>
      <c r="R692" s="38"/>
      <c r="S692" s="38" t="str">
        <f ca="1">Summon!$I$136</f>
        <v>毒治疗药</v>
      </c>
      <c r="T692" s="556">
        <v>9</v>
      </c>
      <c r="U692" s="554"/>
      <c r="V692" s="471"/>
      <c r="W692" s="168"/>
    </row>
    <row r="693" spans="1:23" ht="12.75" x14ac:dyDescent="0.2">
      <c r="A693" s="168"/>
      <c r="B693" s="371"/>
      <c r="C693" s="168" t="b">
        <v>0</v>
      </c>
      <c r="D693" s="40" t="str">
        <f ca="1">道具!$C$349</f>
        <v>闪避之盾</v>
      </c>
      <c r="E693" s="371"/>
      <c r="F693" s="371"/>
      <c r="G693" s="371"/>
      <c r="H693" s="371"/>
      <c r="I693" s="371"/>
      <c r="J693" s="371"/>
      <c r="K693" s="371"/>
      <c r="L693" s="371"/>
      <c r="M693" s="371"/>
      <c r="N693" s="371"/>
      <c r="O693" s="371"/>
      <c r="P693" s="371"/>
      <c r="Q693" s="371"/>
      <c r="R693" s="38"/>
      <c r="S693" s="38" t="str">
        <f ca="1">Summon!$I$4</f>
        <v>战斗</v>
      </c>
      <c r="T693" s="371"/>
      <c r="U693" s="371"/>
      <c r="V693" s="371"/>
      <c r="W693" s="168"/>
    </row>
    <row r="694" spans="1:23" ht="12.75" x14ac:dyDescent="0.2">
      <c r="A694" s="168"/>
      <c r="B694" s="552" t="str">
        <f ca="1">语言!$A$374</f>
        <v>葛鲁德修亚 -大圣堂-</v>
      </c>
      <c r="C694" s="371"/>
      <c r="D694" s="371"/>
      <c r="E694" s="371"/>
      <c r="F694" s="371"/>
      <c r="G694" s="371"/>
      <c r="H694" s="371"/>
      <c r="I694" s="371"/>
      <c r="J694" s="371"/>
      <c r="K694" s="371"/>
      <c r="L694" s="371"/>
      <c r="M694" s="371"/>
      <c r="N694" s="371"/>
      <c r="O694" s="371"/>
      <c r="P694" s="371"/>
      <c r="Q694" s="371"/>
      <c r="R694" s="371"/>
      <c r="S694" s="371"/>
      <c r="T694" s="371"/>
      <c r="U694" s="371"/>
      <c r="V694" s="371"/>
      <c r="W694" s="168"/>
    </row>
    <row r="695" spans="1:23" ht="25.5" x14ac:dyDescent="0.2">
      <c r="A695" s="168"/>
      <c r="B695" s="472" t="str">
        <f ca="1">语言!$A$1829</f>
        <v>神官</v>
      </c>
      <c r="C695" s="168" t="b">
        <v>0</v>
      </c>
      <c r="D695" s="40" t="str">
        <f ca="1">道具!$C$10</f>
        <v>ＢＰ恢复的石榴（大）</v>
      </c>
      <c r="E695" s="554" t="b">
        <v>0</v>
      </c>
      <c r="F695" s="471" t="str">
        <f ca="1">语言!$A$28</f>
        <v>武器店商品追加资讯</v>
      </c>
      <c r="G695" s="554" t="b">
        <v>0</v>
      </c>
      <c r="H695" s="556" t="s">
        <v>45</v>
      </c>
      <c r="I695" s="471">
        <v>2</v>
      </c>
      <c r="J695" s="471"/>
      <c r="K695" s="471"/>
      <c r="L695" s="471"/>
      <c r="M695" s="471"/>
      <c r="N695" s="471"/>
      <c r="O695" s="471" t="str">
        <f ca="1">道具!$C$10</f>
        <v>ＢＰ恢复的石榴（大）</v>
      </c>
      <c r="P695" s="554"/>
      <c r="Q695" s="556" t="s">
        <v>45</v>
      </c>
      <c r="R695" s="38"/>
      <c r="S695" s="38" t="str">
        <f ca="1">Summon!$I$117</f>
        <v>祈祷</v>
      </c>
      <c r="T695" s="556">
        <v>9</v>
      </c>
      <c r="U695" s="554"/>
      <c r="V695" s="471"/>
      <c r="W695" s="168"/>
    </row>
    <row r="696" spans="1:23" ht="12.75" x14ac:dyDescent="0.2">
      <c r="A696" s="168"/>
      <c r="B696" s="371"/>
      <c r="C696" s="168" t="b">
        <v>0</v>
      </c>
      <c r="D696" s="40" t="str">
        <f ca="1">道具!$C$488</f>
        <v>体力戒指</v>
      </c>
      <c r="E696" s="371"/>
      <c r="F696" s="371"/>
      <c r="G696" s="371"/>
      <c r="H696" s="371"/>
      <c r="I696" s="371"/>
      <c r="J696" s="371"/>
      <c r="K696" s="371"/>
      <c r="L696" s="371"/>
      <c r="M696" s="371"/>
      <c r="N696" s="371"/>
      <c r="O696" s="371"/>
      <c r="P696" s="371"/>
      <c r="Q696" s="371"/>
      <c r="R696" s="38"/>
      <c r="S696" s="38" t="str">
        <f ca="1">Summon!$I$98</f>
        <v>光明魔法</v>
      </c>
      <c r="T696" s="371"/>
      <c r="U696" s="371"/>
      <c r="V696" s="371"/>
      <c r="W696" s="168"/>
    </row>
    <row r="697" spans="1:23" ht="12.75" x14ac:dyDescent="0.2">
      <c r="A697" s="168"/>
      <c r="B697" s="555"/>
      <c r="C697" s="171"/>
      <c r="D697" s="172"/>
      <c r="E697" s="555"/>
      <c r="F697" s="555"/>
      <c r="G697" s="555"/>
      <c r="H697" s="555"/>
      <c r="I697" s="555"/>
      <c r="J697" s="555"/>
      <c r="K697" s="555"/>
      <c r="L697" s="555"/>
      <c r="M697" s="555"/>
      <c r="N697" s="555"/>
      <c r="O697" s="555"/>
      <c r="P697" s="555"/>
      <c r="Q697" s="555"/>
      <c r="R697" s="173"/>
      <c r="S697" s="173" t="str">
        <f ca="1">Summon!$I$4</f>
        <v>战斗</v>
      </c>
      <c r="T697" s="555"/>
      <c r="U697" s="555"/>
      <c r="V697" s="555"/>
      <c r="W697" s="168"/>
    </row>
    <row r="698" spans="1:23" ht="12.75" x14ac:dyDescent="0.2">
      <c r="A698" s="168"/>
      <c r="B698" s="172" t="str">
        <f ca="1">语言!$A$1806</f>
        <v>唐纳文神父</v>
      </c>
      <c r="C698" s="171" t="b">
        <v>0</v>
      </c>
      <c r="D698" s="172" t="str">
        <f ca="1">道具!$C$481</f>
        <v>精神手环</v>
      </c>
      <c r="E698" s="171" t="b">
        <v>0</v>
      </c>
      <c r="F698" s="173" t="str">
        <f ca="1">道具!$I$14</f>
        <v>唐纳文的情况</v>
      </c>
      <c r="G698" s="171" t="b">
        <v>0</v>
      </c>
      <c r="H698" s="175" t="s">
        <v>51</v>
      </c>
      <c r="I698" s="173">
        <v>5</v>
      </c>
      <c r="J698" s="173"/>
      <c r="K698" s="173"/>
      <c r="L698" s="173"/>
      <c r="M698" s="173"/>
      <c r="N698" s="173"/>
      <c r="O698" s="173" t="str">
        <f ca="1">道具!$C$5</f>
        <v>ＨＰ全体恢复的葡萄</v>
      </c>
      <c r="P698" s="171"/>
      <c r="Q698" s="179" t="s">
        <v>119</v>
      </c>
      <c r="R698" s="179" t="s">
        <v>119</v>
      </c>
      <c r="S698" s="179" t="s">
        <v>119</v>
      </c>
      <c r="T698" s="179" t="s">
        <v>119</v>
      </c>
      <c r="U698" s="171"/>
      <c r="V698" s="173" t="str">
        <f ca="1">"NPC available after both "&amp;语言!$A$35&amp;" &amp; "&amp;语言!$A$38&amp;" chapter 4"</f>
        <v>NPC available after both 欧菲莉亚 &amp; 欧尔贝克 chapter 4</v>
      </c>
      <c r="W698" s="168"/>
    </row>
    <row r="699" spans="1:23" ht="12.75" x14ac:dyDescent="0.2">
      <c r="A699" s="168"/>
      <c r="B699" s="472" t="str">
        <f ca="1">语言!$A$1829</f>
        <v>神官</v>
      </c>
      <c r="C699" s="168" t="b">
        <v>0</v>
      </c>
      <c r="D699" s="40" t="str">
        <f ca="1">道具!$C$6</f>
        <v>ＳＰ恢复的李子</v>
      </c>
      <c r="E699" s="554" t="b">
        <v>0</v>
      </c>
      <c r="F699" s="471" t="str">
        <f ca="1">语言!$A$33&amp;"
"&amp;道具!$C$10</f>
        <v>隐藏道具的资讯
ＢＰ恢复的石榴（大）</v>
      </c>
      <c r="G699" s="554" t="b">
        <v>0</v>
      </c>
      <c r="H699" s="556" t="s">
        <v>49</v>
      </c>
      <c r="I699" s="471">
        <v>4</v>
      </c>
      <c r="J699" s="471"/>
      <c r="K699" s="471"/>
      <c r="L699" s="471"/>
      <c r="M699" s="471"/>
      <c r="N699" s="471"/>
      <c r="O699" s="471" t="str">
        <f ca="1">道具!$C$437</f>
        <v>魔咒长袍</v>
      </c>
      <c r="P699" s="554"/>
      <c r="Q699" s="556" t="s">
        <v>49</v>
      </c>
      <c r="R699" s="38"/>
      <c r="S699" s="38" t="str">
        <f ca="1">Summon!$I$130</f>
        <v>技能的气息</v>
      </c>
      <c r="T699" s="556">
        <v>7</v>
      </c>
      <c r="U699" s="554"/>
      <c r="V699" s="471"/>
      <c r="W699" s="168"/>
    </row>
    <row r="700" spans="1:23" ht="12.75" x14ac:dyDescent="0.2">
      <c r="A700" s="168"/>
      <c r="B700" s="371"/>
      <c r="C700" s="168" t="b">
        <v>0</v>
      </c>
      <c r="D700" s="40" t="str">
        <f ca="1">道具!$C$7</f>
        <v>ＳＰ恢复的李子（大）</v>
      </c>
      <c r="E700" s="371"/>
      <c r="F700" s="371"/>
      <c r="G700" s="371"/>
      <c r="H700" s="371"/>
      <c r="I700" s="371"/>
      <c r="J700" s="371"/>
      <c r="K700" s="371"/>
      <c r="L700" s="371"/>
      <c r="M700" s="371"/>
      <c r="N700" s="371"/>
      <c r="O700" s="371"/>
      <c r="P700" s="371"/>
      <c r="Q700" s="371"/>
      <c r="R700" s="38"/>
      <c r="S700" s="38" t="str">
        <f ca="1">Summon!$I$126</f>
        <v>疗愈的摇篮</v>
      </c>
      <c r="T700" s="371"/>
      <c r="U700" s="371"/>
      <c r="V700" s="371"/>
      <c r="W700" s="168"/>
    </row>
    <row r="701" spans="1:23" ht="12.75" x14ac:dyDescent="0.2">
      <c r="A701" s="168"/>
      <c r="B701" s="555"/>
      <c r="C701" s="171" t="b">
        <v>0</v>
      </c>
      <c r="D701" s="172" t="str">
        <f ca="1">道具!$C$8</f>
        <v>ＳＰ全体恢复的李子</v>
      </c>
      <c r="E701" s="555"/>
      <c r="F701" s="555"/>
      <c r="G701" s="555"/>
      <c r="H701" s="555"/>
      <c r="I701" s="555"/>
      <c r="J701" s="555"/>
      <c r="K701" s="555"/>
      <c r="L701" s="555"/>
      <c r="M701" s="555"/>
      <c r="N701" s="555"/>
      <c r="O701" s="555"/>
      <c r="P701" s="555"/>
      <c r="Q701" s="555"/>
      <c r="R701" s="173"/>
      <c r="S701" s="173" t="str">
        <f ca="1">Summon!$I$4</f>
        <v>战斗</v>
      </c>
      <c r="T701" s="555"/>
      <c r="U701" s="555"/>
      <c r="V701" s="555"/>
      <c r="W701" s="168"/>
    </row>
    <row r="702" spans="1:23" ht="12.75" x14ac:dyDescent="0.2">
      <c r="A702" s="168"/>
      <c r="B702" s="472" t="str">
        <f ca="1">语言!$A$1843</f>
        <v>丹尼尔</v>
      </c>
      <c r="C702" s="168" t="b">
        <v>0</v>
      </c>
      <c r="D702" s="40" t="str">
        <f ca="1">道具!$C$84</f>
        <v>糖果</v>
      </c>
      <c r="E702" s="554" t="b">
        <v>0</v>
      </c>
      <c r="F702" s="471" t="str">
        <f ca="1">语言!$A$23</f>
        <v>无</v>
      </c>
      <c r="G702" s="554"/>
      <c r="H702" s="559" t="s">
        <v>119</v>
      </c>
      <c r="I702" s="559" t="s">
        <v>119</v>
      </c>
      <c r="J702" s="559" t="s">
        <v>119</v>
      </c>
      <c r="K702" s="559" t="s">
        <v>119</v>
      </c>
      <c r="L702" s="559" t="s">
        <v>119</v>
      </c>
      <c r="M702" s="559" t="s">
        <v>119</v>
      </c>
      <c r="N702" s="559" t="s">
        <v>119</v>
      </c>
      <c r="O702" s="559" t="s">
        <v>119</v>
      </c>
      <c r="P702" s="554"/>
      <c r="Q702" s="559" t="s">
        <v>119</v>
      </c>
      <c r="R702" s="559" t="s">
        <v>119</v>
      </c>
      <c r="S702" s="559" t="s">
        <v>119</v>
      </c>
      <c r="T702" s="559" t="s">
        <v>119</v>
      </c>
      <c r="U702" s="554"/>
      <c r="V702" s="471" t="str">
        <f ca="1">"NPC available upon starting "&amp;语言!$A$35&amp;" chapter 3"</f>
        <v>NPC available upon starting 欧菲莉亚 chapter 3</v>
      </c>
      <c r="W702" s="168"/>
    </row>
    <row r="703" spans="1:23" ht="12.75" x14ac:dyDescent="0.2">
      <c r="A703" s="168"/>
      <c r="B703" s="371"/>
      <c r="C703" s="168" t="b">
        <v>0</v>
      </c>
      <c r="D703" s="40" t="str">
        <f ca="1">道具!$C$85</f>
        <v>玻璃珠</v>
      </c>
      <c r="E703" s="371"/>
      <c r="F703" s="371"/>
      <c r="G703" s="371"/>
      <c r="H703" s="371"/>
      <c r="I703" s="371"/>
      <c r="J703" s="371"/>
      <c r="K703" s="371"/>
      <c r="L703" s="371"/>
      <c r="M703" s="371"/>
      <c r="N703" s="371"/>
      <c r="O703" s="371"/>
      <c r="P703" s="371"/>
      <c r="Q703" s="371"/>
      <c r="R703" s="371"/>
      <c r="S703" s="371"/>
      <c r="T703" s="371"/>
      <c r="U703" s="371"/>
      <c r="V703" s="371"/>
      <c r="W703" s="168"/>
    </row>
    <row r="704" spans="1:23" ht="12.75" x14ac:dyDescent="0.2">
      <c r="A704" s="168"/>
      <c r="B704" s="552" t="str">
        <f ca="1">语言!$A$376</f>
        <v>西葛鲁德修亚海道</v>
      </c>
      <c r="C704" s="371"/>
      <c r="D704" s="371"/>
      <c r="E704" s="371"/>
      <c r="F704" s="371"/>
      <c r="G704" s="371"/>
      <c r="H704" s="371"/>
      <c r="I704" s="371"/>
      <c r="J704" s="371"/>
      <c r="K704" s="371"/>
      <c r="L704" s="371"/>
      <c r="M704" s="371"/>
      <c r="N704" s="371"/>
      <c r="O704" s="371"/>
      <c r="P704" s="371"/>
      <c r="Q704" s="371"/>
      <c r="R704" s="371"/>
      <c r="S704" s="371"/>
      <c r="T704" s="371"/>
      <c r="U704" s="371"/>
      <c r="V704" s="371"/>
      <c r="W704" s="168"/>
    </row>
    <row r="705" spans="1:23" ht="12.75" x14ac:dyDescent="0.2">
      <c r="A705" s="168"/>
      <c r="B705" s="472" t="str">
        <f ca="1">语言!$A$2113&amp;" (1)"</f>
        <v>形迹可疑的男子 (1)</v>
      </c>
      <c r="C705" s="168" t="b">
        <v>0</v>
      </c>
      <c r="D705" s="40" t="str">
        <f ca="1">道具!$C$7</f>
        <v>ＳＰ恢复的李子（大）</v>
      </c>
      <c r="E705" s="554" t="b">
        <v>0</v>
      </c>
      <c r="F705" s="471" t="str">
        <f ca="1">语言!$A$23</f>
        <v>无</v>
      </c>
      <c r="G705" s="554" t="b">
        <v>0</v>
      </c>
      <c r="H705" s="556" t="s">
        <v>49</v>
      </c>
      <c r="I705" s="471">
        <v>4</v>
      </c>
      <c r="J705" s="471"/>
      <c r="K705" s="471"/>
      <c r="L705" s="471"/>
      <c r="M705" s="471"/>
      <c r="N705" s="471"/>
      <c r="O705" s="471" t="str">
        <f ca="1">道具!$C$5</f>
        <v>ＨＰ全体恢复的葡萄</v>
      </c>
      <c r="P705" s="554"/>
      <c r="Q705" s="556" t="s">
        <v>49</v>
      </c>
      <c r="R705" s="38"/>
      <c r="S705" s="38" t="str">
        <f ca="1">Summon!$I$145</f>
        <v>可疑的什么东西</v>
      </c>
      <c r="T705" s="556">
        <v>7</v>
      </c>
      <c r="U705" s="554"/>
      <c r="V705" s="471" t="str">
        <f ca="1">语言!$A$44&amp;" / "&amp;语言!$A$48&amp;" available after quest: "&amp;支线!$C$49&amp;"
Moves to "&amp;语言!$A$373&amp;" after quest: "&amp;支线!$C$49&amp;"
("&amp;语言!$A$47&amp;" / "&amp;语言!$A$51&amp;" solution only)"</f>
        <v>引导 / 诱惑 available after quest: 商人的道路
Moves to 葛鲁德修亚 -贵族街- after quest: 商人的道路
(比试 / 唆使 solution only)</v>
      </c>
      <c r="W705" s="168"/>
    </row>
    <row r="706" spans="1:23" ht="12.75" x14ac:dyDescent="0.2">
      <c r="A706" s="168"/>
      <c r="B706" s="371"/>
      <c r="C706" s="168" t="b">
        <v>0</v>
      </c>
      <c r="D706" s="40" t="str">
        <f ca="1">道具!$C$12</f>
        <v>ＨＰ／ＳＰ恢复的果酱</v>
      </c>
      <c r="E706" s="371"/>
      <c r="F706" s="371"/>
      <c r="G706" s="371"/>
      <c r="H706" s="371"/>
      <c r="I706" s="371"/>
      <c r="J706" s="371"/>
      <c r="K706" s="371"/>
      <c r="L706" s="371"/>
      <c r="M706" s="371"/>
      <c r="N706" s="371"/>
      <c r="O706" s="371"/>
      <c r="P706" s="371"/>
      <c r="Q706" s="371"/>
      <c r="R706" s="38"/>
      <c r="S706" s="38" t="str">
        <f ca="1">Summon!$I$20</f>
        <v>横扫</v>
      </c>
      <c r="T706" s="371"/>
      <c r="U706" s="371"/>
      <c r="V706" s="371"/>
      <c r="W706" s="168"/>
    </row>
    <row r="707" spans="1:23" ht="12.75" x14ac:dyDescent="0.2">
      <c r="A707" s="168"/>
      <c r="B707" s="555"/>
      <c r="C707" s="171"/>
      <c r="D707" s="172"/>
      <c r="E707" s="555"/>
      <c r="F707" s="555"/>
      <c r="G707" s="555"/>
      <c r="H707" s="555"/>
      <c r="I707" s="555"/>
      <c r="J707" s="555"/>
      <c r="K707" s="555"/>
      <c r="L707" s="555"/>
      <c r="M707" s="555"/>
      <c r="N707" s="555"/>
      <c r="O707" s="555"/>
      <c r="P707" s="555"/>
      <c r="Q707" s="555"/>
      <c r="R707" s="173"/>
      <c r="S707" s="173" t="str">
        <f ca="1">Summon!$I$4</f>
        <v>战斗</v>
      </c>
      <c r="T707" s="555"/>
      <c r="U707" s="555"/>
      <c r="V707" s="555"/>
      <c r="W707" s="168"/>
    </row>
    <row r="708" spans="1:23" ht="12.75" x14ac:dyDescent="0.2">
      <c r="A708" s="168"/>
      <c r="B708" s="472" t="str">
        <f ca="1">语言!$A$1945</f>
        <v>熟门熟路的旅人</v>
      </c>
      <c r="C708" s="168" t="b">
        <v>0</v>
      </c>
      <c r="D708" s="40" t="str">
        <f ca="1">道具!$C$4</f>
        <v>ＨＰ恢复的葡萄（大）</v>
      </c>
      <c r="E708" s="554" t="b">
        <v>0</v>
      </c>
      <c r="F708" s="471" t="str">
        <f ca="1">道具!$I$3</f>
        <v>安全的路线</v>
      </c>
      <c r="G708" s="554" t="b">
        <v>0</v>
      </c>
      <c r="H708" s="556" t="s">
        <v>46</v>
      </c>
      <c r="I708" s="471">
        <v>3</v>
      </c>
      <c r="J708" s="471"/>
      <c r="K708" s="471"/>
      <c r="L708" s="471"/>
      <c r="M708" s="471"/>
      <c r="N708" s="471"/>
      <c r="O708" s="471" t="str">
        <f ca="1">道具!$C$533</f>
        <v>含毒的素材（扩散）</v>
      </c>
      <c r="P708" s="554"/>
      <c r="Q708" s="559" t="s">
        <v>119</v>
      </c>
      <c r="R708" s="559" t="s">
        <v>119</v>
      </c>
      <c r="S708" s="559" t="s">
        <v>119</v>
      </c>
      <c r="T708" s="559" t="s">
        <v>119</v>
      </c>
      <c r="U708" s="554"/>
      <c r="V708" s="471"/>
      <c r="W708" s="168"/>
    </row>
    <row r="709" spans="1:23" ht="12.75" x14ac:dyDescent="0.2">
      <c r="A709" s="168"/>
      <c r="B709" s="371"/>
      <c r="C709" s="168" t="b">
        <v>0</v>
      </c>
      <c r="D709" s="40" t="str">
        <f ca="1">道具!$C$531</f>
        <v>秘药的素材（扩散）</v>
      </c>
      <c r="E709" s="371"/>
      <c r="F709" s="371"/>
      <c r="G709" s="371"/>
      <c r="H709" s="371"/>
      <c r="I709" s="371"/>
      <c r="J709" s="371"/>
      <c r="K709" s="371"/>
      <c r="L709" s="371"/>
      <c r="M709" s="371"/>
      <c r="N709" s="371"/>
      <c r="O709" s="371"/>
      <c r="P709" s="371"/>
      <c r="Q709" s="371"/>
      <c r="R709" s="371"/>
      <c r="S709" s="371"/>
      <c r="T709" s="371"/>
      <c r="U709" s="371"/>
      <c r="V709" s="371"/>
      <c r="W709" s="168"/>
    </row>
    <row r="710" spans="1:23" ht="12.75" x14ac:dyDescent="0.2">
      <c r="A710" s="168"/>
      <c r="B710" s="555"/>
      <c r="C710" s="171" t="b">
        <v>0</v>
      </c>
      <c r="D710" s="172" t="str">
        <f ca="1">道具!$C$76</f>
        <v>增强会心的坚果（大）</v>
      </c>
      <c r="E710" s="555"/>
      <c r="F710" s="555"/>
      <c r="G710" s="555"/>
      <c r="H710" s="555"/>
      <c r="I710" s="555"/>
      <c r="J710" s="555"/>
      <c r="K710" s="555"/>
      <c r="L710" s="555"/>
      <c r="M710" s="555"/>
      <c r="N710" s="555"/>
      <c r="O710" s="555"/>
      <c r="P710" s="555"/>
      <c r="Q710" s="555"/>
      <c r="R710" s="555"/>
      <c r="S710" s="555"/>
      <c r="T710" s="555"/>
      <c r="U710" s="555"/>
      <c r="V710" s="555"/>
      <c r="W710" s="168"/>
    </row>
    <row r="711" spans="1:23" ht="12.75" x14ac:dyDescent="0.2">
      <c r="A711" s="168"/>
      <c r="B711" s="40" t="str">
        <f ca="1">语言!$A$1954&amp;" (1)"</f>
        <v>猎海兽名人 (1)</v>
      </c>
      <c r="C711" s="168" t="b">
        <v>0</v>
      </c>
      <c r="D711" s="40" t="str">
        <f ca="1">道具!$C$543</f>
        <v>橄榄花</v>
      </c>
      <c r="E711" s="168" t="b">
        <v>0</v>
      </c>
      <c r="F711" s="38" t="str">
        <f ca="1">语言!$A$23</f>
        <v>无</v>
      </c>
      <c r="G711" s="168" t="b">
        <v>0</v>
      </c>
      <c r="H711" s="170" t="s">
        <v>44</v>
      </c>
      <c r="I711" s="38">
        <v>6</v>
      </c>
      <c r="J711" s="38"/>
      <c r="K711" s="38"/>
      <c r="L711" s="38"/>
      <c r="M711" s="38"/>
      <c r="N711" s="38"/>
      <c r="O711" s="38" t="str">
        <f ca="1">道具!$C$541</f>
        <v>李子树液</v>
      </c>
      <c r="P711" s="168"/>
      <c r="Q711" s="177" t="s">
        <v>119</v>
      </c>
      <c r="R711" s="177" t="s">
        <v>119</v>
      </c>
      <c r="S711" s="177" t="s">
        <v>119</v>
      </c>
      <c r="T711" s="177" t="s">
        <v>119</v>
      </c>
      <c r="U711" s="168"/>
      <c r="V711" s="38" t="str">
        <f ca="1">"Moves to "&amp;语言!$A$377&amp;" after quest: "&amp;支线!$C$50</f>
        <v>Moves to 噬船海穴 after quest: 凶暴的海兽</v>
      </c>
      <c r="W711" s="168"/>
    </row>
    <row r="712" spans="1:23" ht="12.75" x14ac:dyDescent="0.2">
      <c r="A712" s="168"/>
      <c r="B712" s="169" t="str">
        <f ca="1">语言!$A$377</f>
        <v>噬船海穴</v>
      </c>
      <c r="C712" s="183"/>
      <c r="D712" s="169"/>
      <c r="E712" s="183"/>
      <c r="F712" s="183"/>
      <c r="G712" s="183"/>
      <c r="H712" s="184"/>
      <c r="I712" s="183"/>
      <c r="J712" s="183"/>
      <c r="K712" s="183"/>
      <c r="L712" s="183"/>
      <c r="M712" s="183"/>
      <c r="N712" s="183"/>
      <c r="O712" s="183"/>
      <c r="P712" s="183"/>
      <c r="Q712" s="184"/>
      <c r="R712" s="183"/>
      <c r="S712" s="183"/>
      <c r="T712" s="184"/>
      <c r="U712" s="183"/>
      <c r="V712" s="183"/>
      <c r="W712" s="168"/>
    </row>
    <row r="713" spans="1:23" ht="12.75" x14ac:dyDescent="0.2">
      <c r="A713" s="168"/>
      <c r="B713" s="472" t="str">
        <f ca="1">语言!$A$1954&amp;" (2)"</f>
        <v>猎海兽名人 (2)</v>
      </c>
      <c r="C713" s="554" t="b">
        <v>0</v>
      </c>
      <c r="D713" s="472" t="str">
        <f ca="1">道具!$C$543</f>
        <v>橄榄花</v>
      </c>
      <c r="E713" s="554" t="b">
        <v>0</v>
      </c>
      <c r="F713" s="471" t="str">
        <f ca="1">语言!$A$23</f>
        <v>无</v>
      </c>
      <c r="G713" s="554" t="b">
        <v>0</v>
      </c>
      <c r="H713" s="556" t="s">
        <v>44</v>
      </c>
      <c r="I713" s="471">
        <v>6</v>
      </c>
      <c r="J713" s="471"/>
      <c r="K713" s="471"/>
      <c r="L713" s="471"/>
      <c r="M713" s="471"/>
      <c r="N713" s="471"/>
      <c r="O713" s="471" t="str">
        <f ca="1">道具!$C$541</f>
        <v>李子树液</v>
      </c>
      <c r="P713" s="554"/>
      <c r="Q713" s="556" t="s">
        <v>44</v>
      </c>
      <c r="R713" s="38"/>
      <c r="S713" s="38" t="str">
        <f ca="1">Summon!$I$158</f>
        <v>防御力下降</v>
      </c>
      <c r="T713" s="556">
        <v>5</v>
      </c>
      <c r="U713" s="554"/>
      <c r="V713" s="471" t="str">
        <f ca="1">"NPC at this location after Quest: "&amp;支线!$C$50</f>
        <v>NPC at this location after Quest: 凶暴的海兽</v>
      </c>
      <c r="W713" s="168"/>
    </row>
    <row r="714" spans="1:23" ht="12.75" x14ac:dyDescent="0.2">
      <c r="A714" s="168"/>
      <c r="B714" s="371"/>
      <c r="C714" s="371"/>
      <c r="D714" s="371"/>
      <c r="E714" s="371"/>
      <c r="F714" s="371"/>
      <c r="G714" s="371"/>
      <c r="H714" s="371"/>
      <c r="I714" s="371"/>
      <c r="J714" s="371"/>
      <c r="K714" s="371"/>
      <c r="L714" s="371"/>
      <c r="M714" s="371"/>
      <c r="N714" s="371"/>
      <c r="O714" s="371"/>
      <c r="P714" s="371"/>
      <c r="Q714" s="371"/>
      <c r="R714" s="38"/>
      <c r="S714" s="38" t="str">
        <f ca="1">Summon!$I$34</f>
        <v>无双突刺</v>
      </c>
      <c r="T714" s="371"/>
      <c r="U714" s="371"/>
      <c r="V714" s="371"/>
      <c r="W714" s="168"/>
    </row>
    <row r="715" spans="1:23" ht="12.75" x14ac:dyDescent="0.2">
      <c r="A715" s="168"/>
      <c r="B715" s="371"/>
      <c r="C715" s="371"/>
      <c r="D715" s="371"/>
      <c r="E715" s="371"/>
      <c r="F715" s="371"/>
      <c r="G715" s="371"/>
      <c r="H715" s="371"/>
      <c r="I715" s="371"/>
      <c r="J715" s="371"/>
      <c r="K715" s="371"/>
      <c r="L715" s="371"/>
      <c r="M715" s="371"/>
      <c r="N715" s="371"/>
      <c r="O715" s="371"/>
      <c r="P715" s="371"/>
      <c r="Q715" s="371"/>
      <c r="R715" s="38"/>
      <c r="S715" s="38" t="str">
        <f ca="1">Summon!$I$4</f>
        <v>战斗</v>
      </c>
      <c r="T715" s="371"/>
      <c r="U715" s="371"/>
      <c r="V715" s="371"/>
      <c r="W715" s="168"/>
    </row>
    <row r="716" spans="1:23" ht="12.75" x14ac:dyDescent="0.2">
      <c r="A716" s="168"/>
      <c r="B716" s="552" t="str">
        <f ca="1">语言!$A$375</f>
        <v>月隐海道</v>
      </c>
      <c r="C716" s="371"/>
      <c r="D716" s="371"/>
      <c r="E716" s="371"/>
      <c r="F716" s="371"/>
      <c r="G716" s="371"/>
      <c r="H716" s="371"/>
      <c r="I716" s="371"/>
      <c r="J716" s="371"/>
      <c r="K716" s="371"/>
      <c r="L716" s="371"/>
      <c r="M716" s="371"/>
      <c r="N716" s="371"/>
      <c r="O716" s="371"/>
      <c r="P716" s="371"/>
      <c r="Q716" s="371"/>
      <c r="R716" s="371"/>
      <c r="S716" s="371"/>
      <c r="T716" s="371"/>
      <c r="U716" s="371"/>
      <c r="V716" s="371"/>
      <c r="W716" s="168"/>
    </row>
    <row r="717" spans="1:23" ht="12.75" x14ac:dyDescent="0.2">
      <c r="A717" s="168"/>
      <c r="B717" s="472" t="str">
        <f ca="1">语言!$A$1761</f>
        <v>流浪女艺人</v>
      </c>
      <c r="C717" s="168" t="b">
        <v>0</v>
      </c>
      <c r="D717" s="40" t="str">
        <f ca="1">道具!$C$422</f>
        <v>古老长袍</v>
      </c>
      <c r="E717" s="554" t="b">
        <v>0</v>
      </c>
      <c r="F717" s="471" t="str">
        <f ca="1">语言!$A$23</f>
        <v>无</v>
      </c>
      <c r="G717" s="554"/>
      <c r="H717" s="559" t="s">
        <v>119</v>
      </c>
      <c r="I717" s="559" t="s">
        <v>119</v>
      </c>
      <c r="J717" s="559" t="s">
        <v>119</v>
      </c>
      <c r="K717" s="559" t="s">
        <v>119</v>
      </c>
      <c r="L717" s="559" t="s">
        <v>119</v>
      </c>
      <c r="M717" s="559" t="s">
        <v>119</v>
      </c>
      <c r="N717" s="559" t="s">
        <v>119</v>
      </c>
      <c r="O717" s="559" t="s">
        <v>119</v>
      </c>
      <c r="P717" s="554"/>
      <c r="Q717" s="559" t="s">
        <v>119</v>
      </c>
      <c r="R717" s="559" t="s">
        <v>119</v>
      </c>
      <c r="S717" s="559" t="s">
        <v>119</v>
      </c>
      <c r="T717" s="559" t="s">
        <v>119</v>
      </c>
      <c r="U717" s="554"/>
      <c r="V717" s="471" t="str">
        <f ca="1">"NPC available after quest: "&amp;支线!$C$32</f>
        <v>NPC available after quest: 寻找父亲的旅行者克里斯（１）</v>
      </c>
      <c r="W717" s="168"/>
    </row>
    <row r="718" spans="1:23" ht="12.75" x14ac:dyDescent="0.2">
      <c r="A718" s="168"/>
      <c r="B718" s="371"/>
      <c r="C718" s="168" t="b">
        <v>0</v>
      </c>
      <c r="D718" s="40" t="str">
        <f ca="1">道具!$C$25</f>
        <v>毒瓶</v>
      </c>
      <c r="E718" s="371"/>
      <c r="F718" s="371"/>
      <c r="G718" s="371"/>
      <c r="H718" s="371"/>
      <c r="I718" s="371"/>
      <c r="J718" s="371"/>
      <c r="K718" s="371"/>
      <c r="L718" s="371"/>
      <c r="M718" s="371"/>
      <c r="N718" s="371"/>
      <c r="O718" s="371"/>
      <c r="P718" s="371"/>
      <c r="Q718" s="371"/>
      <c r="R718" s="371"/>
      <c r="S718" s="371"/>
      <c r="T718" s="371"/>
      <c r="U718" s="371"/>
      <c r="V718" s="371"/>
      <c r="W718" s="168"/>
    </row>
    <row r="719" spans="1:23" ht="12.75" x14ac:dyDescent="0.2">
      <c r="A719" s="168"/>
      <c r="B719" s="555"/>
      <c r="C719" s="171" t="b">
        <v>0</v>
      </c>
      <c r="D719" s="172" t="str">
        <f ca="1">道具!$C$37</f>
        <v>雷之精灵石（大）</v>
      </c>
      <c r="E719" s="555"/>
      <c r="F719" s="555"/>
      <c r="G719" s="555"/>
      <c r="H719" s="555"/>
      <c r="I719" s="555"/>
      <c r="J719" s="555"/>
      <c r="K719" s="555"/>
      <c r="L719" s="555"/>
      <c r="M719" s="555"/>
      <c r="N719" s="555"/>
      <c r="O719" s="555"/>
      <c r="P719" s="555"/>
      <c r="Q719" s="555"/>
      <c r="R719" s="555"/>
      <c r="S719" s="555"/>
      <c r="T719" s="555"/>
      <c r="U719" s="555"/>
      <c r="V719" s="555"/>
      <c r="W719" s="168"/>
    </row>
    <row r="720" spans="1:23" ht="12.75" x14ac:dyDescent="0.2">
      <c r="A720" s="168"/>
      <c r="B720" s="472" t="str">
        <f ca="1">语言!$A$1940&amp;" (2)"</f>
        <v>克里斯 (2)</v>
      </c>
      <c r="C720" s="554"/>
      <c r="D720" s="560" t="s">
        <v>119</v>
      </c>
      <c r="E720" s="554"/>
      <c r="F720" s="559" t="s">
        <v>119</v>
      </c>
      <c r="G720" s="554"/>
      <c r="H720" s="559" t="s">
        <v>119</v>
      </c>
      <c r="I720" s="559" t="s">
        <v>119</v>
      </c>
      <c r="J720" s="559" t="s">
        <v>119</v>
      </c>
      <c r="K720" s="559" t="s">
        <v>119</v>
      </c>
      <c r="L720" s="559" t="s">
        <v>119</v>
      </c>
      <c r="M720" s="559" t="s">
        <v>119</v>
      </c>
      <c r="N720" s="559" t="s">
        <v>119</v>
      </c>
      <c r="O720" s="559" t="s">
        <v>119</v>
      </c>
      <c r="P720" s="554"/>
      <c r="Q720" s="559" t="s">
        <v>119</v>
      </c>
      <c r="R720" s="559" t="s">
        <v>119</v>
      </c>
      <c r="S720" s="559" t="s">
        <v>119</v>
      </c>
      <c r="T720" s="559" t="s">
        <v>119</v>
      </c>
      <c r="U720" s="554"/>
      <c r="V720" s="471" t="str">
        <f ca="1">"NPC at this location after quest: "&amp;支线!$C$32&amp;"
Disapear after quest: "&amp;支线!$C$51</f>
        <v>NPC at this location after quest: 寻找父亲的旅行者克里斯（１）
Disapear after quest: 寻找父亲的旅行者克里斯（２）</v>
      </c>
      <c r="W720" s="168"/>
    </row>
    <row r="721" spans="1:23" ht="12.75" x14ac:dyDescent="0.2">
      <c r="A721" s="168"/>
      <c r="B721" s="555"/>
      <c r="C721" s="555"/>
      <c r="D721" s="555"/>
      <c r="E721" s="555"/>
      <c r="F721" s="555"/>
      <c r="G721" s="555"/>
      <c r="H721" s="555"/>
      <c r="I721" s="555"/>
      <c r="J721" s="555"/>
      <c r="K721" s="555"/>
      <c r="L721" s="555"/>
      <c r="M721" s="555"/>
      <c r="N721" s="555"/>
      <c r="O721" s="555"/>
      <c r="P721" s="555"/>
      <c r="Q721" s="555"/>
      <c r="R721" s="555"/>
      <c r="S721" s="555"/>
      <c r="T721" s="555"/>
      <c r="U721" s="555"/>
      <c r="V721" s="555"/>
      <c r="W721" s="168"/>
    </row>
    <row r="722" spans="1:23" ht="12.75" x14ac:dyDescent="0.2">
      <c r="A722" s="168"/>
      <c r="B722" s="472" t="str">
        <f ca="1">语言!$A$1923&amp;" (2)"</f>
        <v>流浪剧团团长 (2)</v>
      </c>
      <c r="C722" s="168" t="b">
        <v>0</v>
      </c>
      <c r="D722" s="40" t="str">
        <f ca="1">道具!$C$14</f>
        <v>复活的橄榄</v>
      </c>
      <c r="E722" s="554" t="b">
        <v>0</v>
      </c>
      <c r="F722" s="471" t="str">
        <f ca="1">语言!$A$23</f>
        <v>无</v>
      </c>
      <c r="G722" s="554"/>
      <c r="H722" s="559" t="s">
        <v>119</v>
      </c>
      <c r="I722" s="559" t="s">
        <v>119</v>
      </c>
      <c r="J722" s="559" t="s">
        <v>119</v>
      </c>
      <c r="K722" s="559" t="s">
        <v>119</v>
      </c>
      <c r="L722" s="559" t="s">
        <v>119</v>
      </c>
      <c r="M722" s="559" t="s">
        <v>119</v>
      </c>
      <c r="N722" s="559" t="s">
        <v>119</v>
      </c>
      <c r="O722" s="559" t="s">
        <v>119</v>
      </c>
      <c r="P722" s="554"/>
      <c r="Q722" s="559" t="s">
        <v>119</v>
      </c>
      <c r="R722" s="559" t="s">
        <v>119</v>
      </c>
      <c r="S722" s="559" t="s">
        <v>119</v>
      </c>
      <c r="T722" s="559" t="s">
        <v>119</v>
      </c>
      <c r="U722" s="554"/>
      <c r="V722" s="471" t="str">
        <f ca="1">"NPC at this location after quest: "&amp;支线!$C$51</f>
        <v>NPC at this location after quest: 寻找父亲的旅行者克里斯（２）</v>
      </c>
      <c r="W722" s="168"/>
    </row>
    <row r="723" spans="1:23" ht="12.75" x14ac:dyDescent="0.2">
      <c r="A723" s="168"/>
      <c r="B723" s="371"/>
      <c r="C723" s="168" t="b">
        <v>0</v>
      </c>
      <c r="D723" s="40" t="str">
        <f ca="1">道具!$C$85</f>
        <v>玻璃珠</v>
      </c>
      <c r="E723" s="371"/>
      <c r="F723" s="371"/>
      <c r="G723" s="371"/>
      <c r="H723" s="371"/>
      <c r="I723" s="371"/>
      <c r="J723" s="371"/>
      <c r="K723" s="371"/>
      <c r="L723" s="371"/>
      <c r="M723" s="371"/>
      <c r="N723" s="371"/>
      <c r="O723" s="371"/>
      <c r="P723" s="371"/>
      <c r="Q723" s="371"/>
      <c r="R723" s="371"/>
      <c r="S723" s="371"/>
      <c r="T723" s="371"/>
      <c r="U723" s="371"/>
      <c r="V723" s="371"/>
      <c r="W723" s="168"/>
    </row>
    <row r="724" spans="1:23" ht="12.75" x14ac:dyDescent="0.2">
      <c r="A724" s="168"/>
      <c r="B724" s="371"/>
      <c r="C724" s="168" t="b">
        <v>0</v>
      </c>
      <c r="D724" s="40" t="str">
        <f ca="1">道具!$C$365</f>
        <v>海市蜃楼帽子</v>
      </c>
      <c r="E724" s="371"/>
      <c r="F724" s="371"/>
      <c r="G724" s="371"/>
      <c r="H724" s="371"/>
      <c r="I724" s="371"/>
      <c r="J724" s="371"/>
      <c r="K724" s="371"/>
      <c r="L724" s="371"/>
      <c r="M724" s="371"/>
      <c r="N724" s="371"/>
      <c r="O724" s="371"/>
      <c r="P724" s="371"/>
      <c r="Q724" s="371"/>
      <c r="R724" s="371"/>
      <c r="S724" s="371"/>
      <c r="T724" s="371"/>
      <c r="U724" s="371"/>
      <c r="V724" s="371"/>
      <c r="W724" s="168"/>
    </row>
    <row r="725" spans="1:23" ht="12.75" x14ac:dyDescent="0.2">
      <c r="A725" s="168"/>
      <c r="B725" s="551" t="str">
        <f ca="1">语言!$A$323&amp;" 3"</f>
        <v>Tier 3</v>
      </c>
      <c r="C725" s="371"/>
      <c r="D725" s="371"/>
      <c r="E725" s="371"/>
      <c r="F725" s="371"/>
      <c r="G725" s="371"/>
      <c r="H725" s="371"/>
      <c r="I725" s="371"/>
      <c r="J725" s="371"/>
      <c r="K725" s="371"/>
      <c r="L725" s="371"/>
      <c r="M725" s="371"/>
      <c r="N725" s="371"/>
      <c r="O725" s="371"/>
      <c r="P725" s="371"/>
      <c r="Q725" s="371"/>
      <c r="R725" s="371"/>
      <c r="S725" s="371"/>
      <c r="T725" s="371"/>
      <c r="U725" s="371"/>
      <c r="V725" s="371"/>
      <c r="W725" s="168"/>
    </row>
    <row r="726" spans="1:23" ht="12.75" x14ac:dyDescent="0.2">
      <c r="A726" s="168"/>
      <c r="B726" s="552" t="str">
        <f ca="1">语言!$A$382</f>
        <v>格兰波特</v>
      </c>
      <c r="C726" s="371"/>
      <c r="D726" s="371"/>
      <c r="E726" s="371"/>
      <c r="F726" s="371"/>
      <c r="G726" s="371"/>
      <c r="H726" s="371"/>
      <c r="I726" s="371"/>
      <c r="J726" s="371"/>
      <c r="K726" s="371"/>
      <c r="L726" s="371"/>
      <c r="M726" s="371"/>
      <c r="N726" s="371"/>
      <c r="O726" s="371"/>
      <c r="P726" s="371"/>
      <c r="Q726" s="371"/>
      <c r="R726" s="371"/>
      <c r="S726" s="371"/>
      <c r="T726" s="371"/>
      <c r="U726" s="371"/>
      <c r="V726" s="371"/>
      <c r="W726" s="168"/>
    </row>
    <row r="727" spans="1:23" ht="12.75" x14ac:dyDescent="0.2">
      <c r="A727" s="168"/>
      <c r="B727" s="472" t="str">
        <f ca="1">语言!$A$1975</f>
        <v>商人</v>
      </c>
      <c r="C727" s="168" t="b">
        <v>0</v>
      </c>
      <c r="D727" s="40" t="str">
        <f ca="1">道具!$C$345</f>
        <v>金钢合金盾</v>
      </c>
      <c r="E727" s="554" t="b">
        <v>0</v>
      </c>
      <c r="F727" s="471" t="str">
        <f ca="1">语言!$A$23</f>
        <v>无</v>
      </c>
      <c r="G727" s="554" t="b">
        <v>0</v>
      </c>
      <c r="H727" s="556" t="s">
        <v>49</v>
      </c>
      <c r="I727" s="471">
        <v>4</v>
      </c>
      <c r="J727" s="471"/>
      <c r="K727" s="471"/>
      <c r="L727" s="471"/>
      <c r="M727" s="471"/>
      <c r="N727" s="471"/>
      <c r="O727" s="471" t="str">
        <f ca="1">道具!$C$261</f>
        <v>魔力之斧</v>
      </c>
      <c r="P727" s="554"/>
      <c r="Q727" s="556" t="s">
        <v>49</v>
      </c>
      <c r="R727" s="38"/>
      <c r="S727" s="38" t="str">
        <f ca="1">Summon!$I$53</f>
        <v>脑天击</v>
      </c>
      <c r="T727" s="556">
        <v>7</v>
      </c>
      <c r="U727" s="554"/>
      <c r="V727" s="471"/>
      <c r="W727" s="168"/>
    </row>
    <row r="728" spans="1:23" ht="12.75" x14ac:dyDescent="0.2">
      <c r="A728" s="168"/>
      <c r="B728" s="371"/>
      <c r="C728" s="168" t="b">
        <v>0</v>
      </c>
      <c r="D728" s="40" t="str">
        <f ca="1">道具!$C$244</f>
        <v>山丘猛击斧</v>
      </c>
      <c r="E728" s="371"/>
      <c r="F728" s="371"/>
      <c r="G728" s="371"/>
      <c r="H728" s="371"/>
      <c r="I728" s="371"/>
      <c r="J728" s="371"/>
      <c r="K728" s="371"/>
      <c r="L728" s="371"/>
      <c r="M728" s="371"/>
      <c r="N728" s="371"/>
      <c r="O728" s="371"/>
      <c r="P728" s="371"/>
      <c r="Q728" s="371"/>
      <c r="R728" s="38"/>
      <c r="S728" s="38" t="str">
        <f ca="1">Summon!$I$52</f>
        <v>重拳</v>
      </c>
      <c r="T728" s="371"/>
      <c r="U728" s="371"/>
      <c r="V728" s="371"/>
      <c r="W728" s="168"/>
    </row>
    <row r="729" spans="1:23" ht="12.75" x14ac:dyDescent="0.2">
      <c r="A729" s="168"/>
      <c r="B729" s="371"/>
      <c r="C729" s="168" t="b">
        <v>0</v>
      </c>
      <c r="D729" s="40" t="str">
        <f ca="1">道具!$C$215</f>
        <v>正义破坏者</v>
      </c>
      <c r="E729" s="371"/>
      <c r="F729" s="371"/>
      <c r="G729" s="371"/>
      <c r="H729" s="371"/>
      <c r="I729" s="371"/>
      <c r="J729" s="371"/>
      <c r="K729" s="371"/>
      <c r="L729" s="371"/>
      <c r="M729" s="371"/>
      <c r="N729" s="371"/>
      <c r="O729" s="371"/>
      <c r="P729" s="371"/>
      <c r="Q729" s="371"/>
      <c r="R729" s="38"/>
      <c r="S729" s="38" t="str">
        <f ca="1">Summon!$I$4</f>
        <v>战斗</v>
      </c>
      <c r="T729" s="371"/>
      <c r="U729" s="371"/>
      <c r="V729" s="371"/>
      <c r="W729" s="168"/>
    </row>
    <row r="730" spans="1:23" ht="12.75" x14ac:dyDescent="0.2">
      <c r="A730" s="168"/>
      <c r="B730" s="555"/>
      <c r="C730" s="171" t="b">
        <v>0</v>
      </c>
      <c r="D730" s="172" t="str">
        <f ca="1">道具!$C$180</f>
        <v>胜利长枪</v>
      </c>
      <c r="E730" s="555"/>
      <c r="F730" s="555"/>
      <c r="G730" s="555"/>
      <c r="H730" s="555"/>
      <c r="I730" s="555"/>
      <c r="J730" s="555"/>
      <c r="K730" s="555"/>
      <c r="L730" s="555"/>
      <c r="M730" s="555"/>
      <c r="N730" s="555"/>
      <c r="O730" s="555"/>
      <c r="P730" s="555"/>
      <c r="Q730" s="555"/>
      <c r="R730" s="173"/>
      <c r="S730" s="173"/>
      <c r="T730" s="555"/>
      <c r="U730" s="555"/>
      <c r="V730" s="555"/>
      <c r="W730" s="168"/>
    </row>
    <row r="731" spans="1:23" ht="12.75" x14ac:dyDescent="0.2">
      <c r="A731" s="168"/>
      <c r="B731" s="472" t="str">
        <f ca="1">语言!$A$2102</f>
        <v>市民</v>
      </c>
      <c r="C731" s="554" t="b">
        <v>0</v>
      </c>
      <c r="D731" s="472" t="str">
        <f ca="1">道具!$C$7</f>
        <v>ＳＰ恢复的李子（大）</v>
      </c>
      <c r="E731" s="554" t="b">
        <v>0</v>
      </c>
      <c r="F731" s="471" t="str">
        <f ca="1">语言!$A$23</f>
        <v>无</v>
      </c>
      <c r="G731" s="554" t="b">
        <v>0</v>
      </c>
      <c r="H731" s="556" t="s">
        <v>49</v>
      </c>
      <c r="I731" s="471">
        <v>4</v>
      </c>
      <c r="J731" s="471"/>
      <c r="K731" s="471"/>
      <c r="L731" s="471"/>
      <c r="M731" s="471"/>
      <c r="N731" s="471"/>
      <c r="O731" s="471" t="str">
        <f ca="1">道具!$C$7</f>
        <v>ＳＰ恢复的李子（大）</v>
      </c>
      <c r="P731" s="554"/>
      <c r="Q731" s="556" t="s">
        <v>49</v>
      </c>
      <c r="R731" s="38"/>
      <c r="S731" s="38" t="str">
        <f ca="1">Summon!$I$174</f>
        <v>防御力提升</v>
      </c>
      <c r="T731" s="556">
        <v>7</v>
      </c>
      <c r="U731" s="554"/>
      <c r="V731" s="471"/>
      <c r="W731" s="168"/>
    </row>
    <row r="732" spans="1:23" ht="12.75" x14ac:dyDescent="0.2">
      <c r="A732" s="168"/>
      <c r="B732" s="371"/>
      <c r="C732" s="371"/>
      <c r="D732" s="371"/>
      <c r="E732" s="371"/>
      <c r="F732" s="371"/>
      <c r="G732" s="371"/>
      <c r="H732" s="371"/>
      <c r="I732" s="371"/>
      <c r="J732" s="371"/>
      <c r="K732" s="371"/>
      <c r="L732" s="371"/>
      <c r="M732" s="371"/>
      <c r="N732" s="371"/>
      <c r="O732" s="371"/>
      <c r="P732" s="371"/>
      <c r="Q732" s="371"/>
      <c r="R732" s="38"/>
      <c r="S732" s="38" t="str">
        <f ca="1">Summon!$I$21</f>
        <v>乱斩</v>
      </c>
      <c r="T732" s="371"/>
      <c r="U732" s="371"/>
      <c r="V732" s="371"/>
      <c r="W732" s="168"/>
    </row>
    <row r="733" spans="1:23" ht="12.75" x14ac:dyDescent="0.2">
      <c r="A733" s="168"/>
      <c r="B733" s="555"/>
      <c r="C733" s="555"/>
      <c r="D733" s="555"/>
      <c r="E733" s="555"/>
      <c r="F733" s="555"/>
      <c r="G733" s="555"/>
      <c r="H733" s="555"/>
      <c r="I733" s="555"/>
      <c r="J733" s="555"/>
      <c r="K733" s="555"/>
      <c r="L733" s="555"/>
      <c r="M733" s="555"/>
      <c r="N733" s="555"/>
      <c r="O733" s="555"/>
      <c r="P733" s="555"/>
      <c r="Q733" s="555"/>
      <c r="R733" s="173"/>
      <c r="S733" s="173" t="str">
        <f ca="1">Summon!$I$4</f>
        <v>战斗</v>
      </c>
      <c r="T733" s="555"/>
      <c r="U733" s="555"/>
      <c r="V733" s="555"/>
      <c r="W733" s="168"/>
    </row>
    <row r="734" spans="1:23" ht="12.75" x14ac:dyDescent="0.2">
      <c r="A734" s="168"/>
      <c r="B734" s="172" t="str">
        <f ca="1">语言!$A$2107</f>
        <v>行商人</v>
      </c>
      <c r="C734" s="171" t="b">
        <v>0</v>
      </c>
      <c r="D734" s="172" t="str">
        <f ca="1">"* "&amp;道具!$F$79</f>
        <v>* 青金石</v>
      </c>
      <c r="E734" s="171" t="b">
        <v>0</v>
      </c>
      <c r="F734" s="173" t="str">
        <f ca="1">语言!$A$23</f>
        <v>无</v>
      </c>
      <c r="G734" s="171"/>
      <c r="H734" s="179" t="s">
        <v>119</v>
      </c>
      <c r="I734" s="179" t="s">
        <v>119</v>
      </c>
      <c r="J734" s="179" t="s">
        <v>119</v>
      </c>
      <c r="K734" s="179" t="s">
        <v>119</v>
      </c>
      <c r="L734" s="179" t="s">
        <v>119</v>
      </c>
      <c r="M734" s="179" t="s">
        <v>119</v>
      </c>
      <c r="N734" s="179" t="s">
        <v>119</v>
      </c>
      <c r="O734" s="179" t="s">
        <v>119</v>
      </c>
      <c r="P734" s="171"/>
      <c r="Q734" s="179" t="s">
        <v>119</v>
      </c>
      <c r="R734" s="179" t="s">
        <v>119</v>
      </c>
      <c r="S734" s="179" t="s">
        <v>119</v>
      </c>
      <c r="T734" s="179" t="s">
        <v>119</v>
      </c>
      <c r="U734" s="171"/>
      <c r="V734" s="173" t="str">
        <f ca="1">"NPC available after quest: "&amp;支线!$C$32</f>
        <v>NPC available after quest: 寻找父亲的旅行者克里斯（１）</v>
      </c>
      <c r="W734" s="168"/>
    </row>
    <row r="735" spans="1:23" ht="12.75" x14ac:dyDescent="0.2">
      <c r="A735" s="168"/>
      <c r="B735" s="472" t="str">
        <f ca="1">语言!$A$2023</f>
        <v>兴奋的商人</v>
      </c>
      <c r="C735" s="554" t="b">
        <v>0</v>
      </c>
      <c r="D735" s="472" t="str">
        <f ca="1">"* "&amp;道具!$F$57</f>
        <v>* 异国的冒险物语</v>
      </c>
      <c r="E735" s="554" t="b">
        <v>0</v>
      </c>
      <c r="F735" s="471" t="str">
        <f ca="1">语言!$A$23</f>
        <v>无</v>
      </c>
      <c r="G735" s="554" t="b">
        <v>0</v>
      </c>
      <c r="H735" s="556" t="s">
        <v>57</v>
      </c>
      <c r="I735" s="471">
        <v>3</v>
      </c>
      <c r="J735" s="471"/>
      <c r="K735" s="471"/>
      <c r="L735" s="471"/>
      <c r="M735" s="471"/>
      <c r="N735" s="471"/>
      <c r="O735" s="471" t="str">
        <f ca="1">道具!$C$7</f>
        <v>ＳＰ恢复的李子（大）</v>
      </c>
      <c r="P735" s="554"/>
      <c r="Q735" s="556" t="s">
        <v>57</v>
      </c>
      <c r="R735" s="38"/>
      <c r="S735" s="38" t="str">
        <f ca="1">Summon!$I$140</f>
        <v>毒药</v>
      </c>
      <c r="T735" s="556">
        <v>8</v>
      </c>
      <c r="U735" s="554"/>
      <c r="V735" s="471"/>
      <c r="W735" s="168"/>
    </row>
    <row r="736" spans="1:23" ht="12.75" x14ac:dyDescent="0.2">
      <c r="A736" s="168"/>
      <c r="B736" s="371"/>
      <c r="C736" s="371"/>
      <c r="D736" s="371"/>
      <c r="E736" s="371"/>
      <c r="F736" s="371"/>
      <c r="G736" s="371"/>
      <c r="H736" s="371"/>
      <c r="I736" s="371"/>
      <c r="J736" s="371"/>
      <c r="K736" s="371"/>
      <c r="L736" s="371"/>
      <c r="M736" s="371"/>
      <c r="N736" s="371"/>
      <c r="O736" s="371"/>
      <c r="P736" s="371"/>
      <c r="Q736" s="371"/>
      <c r="R736" s="38"/>
      <c r="S736" s="38" t="str">
        <f ca="1">Summon!$I$31</f>
        <v>要害突刺</v>
      </c>
      <c r="T736" s="371"/>
      <c r="U736" s="371"/>
      <c r="V736" s="371"/>
      <c r="W736" s="168"/>
    </row>
    <row r="737" spans="1:23" ht="12.75" x14ac:dyDescent="0.2">
      <c r="A737" s="168"/>
      <c r="B737" s="555"/>
      <c r="C737" s="555"/>
      <c r="D737" s="555"/>
      <c r="E737" s="555"/>
      <c r="F737" s="555"/>
      <c r="G737" s="555"/>
      <c r="H737" s="555"/>
      <c r="I737" s="555"/>
      <c r="J737" s="555"/>
      <c r="K737" s="555"/>
      <c r="L737" s="555"/>
      <c r="M737" s="555"/>
      <c r="N737" s="555"/>
      <c r="O737" s="555"/>
      <c r="P737" s="555"/>
      <c r="Q737" s="555"/>
      <c r="R737" s="173"/>
      <c r="S737" s="173" t="str">
        <f ca="1">Summon!$I$4</f>
        <v>战斗</v>
      </c>
      <c r="T737" s="555"/>
      <c r="U737" s="555"/>
      <c r="V737" s="555"/>
      <c r="W737" s="168"/>
    </row>
    <row r="738" spans="1:23" ht="12.75" x14ac:dyDescent="0.2">
      <c r="A738" s="168"/>
      <c r="B738" s="472" t="str">
        <f ca="1">语言!$A$1975</f>
        <v>商人</v>
      </c>
      <c r="C738" s="168" t="b">
        <v>0</v>
      </c>
      <c r="D738" s="40" t="str">
        <f ca="1">道具!$C$152</f>
        <v>骑士剑</v>
      </c>
      <c r="E738" s="554" t="b">
        <v>0</v>
      </c>
      <c r="F738" s="471" t="str">
        <f ca="1">语言!$A$33&amp;"
"&amp;道具!$C$13</f>
        <v>隐藏道具的资讯
ＨＰ／ＳＰ／ＢＰ恢复的果酱</v>
      </c>
      <c r="G738" s="554" t="b">
        <v>0</v>
      </c>
      <c r="H738" s="556" t="s">
        <v>46</v>
      </c>
      <c r="I738" s="471">
        <v>3</v>
      </c>
      <c r="J738" s="471"/>
      <c r="K738" s="471"/>
      <c r="L738" s="471"/>
      <c r="M738" s="471"/>
      <c r="N738" s="471"/>
      <c r="O738" s="471" t="str">
        <f ca="1">道具!$C$10</f>
        <v>ＢＰ恢复的石榴（大）</v>
      </c>
      <c r="P738" s="554"/>
      <c r="Q738" s="556" t="s">
        <v>46</v>
      </c>
      <c r="R738" s="38"/>
      <c r="S738" s="38" t="str">
        <f ca="1">Summon!$I$144</f>
        <v>睡眠药</v>
      </c>
      <c r="T738" s="556">
        <v>8</v>
      </c>
      <c r="U738" s="554"/>
      <c r="V738" s="471" t="str">
        <f ca="1">"Hidden item requires "&amp;语言!$A$47&amp;" / "&amp;语言!$A$51&amp;""</f>
        <v>Hidden item requires 比试 / 唆使</v>
      </c>
      <c r="W738" s="168"/>
    </row>
    <row r="739" spans="1:23" ht="12.75" x14ac:dyDescent="0.2">
      <c r="A739" s="168"/>
      <c r="B739" s="371"/>
      <c r="C739" s="168" t="b">
        <v>0</v>
      </c>
      <c r="D739" s="40" t="str">
        <f ca="1">道具!$C$160</f>
        <v>重刃</v>
      </c>
      <c r="E739" s="371"/>
      <c r="F739" s="371"/>
      <c r="G739" s="371"/>
      <c r="H739" s="371"/>
      <c r="I739" s="371"/>
      <c r="J739" s="371"/>
      <c r="K739" s="371"/>
      <c r="L739" s="371"/>
      <c r="M739" s="371"/>
      <c r="N739" s="371"/>
      <c r="O739" s="371"/>
      <c r="P739" s="371"/>
      <c r="Q739" s="371"/>
      <c r="R739" s="38"/>
      <c r="S739" s="38" t="str">
        <f ca="1">Summon!$I$31</f>
        <v>要害突刺</v>
      </c>
      <c r="T739" s="371"/>
      <c r="U739" s="371"/>
      <c r="V739" s="371"/>
      <c r="W739" s="168"/>
    </row>
    <row r="740" spans="1:23" ht="12.75" x14ac:dyDescent="0.2">
      <c r="A740" s="168"/>
      <c r="B740" s="371"/>
      <c r="C740" s="168" t="b">
        <v>0</v>
      </c>
      <c r="D740" s="40" t="str">
        <f ca="1">道具!$C$147</f>
        <v>勇气之刃</v>
      </c>
      <c r="E740" s="371"/>
      <c r="F740" s="371"/>
      <c r="G740" s="371"/>
      <c r="H740" s="371"/>
      <c r="I740" s="371"/>
      <c r="J740" s="371"/>
      <c r="K740" s="371"/>
      <c r="L740" s="371"/>
      <c r="M740" s="371"/>
      <c r="N740" s="371"/>
      <c r="O740" s="371"/>
      <c r="P740" s="371"/>
      <c r="Q740" s="371"/>
      <c r="R740" s="38"/>
      <c r="S740" s="38" t="str">
        <f ca="1">Summon!$I$4</f>
        <v>战斗</v>
      </c>
      <c r="T740" s="371"/>
      <c r="U740" s="371"/>
      <c r="V740" s="371"/>
      <c r="W740" s="168"/>
    </row>
    <row r="741" spans="1:23" ht="12.75" x14ac:dyDescent="0.2">
      <c r="A741" s="168"/>
      <c r="B741" s="371"/>
      <c r="C741" s="168" t="b">
        <v>0</v>
      </c>
      <c r="D741" s="40" t="str">
        <f ca="1">道具!$C$190</f>
        <v>重骑枪</v>
      </c>
      <c r="E741" s="371"/>
      <c r="F741" s="371"/>
      <c r="G741" s="371"/>
      <c r="H741" s="371"/>
      <c r="I741" s="371"/>
      <c r="J741" s="371"/>
      <c r="K741" s="371"/>
      <c r="L741" s="371"/>
      <c r="M741" s="371"/>
      <c r="N741" s="371"/>
      <c r="O741" s="371"/>
      <c r="P741" s="371"/>
      <c r="Q741" s="371"/>
      <c r="R741" s="38"/>
      <c r="S741" s="38"/>
      <c r="T741" s="371"/>
      <c r="U741" s="371"/>
      <c r="V741" s="371"/>
      <c r="W741" s="168"/>
    </row>
    <row r="742" spans="1:23" ht="12.75" x14ac:dyDescent="0.2">
      <c r="A742" s="168"/>
      <c r="B742" s="555"/>
      <c r="C742" s="171" t="b">
        <v>0</v>
      </c>
      <c r="D742" s="172" t="str">
        <f ca="1">道具!$C$341</f>
        <v>巨盾</v>
      </c>
      <c r="E742" s="555"/>
      <c r="F742" s="555"/>
      <c r="G742" s="555"/>
      <c r="H742" s="555"/>
      <c r="I742" s="555"/>
      <c r="J742" s="555"/>
      <c r="K742" s="555"/>
      <c r="L742" s="555"/>
      <c r="M742" s="555"/>
      <c r="N742" s="555"/>
      <c r="O742" s="555"/>
      <c r="P742" s="555"/>
      <c r="Q742" s="555"/>
      <c r="R742" s="173"/>
      <c r="S742" s="173"/>
      <c r="T742" s="555"/>
      <c r="U742" s="555"/>
      <c r="V742" s="555"/>
      <c r="W742" s="168"/>
    </row>
    <row r="743" spans="1:23" ht="12.75" x14ac:dyDescent="0.2">
      <c r="A743" s="168"/>
      <c r="B743" s="472" t="str">
        <f ca="1">语言!$A$1811</f>
        <v>爱书的女孩</v>
      </c>
      <c r="C743" s="554" t="b">
        <v>0</v>
      </c>
      <c r="D743" s="472" t="str">
        <f ca="1">道具!$C$115</f>
        <v>简单！冒险者入门</v>
      </c>
      <c r="E743" s="554" t="b">
        <v>0</v>
      </c>
      <c r="F743" s="471" t="str">
        <f ca="1">语言!$A$23</f>
        <v>无</v>
      </c>
      <c r="G743" s="554" t="b">
        <v>0</v>
      </c>
      <c r="H743" s="556" t="s">
        <v>48</v>
      </c>
      <c r="I743" s="471">
        <v>2</v>
      </c>
      <c r="J743" s="471"/>
      <c r="K743" s="471"/>
      <c r="L743" s="471"/>
      <c r="M743" s="471"/>
      <c r="N743" s="471"/>
      <c r="O743" s="471" t="str">
        <f ca="1">道具!$C$4</f>
        <v>ＨＰ恢复的葡萄（大）</v>
      </c>
      <c r="P743" s="554"/>
      <c r="Q743" s="556" t="s">
        <v>48</v>
      </c>
      <c r="R743" s="38"/>
      <c r="S743" s="38" t="str">
        <f ca="1">Summon!$I$114</f>
        <v>全力投掷书本</v>
      </c>
      <c r="T743" s="556">
        <v>9</v>
      </c>
      <c r="U743" s="554"/>
      <c r="V743" s="471"/>
      <c r="W743" s="168"/>
    </row>
    <row r="744" spans="1:23" ht="12.75" x14ac:dyDescent="0.2">
      <c r="A744" s="168"/>
      <c r="B744" s="371"/>
      <c r="C744" s="371"/>
      <c r="D744" s="371"/>
      <c r="E744" s="371"/>
      <c r="F744" s="371"/>
      <c r="G744" s="371"/>
      <c r="H744" s="371"/>
      <c r="I744" s="371"/>
      <c r="J744" s="371"/>
      <c r="K744" s="371"/>
      <c r="L744" s="371"/>
      <c r="M744" s="371"/>
      <c r="N744" s="371"/>
      <c r="O744" s="371"/>
      <c r="P744" s="371"/>
      <c r="Q744" s="371"/>
      <c r="R744" s="38"/>
      <c r="S744" s="38" t="str">
        <f ca="1">Summon!$I$108</f>
        <v>投掷书本</v>
      </c>
      <c r="T744" s="371"/>
      <c r="U744" s="371"/>
      <c r="V744" s="371"/>
      <c r="W744" s="168"/>
    </row>
    <row r="745" spans="1:23" ht="12.75" x14ac:dyDescent="0.2">
      <c r="A745" s="168"/>
      <c r="B745" s="555"/>
      <c r="C745" s="555"/>
      <c r="D745" s="555"/>
      <c r="E745" s="555"/>
      <c r="F745" s="555"/>
      <c r="G745" s="555"/>
      <c r="H745" s="555"/>
      <c r="I745" s="555"/>
      <c r="J745" s="555"/>
      <c r="K745" s="555"/>
      <c r="L745" s="555"/>
      <c r="M745" s="555"/>
      <c r="N745" s="555"/>
      <c r="O745" s="555"/>
      <c r="P745" s="555"/>
      <c r="Q745" s="555"/>
      <c r="R745" s="173"/>
      <c r="S745" s="173" t="str">
        <f ca="1">Summon!$I$4</f>
        <v>战斗</v>
      </c>
      <c r="T745" s="555"/>
      <c r="U745" s="555"/>
      <c r="V745" s="555"/>
      <c r="W745" s="168"/>
    </row>
    <row r="746" spans="1:23" ht="12.75" x14ac:dyDescent="0.2">
      <c r="A746" s="168"/>
      <c r="B746" s="472" t="str">
        <f ca="1">语言!$A$1834&amp;" (1)"</f>
        <v>寇蒂莉亚 (1)</v>
      </c>
      <c r="C746" s="168" t="b">
        <v>0</v>
      </c>
      <c r="D746" s="40" t="str">
        <f ca="1">道具!$C$5</f>
        <v>ＨＰ全体恢复的葡萄</v>
      </c>
      <c r="E746" s="554" t="b">
        <v>0</v>
      </c>
      <c r="F746" s="471" t="str">
        <f ca="1">语言!$A$23</f>
        <v>无</v>
      </c>
      <c r="G746" s="554"/>
      <c r="H746" s="559" t="s">
        <v>119</v>
      </c>
      <c r="I746" s="559" t="s">
        <v>119</v>
      </c>
      <c r="J746" s="559" t="s">
        <v>119</v>
      </c>
      <c r="K746" s="559" t="s">
        <v>119</v>
      </c>
      <c r="L746" s="559" t="s">
        <v>119</v>
      </c>
      <c r="M746" s="559" t="s">
        <v>119</v>
      </c>
      <c r="N746" s="559" t="s">
        <v>119</v>
      </c>
      <c r="O746" s="559" t="s">
        <v>119</v>
      </c>
      <c r="P746" s="554"/>
      <c r="Q746" s="559" t="s">
        <v>119</v>
      </c>
      <c r="R746" s="559" t="s">
        <v>119</v>
      </c>
      <c r="S746" s="559" t="s">
        <v>119</v>
      </c>
      <c r="T746" s="559" t="s">
        <v>119</v>
      </c>
      <c r="U746" s="554"/>
      <c r="V746" s="471" t="str">
        <f ca="1">"NPC available after both "&amp;语言!$A$37&amp;" &amp; "&amp;语言!$A$41&amp;" chapter 4
Moves to "&amp;语言!$A$459&amp;" ("&amp;语言!$A$457&amp;") after quest:
"&amp;支线!$C$56</f>
        <v>NPC available after both 特蕾莎 &amp; 泰里翁 chapter 4
Moves to 柏达弗尔 -宅邸前- (柏达弗尔) after quest:
寇蒂莉亚与诺雅，在那之后</v>
      </c>
      <c r="W746" s="168"/>
    </row>
    <row r="747" spans="1:23" ht="12.75" x14ac:dyDescent="0.2">
      <c r="A747" s="168"/>
      <c r="B747" s="371"/>
      <c r="C747" s="168" t="b">
        <v>0</v>
      </c>
      <c r="D747" s="40" t="str">
        <f ca="1">道具!$C$48</f>
        <v>暗之精灵石（特大）</v>
      </c>
      <c r="E747" s="371"/>
      <c r="F747" s="371"/>
      <c r="G747" s="371"/>
      <c r="H747" s="371"/>
      <c r="I747" s="371"/>
      <c r="J747" s="371"/>
      <c r="K747" s="371"/>
      <c r="L747" s="371"/>
      <c r="M747" s="371"/>
      <c r="N747" s="371"/>
      <c r="O747" s="371"/>
      <c r="P747" s="371"/>
      <c r="Q747" s="371"/>
      <c r="R747" s="371"/>
      <c r="S747" s="371"/>
      <c r="T747" s="371"/>
      <c r="U747" s="371"/>
      <c r="V747" s="371"/>
      <c r="W747" s="168"/>
    </row>
    <row r="748" spans="1:23" ht="12.75" x14ac:dyDescent="0.2">
      <c r="A748" s="168"/>
      <c r="B748" s="555"/>
      <c r="C748" s="171" t="b">
        <v>0</v>
      </c>
      <c r="D748" s="172" t="str">
        <f ca="1">道具!$C$120</f>
        <v>放了银块的皮袋</v>
      </c>
      <c r="E748" s="555"/>
      <c r="F748" s="555"/>
      <c r="G748" s="555"/>
      <c r="H748" s="555"/>
      <c r="I748" s="555"/>
      <c r="J748" s="555"/>
      <c r="K748" s="555"/>
      <c r="L748" s="555"/>
      <c r="M748" s="555"/>
      <c r="N748" s="555"/>
      <c r="O748" s="555"/>
      <c r="P748" s="555"/>
      <c r="Q748" s="555"/>
      <c r="R748" s="555"/>
      <c r="S748" s="555"/>
      <c r="T748" s="555"/>
      <c r="U748" s="555"/>
      <c r="V748" s="555"/>
      <c r="W748" s="168"/>
    </row>
    <row r="749" spans="1:23" ht="12.75" x14ac:dyDescent="0.2">
      <c r="A749" s="168"/>
      <c r="B749" s="172" t="str">
        <f ca="1">语言!$A$2004</f>
        <v>诺雅</v>
      </c>
      <c r="C749" s="171" t="b">
        <v>0</v>
      </c>
      <c r="D749" s="172" t="str">
        <f ca="1">道具!$C$534</f>
        <v>超含毒的素材</v>
      </c>
      <c r="E749" s="171" t="b">
        <v>0</v>
      </c>
      <c r="F749" s="173" t="str">
        <f ca="1">语言!$A$23</f>
        <v>无</v>
      </c>
      <c r="G749" s="171"/>
      <c r="H749" s="179" t="s">
        <v>119</v>
      </c>
      <c r="I749" s="179" t="s">
        <v>119</v>
      </c>
      <c r="J749" s="179" t="s">
        <v>119</v>
      </c>
      <c r="K749" s="179" t="s">
        <v>119</v>
      </c>
      <c r="L749" s="179" t="s">
        <v>119</v>
      </c>
      <c r="M749" s="179" t="s">
        <v>119</v>
      </c>
      <c r="N749" s="179" t="s">
        <v>119</v>
      </c>
      <c r="O749" s="179" t="s">
        <v>119</v>
      </c>
      <c r="P749" s="171"/>
      <c r="Q749" s="179" t="s">
        <v>119</v>
      </c>
      <c r="R749" s="179" t="s">
        <v>119</v>
      </c>
      <c r="S749" s="179" t="s">
        <v>119</v>
      </c>
      <c r="T749" s="179" t="s">
        <v>119</v>
      </c>
      <c r="U749" s="171"/>
      <c r="V749" s="173" t="str">
        <f ca="1">"NPC available after quest: "&amp;支线!$C$56</f>
        <v>NPC available after quest: 寇蒂莉亚与诺雅，在那之后</v>
      </c>
      <c r="W749" s="168"/>
    </row>
    <row r="750" spans="1:23" ht="12.75" x14ac:dyDescent="0.2">
      <c r="A750" s="168"/>
      <c r="B750" s="472" t="str">
        <f ca="1">语言!$A$1975</f>
        <v>商人</v>
      </c>
      <c r="C750" s="168" t="b">
        <v>0</v>
      </c>
      <c r="D750" s="40" t="str">
        <f ca="1">道具!$C$148</f>
        <v>天使军刀</v>
      </c>
      <c r="E750" s="554" t="b">
        <v>0</v>
      </c>
      <c r="F750" s="471" t="str">
        <f ca="1">语言!$A$23</f>
        <v>无</v>
      </c>
      <c r="G750" s="554" t="b">
        <v>0</v>
      </c>
      <c r="H750" s="556" t="s">
        <v>57</v>
      </c>
      <c r="I750" s="471">
        <v>3</v>
      </c>
      <c r="J750" s="471"/>
      <c r="K750" s="471"/>
      <c r="L750" s="471"/>
      <c r="M750" s="471"/>
      <c r="N750" s="471"/>
      <c r="O750" s="471" t="str">
        <f ca="1">道具!$C$16</f>
        <v>复活的橄榄（大）</v>
      </c>
      <c r="P750" s="554"/>
      <c r="Q750" s="556" t="s">
        <v>57</v>
      </c>
      <c r="R750" s="38"/>
      <c r="S750" s="38" t="str">
        <f ca="1">Summon!$I$147</f>
        <v>混乱药</v>
      </c>
      <c r="T750" s="556">
        <v>8</v>
      </c>
      <c r="U750" s="554"/>
      <c r="V750" s="471"/>
      <c r="W750" s="168"/>
    </row>
    <row r="751" spans="1:23" ht="12.75" x14ac:dyDescent="0.2">
      <c r="A751" s="168"/>
      <c r="B751" s="371"/>
      <c r="C751" s="168" t="b">
        <v>0</v>
      </c>
      <c r="D751" s="40" t="str">
        <f ca="1">道具!$C$368</f>
        <v>帝国头盔</v>
      </c>
      <c r="E751" s="371"/>
      <c r="F751" s="371"/>
      <c r="G751" s="371"/>
      <c r="H751" s="371"/>
      <c r="I751" s="371"/>
      <c r="J751" s="371"/>
      <c r="K751" s="371"/>
      <c r="L751" s="371"/>
      <c r="M751" s="371"/>
      <c r="N751" s="371"/>
      <c r="O751" s="371"/>
      <c r="P751" s="371"/>
      <c r="Q751" s="371"/>
      <c r="R751" s="38"/>
      <c r="S751" s="38" t="str">
        <f ca="1">Summon!$I$42</f>
        <v>猛击</v>
      </c>
      <c r="T751" s="371"/>
      <c r="U751" s="371"/>
      <c r="V751" s="371"/>
      <c r="W751" s="168"/>
    </row>
    <row r="752" spans="1:23" ht="12.75" x14ac:dyDescent="0.2">
      <c r="A752" s="168"/>
      <c r="B752" s="371"/>
      <c r="C752" s="168" t="b">
        <v>0</v>
      </c>
      <c r="D752" s="40" t="str">
        <f ca="1">道具!$C$499</f>
        <v>狙击耳环</v>
      </c>
      <c r="E752" s="371"/>
      <c r="F752" s="371"/>
      <c r="G752" s="371"/>
      <c r="H752" s="371"/>
      <c r="I752" s="371"/>
      <c r="J752" s="371"/>
      <c r="K752" s="371"/>
      <c r="L752" s="371"/>
      <c r="M752" s="371"/>
      <c r="N752" s="371"/>
      <c r="O752" s="371"/>
      <c r="P752" s="371"/>
      <c r="Q752" s="371"/>
      <c r="R752" s="173"/>
      <c r="S752" s="38" t="str">
        <f ca="1">Summon!$I$4</f>
        <v>战斗</v>
      </c>
      <c r="T752" s="371"/>
      <c r="U752" s="371"/>
      <c r="V752" s="371"/>
      <c r="W752" s="168"/>
    </row>
    <row r="753" spans="1:23" ht="12.75" x14ac:dyDescent="0.2">
      <c r="A753" s="168"/>
      <c r="B753" s="371"/>
      <c r="C753" s="168" t="b">
        <v>0</v>
      </c>
      <c r="D753" s="40" t="str">
        <f ca="1">道具!$C$493</f>
        <v>灵敏戒指</v>
      </c>
      <c r="E753" s="371"/>
      <c r="F753" s="371"/>
      <c r="G753" s="371"/>
      <c r="H753" s="371"/>
      <c r="I753" s="371"/>
      <c r="J753" s="371"/>
      <c r="K753" s="371"/>
      <c r="L753" s="371"/>
      <c r="M753" s="371"/>
      <c r="N753" s="371"/>
      <c r="O753" s="371"/>
      <c r="P753" s="371"/>
      <c r="Q753" s="371"/>
      <c r="R753" s="38"/>
      <c r="S753" s="38"/>
      <c r="T753" s="371"/>
      <c r="U753" s="371"/>
      <c r="V753" s="371"/>
      <c r="W753" s="168"/>
    </row>
    <row r="754" spans="1:23" ht="12.75" x14ac:dyDescent="0.2">
      <c r="A754" s="168"/>
      <c r="B754" s="555"/>
      <c r="C754" s="171" t="b">
        <v>0</v>
      </c>
      <c r="D754" s="172" t="str">
        <f ca="1">道具!$C$487</f>
        <v>会心手环</v>
      </c>
      <c r="E754" s="555"/>
      <c r="F754" s="555"/>
      <c r="G754" s="555"/>
      <c r="H754" s="555"/>
      <c r="I754" s="555"/>
      <c r="J754" s="555"/>
      <c r="K754" s="555"/>
      <c r="L754" s="555"/>
      <c r="M754" s="555"/>
      <c r="N754" s="555"/>
      <c r="O754" s="555"/>
      <c r="P754" s="555"/>
      <c r="Q754" s="555"/>
      <c r="R754" s="173"/>
      <c r="S754" s="173"/>
      <c r="T754" s="555"/>
      <c r="U754" s="555"/>
      <c r="V754" s="555"/>
      <c r="W754" s="168"/>
    </row>
    <row r="755" spans="1:23" ht="12.75" x14ac:dyDescent="0.2">
      <c r="A755" s="168"/>
      <c r="B755" s="472" t="str">
        <f ca="1">语言!$A$1808</f>
        <v>吹牛的青年</v>
      </c>
      <c r="C755" s="554" t="b">
        <v>0</v>
      </c>
      <c r="D755" s="472" t="str">
        <f ca="1">道具!$C$529</f>
        <v>药的素材（扩散）</v>
      </c>
      <c r="E755" s="554" t="b">
        <v>0</v>
      </c>
      <c r="F755" s="471" t="str">
        <f ca="1">语言!$A$23</f>
        <v>无</v>
      </c>
      <c r="G755" s="554" t="b">
        <v>0</v>
      </c>
      <c r="H755" s="556" t="s">
        <v>57</v>
      </c>
      <c r="I755" s="471">
        <v>3</v>
      </c>
      <c r="J755" s="471"/>
      <c r="K755" s="471"/>
      <c r="L755" s="471"/>
      <c r="M755" s="471"/>
      <c r="N755" s="471"/>
      <c r="O755" s="471" t="str">
        <f ca="1">道具!$C$534</f>
        <v>超含毒的素材</v>
      </c>
      <c r="P755" s="554"/>
      <c r="Q755" s="556" t="s">
        <v>57</v>
      </c>
      <c r="R755" s="38"/>
      <c r="S755" s="38" t="str">
        <f ca="1">Summon!$I$70</f>
        <v>乱射</v>
      </c>
      <c r="T755" s="556">
        <v>8</v>
      </c>
      <c r="U755" s="554"/>
      <c r="V755" s="471"/>
      <c r="W755" s="168"/>
    </row>
    <row r="756" spans="1:23" ht="12.75" x14ac:dyDescent="0.2">
      <c r="A756" s="168"/>
      <c r="B756" s="371"/>
      <c r="C756" s="371"/>
      <c r="D756" s="371"/>
      <c r="E756" s="371"/>
      <c r="F756" s="371"/>
      <c r="G756" s="371"/>
      <c r="H756" s="371"/>
      <c r="I756" s="371"/>
      <c r="J756" s="371"/>
      <c r="K756" s="371"/>
      <c r="L756" s="371"/>
      <c r="M756" s="371"/>
      <c r="N756" s="371"/>
      <c r="O756" s="371"/>
      <c r="P756" s="371"/>
      <c r="Q756" s="371"/>
      <c r="R756" s="38"/>
      <c r="S756" s="38" t="str">
        <f ca="1">Summon!$I$64</f>
        <v>精准射击</v>
      </c>
      <c r="T756" s="371"/>
      <c r="U756" s="371"/>
      <c r="V756" s="371"/>
      <c r="W756" s="168"/>
    </row>
    <row r="757" spans="1:23" ht="12.75" x14ac:dyDescent="0.2">
      <c r="A757" s="168"/>
      <c r="B757" s="555"/>
      <c r="C757" s="555"/>
      <c r="D757" s="555"/>
      <c r="E757" s="555"/>
      <c r="F757" s="555"/>
      <c r="G757" s="555"/>
      <c r="H757" s="555"/>
      <c r="I757" s="555"/>
      <c r="J757" s="555"/>
      <c r="K757" s="555"/>
      <c r="L757" s="555"/>
      <c r="M757" s="555"/>
      <c r="N757" s="555"/>
      <c r="O757" s="555"/>
      <c r="P757" s="555"/>
      <c r="Q757" s="555"/>
      <c r="R757" s="173"/>
      <c r="S757" s="173" t="str">
        <f ca="1">Summon!$I$4</f>
        <v>战斗</v>
      </c>
      <c r="T757" s="555"/>
      <c r="U757" s="555"/>
      <c r="V757" s="555"/>
      <c r="W757" s="168"/>
    </row>
    <row r="758" spans="1:23" ht="12.75" x14ac:dyDescent="0.2">
      <c r="A758" s="168"/>
      <c r="B758" s="472" t="str">
        <f ca="1">语言!$A$2102</f>
        <v>市民</v>
      </c>
      <c r="C758" s="168" t="b">
        <v>0</v>
      </c>
      <c r="D758" s="40" t="str">
        <f ca="1">道具!$C$532</f>
        <v>含毒的素材</v>
      </c>
      <c r="E758" s="554" t="b">
        <v>0</v>
      </c>
      <c r="F758" s="471" t="str">
        <f ca="1">语言!$A$33&amp;"
"&amp;道具!$C$533</f>
        <v>隐藏道具的资讯
含毒的素材（扩散）</v>
      </c>
      <c r="G758" s="554" t="b">
        <v>0</v>
      </c>
      <c r="H758" s="556" t="s">
        <v>47</v>
      </c>
      <c r="I758" s="471">
        <v>4</v>
      </c>
      <c r="J758" s="471"/>
      <c r="K758" s="471"/>
      <c r="L758" s="471"/>
      <c r="M758" s="471"/>
      <c r="N758" s="471"/>
      <c r="O758" s="471" t="str">
        <f ca="1">道具!$C$363</f>
        <v>白金头盔</v>
      </c>
      <c r="P758" s="554"/>
      <c r="Q758" s="559" t="s">
        <v>119</v>
      </c>
      <c r="R758" s="559" t="s">
        <v>119</v>
      </c>
      <c r="S758" s="559" t="s">
        <v>119</v>
      </c>
      <c r="T758" s="559" t="s">
        <v>119</v>
      </c>
      <c r="U758" s="554"/>
      <c r="V758" s="471"/>
      <c r="W758" s="168"/>
    </row>
    <row r="759" spans="1:23" ht="12.75" x14ac:dyDescent="0.2">
      <c r="A759" s="168"/>
      <c r="B759" s="371"/>
      <c r="C759" s="168" t="b">
        <v>0</v>
      </c>
      <c r="D759" s="40" t="str">
        <f ca="1">道具!$C$533</f>
        <v>含毒的素材（扩散）</v>
      </c>
      <c r="E759" s="371"/>
      <c r="F759" s="371"/>
      <c r="G759" s="371"/>
      <c r="H759" s="371"/>
      <c r="I759" s="371"/>
      <c r="J759" s="371"/>
      <c r="K759" s="371"/>
      <c r="L759" s="371"/>
      <c r="M759" s="371"/>
      <c r="N759" s="371"/>
      <c r="O759" s="371"/>
      <c r="P759" s="371"/>
      <c r="Q759" s="371"/>
      <c r="R759" s="371"/>
      <c r="S759" s="371"/>
      <c r="T759" s="371"/>
      <c r="U759" s="371"/>
      <c r="V759" s="371"/>
      <c r="W759" s="168"/>
    </row>
    <row r="760" spans="1:23" ht="12.75" x14ac:dyDescent="0.2">
      <c r="A760" s="168"/>
      <c r="B760" s="555"/>
      <c r="C760" s="171" t="b">
        <v>0</v>
      </c>
      <c r="D760" s="172" t="str">
        <f ca="1">道具!$C$537</f>
        <v>毒利米树之叶</v>
      </c>
      <c r="E760" s="555"/>
      <c r="F760" s="555"/>
      <c r="G760" s="555"/>
      <c r="H760" s="555"/>
      <c r="I760" s="555"/>
      <c r="J760" s="555"/>
      <c r="K760" s="555"/>
      <c r="L760" s="555"/>
      <c r="M760" s="555"/>
      <c r="N760" s="555"/>
      <c r="O760" s="555"/>
      <c r="P760" s="555"/>
      <c r="Q760" s="555"/>
      <c r="R760" s="555"/>
      <c r="S760" s="555"/>
      <c r="T760" s="555"/>
      <c r="U760" s="555"/>
      <c r="V760" s="555"/>
      <c r="W760" s="168"/>
    </row>
    <row r="761" spans="1:23" ht="12.75" x14ac:dyDescent="0.2">
      <c r="A761" s="168"/>
      <c r="B761" s="472" t="str">
        <f ca="1">语言!$A$1854</f>
        <v>老婆婆</v>
      </c>
      <c r="C761" s="168" t="b">
        <v>0</v>
      </c>
      <c r="D761" s="40" t="str">
        <f ca="1">道具!$C$507</f>
        <v>冰冻避邪符</v>
      </c>
      <c r="E761" s="554" t="b">
        <v>0</v>
      </c>
      <c r="F761" s="471" t="str">
        <f ca="1">语言!$A$26</f>
        <v>「偷取」成功机率ＵＰ资讯</v>
      </c>
      <c r="G761" s="554" t="b">
        <v>0</v>
      </c>
      <c r="H761" s="556" t="s">
        <v>57</v>
      </c>
      <c r="I761" s="471">
        <v>3</v>
      </c>
      <c r="J761" s="471"/>
      <c r="K761" s="471"/>
      <c r="L761" s="471"/>
      <c r="M761" s="471"/>
      <c r="N761" s="471"/>
      <c r="O761" s="471" t="str">
        <f ca="1">道具!$C$4</f>
        <v>ＨＰ恢复的葡萄（大）</v>
      </c>
      <c r="P761" s="554"/>
      <c r="Q761" s="556" t="s">
        <v>57</v>
      </c>
      <c r="R761" s="38"/>
      <c r="S761" s="38" t="str">
        <f ca="1">Summon!$I$91</f>
        <v>大雷击魔法</v>
      </c>
      <c r="T761" s="556">
        <v>8</v>
      </c>
      <c r="U761" s="554"/>
      <c r="V761" s="471" t="str">
        <f ca="1">"Behind other NPC ("&amp;语言!$A$47&amp;" / "&amp;语言!$A$51&amp;")"</f>
        <v>Behind other NPC (比试 / 唆使)</v>
      </c>
      <c r="W761" s="168"/>
    </row>
    <row r="762" spans="1:23" ht="12.75" x14ac:dyDescent="0.2">
      <c r="A762" s="168"/>
      <c r="B762" s="371"/>
      <c r="C762" s="168" t="b">
        <v>0</v>
      </c>
      <c r="D762" s="40" t="str">
        <f ca="1">道具!$C$480</f>
        <v>体力手环</v>
      </c>
      <c r="E762" s="371"/>
      <c r="F762" s="371"/>
      <c r="G762" s="371"/>
      <c r="H762" s="371"/>
      <c r="I762" s="371"/>
      <c r="J762" s="371"/>
      <c r="K762" s="371"/>
      <c r="L762" s="371"/>
      <c r="M762" s="371"/>
      <c r="N762" s="371"/>
      <c r="O762" s="371"/>
      <c r="P762" s="371"/>
      <c r="Q762" s="371"/>
      <c r="R762" s="38"/>
      <c r="S762" s="38" t="str">
        <f ca="1">Summon!$I$90</f>
        <v>雷击魔法</v>
      </c>
      <c r="T762" s="371"/>
      <c r="U762" s="371"/>
      <c r="V762" s="371"/>
      <c r="W762" s="168"/>
    </row>
    <row r="763" spans="1:23" ht="12.75" x14ac:dyDescent="0.2">
      <c r="A763" s="168"/>
      <c r="B763" s="371"/>
      <c r="C763" s="168" t="b">
        <v>0</v>
      </c>
      <c r="D763" s="40" t="str">
        <f ca="1">道具!$C$484</f>
        <v>狙击手环</v>
      </c>
      <c r="E763" s="371"/>
      <c r="F763" s="371"/>
      <c r="G763" s="371"/>
      <c r="H763" s="371"/>
      <c r="I763" s="371"/>
      <c r="J763" s="371"/>
      <c r="K763" s="371"/>
      <c r="L763" s="371"/>
      <c r="M763" s="371"/>
      <c r="N763" s="371"/>
      <c r="O763" s="371"/>
      <c r="P763" s="371"/>
      <c r="Q763" s="371"/>
      <c r="R763" s="173"/>
      <c r="S763" s="38" t="str">
        <f ca="1">Summon!$I$4</f>
        <v>战斗</v>
      </c>
      <c r="T763" s="371"/>
      <c r="U763" s="371"/>
      <c r="V763" s="371"/>
      <c r="W763" s="168"/>
    </row>
    <row r="764" spans="1:23" ht="12.75" x14ac:dyDescent="0.2">
      <c r="A764" s="168"/>
      <c r="B764" s="371"/>
      <c r="C764" s="168" t="b">
        <v>0</v>
      </c>
      <c r="D764" s="40" t="str">
        <f ca="1">道具!$C$489</f>
        <v>精神戒指</v>
      </c>
      <c r="E764" s="371"/>
      <c r="F764" s="371"/>
      <c r="G764" s="371"/>
      <c r="H764" s="371"/>
      <c r="I764" s="371"/>
      <c r="J764" s="371"/>
      <c r="K764" s="371"/>
      <c r="L764" s="371"/>
      <c r="M764" s="371"/>
      <c r="N764" s="371"/>
      <c r="O764" s="371"/>
      <c r="P764" s="371"/>
      <c r="Q764" s="371"/>
      <c r="R764" s="38"/>
      <c r="S764" s="38"/>
      <c r="T764" s="371"/>
      <c r="U764" s="371"/>
      <c r="V764" s="371"/>
      <c r="W764" s="168"/>
    </row>
    <row r="765" spans="1:23" ht="12.75" x14ac:dyDescent="0.2">
      <c r="A765" s="168"/>
      <c r="B765" s="555"/>
      <c r="C765" s="171" t="b">
        <v>0</v>
      </c>
      <c r="D765" s="172" t="str">
        <f ca="1">道具!$C$502</f>
        <v>会心耳环</v>
      </c>
      <c r="E765" s="555"/>
      <c r="F765" s="555"/>
      <c r="G765" s="555"/>
      <c r="H765" s="555"/>
      <c r="I765" s="555"/>
      <c r="J765" s="555"/>
      <c r="K765" s="555"/>
      <c r="L765" s="555"/>
      <c r="M765" s="555"/>
      <c r="N765" s="555"/>
      <c r="O765" s="555"/>
      <c r="P765" s="555"/>
      <c r="Q765" s="555"/>
      <c r="R765" s="173"/>
      <c r="S765" s="173"/>
      <c r="T765" s="555"/>
      <c r="U765" s="555"/>
      <c r="V765" s="555"/>
      <c r="W765" s="168"/>
    </row>
    <row r="766" spans="1:23" ht="12.75" x14ac:dyDescent="0.2">
      <c r="A766" s="168"/>
      <c r="B766" s="472" t="str">
        <f ca="1">语言!$A$2090</f>
        <v>招牌女招待</v>
      </c>
      <c r="C766" s="168" t="b">
        <v>0</v>
      </c>
      <c r="D766" s="40" t="str">
        <f ca="1">道具!$C$5</f>
        <v>ＨＰ全体恢复的葡萄</v>
      </c>
      <c r="E766" s="554" t="b">
        <v>0</v>
      </c>
      <c r="F766" s="471" t="str">
        <f ca="1">语言!$A$23</f>
        <v>无</v>
      </c>
      <c r="G766" s="554" t="b">
        <v>0</v>
      </c>
      <c r="H766" s="556" t="s">
        <v>48</v>
      </c>
      <c r="I766" s="471">
        <v>2</v>
      </c>
      <c r="J766" s="471"/>
      <c r="K766" s="471"/>
      <c r="L766" s="471"/>
      <c r="M766" s="471"/>
      <c r="N766" s="471"/>
      <c r="O766" s="471" t="str">
        <f ca="1">道具!$C$16</f>
        <v>复活的橄榄（大）</v>
      </c>
      <c r="P766" s="554"/>
      <c r="Q766" s="556" t="s">
        <v>48</v>
      </c>
      <c r="R766" s="38"/>
      <c r="S766" s="38" t="str">
        <f ca="1">Summon!$I$64</f>
        <v>精准射击</v>
      </c>
      <c r="T766" s="556">
        <v>9</v>
      </c>
      <c r="U766" s="554"/>
      <c r="V766" s="471"/>
      <c r="W766" s="168"/>
    </row>
    <row r="767" spans="1:23" ht="12.75" x14ac:dyDescent="0.2">
      <c r="A767" s="168"/>
      <c r="B767" s="555"/>
      <c r="C767" s="171" t="b">
        <v>0</v>
      </c>
      <c r="D767" s="172" t="str">
        <f ca="1">道具!$C$16</f>
        <v>复活的橄榄（大）</v>
      </c>
      <c r="E767" s="555"/>
      <c r="F767" s="555"/>
      <c r="G767" s="555"/>
      <c r="H767" s="555"/>
      <c r="I767" s="555"/>
      <c r="J767" s="555"/>
      <c r="K767" s="555"/>
      <c r="L767" s="555"/>
      <c r="M767" s="555"/>
      <c r="N767" s="555"/>
      <c r="O767" s="555"/>
      <c r="P767" s="555"/>
      <c r="Q767" s="555"/>
      <c r="R767" s="173"/>
      <c r="S767" s="173" t="str">
        <f ca="1">Summon!$I$4</f>
        <v>战斗</v>
      </c>
      <c r="T767" s="555"/>
      <c r="U767" s="555"/>
      <c r="V767" s="555"/>
      <c r="W767" s="168"/>
    </row>
    <row r="768" spans="1:23" ht="12.75" x14ac:dyDescent="0.2">
      <c r="A768" s="168"/>
      <c r="B768" s="472" t="str">
        <f ca="1">语言!$A$1977</f>
        <v>酒馆的老爹</v>
      </c>
      <c r="C768" s="554" t="b">
        <v>0</v>
      </c>
      <c r="D768" s="472" t="str">
        <f ca="1">道具!$C$536</f>
        <v>超含毒的素材（扩散）</v>
      </c>
      <c r="E768" s="554" t="b">
        <v>0</v>
      </c>
      <c r="F768" s="471" t="str">
        <f ca="1">语言!$A$23</f>
        <v>无</v>
      </c>
      <c r="G768" s="554" t="b">
        <v>0</v>
      </c>
      <c r="H768" s="556" t="s">
        <v>57</v>
      </c>
      <c r="I768" s="471">
        <v>3</v>
      </c>
      <c r="J768" s="471"/>
      <c r="K768" s="471"/>
      <c r="L768" s="471"/>
      <c r="M768" s="471"/>
      <c r="N768" s="471"/>
      <c r="O768" s="471" t="str">
        <f ca="1">道具!$C$530</f>
        <v>秘药的素材</v>
      </c>
      <c r="P768" s="554"/>
      <c r="Q768" s="556" t="s">
        <v>57</v>
      </c>
      <c r="R768" s="38"/>
      <c r="S768" s="38" t="str">
        <f ca="1">Summon!$I$61</f>
        <v>全力斩击</v>
      </c>
      <c r="T768" s="556">
        <v>8</v>
      </c>
      <c r="U768" s="554"/>
      <c r="V768" s="471"/>
      <c r="W768" s="168"/>
    </row>
    <row r="769" spans="1:23" ht="12.75" x14ac:dyDescent="0.2">
      <c r="A769" s="168"/>
      <c r="B769" s="371"/>
      <c r="C769" s="371"/>
      <c r="D769" s="371"/>
      <c r="E769" s="371"/>
      <c r="F769" s="371"/>
      <c r="G769" s="371"/>
      <c r="H769" s="371"/>
      <c r="I769" s="371"/>
      <c r="J769" s="371"/>
      <c r="K769" s="371"/>
      <c r="L769" s="371"/>
      <c r="M769" s="371"/>
      <c r="N769" s="371"/>
      <c r="O769" s="371"/>
      <c r="P769" s="371"/>
      <c r="Q769" s="371"/>
      <c r="R769" s="38"/>
      <c r="S769" s="38" t="str">
        <f ca="1">Summon!$I$52</f>
        <v>重拳</v>
      </c>
      <c r="T769" s="371"/>
      <c r="U769" s="371"/>
      <c r="V769" s="371"/>
      <c r="W769" s="168"/>
    </row>
    <row r="770" spans="1:23" ht="12.75" x14ac:dyDescent="0.2">
      <c r="A770" s="168"/>
      <c r="B770" s="555"/>
      <c r="C770" s="555"/>
      <c r="D770" s="555"/>
      <c r="E770" s="555"/>
      <c r="F770" s="555"/>
      <c r="G770" s="555"/>
      <c r="H770" s="555"/>
      <c r="I770" s="555"/>
      <c r="J770" s="555"/>
      <c r="K770" s="555"/>
      <c r="L770" s="555"/>
      <c r="M770" s="555"/>
      <c r="N770" s="555"/>
      <c r="O770" s="555"/>
      <c r="P770" s="555"/>
      <c r="Q770" s="555"/>
      <c r="R770" s="173"/>
      <c r="S770" s="173" t="str">
        <f ca="1">Summon!$I$4</f>
        <v>战斗</v>
      </c>
      <c r="T770" s="555"/>
      <c r="U770" s="555"/>
      <c r="V770" s="555"/>
      <c r="W770" s="168"/>
    </row>
    <row r="771" spans="1:23" ht="12.75" x14ac:dyDescent="0.2">
      <c r="A771" s="168"/>
      <c r="B771" s="472" t="str">
        <f ca="1">语言!$A$1975</f>
        <v>商人</v>
      </c>
      <c r="C771" s="168" t="b">
        <v>0</v>
      </c>
      <c r="D771" s="40" t="str">
        <f ca="1">道具!$C$50</f>
        <v>增强ＨＰ的坚果（大）</v>
      </c>
      <c r="E771" s="554" t="b">
        <v>0</v>
      </c>
      <c r="F771" s="471" t="str">
        <f ca="1">语言!$A$23</f>
        <v>无</v>
      </c>
      <c r="G771" s="554" t="b">
        <v>0</v>
      </c>
      <c r="H771" s="556" t="s">
        <v>48</v>
      </c>
      <c r="I771" s="471">
        <v>2</v>
      </c>
      <c r="J771" s="471"/>
      <c r="K771" s="471"/>
      <c r="L771" s="471"/>
      <c r="M771" s="471"/>
      <c r="N771" s="471"/>
      <c r="O771" s="471" t="str">
        <f ca="1">道具!$C$4</f>
        <v>ＨＰ恢复的葡萄（大）</v>
      </c>
      <c r="P771" s="554"/>
      <c r="Q771" s="556" t="s">
        <v>48</v>
      </c>
      <c r="R771" s="471"/>
      <c r="S771" s="471" t="str">
        <f ca="1">Summon!$I$42</f>
        <v>猛击</v>
      </c>
      <c r="T771" s="556">
        <v>9</v>
      </c>
      <c r="U771" s="554"/>
      <c r="V771" s="471"/>
      <c r="W771" s="168"/>
    </row>
    <row r="772" spans="1:23" ht="12.75" x14ac:dyDescent="0.2">
      <c r="A772" s="168"/>
      <c r="B772" s="371"/>
      <c r="C772" s="168" t="b">
        <v>0</v>
      </c>
      <c r="D772" s="40" t="str">
        <f ca="1">道具!$C$57</f>
        <v>增强物攻的坚果（大）</v>
      </c>
      <c r="E772" s="371"/>
      <c r="F772" s="371"/>
      <c r="G772" s="371"/>
      <c r="H772" s="371"/>
      <c r="I772" s="371"/>
      <c r="J772" s="371"/>
      <c r="K772" s="371"/>
      <c r="L772" s="371"/>
      <c r="M772" s="371"/>
      <c r="N772" s="371"/>
      <c r="O772" s="371"/>
      <c r="P772" s="371"/>
      <c r="Q772" s="371"/>
      <c r="R772" s="371"/>
      <c r="S772" s="371"/>
      <c r="T772" s="371"/>
      <c r="U772" s="371"/>
      <c r="V772" s="371"/>
      <c r="W772" s="168"/>
    </row>
    <row r="773" spans="1:23" ht="12.75" x14ac:dyDescent="0.2">
      <c r="A773" s="168"/>
      <c r="B773" s="371"/>
      <c r="C773" s="168" t="b">
        <v>0</v>
      </c>
      <c r="D773" s="40" t="str">
        <f ca="1">道具!$C$63</f>
        <v>增强属攻的坚果（大）</v>
      </c>
      <c r="E773" s="371"/>
      <c r="F773" s="371"/>
      <c r="G773" s="371"/>
      <c r="H773" s="371"/>
      <c r="I773" s="371"/>
      <c r="J773" s="371"/>
      <c r="K773" s="371"/>
      <c r="L773" s="371"/>
      <c r="M773" s="371"/>
      <c r="N773" s="371"/>
      <c r="O773" s="371"/>
      <c r="P773" s="371"/>
      <c r="Q773" s="371"/>
      <c r="R773" s="471"/>
      <c r="S773" s="471" t="str">
        <f ca="1">Summon!$I$4</f>
        <v>战斗</v>
      </c>
      <c r="T773" s="371"/>
      <c r="U773" s="371"/>
      <c r="V773" s="371"/>
      <c r="W773" s="168"/>
    </row>
    <row r="774" spans="1:23" ht="12.75" x14ac:dyDescent="0.2">
      <c r="A774" s="168"/>
      <c r="B774" s="371"/>
      <c r="C774" s="168" t="b">
        <v>0</v>
      </c>
      <c r="D774" s="40" t="str">
        <f ca="1">道具!$C$73</f>
        <v>增强回避的坚果（大）</v>
      </c>
      <c r="E774" s="371"/>
      <c r="F774" s="371"/>
      <c r="G774" s="371"/>
      <c r="H774" s="371"/>
      <c r="I774" s="371"/>
      <c r="J774" s="371"/>
      <c r="K774" s="371"/>
      <c r="L774" s="371"/>
      <c r="M774" s="371"/>
      <c r="N774" s="371"/>
      <c r="O774" s="371"/>
      <c r="P774" s="371"/>
      <c r="Q774" s="371"/>
      <c r="R774" s="371"/>
      <c r="S774" s="371"/>
      <c r="T774" s="371"/>
      <c r="U774" s="371"/>
      <c r="V774" s="371"/>
      <c r="W774" s="168"/>
    </row>
    <row r="775" spans="1:23" ht="12.75" x14ac:dyDescent="0.2">
      <c r="A775" s="168"/>
      <c r="B775" s="555"/>
      <c r="C775" s="171" t="b">
        <v>0</v>
      </c>
      <c r="D775" s="172" t="str">
        <f ca="1">道具!$C$79</f>
        <v>增强速度的坚果（大）</v>
      </c>
      <c r="E775" s="555"/>
      <c r="F775" s="555"/>
      <c r="G775" s="555"/>
      <c r="H775" s="555"/>
      <c r="I775" s="555"/>
      <c r="J775" s="555"/>
      <c r="K775" s="555"/>
      <c r="L775" s="555"/>
      <c r="M775" s="555"/>
      <c r="N775" s="555"/>
      <c r="O775" s="555"/>
      <c r="P775" s="555"/>
      <c r="Q775" s="555"/>
      <c r="R775" s="173"/>
      <c r="S775" s="173"/>
      <c r="T775" s="555"/>
      <c r="U775" s="555"/>
      <c r="V775" s="555"/>
      <c r="W775" s="168"/>
    </row>
    <row r="776" spans="1:23" ht="12.75" x14ac:dyDescent="0.2">
      <c r="A776" s="168"/>
      <c r="B776" s="472" t="str">
        <f ca="1">语言!$A$1829</f>
        <v>神官</v>
      </c>
      <c r="C776" s="554" t="b">
        <v>0</v>
      </c>
      <c r="D776" s="472" t="str">
        <f ca="1">道具!$C$16</f>
        <v>复活的橄榄（大）</v>
      </c>
      <c r="E776" s="554" t="b">
        <v>0</v>
      </c>
      <c r="F776" s="471" t="str">
        <f ca="1">语言!$A$33&amp;"
"&amp;道具!$C$95</f>
        <v>隐藏道具的资讯
钱包</v>
      </c>
      <c r="G776" s="554" t="b">
        <v>0</v>
      </c>
      <c r="H776" s="556" t="s">
        <v>50</v>
      </c>
      <c r="I776" s="471">
        <v>4</v>
      </c>
      <c r="J776" s="471"/>
      <c r="K776" s="471"/>
      <c r="L776" s="471"/>
      <c r="M776" s="471"/>
      <c r="N776" s="471"/>
      <c r="O776" s="471" t="str">
        <f ca="1">道具!$C$432</f>
        <v>元素长袍</v>
      </c>
      <c r="P776" s="554"/>
      <c r="Q776" s="556" t="s">
        <v>50</v>
      </c>
      <c r="R776" s="38"/>
      <c r="S776" s="38" t="str">
        <f ca="1">Summon!$I$31</f>
        <v>要害突刺</v>
      </c>
      <c r="T776" s="556">
        <v>7</v>
      </c>
      <c r="U776" s="554"/>
      <c r="V776" s="471"/>
      <c r="W776" s="168"/>
    </row>
    <row r="777" spans="1:23" ht="12.75" x14ac:dyDescent="0.2">
      <c r="A777" s="168"/>
      <c r="B777" s="371"/>
      <c r="C777" s="371"/>
      <c r="D777" s="371"/>
      <c r="E777" s="371"/>
      <c r="F777" s="371"/>
      <c r="G777" s="371"/>
      <c r="H777" s="371"/>
      <c r="I777" s="371"/>
      <c r="J777" s="371"/>
      <c r="K777" s="371"/>
      <c r="L777" s="371"/>
      <c r="M777" s="371"/>
      <c r="N777" s="371"/>
      <c r="O777" s="371"/>
      <c r="P777" s="371"/>
      <c r="Q777" s="371"/>
      <c r="R777" s="38"/>
      <c r="S777" s="38" t="str">
        <f ca="1">Summon!$I$40</f>
        <v>乱挥</v>
      </c>
      <c r="T777" s="371"/>
      <c r="U777" s="371"/>
      <c r="V777" s="371"/>
      <c r="W777" s="168"/>
    </row>
    <row r="778" spans="1:23" ht="12.75" x14ac:dyDescent="0.2">
      <c r="A778" s="168"/>
      <c r="B778" s="555"/>
      <c r="C778" s="555"/>
      <c r="D778" s="555"/>
      <c r="E778" s="555"/>
      <c r="F778" s="555"/>
      <c r="G778" s="555"/>
      <c r="H778" s="555"/>
      <c r="I778" s="555"/>
      <c r="J778" s="555"/>
      <c r="K778" s="555"/>
      <c r="L778" s="555"/>
      <c r="M778" s="555"/>
      <c r="N778" s="555"/>
      <c r="O778" s="555"/>
      <c r="P778" s="555"/>
      <c r="Q778" s="555"/>
      <c r="R778" s="173"/>
      <c r="S778" s="173" t="str">
        <f ca="1">Summon!$I$4</f>
        <v>战斗</v>
      </c>
      <c r="T778" s="555"/>
      <c r="U778" s="555"/>
      <c r="V778" s="555"/>
      <c r="W778" s="168"/>
    </row>
    <row r="779" spans="1:23" ht="12.75" x14ac:dyDescent="0.2">
      <c r="A779" s="168"/>
      <c r="B779" s="472" t="str">
        <f ca="1">语言!$A$2102</f>
        <v>市民</v>
      </c>
      <c r="C779" s="554" t="b">
        <v>0</v>
      </c>
      <c r="D779" s="472" t="str">
        <f ca="1">道具!$C$120</f>
        <v>放了银块的皮袋</v>
      </c>
      <c r="E779" s="554" t="b">
        <v>0</v>
      </c>
      <c r="F779" s="471" t="str">
        <f ca="1">语言!$A$23</f>
        <v>无</v>
      </c>
      <c r="G779" s="554" t="b">
        <v>0</v>
      </c>
      <c r="H779" s="556" t="s">
        <v>48</v>
      </c>
      <c r="I779" s="471">
        <v>2</v>
      </c>
      <c r="J779" s="471"/>
      <c r="K779" s="471"/>
      <c r="L779" s="471"/>
      <c r="M779" s="471"/>
      <c r="N779" s="471"/>
      <c r="O779" s="471" t="str">
        <f ca="1">道具!$C$4</f>
        <v>ＨＰ恢复的葡萄（大）</v>
      </c>
      <c r="P779" s="554"/>
      <c r="Q779" s="556" t="s">
        <v>48</v>
      </c>
      <c r="R779" s="38"/>
      <c r="S779" s="38" t="str">
        <f ca="1">Summon!$I$6</f>
        <v>斩击</v>
      </c>
      <c r="T779" s="556">
        <v>9</v>
      </c>
      <c r="U779" s="554"/>
      <c r="V779" s="471"/>
      <c r="W779" s="168"/>
    </row>
    <row r="780" spans="1:23" ht="12.75" x14ac:dyDescent="0.2">
      <c r="A780" s="168"/>
      <c r="B780" s="371"/>
      <c r="C780" s="371"/>
      <c r="D780" s="371"/>
      <c r="E780" s="371"/>
      <c r="F780" s="371"/>
      <c r="G780" s="371"/>
      <c r="H780" s="371"/>
      <c r="I780" s="371"/>
      <c r="J780" s="371"/>
      <c r="K780" s="371"/>
      <c r="L780" s="371"/>
      <c r="M780" s="371"/>
      <c r="N780" s="371"/>
      <c r="O780" s="371"/>
      <c r="P780" s="371"/>
      <c r="Q780" s="371"/>
      <c r="R780" s="38"/>
      <c r="S780" s="38" t="str">
        <f ca="1">Summon!$I$4</f>
        <v>战斗</v>
      </c>
      <c r="T780" s="371"/>
      <c r="U780" s="371"/>
      <c r="V780" s="371"/>
      <c r="W780" s="168"/>
    </row>
    <row r="781" spans="1:23" ht="12.75" x14ac:dyDescent="0.2">
      <c r="A781" s="168"/>
      <c r="B781" s="552" t="str">
        <f ca="1">语言!$A$383</f>
        <v>格兰波特 -摊贩街-</v>
      </c>
      <c r="C781" s="371"/>
      <c r="D781" s="371"/>
      <c r="E781" s="371"/>
      <c r="F781" s="371"/>
      <c r="G781" s="371"/>
      <c r="H781" s="371"/>
      <c r="I781" s="371"/>
      <c r="J781" s="371"/>
      <c r="K781" s="371"/>
      <c r="L781" s="371"/>
      <c r="M781" s="371"/>
      <c r="N781" s="371"/>
      <c r="O781" s="371"/>
      <c r="P781" s="371"/>
      <c r="Q781" s="371"/>
      <c r="R781" s="371"/>
      <c r="S781" s="371"/>
      <c r="T781" s="371"/>
      <c r="U781" s="371"/>
      <c r="V781" s="371"/>
      <c r="W781" s="168"/>
    </row>
    <row r="782" spans="1:23" ht="12.75" x14ac:dyDescent="0.2">
      <c r="A782" s="168"/>
      <c r="B782" s="472" t="str">
        <f ca="1">语言!$A$2102</f>
        <v>市民</v>
      </c>
      <c r="C782" s="168" t="b">
        <v>0</v>
      </c>
      <c r="D782" s="40" t="str">
        <f ca="1">道具!$C$290</f>
        <v>神射手的大弓</v>
      </c>
      <c r="E782" s="554" t="b">
        <v>0</v>
      </c>
      <c r="F782" s="471" t="str">
        <f ca="1">语言!$A$28</f>
        <v>武器店商品追加资讯</v>
      </c>
      <c r="G782" s="554" t="b">
        <v>0</v>
      </c>
      <c r="H782" s="556" t="s">
        <v>49</v>
      </c>
      <c r="I782" s="471">
        <v>4</v>
      </c>
      <c r="J782" s="471"/>
      <c r="K782" s="471"/>
      <c r="L782" s="471"/>
      <c r="M782" s="471"/>
      <c r="N782" s="471"/>
      <c r="O782" s="471" t="str">
        <f ca="1">道具!$C$7</f>
        <v>ＳＰ恢复的李子（大）</v>
      </c>
      <c r="P782" s="554"/>
      <c r="Q782" s="556" t="s">
        <v>49</v>
      </c>
      <c r="R782" s="38"/>
      <c r="S782" s="38" t="str">
        <f ca="1">Summon!$I$158</f>
        <v>防御力下降</v>
      </c>
      <c r="T782" s="556">
        <v>7</v>
      </c>
      <c r="U782" s="554"/>
      <c r="V782" s="471"/>
      <c r="W782" s="168"/>
    </row>
    <row r="783" spans="1:23" ht="12.75" x14ac:dyDescent="0.2">
      <c r="A783" s="168"/>
      <c r="B783" s="371"/>
      <c r="C783" s="168" t="b">
        <v>0</v>
      </c>
      <c r="D783" s="40" t="str">
        <f ca="1">道具!$C$81</f>
        <v>增强速度的坚果（特大）</v>
      </c>
      <c r="E783" s="371"/>
      <c r="F783" s="371"/>
      <c r="G783" s="371"/>
      <c r="H783" s="371"/>
      <c r="I783" s="371"/>
      <c r="J783" s="371"/>
      <c r="K783" s="371"/>
      <c r="L783" s="371"/>
      <c r="M783" s="371"/>
      <c r="N783" s="371"/>
      <c r="O783" s="371"/>
      <c r="P783" s="371"/>
      <c r="Q783" s="371"/>
      <c r="R783" s="38"/>
      <c r="S783" s="38" t="str">
        <f ca="1">Summon!$I$70</f>
        <v>乱射</v>
      </c>
      <c r="T783" s="371"/>
      <c r="U783" s="371"/>
      <c r="V783" s="371"/>
      <c r="W783" s="168"/>
    </row>
    <row r="784" spans="1:23" ht="12.75" x14ac:dyDescent="0.2">
      <c r="A784" s="168"/>
      <c r="B784" s="555"/>
      <c r="C784" s="171"/>
      <c r="D784" s="172"/>
      <c r="E784" s="555"/>
      <c r="F784" s="555"/>
      <c r="G784" s="555"/>
      <c r="H784" s="555"/>
      <c r="I784" s="555"/>
      <c r="J784" s="555"/>
      <c r="K784" s="555"/>
      <c r="L784" s="555"/>
      <c r="M784" s="555"/>
      <c r="N784" s="555"/>
      <c r="O784" s="555"/>
      <c r="P784" s="555"/>
      <c r="Q784" s="555"/>
      <c r="R784" s="173"/>
      <c r="S784" s="173" t="str">
        <f ca="1">Summon!$I$4</f>
        <v>战斗</v>
      </c>
      <c r="T784" s="555"/>
      <c r="U784" s="555"/>
      <c r="V784" s="555"/>
      <c r="W784" s="168"/>
    </row>
    <row r="785" spans="1:23" ht="12.75" x14ac:dyDescent="0.2">
      <c r="A785" s="168"/>
      <c r="B785" s="472" t="str">
        <f ca="1">语言!$A$1798</f>
        <v>路边摊的客人</v>
      </c>
      <c r="C785" s="168" t="b">
        <v>0</v>
      </c>
      <c r="D785" s="40" t="str">
        <f ca="1">道具!$C$88</f>
        <v>种子</v>
      </c>
      <c r="E785" s="554" t="b">
        <v>0</v>
      </c>
      <c r="F785" s="471" t="str">
        <f ca="1">语言!$A$23</f>
        <v>无</v>
      </c>
      <c r="G785" s="554" t="b">
        <v>0</v>
      </c>
      <c r="H785" s="556" t="s">
        <v>48</v>
      </c>
      <c r="I785" s="471">
        <v>2</v>
      </c>
      <c r="J785" s="471"/>
      <c r="K785" s="471"/>
      <c r="L785" s="471"/>
      <c r="M785" s="471"/>
      <c r="N785" s="471"/>
      <c r="O785" s="471" t="str">
        <f ca="1">道具!$C$4</f>
        <v>ＨＰ恢复的葡萄（大）</v>
      </c>
      <c r="P785" s="554"/>
      <c r="Q785" s="556" t="s">
        <v>48</v>
      </c>
      <c r="R785" s="471"/>
      <c r="S785" s="471" t="str">
        <f ca="1">Summon!$I$31</f>
        <v>要害突刺</v>
      </c>
      <c r="T785" s="556">
        <v>9</v>
      </c>
      <c r="U785" s="554"/>
      <c r="V785" s="471"/>
      <c r="W785" s="168"/>
    </row>
    <row r="786" spans="1:23" ht="12.75" x14ac:dyDescent="0.2">
      <c r="A786" s="168"/>
      <c r="B786" s="371"/>
      <c r="C786" s="168" t="b">
        <v>0</v>
      </c>
      <c r="D786" s="40" t="str">
        <f ca="1">道具!$C$90</f>
        <v>原石</v>
      </c>
      <c r="E786" s="371"/>
      <c r="F786" s="371"/>
      <c r="G786" s="371"/>
      <c r="H786" s="371"/>
      <c r="I786" s="371"/>
      <c r="J786" s="371"/>
      <c r="K786" s="371"/>
      <c r="L786" s="371"/>
      <c r="M786" s="371"/>
      <c r="N786" s="371"/>
      <c r="O786" s="371"/>
      <c r="P786" s="371"/>
      <c r="Q786" s="371"/>
      <c r="R786" s="371"/>
      <c r="S786" s="371"/>
      <c r="T786" s="371"/>
      <c r="U786" s="371"/>
      <c r="V786" s="371"/>
      <c r="W786" s="168"/>
    </row>
    <row r="787" spans="1:23" ht="12.75" x14ac:dyDescent="0.2">
      <c r="A787" s="168"/>
      <c r="B787" s="371"/>
      <c r="C787" s="168" t="b">
        <v>0</v>
      </c>
      <c r="D787" s="40" t="str">
        <f ca="1">道具!$C$97</f>
        <v>大鸟的羽毛</v>
      </c>
      <c r="E787" s="371"/>
      <c r="F787" s="371"/>
      <c r="G787" s="371"/>
      <c r="H787" s="371"/>
      <c r="I787" s="371"/>
      <c r="J787" s="371"/>
      <c r="K787" s="371"/>
      <c r="L787" s="371"/>
      <c r="M787" s="371"/>
      <c r="N787" s="371"/>
      <c r="O787" s="371"/>
      <c r="P787" s="371"/>
      <c r="Q787" s="371"/>
      <c r="R787" s="471"/>
      <c r="S787" s="471" t="str">
        <f ca="1">Summon!$I$4</f>
        <v>战斗</v>
      </c>
      <c r="T787" s="371"/>
      <c r="U787" s="371"/>
      <c r="V787" s="371"/>
      <c r="W787" s="168"/>
    </row>
    <row r="788" spans="1:23" ht="12.75" x14ac:dyDescent="0.2">
      <c r="A788" s="168"/>
      <c r="B788" s="371"/>
      <c r="C788" s="168" t="b">
        <v>0</v>
      </c>
      <c r="D788" s="40" t="str">
        <f ca="1">道具!$C$100</f>
        <v>看起来像金矿石的东西</v>
      </c>
      <c r="E788" s="371"/>
      <c r="F788" s="371"/>
      <c r="G788" s="371"/>
      <c r="H788" s="371"/>
      <c r="I788" s="371"/>
      <c r="J788" s="371"/>
      <c r="K788" s="371"/>
      <c r="L788" s="371"/>
      <c r="M788" s="371"/>
      <c r="N788" s="371"/>
      <c r="O788" s="371"/>
      <c r="P788" s="371"/>
      <c r="Q788" s="371"/>
      <c r="R788" s="371"/>
      <c r="S788" s="371"/>
      <c r="T788" s="371"/>
      <c r="U788" s="371"/>
      <c r="V788" s="371"/>
      <c r="W788" s="168"/>
    </row>
    <row r="789" spans="1:23" ht="12.75" x14ac:dyDescent="0.2">
      <c r="A789" s="168"/>
      <c r="B789" s="555"/>
      <c r="C789" s="171" t="b">
        <v>0</v>
      </c>
      <c r="D789" s="172" t="str">
        <f ca="1">道具!$C$130</f>
        <v>目眩神迷的美术品</v>
      </c>
      <c r="E789" s="555"/>
      <c r="F789" s="555"/>
      <c r="G789" s="555"/>
      <c r="H789" s="555"/>
      <c r="I789" s="555"/>
      <c r="J789" s="555"/>
      <c r="K789" s="555"/>
      <c r="L789" s="555"/>
      <c r="M789" s="555"/>
      <c r="N789" s="555"/>
      <c r="O789" s="555"/>
      <c r="P789" s="555"/>
      <c r="Q789" s="555"/>
      <c r="R789" s="173"/>
      <c r="S789" s="173"/>
      <c r="T789" s="555"/>
      <c r="U789" s="555"/>
      <c r="V789" s="555"/>
      <c r="W789" s="168"/>
    </row>
    <row r="790" spans="1:23" ht="12.75" x14ac:dyDescent="0.2">
      <c r="A790" s="168"/>
      <c r="B790" s="472" t="str">
        <f ca="1">语言!$A$1975</f>
        <v>商人</v>
      </c>
      <c r="C790" s="168" t="b">
        <v>0</v>
      </c>
      <c r="D790" s="40" t="str">
        <f ca="1">道具!$C$31</f>
        <v>火之精灵石（大）</v>
      </c>
      <c r="E790" s="554" t="b">
        <v>0</v>
      </c>
      <c r="F790" s="471" t="str">
        <f ca="1">语言!$A$23</f>
        <v>无</v>
      </c>
      <c r="G790" s="554" t="b">
        <v>0</v>
      </c>
      <c r="H790" s="556" t="s">
        <v>46</v>
      </c>
      <c r="I790" s="471">
        <v>3</v>
      </c>
      <c r="J790" s="471"/>
      <c r="K790" s="471"/>
      <c r="L790" s="471"/>
      <c r="M790" s="471"/>
      <c r="N790" s="471"/>
      <c r="O790" s="471" t="str">
        <f ca="1">道具!$C$4</f>
        <v>ＨＰ恢复的葡萄（大）</v>
      </c>
      <c r="P790" s="554"/>
      <c r="Q790" s="556" t="s">
        <v>46</v>
      </c>
      <c r="R790" s="38"/>
      <c r="S790" s="38" t="str">
        <f ca="1">Summon!$I$137</f>
        <v>沉默治疗药</v>
      </c>
      <c r="T790" s="556">
        <v>8</v>
      </c>
      <c r="U790" s="554"/>
      <c r="V790" s="471"/>
      <c r="W790" s="168"/>
    </row>
    <row r="791" spans="1:23" ht="12.75" x14ac:dyDescent="0.2">
      <c r="A791" s="168"/>
      <c r="B791" s="371"/>
      <c r="C791" s="168" t="b">
        <v>0</v>
      </c>
      <c r="D791" s="40" t="str">
        <f ca="1">道具!$C$34</f>
        <v>冰之精灵石（大）</v>
      </c>
      <c r="E791" s="371"/>
      <c r="F791" s="371"/>
      <c r="G791" s="371"/>
      <c r="H791" s="371"/>
      <c r="I791" s="371"/>
      <c r="J791" s="371"/>
      <c r="K791" s="371"/>
      <c r="L791" s="371"/>
      <c r="M791" s="371"/>
      <c r="N791" s="371"/>
      <c r="O791" s="371"/>
      <c r="P791" s="371"/>
      <c r="Q791" s="371"/>
      <c r="R791" s="38"/>
      <c r="S791" s="38" t="str">
        <f ca="1">Summon!$I$42</f>
        <v>猛击</v>
      </c>
      <c r="T791" s="371"/>
      <c r="U791" s="371"/>
      <c r="V791" s="371"/>
      <c r="W791" s="168"/>
    </row>
    <row r="792" spans="1:23" ht="12.75" x14ac:dyDescent="0.2">
      <c r="A792" s="168"/>
      <c r="B792" s="371"/>
      <c r="C792" s="168" t="b">
        <v>0</v>
      </c>
      <c r="D792" s="40" t="str">
        <f ca="1">道具!$C$37</f>
        <v>雷之精灵石（大）</v>
      </c>
      <c r="E792" s="371"/>
      <c r="F792" s="371"/>
      <c r="G792" s="371"/>
      <c r="H792" s="371"/>
      <c r="I792" s="371"/>
      <c r="J792" s="371"/>
      <c r="K792" s="371"/>
      <c r="L792" s="371"/>
      <c r="M792" s="371"/>
      <c r="N792" s="371"/>
      <c r="O792" s="371"/>
      <c r="P792" s="371"/>
      <c r="Q792" s="371"/>
      <c r="R792" s="173"/>
      <c r="S792" s="38" t="str">
        <f ca="1">Summon!$I$4</f>
        <v>战斗</v>
      </c>
      <c r="T792" s="371"/>
      <c r="U792" s="371"/>
      <c r="V792" s="371"/>
      <c r="W792" s="168"/>
    </row>
    <row r="793" spans="1:23" ht="12.75" x14ac:dyDescent="0.2">
      <c r="A793" s="168"/>
      <c r="B793" s="371"/>
      <c r="C793" s="168" t="b">
        <v>0</v>
      </c>
      <c r="D793" s="40" t="str">
        <f ca="1">道具!$C$42</f>
        <v>风之精灵石（特大）</v>
      </c>
      <c r="E793" s="371"/>
      <c r="F793" s="371"/>
      <c r="G793" s="371"/>
      <c r="H793" s="371"/>
      <c r="I793" s="371"/>
      <c r="J793" s="371"/>
      <c r="K793" s="371"/>
      <c r="L793" s="371"/>
      <c r="M793" s="371"/>
      <c r="N793" s="371"/>
      <c r="O793" s="371"/>
      <c r="P793" s="371"/>
      <c r="Q793" s="371"/>
      <c r="R793" s="38"/>
      <c r="S793" s="38"/>
      <c r="T793" s="371"/>
      <c r="U793" s="371"/>
      <c r="V793" s="371"/>
      <c r="W793" s="168"/>
    </row>
    <row r="794" spans="1:23" ht="12.75" x14ac:dyDescent="0.2">
      <c r="A794" s="168"/>
      <c r="B794" s="555"/>
      <c r="C794" s="171" t="b">
        <v>0</v>
      </c>
      <c r="D794" s="172" t="str">
        <f ca="1">道具!$C$48</f>
        <v>暗之精灵石（特大）</v>
      </c>
      <c r="E794" s="555"/>
      <c r="F794" s="555"/>
      <c r="G794" s="555"/>
      <c r="H794" s="555"/>
      <c r="I794" s="555"/>
      <c r="J794" s="555"/>
      <c r="K794" s="555"/>
      <c r="L794" s="555"/>
      <c r="M794" s="555"/>
      <c r="N794" s="555"/>
      <c r="O794" s="555"/>
      <c r="P794" s="555"/>
      <c r="Q794" s="555"/>
      <c r="R794" s="173"/>
      <c r="S794" s="173"/>
      <c r="T794" s="555"/>
      <c r="U794" s="555"/>
      <c r="V794" s="555"/>
      <c r="W794" s="168"/>
    </row>
    <row r="795" spans="1:23" ht="12.75" x14ac:dyDescent="0.2">
      <c r="A795" s="168"/>
      <c r="B795" s="472" t="str">
        <f ca="1">语言!$A$1975</f>
        <v>商人</v>
      </c>
      <c r="C795" s="168" t="b">
        <v>0</v>
      </c>
      <c r="D795" s="40" t="str">
        <f ca="1">道具!$C$530</f>
        <v>秘药的素材</v>
      </c>
      <c r="E795" s="554" t="b">
        <v>0</v>
      </c>
      <c r="F795" s="471" t="str">
        <f ca="1">语言!$A$23</f>
        <v>无</v>
      </c>
      <c r="G795" s="554" t="b">
        <v>0</v>
      </c>
      <c r="H795" s="556" t="s">
        <v>46</v>
      </c>
      <c r="I795" s="471">
        <v>3</v>
      </c>
      <c r="J795" s="471"/>
      <c r="K795" s="471"/>
      <c r="L795" s="471"/>
      <c r="M795" s="471"/>
      <c r="N795" s="471"/>
      <c r="O795" s="471" t="str">
        <f ca="1">道具!$C$4</f>
        <v>ＨＰ恢复的葡萄（大）</v>
      </c>
      <c r="P795" s="554"/>
      <c r="Q795" s="556" t="s">
        <v>46</v>
      </c>
      <c r="R795" s="38"/>
      <c r="S795" s="38" t="str">
        <f ca="1">Summon!$I$175</f>
        <v>物理提升</v>
      </c>
      <c r="T795" s="556">
        <v>8</v>
      </c>
      <c r="U795" s="554"/>
      <c r="V795" s="471"/>
      <c r="W795" s="168"/>
    </row>
    <row r="796" spans="1:23" ht="12.75" x14ac:dyDescent="0.2">
      <c r="A796" s="168"/>
      <c r="B796" s="371"/>
      <c r="C796" s="168" t="b">
        <v>0</v>
      </c>
      <c r="D796" s="40" t="str">
        <f ca="1">道具!$C$531</f>
        <v>秘药的素材（扩散）</v>
      </c>
      <c r="E796" s="371"/>
      <c r="F796" s="371"/>
      <c r="G796" s="371"/>
      <c r="H796" s="371"/>
      <c r="I796" s="371"/>
      <c r="J796" s="371"/>
      <c r="K796" s="371"/>
      <c r="L796" s="371"/>
      <c r="M796" s="371"/>
      <c r="N796" s="371"/>
      <c r="O796" s="371"/>
      <c r="P796" s="371"/>
      <c r="Q796" s="371"/>
      <c r="R796" s="38"/>
      <c r="S796" s="38" t="str">
        <f ca="1">Summon!$I$64</f>
        <v>精准射击</v>
      </c>
      <c r="T796" s="371"/>
      <c r="U796" s="371"/>
      <c r="V796" s="371"/>
      <c r="W796" s="168"/>
    </row>
    <row r="797" spans="1:23" ht="12.75" x14ac:dyDescent="0.2">
      <c r="A797" s="168"/>
      <c r="B797" s="371"/>
      <c r="C797" s="168" t="b">
        <v>0</v>
      </c>
      <c r="D797" s="40" t="str">
        <f ca="1">道具!$C$534</f>
        <v>超含毒的素材</v>
      </c>
      <c r="E797" s="371"/>
      <c r="F797" s="371"/>
      <c r="G797" s="371"/>
      <c r="H797" s="371"/>
      <c r="I797" s="371"/>
      <c r="J797" s="371"/>
      <c r="K797" s="371"/>
      <c r="L797" s="371"/>
      <c r="M797" s="371"/>
      <c r="N797" s="371"/>
      <c r="O797" s="371"/>
      <c r="P797" s="371"/>
      <c r="Q797" s="371"/>
      <c r="R797" s="38"/>
      <c r="S797" s="38" t="str">
        <f ca="1">Summon!$I$4</f>
        <v>战斗</v>
      </c>
      <c r="T797" s="371"/>
      <c r="U797" s="371"/>
      <c r="V797" s="371"/>
      <c r="W797" s="168"/>
    </row>
    <row r="798" spans="1:23" ht="12.75" x14ac:dyDescent="0.2">
      <c r="A798" s="168"/>
      <c r="B798" s="555"/>
      <c r="C798" s="171" t="b">
        <v>0</v>
      </c>
      <c r="D798" s="172" t="str">
        <f ca="1">道具!$C$536</f>
        <v>超含毒的素材（扩散）</v>
      </c>
      <c r="E798" s="555"/>
      <c r="F798" s="555"/>
      <c r="G798" s="555"/>
      <c r="H798" s="555"/>
      <c r="I798" s="555"/>
      <c r="J798" s="555"/>
      <c r="K798" s="555"/>
      <c r="L798" s="555"/>
      <c r="M798" s="555"/>
      <c r="N798" s="555"/>
      <c r="O798" s="555"/>
      <c r="P798" s="555"/>
      <c r="Q798" s="555"/>
      <c r="R798" s="173"/>
      <c r="S798" s="173"/>
      <c r="T798" s="555"/>
      <c r="U798" s="555"/>
      <c r="V798" s="555"/>
      <c r="W798" s="168"/>
    </row>
    <row r="799" spans="1:23" ht="25.5" x14ac:dyDescent="0.2">
      <c r="A799" s="168"/>
      <c r="B799" s="480" t="str">
        <f ca="1">语言!$A$1952&amp;" (3)"</f>
        <v>卢・曼 (3)</v>
      </c>
      <c r="C799" s="168" t="b">
        <v>0</v>
      </c>
      <c r="D799" s="39" t="str">
        <f ca="1">道具!$C$115</f>
        <v>简单！冒险者入门</v>
      </c>
      <c r="E799" s="554" t="b">
        <v>0</v>
      </c>
      <c r="F799" s="471" t="str">
        <f ca="1">语言!$A$23</f>
        <v>无</v>
      </c>
      <c r="G799" s="554" t="b">
        <v>0</v>
      </c>
      <c r="H799" s="556" t="s">
        <v>48</v>
      </c>
      <c r="I799" s="471">
        <v>2</v>
      </c>
      <c r="J799" s="471"/>
      <c r="K799" s="471"/>
      <c r="L799" s="471"/>
      <c r="M799" s="471"/>
      <c r="N799" s="471"/>
      <c r="O799" s="471" t="str">
        <f ca="1">道具!$C$9</f>
        <v>ＢＰ恢复的石榴</v>
      </c>
      <c r="P799" s="554"/>
      <c r="Q799" s="556" t="s">
        <v>48</v>
      </c>
      <c r="R799" s="38"/>
      <c r="S799" s="38" t="str">
        <f ca="1">Summon!$I$42</f>
        <v>猛击</v>
      </c>
      <c r="T799" s="556">
        <v>9</v>
      </c>
      <c r="U799" s="554"/>
      <c r="V799" s="471" t="str">
        <f ca="1">"NPC at this location after quest: "&amp;支线!$C$47&amp;"
Disapear after quest: "&amp;支线!$C$53</f>
        <v>NPC at this location after quest: 冒险家卢・曼（２）
Disapear after quest: 冒险家卢・曼（３）</v>
      </c>
      <c r="W799" s="168"/>
    </row>
    <row r="800" spans="1:23" ht="12.75" x14ac:dyDescent="0.2">
      <c r="A800" s="168"/>
      <c r="B800" s="371"/>
      <c r="C800" s="168" t="b">
        <v>0</v>
      </c>
      <c r="D800" s="39" t="str">
        <f ca="1">道具!$C$126</f>
        <v>旧硬币</v>
      </c>
      <c r="E800" s="371"/>
      <c r="F800" s="371"/>
      <c r="G800" s="371"/>
      <c r="H800" s="371"/>
      <c r="I800" s="371"/>
      <c r="J800" s="371"/>
      <c r="K800" s="371"/>
      <c r="L800" s="371"/>
      <c r="M800" s="371"/>
      <c r="N800" s="371"/>
      <c r="O800" s="371"/>
      <c r="P800" s="371"/>
      <c r="Q800" s="371"/>
      <c r="R800" s="38"/>
      <c r="S800" s="38" t="str">
        <f ca="1">Summon!$I$4</f>
        <v>战斗</v>
      </c>
      <c r="T800" s="371"/>
      <c r="U800" s="371"/>
      <c r="V800" s="371"/>
      <c r="W800" s="168"/>
    </row>
    <row r="801" spans="1:23" ht="12.75" x14ac:dyDescent="0.2">
      <c r="A801" s="168"/>
      <c r="B801" s="555"/>
      <c r="C801" s="171" t="b">
        <v>0</v>
      </c>
      <c r="D801" s="172" t="str">
        <f ca="1">道具!$C$101</f>
        <v>铜制提灯</v>
      </c>
      <c r="E801" s="555"/>
      <c r="F801" s="555"/>
      <c r="G801" s="555"/>
      <c r="H801" s="555"/>
      <c r="I801" s="555"/>
      <c r="J801" s="555"/>
      <c r="K801" s="555"/>
      <c r="L801" s="555"/>
      <c r="M801" s="555"/>
      <c r="N801" s="555"/>
      <c r="O801" s="555"/>
      <c r="P801" s="555"/>
      <c r="Q801" s="555"/>
      <c r="R801" s="173"/>
      <c r="S801" s="173"/>
      <c r="T801" s="555"/>
      <c r="U801" s="555"/>
      <c r="V801" s="555"/>
      <c r="W801" s="168"/>
    </row>
    <row r="802" spans="1:23" ht="12.75" x14ac:dyDescent="0.2">
      <c r="A802" s="168"/>
      <c r="B802" s="472" t="str">
        <f ca="1">语言!$A$2126</f>
        <v>港口的盗贼</v>
      </c>
      <c r="C802" s="168" t="b">
        <v>0</v>
      </c>
      <c r="D802" s="40" t="str">
        <f ca="1">道具!$C$528</f>
        <v>药的素材</v>
      </c>
      <c r="E802" s="554" t="b">
        <v>0</v>
      </c>
      <c r="F802" s="471" t="str">
        <f ca="1">语言!$A$23</f>
        <v>无</v>
      </c>
      <c r="G802" s="554" t="b">
        <v>0</v>
      </c>
      <c r="H802" s="556" t="s">
        <v>47</v>
      </c>
      <c r="I802" s="471">
        <v>4</v>
      </c>
      <c r="J802" s="471"/>
      <c r="K802" s="471"/>
      <c r="L802" s="471"/>
      <c r="M802" s="471"/>
      <c r="N802" s="471"/>
      <c r="O802" s="471" t="str">
        <f ca="1">道具!$C$530</f>
        <v>秘药的素材</v>
      </c>
      <c r="P802" s="554"/>
      <c r="Q802" s="556" t="s">
        <v>47</v>
      </c>
      <c r="R802" s="38"/>
      <c r="S802" s="38" t="str">
        <f ca="1">Summon!$I$53</f>
        <v>脑天击</v>
      </c>
      <c r="T802" s="556">
        <v>6</v>
      </c>
      <c r="U802" s="554"/>
      <c r="V802" s="471" t="str">
        <f ca="1">"NPC available after quest: "&amp;支线!$C$47</f>
        <v>NPC available after quest: 冒险家卢・曼（２）</v>
      </c>
      <c r="W802" s="168"/>
    </row>
    <row r="803" spans="1:23" ht="12.75" x14ac:dyDescent="0.2">
      <c r="A803" s="168"/>
      <c r="B803" s="371"/>
      <c r="C803" s="168" t="b">
        <v>0</v>
      </c>
      <c r="D803" s="40" t="str">
        <f ca="1">道具!$C$7</f>
        <v>ＳＰ恢复的李子（大）</v>
      </c>
      <c r="E803" s="371"/>
      <c r="F803" s="371"/>
      <c r="G803" s="371"/>
      <c r="H803" s="371"/>
      <c r="I803" s="371"/>
      <c r="J803" s="371"/>
      <c r="K803" s="371"/>
      <c r="L803" s="371"/>
      <c r="M803" s="371"/>
      <c r="N803" s="371"/>
      <c r="O803" s="371"/>
      <c r="P803" s="371"/>
      <c r="Q803" s="371"/>
      <c r="R803" s="38"/>
      <c r="S803" s="38" t="str">
        <f ca="1">Summon!$I$52</f>
        <v>重拳</v>
      </c>
      <c r="T803" s="371"/>
      <c r="U803" s="371"/>
      <c r="V803" s="371"/>
      <c r="W803" s="168"/>
    </row>
    <row r="804" spans="1:23" ht="12.75" x14ac:dyDescent="0.2">
      <c r="A804" s="168"/>
      <c r="B804" s="555"/>
      <c r="C804" s="171"/>
      <c r="D804" s="172"/>
      <c r="E804" s="555"/>
      <c r="F804" s="555"/>
      <c r="G804" s="555"/>
      <c r="H804" s="555"/>
      <c r="I804" s="555"/>
      <c r="J804" s="555"/>
      <c r="K804" s="555"/>
      <c r="L804" s="555"/>
      <c r="M804" s="555"/>
      <c r="N804" s="555"/>
      <c r="O804" s="555"/>
      <c r="P804" s="555"/>
      <c r="Q804" s="555"/>
      <c r="R804" s="173"/>
      <c r="S804" s="173" t="str">
        <f ca="1">Summon!$I$4</f>
        <v>战斗</v>
      </c>
      <c r="T804" s="555"/>
      <c r="U804" s="555"/>
      <c r="V804" s="555"/>
      <c r="W804" s="168"/>
    </row>
    <row r="805" spans="1:23" ht="12.75" x14ac:dyDescent="0.2">
      <c r="A805" s="168"/>
      <c r="B805" s="472" t="str">
        <f ca="1">语言!$A$1975</f>
        <v>商人</v>
      </c>
      <c r="C805" s="168" t="b">
        <v>0</v>
      </c>
      <c r="D805" s="40" t="str">
        <f ca="1">道具!$C$365</f>
        <v>海市蜃楼帽子</v>
      </c>
      <c r="E805" s="554" t="b">
        <v>0</v>
      </c>
      <c r="F805" s="471" t="str">
        <f ca="1">语言!$A$33&amp;"
"&amp;道具!$C$394</f>
        <v>隐藏道具的资讯
银发饰</v>
      </c>
      <c r="G805" s="554" t="b">
        <v>0</v>
      </c>
      <c r="H805" s="556" t="s">
        <v>46</v>
      </c>
      <c r="I805" s="471">
        <v>3</v>
      </c>
      <c r="J805" s="471"/>
      <c r="K805" s="471"/>
      <c r="L805" s="471"/>
      <c r="M805" s="471"/>
      <c r="N805" s="471"/>
      <c r="O805" s="471" t="str">
        <f ca="1">道具!$C$4</f>
        <v>ＨＰ恢复的葡萄（大）</v>
      </c>
      <c r="P805" s="554"/>
      <c r="Q805" s="556" t="s">
        <v>46</v>
      </c>
      <c r="R805" s="38"/>
      <c r="S805" s="38" t="str">
        <f ca="1">Summon!$I$125</f>
        <v>恢复全体ＨＰ的特大技能</v>
      </c>
      <c r="T805" s="556">
        <v>8</v>
      </c>
      <c r="U805" s="554"/>
      <c r="V805" s="471"/>
      <c r="W805" s="168"/>
    </row>
    <row r="806" spans="1:23" ht="12.75" x14ac:dyDescent="0.2">
      <c r="A806" s="168"/>
      <c r="B806" s="371"/>
      <c r="C806" s="168" t="b">
        <v>0</v>
      </c>
      <c r="D806" s="40" t="str">
        <f ca="1">道具!$C$382</f>
        <v>黄金发饰</v>
      </c>
      <c r="E806" s="371"/>
      <c r="F806" s="371"/>
      <c r="G806" s="371"/>
      <c r="H806" s="371"/>
      <c r="I806" s="371"/>
      <c r="J806" s="371"/>
      <c r="K806" s="371"/>
      <c r="L806" s="371"/>
      <c r="M806" s="371"/>
      <c r="N806" s="371"/>
      <c r="O806" s="371"/>
      <c r="P806" s="371"/>
      <c r="Q806" s="371"/>
      <c r="R806" s="38"/>
      <c r="S806" s="38" t="str">
        <f ca="1">Summon!$I$6</f>
        <v>斩击</v>
      </c>
      <c r="T806" s="371"/>
      <c r="U806" s="371"/>
      <c r="V806" s="371"/>
      <c r="W806" s="168"/>
    </row>
    <row r="807" spans="1:23" ht="12.75" x14ac:dyDescent="0.2">
      <c r="A807" s="168"/>
      <c r="B807" s="371"/>
      <c r="C807" s="168" t="b">
        <v>0</v>
      </c>
      <c r="D807" s="40" t="str">
        <f ca="1">道具!$C$370</f>
        <v>毛皮帽子</v>
      </c>
      <c r="E807" s="371"/>
      <c r="F807" s="371"/>
      <c r="G807" s="371"/>
      <c r="H807" s="371"/>
      <c r="I807" s="371"/>
      <c r="J807" s="371"/>
      <c r="K807" s="371"/>
      <c r="L807" s="371"/>
      <c r="M807" s="371"/>
      <c r="N807" s="371"/>
      <c r="O807" s="371"/>
      <c r="P807" s="371"/>
      <c r="Q807" s="371"/>
      <c r="R807" s="38"/>
      <c r="S807" s="38" t="str">
        <f ca="1">Summon!$I$4</f>
        <v>战斗</v>
      </c>
      <c r="T807" s="371"/>
      <c r="U807" s="371"/>
      <c r="V807" s="371"/>
      <c r="W807" s="168"/>
    </row>
    <row r="808" spans="1:23" ht="12.75" x14ac:dyDescent="0.2">
      <c r="A808" s="168"/>
      <c r="B808" s="371"/>
      <c r="C808" s="168" t="b">
        <v>0</v>
      </c>
      <c r="D808" s="40" t="str">
        <f ca="1">道具!$C$448</f>
        <v>传统舞娘衣服</v>
      </c>
      <c r="E808" s="371"/>
      <c r="F808" s="371"/>
      <c r="G808" s="371"/>
      <c r="H808" s="371"/>
      <c r="I808" s="371"/>
      <c r="J808" s="371"/>
      <c r="K808" s="371"/>
      <c r="L808" s="371"/>
      <c r="M808" s="371"/>
      <c r="N808" s="371"/>
      <c r="O808" s="371"/>
      <c r="P808" s="371"/>
      <c r="Q808" s="371"/>
      <c r="R808" s="38"/>
      <c r="S808" s="38"/>
      <c r="T808" s="371"/>
      <c r="U808" s="371"/>
      <c r="V808" s="371"/>
      <c r="W808" s="168"/>
    </row>
    <row r="809" spans="1:23" ht="12.75" x14ac:dyDescent="0.2">
      <c r="A809" s="168"/>
      <c r="B809" s="555"/>
      <c r="C809" s="171" t="b">
        <v>0</v>
      </c>
      <c r="D809" s="172" t="str">
        <f ca="1">道具!$C$407</f>
        <v>精致舞娘衣服</v>
      </c>
      <c r="E809" s="555"/>
      <c r="F809" s="555"/>
      <c r="G809" s="555"/>
      <c r="H809" s="555"/>
      <c r="I809" s="555"/>
      <c r="J809" s="555"/>
      <c r="K809" s="555"/>
      <c r="L809" s="555"/>
      <c r="M809" s="555"/>
      <c r="N809" s="555"/>
      <c r="O809" s="555"/>
      <c r="P809" s="555"/>
      <c r="Q809" s="555"/>
      <c r="R809" s="173"/>
      <c r="S809" s="173"/>
      <c r="T809" s="555"/>
      <c r="U809" s="555"/>
      <c r="V809" s="555"/>
      <c r="W809" s="168"/>
    </row>
    <row r="810" spans="1:23" ht="12.75" x14ac:dyDescent="0.2">
      <c r="A810" s="168"/>
      <c r="B810" s="472" t="str">
        <f ca="1">语言!$A$1975</f>
        <v>商人</v>
      </c>
      <c r="C810" s="168" t="b">
        <v>0</v>
      </c>
      <c r="D810" s="40" t="str">
        <f ca="1">道具!$C$282</f>
        <v>光辉弓</v>
      </c>
      <c r="E810" s="554" t="b">
        <v>0</v>
      </c>
      <c r="F810" s="471" t="str">
        <f ca="1">语言!$A$23</f>
        <v>无</v>
      </c>
      <c r="G810" s="554" t="b">
        <v>0</v>
      </c>
      <c r="H810" s="556" t="s">
        <v>48</v>
      </c>
      <c r="I810" s="471">
        <v>2</v>
      </c>
      <c r="J810" s="471"/>
      <c r="K810" s="471"/>
      <c r="L810" s="471"/>
      <c r="M810" s="471"/>
      <c r="N810" s="471"/>
      <c r="O810" s="471" t="str">
        <f ca="1">道具!$C$534</f>
        <v>超含毒的素材</v>
      </c>
      <c r="P810" s="554"/>
      <c r="Q810" s="556" t="s">
        <v>48</v>
      </c>
      <c r="R810" s="471"/>
      <c r="S810" s="471" t="str">
        <f ca="1">Summon!$I$30</f>
        <v>突刺</v>
      </c>
      <c r="T810" s="556">
        <v>9</v>
      </c>
      <c r="U810" s="554"/>
      <c r="V810" s="471"/>
      <c r="W810" s="168"/>
    </row>
    <row r="811" spans="1:23" ht="12.75" x14ac:dyDescent="0.2">
      <c r="A811" s="168"/>
      <c r="B811" s="371"/>
      <c r="C811" s="168" t="b">
        <v>0</v>
      </c>
      <c r="D811" s="40" t="str">
        <f ca="1">道具!$C$281</f>
        <v>达人的大弓</v>
      </c>
      <c r="E811" s="371"/>
      <c r="F811" s="371"/>
      <c r="G811" s="371"/>
      <c r="H811" s="371"/>
      <c r="I811" s="371"/>
      <c r="J811" s="371"/>
      <c r="K811" s="371"/>
      <c r="L811" s="371"/>
      <c r="M811" s="371"/>
      <c r="N811" s="371"/>
      <c r="O811" s="371"/>
      <c r="P811" s="371"/>
      <c r="Q811" s="371"/>
      <c r="R811" s="371"/>
      <c r="S811" s="371"/>
      <c r="T811" s="371"/>
      <c r="U811" s="371"/>
      <c r="V811" s="371"/>
      <c r="W811" s="168"/>
    </row>
    <row r="812" spans="1:23" ht="12.75" x14ac:dyDescent="0.2">
      <c r="A812" s="168"/>
      <c r="B812" s="371"/>
      <c r="C812" s="168" t="b">
        <v>0</v>
      </c>
      <c r="D812" s="40" t="str">
        <f ca="1">道具!$C$209</f>
        <v>终极破坏者</v>
      </c>
      <c r="E812" s="371"/>
      <c r="F812" s="371"/>
      <c r="G812" s="371"/>
      <c r="H812" s="371"/>
      <c r="I812" s="371"/>
      <c r="J812" s="371"/>
      <c r="K812" s="371"/>
      <c r="L812" s="371"/>
      <c r="M812" s="371"/>
      <c r="N812" s="371"/>
      <c r="O812" s="371"/>
      <c r="P812" s="371"/>
      <c r="Q812" s="371"/>
      <c r="R812" s="471"/>
      <c r="S812" s="471" t="str">
        <f ca="1">Summon!$I$4</f>
        <v>战斗</v>
      </c>
      <c r="T812" s="371"/>
      <c r="U812" s="371"/>
      <c r="V812" s="371"/>
      <c r="W812" s="168"/>
    </row>
    <row r="813" spans="1:23" ht="12.75" x14ac:dyDescent="0.2">
      <c r="A813" s="168"/>
      <c r="B813" s="371"/>
      <c r="C813" s="168" t="b">
        <v>0</v>
      </c>
      <c r="D813" s="40" t="str">
        <f ca="1">道具!$C$380</f>
        <v>猎鹰的帽子</v>
      </c>
      <c r="E813" s="371"/>
      <c r="F813" s="371"/>
      <c r="G813" s="371"/>
      <c r="H813" s="371"/>
      <c r="I813" s="371"/>
      <c r="J813" s="371"/>
      <c r="K813" s="371"/>
      <c r="L813" s="371"/>
      <c r="M813" s="371"/>
      <c r="N813" s="371"/>
      <c r="O813" s="371"/>
      <c r="P813" s="371"/>
      <c r="Q813" s="371"/>
      <c r="R813" s="371"/>
      <c r="S813" s="371"/>
      <c r="T813" s="371"/>
      <c r="U813" s="371"/>
      <c r="V813" s="371"/>
      <c r="W813" s="168"/>
    </row>
    <row r="814" spans="1:23" ht="12.75" x14ac:dyDescent="0.2">
      <c r="A814" s="168"/>
      <c r="B814" s="555"/>
      <c r="C814" s="171" t="b">
        <v>0</v>
      </c>
      <c r="D814" s="172" t="str">
        <f ca="1">道具!$C$430</f>
        <v>猎鹰之服</v>
      </c>
      <c r="E814" s="555"/>
      <c r="F814" s="555"/>
      <c r="G814" s="555"/>
      <c r="H814" s="555"/>
      <c r="I814" s="555"/>
      <c r="J814" s="555"/>
      <c r="K814" s="555"/>
      <c r="L814" s="555"/>
      <c r="M814" s="555"/>
      <c r="N814" s="555"/>
      <c r="O814" s="555"/>
      <c r="P814" s="555"/>
      <c r="Q814" s="555"/>
      <c r="R814" s="173"/>
      <c r="S814" s="173"/>
      <c r="T814" s="555"/>
      <c r="U814" s="555"/>
      <c r="V814" s="555"/>
      <c r="W814" s="168"/>
    </row>
    <row r="815" spans="1:23" ht="12.75" x14ac:dyDescent="0.2">
      <c r="A815" s="168"/>
      <c r="B815" s="472" t="str">
        <f ca="1">语言!$A$1975</f>
        <v>商人</v>
      </c>
      <c r="C815" s="168" t="b">
        <v>0</v>
      </c>
      <c r="D815" s="40" t="str">
        <f ca="1">道具!$C$250</f>
        <v>重力子斧</v>
      </c>
      <c r="E815" s="554" t="b">
        <v>0</v>
      </c>
      <c r="F815" s="471" t="str">
        <f ca="1">语言!$A$23</f>
        <v>无</v>
      </c>
      <c r="G815" s="554" t="b">
        <v>0</v>
      </c>
      <c r="H815" s="556" t="s">
        <v>50</v>
      </c>
      <c r="I815" s="471">
        <v>4</v>
      </c>
      <c r="J815" s="471"/>
      <c r="K815" s="471"/>
      <c r="L815" s="471"/>
      <c r="M815" s="471"/>
      <c r="N815" s="471"/>
      <c r="O815" s="471" t="str">
        <f ca="1">道具!$C$423</f>
        <v>彩虹长袍</v>
      </c>
      <c r="P815" s="554"/>
      <c r="Q815" s="556" t="s">
        <v>50</v>
      </c>
      <c r="R815" s="38"/>
      <c r="S815" s="38" t="str">
        <f ca="1">Summon!$I$61</f>
        <v>全力斩击</v>
      </c>
      <c r="T815" s="556">
        <v>7</v>
      </c>
      <c r="U815" s="554"/>
      <c r="V815" s="471"/>
      <c r="W815" s="168"/>
    </row>
    <row r="816" spans="1:23" ht="12.75" x14ac:dyDescent="0.2">
      <c r="A816" s="168"/>
      <c r="B816" s="371"/>
      <c r="C816" s="168" t="b">
        <v>0</v>
      </c>
      <c r="D816" s="40" t="str">
        <f ca="1">道具!$C$251</f>
        <v>灰熊猛击斧</v>
      </c>
      <c r="E816" s="371"/>
      <c r="F816" s="371"/>
      <c r="G816" s="371"/>
      <c r="H816" s="371"/>
      <c r="I816" s="371"/>
      <c r="J816" s="371"/>
      <c r="K816" s="371"/>
      <c r="L816" s="371"/>
      <c r="M816" s="371"/>
      <c r="N816" s="371"/>
      <c r="O816" s="371"/>
      <c r="P816" s="371"/>
      <c r="Q816" s="371"/>
      <c r="R816" s="38"/>
      <c r="S816" s="38" t="str">
        <f ca="1">Summon!$I$52</f>
        <v>重拳</v>
      </c>
      <c r="T816" s="371"/>
      <c r="U816" s="371"/>
      <c r="V816" s="371"/>
      <c r="W816" s="168"/>
    </row>
    <row r="817" spans="1:23" ht="12.75" x14ac:dyDescent="0.2">
      <c r="A817" s="168"/>
      <c r="B817" s="371"/>
      <c r="C817" s="168" t="b">
        <v>0</v>
      </c>
      <c r="D817" s="40" t="str">
        <f ca="1">道具!$C$245</f>
        <v>精神手斧</v>
      </c>
      <c r="E817" s="371"/>
      <c r="F817" s="371"/>
      <c r="G817" s="371"/>
      <c r="H817" s="371"/>
      <c r="I817" s="371"/>
      <c r="J817" s="371"/>
      <c r="K817" s="371"/>
      <c r="L817" s="371"/>
      <c r="M817" s="371"/>
      <c r="N817" s="371"/>
      <c r="O817" s="371"/>
      <c r="P817" s="371"/>
      <c r="Q817" s="371"/>
      <c r="R817" s="38"/>
      <c r="S817" s="38" t="str">
        <f ca="1">Summon!$I$4</f>
        <v>战斗</v>
      </c>
      <c r="T817" s="371"/>
      <c r="U817" s="371"/>
      <c r="V817" s="371"/>
      <c r="W817" s="168"/>
    </row>
    <row r="818" spans="1:23" ht="12.75" x14ac:dyDescent="0.2">
      <c r="A818" s="168"/>
      <c r="B818" s="555"/>
      <c r="C818" s="171" t="b">
        <v>0</v>
      </c>
      <c r="D818" s="172" t="str">
        <f ca="1">道具!$C$243</f>
        <v>金钢合金手斧</v>
      </c>
      <c r="E818" s="555"/>
      <c r="F818" s="555"/>
      <c r="G818" s="555"/>
      <c r="H818" s="555"/>
      <c r="I818" s="555"/>
      <c r="J818" s="555"/>
      <c r="K818" s="555"/>
      <c r="L818" s="555"/>
      <c r="M818" s="555"/>
      <c r="N818" s="555"/>
      <c r="O818" s="555"/>
      <c r="P818" s="555"/>
      <c r="Q818" s="555"/>
      <c r="R818" s="173"/>
      <c r="S818" s="173"/>
      <c r="T818" s="555"/>
      <c r="U818" s="555"/>
      <c r="V818" s="555"/>
      <c r="W818" s="168"/>
    </row>
    <row r="819" spans="1:23" ht="12.75" x14ac:dyDescent="0.2">
      <c r="A819" s="168"/>
      <c r="B819" s="472" t="str">
        <f ca="1">语言!$A$1799</f>
        <v>路边摊的客人</v>
      </c>
      <c r="C819" s="554" t="b">
        <v>0</v>
      </c>
      <c r="D819" s="472" t="str">
        <f ca="1">道具!$C$118</f>
        <v>纪念金币</v>
      </c>
      <c r="E819" s="554" t="b">
        <v>0</v>
      </c>
      <c r="F819" s="471" t="str">
        <f ca="1">语言!$A$24</f>
        <v>旅店的折扣资讯</v>
      </c>
      <c r="G819" s="554" t="b">
        <v>0</v>
      </c>
      <c r="H819" s="556" t="s">
        <v>50</v>
      </c>
      <c r="I819" s="471">
        <v>4</v>
      </c>
      <c r="J819" s="471"/>
      <c r="K819" s="471"/>
      <c r="L819" s="471"/>
      <c r="M819" s="471"/>
      <c r="N819" s="471"/>
      <c r="O819" s="471" t="str">
        <f ca="1">道具!$C$118</f>
        <v>纪念金币</v>
      </c>
      <c r="P819" s="554"/>
      <c r="Q819" s="556" t="s">
        <v>50</v>
      </c>
      <c r="R819" s="38"/>
      <c r="S819" s="38" t="str">
        <f ca="1">Summon!$I$92</f>
        <v>特大雷击魔法</v>
      </c>
      <c r="T819" s="556">
        <v>7</v>
      </c>
      <c r="U819" s="554"/>
      <c r="V819" s="471"/>
      <c r="W819" s="168"/>
    </row>
    <row r="820" spans="1:23" ht="12.75" x14ac:dyDescent="0.2">
      <c r="A820" s="168"/>
      <c r="B820" s="371"/>
      <c r="C820" s="371"/>
      <c r="D820" s="371"/>
      <c r="E820" s="371"/>
      <c r="F820" s="371"/>
      <c r="G820" s="371"/>
      <c r="H820" s="371"/>
      <c r="I820" s="371"/>
      <c r="J820" s="371"/>
      <c r="K820" s="371"/>
      <c r="L820" s="371"/>
      <c r="M820" s="371"/>
      <c r="N820" s="371"/>
      <c r="O820" s="371"/>
      <c r="P820" s="371"/>
      <c r="Q820" s="371"/>
      <c r="R820" s="38"/>
      <c r="S820" s="38" t="str">
        <f ca="1">Summon!$I$91</f>
        <v>大雷击魔法</v>
      </c>
      <c r="T820" s="371"/>
      <c r="U820" s="371"/>
      <c r="V820" s="371"/>
      <c r="W820" s="168"/>
    </row>
    <row r="821" spans="1:23" ht="12.75" x14ac:dyDescent="0.2">
      <c r="A821" s="168"/>
      <c r="B821" s="555"/>
      <c r="C821" s="555"/>
      <c r="D821" s="555"/>
      <c r="E821" s="555"/>
      <c r="F821" s="555"/>
      <c r="G821" s="555"/>
      <c r="H821" s="555"/>
      <c r="I821" s="555"/>
      <c r="J821" s="555"/>
      <c r="K821" s="555"/>
      <c r="L821" s="555"/>
      <c r="M821" s="555"/>
      <c r="N821" s="555"/>
      <c r="O821" s="555"/>
      <c r="P821" s="555"/>
      <c r="Q821" s="555"/>
      <c r="R821" s="173"/>
      <c r="S821" s="173" t="str">
        <f ca="1">Summon!$I$4</f>
        <v>战斗</v>
      </c>
      <c r="T821" s="555"/>
      <c r="U821" s="555"/>
      <c r="V821" s="555"/>
      <c r="W821" s="168"/>
    </row>
    <row r="822" spans="1:23" ht="12.75" x14ac:dyDescent="0.2">
      <c r="A822" s="168"/>
      <c r="B822" s="472" t="str">
        <f ca="1">语言!$A$1798</f>
        <v>路边摊的客人</v>
      </c>
      <c r="C822" s="554" t="b">
        <v>0</v>
      </c>
      <c r="D822" s="472" t="str">
        <f ca="1">道具!$C$130</f>
        <v>目眩神迷的美术品</v>
      </c>
      <c r="E822" s="554" t="b">
        <v>0</v>
      </c>
      <c r="F822" s="471" t="str">
        <f ca="1">语言!$A$23</f>
        <v>无</v>
      </c>
      <c r="G822" s="554" t="b">
        <v>0</v>
      </c>
      <c r="H822" s="556" t="s">
        <v>49</v>
      </c>
      <c r="I822" s="471">
        <v>4</v>
      </c>
      <c r="J822" s="471"/>
      <c r="K822" s="471"/>
      <c r="L822" s="471"/>
      <c r="M822" s="471"/>
      <c r="N822" s="471"/>
      <c r="O822" s="471" t="str">
        <f ca="1">道具!$C$12</f>
        <v>ＨＰ／ＳＰ恢复的果酱</v>
      </c>
      <c r="P822" s="554"/>
      <c r="Q822" s="556" t="s">
        <v>49</v>
      </c>
      <c r="R822" s="38"/>
      <c r="S822" s="38" t="str">
        <f ca="1">Summon!$I$159</f>
        <v>物理下降</v>
      </c>
      <c r="T822" s="556">
        <v>7</v>
      </c>
      <c r="U822" s="554"/>
      <c r="V822" s="471"/>
      <c r="W822" s="168"/>
    </row>
    <row r="823" spans="1:23" ht="12.75" x14ac:dyDescent="0.2">
      <c r="A823" s="168"/>
      <c r="B823" s="371"/>
      <c r="C823" s="371"/>
      <c r="D823" s="371"/>
      <c r="E823" s="371"/>
      <c r="F823" s="371"/>
      <c r="G823" s="371"/>
      <c r="H823" s="371"/>
      <c r="I823" s="371"/>
      <c r="J823" s="371"/>
      <c r="K823" s="371"/>
      <c r="L823" s="371"/>
      <c r="M823" s="371"/>
      <c r="N823" s="371"/>
      <c r="O823" s="371"/>
      <c r="P823" s="371"/>
      <c r="Q823" s="371"/>
      <c r="R823" s="38"/>
      <c r="S823" s="38" t="str">
        <f ca="1">Summon!$I$45</f>
        <v>失明猛击</v>
      </c>
      <c r="T823" s="371"/>
      <c r="U823" s="371"/>
      <c r="V823" s="371"/>
      <c r="W823" s="168"/>
    </row>
    <row r="824" spans="1:23" ht="12.75" x14ac:dyDescent="0.2">
      <c r="A824" s="168"/>
      <c r="B824" s="555"/>
      <c r="C824" s="555"/>
      <c r="D824" s="555"/>
      <c r="E824" s="555"/>
      <c r="F824" s="555"/>
      <c r="G824" s="555"/>
      <c r="H824" s="555"/>
      <c r="I824" s="555"/>
      <c r="J824" s="555"/>
      <c r="K824" s="555"/>
      <c r="L824" s="555"/>
      <c r="M824" s="555"/>
      <c r="N824" s="555"/>
      <c r="O824" s="555"/>
      <c r="P824" s="555"/>
      <c r="Q824" s="555"/>
      <c r="R824" s="173"/>
      <c r="S824" s="173" t="str">
        <f ca="1">Summon!$I$4</f>
        <v>战斗</v>
      </c>
      <c r="T824" s="555"/>
      <c r="U824" s="555"/>
      <c r="V824" s="555"/>
      <c r="W824" s="168"/>
    </row>
    <row r="825" spans="1:23" ht="12.75" x14ac:dyDescent="0.2">
      <c r="A825" s="168"/>
      <c r="B825" s="472" t="str">
        <f ca="1">语言!$A$1798</f>
        <v>路边摊的客人</v>
      </c>
      <c r="C825" s="168" t="b">
        <v>0</v>
      </c>
      <c r="D825" s="40" t="str">
        <f ca="1">道具!$C$168</f>
        <v>铁剑</v>
      </c>
      <c r="E825" s="554" t="b">
        <v>0</v>
      </c>
      <c r="F825" s="471" t="str">
        <f ca="1">语言!$A$33&amp;"
"&amp;道具!$C$117</f>
        <v>隐藏道具的资讯
鼓胀的钱包</v>
      </c>
      <c r="G825" s="554" t="b">
        <v>0</v>
      </c>
      <c r="H825" s="556" t="s">
        <v>57</v>
      </c>
      <c r="I825" s="471">
        <v>3</v>
      </c>
      <c r="J825" s="471"/>
      <c r="K825" s="471"/>
      <c r="L825" s="471"/>
      <c r="M825" s="471"/>
      <c r="N825" s="471"/>
      <c r="O825" s="471" t="str">
        <f ca="1">道具!$C$10</f>
        <v>ＢＰ恢复的石榴（大）</v>
      </c>
      <c r="P825" s="554"/>
      <c r="Q825" s="556" t="s">
        <v>57</v>
      </c>
      <c r="R825" s="471"/>
      <c r="S825" s="471" t="str">
        <f ca="1">Summon!$I$21</f>
        <v>乱斩</v>
      </c>
      <c r="T825" s="556">
        <v>8</v>
      </c>
      <c r="U825" s="554"/>
      <c r="V825" s="471"/>
      <c r="W825" s="168"/>
    </row>
    <row r="826" spans="1:23" ht="12.75" x14ac:dyDescent="0.2">
      <c r="A826" s="168"/>
      <c r="B826" s="371"/>
      <c r="C826" s="168" t="b">
        <v>0</v>
      </c>
      <c r="D826" s="40" t="str">
        <f ca="1">道具!$C$164</f>
        <v>巨剑</v>
      </c>
      <c r="E826" s="371"/>
      <c r="F826" s="371"/>
      <c r="G826" s="371"/>
      <c r="H826" s="371"/>
      <c r="I826" s="371"/>
      <c r="J826" s="371"/>
      <c r="K826" s="371"/>
      <c r="L826" s="371"/>
      <c r="M826" s="371"/>
      <c r="N826" s="371"/>
      <c r="O826" s="371"/>
      <c r="P826" s="371"/>
      <c r="Q826" s="371"/>
      <c r="R826" s="371"/>
      <c r="S826" s="371"/>
      <c r="T826" s="371"/>
      <c r="U826" s="371"/>
      <c r="V826" s="371"/>
      <c r="W826" s="168"/>
    </row>
    <row r="827" spans="1:23" ht="12.75" x14ac:dyDescent="0.2">
      <c r="A827" s="168"/>
      <c r="B827" s="371"/>
      <c r="C827" s="168" t="b">
        <v>0</v>
      </c>
      <c r="D827" s="40" t="str">
        <f ca="1">道具!$C$159</f>
        <v>混用剑</v>
      </c>
      <c r="E827" s="371"/>
      <c r="F827" s="371"/>
      <c r="G827" s="371"/>
      <c r="H827" s="371"/>
      <c r="I827" s="371"/>
      <c r="J827" s="371"/>
      <c r="K827" s="371"/>
      <c r="L827" s="371"/>
      <c r="M827" s="371"/>
      <c r="N827" s="371"/>
      <c r="O827" s="371"/>
      <c r="P827" s="371"/>
      <c r="Q827" s="371"/>
      <c r="R827" s="471"/>
      <c r="S827" s="471" t="str">
        <f ca="1">Summon!$I$4</f>
        <v>战斗</v>
      </c>
      <c r="T827" s="371"/>
      <c r="U827" s="371"/>
      <c r="V827" s="371"/>
      <c r="W827" s="168"/>
    </row>
    <row r="828" spans="1:23" ht="12.75" x14ac:dyDescent="0.2">
      <c r="A828" s="168"/>
      <c r="B828" s="371"/>
      <c r="C828" s="168" t="b">
        <v>0</v>
      </c>
      <c r="D828" s="40" t="str">
        <f ca="1">道具!$C$153</f>
        <v>强化剑</v>
      </c>
      <c r="E828" s="371"/>
      <c r="F828" s="371"/>
      <c r="G828" s="371"/>
      <c r="H828" s="371"/>
      <c r="I828" s="371"/>
      <c r="J828" s="371"/>
      <c r="K828" s="371"/>
      <c r="L828" s="371"/>
      <c r="M828" s="371"/>
      <c r="N828" s="371"/>
      <c r="O828" s="371"/>
      <c r="P828" s="371"/>
      <c r="Q828" s="371"/>
      <c r="R828" s="371"/>
      <c r="S828" s="371"/>
      <c r="T828" s="371"/>
      <c r="U828" s="371"/>
      <c r="V828" s="371"/>
      <c r="W828" s="168"/>
    </row>
    <row r="829" spans="1:23" ht="12.75" x14ac:dyDescent="0.2">
      <c r="A829" s="168"/>
      <c r="B829" s="555"/>
      <c r="C829" s="171" t="b">
        <v>0</v>
      </c>
      <c r="D829" s="172" t="str">
        <f ca="1">道具!$C$149</f>
        <v>白金剑</v>
      </c>
      <c r="E829" s="555"/>
      <c r="F829" s="555"/>
      <c r="G829" s="555"/>
      <c r="H829" s="555"/>
      <c r="I829" s="555"/>
      <c r="J829" s="555"/>
      <c r="K829" s="555"/>
      <c r="L829" s="555"/>
      <c r="M829" s="555"/>
      <c r="N829" s="555"/>
      <c r="O829" s="555"/>
      <c r="P829" s="555"/>
      <c r="Q829" s="555"/>
      <c r="R829" s="173"/>
      <c r="S829" s="173"/>
      <c r="T829" s="555"/>
      <c r="U829" s="555"/>
      <c r="V829" s="555"/>
      <c r="W829" s="168"/>
    </row>
    <row r="830" spans="1:23" ht="12.75" x14ac:dyDescent="0.2">
      <c r="A830" s="168"/>
      <c r="B830" s="472" t="str">
        <f ca="1">语言!$A$1975</f>
        <v>商人</v>
      </c>
      <c r="C830" s="168" t="b">
        <v>0</v>
      </c>
      <c r="D830" s="40" t="str">
        <f ca="1">道具!$C$212</f>
        <v>刺客匕首</v>
      </c>
      <c r="E830" s="554" t="b">
        <v>0</v>
      </c>
      <c r="F830" s="471" t="str">
        <f ca="1">语言!$A$23</f>
        <v>无</v>
      </c>
      <c r="G830" s="554" t="b">
        <v>0</v>
      </c>
      <c r="H830" s="556" t="s">
        <v>49</v>
      </c>
      <c r="I830" s="471">
        <v>4</v>
      </c>
      <c r="J830" s="471"/>
      <c r="K830" s="471"/>
      <c r="L830" s="471"/>
      <c r="M830" s="471"/>
      <c r="N830" s="471"/>
      <c r="O830" s="471" t="str">
        <f ca="1">道具!$C$5</f>
        <v>ＨＰ全体恢复的葡萄</v>
      </c>
      <c r="P830" s="554"/>
      <c r="Q830" s="556" t="s">
        <v>49</v>
      </c>
      <c r="R830" s="38"/>
      <c r="S830" s="38" t="str">
        <f ca="1">Summon!$I$140</f>
        <v>毒药</v>
      </c>
      <c r="T830" s="556">
        <v>7</v>
      </c>
      <c r="U830" s="554"/>
      <c r="V830" s="471"/>
      <c r="W830" s="168"/>
    </row>
    <row r="831" spans="1:23" ht="12.75" x14ac:dyDescent="0.2">
      <c r="A831" s="168"/>
      <c r="B831" s="371"/>
      <c r="C831" s="168" t="b">
        <v>0</v>
      </c>
      <c r="D831" s="40" t="str">
        <f ca="1">道具!$C$214</f>
        <v>腥红匕首</v>
      </c>
      <c r="E831" s="371"/>
      <c r="F831" s="371"/>
      <c r="G831" s="371"/>
      <c r="H831" s="371"/>
      <c r="I831" s="371"/>
      <c r="J831" s="371"/>
      <c r="K831" s="371"/>
      <c r="L831" s="371"/>
      <c r="M831" s="371"/>
      <c r="N831" s="371"/>
      <c r="O831" s="371"/>
      <c r="P831" s="371"/>
      <c r="Q831" s="371"/>
      <c r="R831" s="38"/>
      <c r="S831" s="38" t="str">
        <f ca="1">Summon!$I$61</f>
        <v>全力斩击</v>
      </c>
      <c r="T831" s="371"/>
      <c r="U831" s="371"/>
      <c r="V831" s="371"/>
      <c r="W831" s="168"/>
    </row>
    <row r="832" spans="1:23" ht="12.75" x14ac:dyDescent="0.2">
      <c r="A832" s="168"/>
      <c r="B832" s="371"/>
      <c r="C832" s="168" t="b">
        <v>0</v>
      </c>
      <c r="D832" s="40" t="str">
        <f ca="1">道具!$C$211</f>
        <v>毁灭破坏者</v>
      </c>
      <c r="E832" s="371"/>
      <c r="F832" s="371"/>
      <c r="G832" s="371"/>
      <c r="H832" s="371"/>
      <c r="I832" s="371"/>
      <c r="J832" s="371"/>
      <c r="K832" s="371"/>
      <c r="L832" s="371"/>
      <c r="M832" s="371"/>
      <c r="N832" s="371"/>
      <c r="O832" s="371"/>
      <c r="P832" s="371"/>
      <c r="Q832" s="371"/>
      <c r="R832" s="38"/>
      <c r="S832" s="38" t="str">
        <f ca="1">Summon!$I$52</f>
        <v>重拳</v>
      </c>
      <c r="T832" s="371"/>
      <c r="U832" s="371"/>
      <c r="V832" s="371"/>
      <c r="W832" s="168"/>
    </row>
    <row r="833" spans="1:23" ht="12.75" x14ac:dyDescent="0.2">
      <c r="A833" s="168"/>
      <c r="B833" s="555"/>
      <c r="C833" s="171" t="b">
        <v>0</v>
      </c>
      <c r="D833" s="172" t="str">
        <f ca="1">道具!$C$213</f>
        <v>灵魂匕首</v>
      </c>
      <c r="E833" s="555"/>
      <c r="F833" s="555"/>
      <c r="G833" s="555"/>
      <c r="H833" s="555"/>
      <c r="I833" s="555"/>
      <c r="J833" s="555"/>
      <c r="K833" s="555"/>
      <c r="L833" s="555"/>
      <c r="M833" s="555"/>
      <c r="N833" s="555"/>
      <c r="O833" s="555"/>
      <c r="P833" s="555"/>
      <c r="Q833" s="555"/>
      <c r="R833" s="173"/>
      <c r="S833" s="173" t="str">
        <f ca="1">Summon!$I$4</f>
        <v>战斗</v>
      </c>
      <c r="T833" s="555"/>
      <c r="U833" s="555"/>
      <c r="V833" s="555"/>
      <c r="W833" s="168"/>
    </row>
    <row r="834" spans="1:23" ht="12.75" x14ac:dyDescent="0.2">
      <c r="A834" s="168"/>
      <c r="B834" s="472" t="str">
        <f ca="1">语言!$A$2063</f>
        <v>船长</v>
      </c>
      <c r="C834" s="554" t="b">
        <v>0</v>
      </c>
      <c r="D834" s="472" t="str">
        <f ca="1">道具!$C$531</f>
        <v>秘药的素材（扩散）</v>
      </c>
      <c r="E834" s="554" t="b">
        <v>0</v>
      </c>
      <c r="F834" s="471" t="str">
        <f ca="1">语言!$A$33&amp;"
"&amp;道具!$C$12</f>
        <v>隐藏道具的资讯
ＨＰ／ＳＰ恢复的果酱</v>
      </c>
      <c r="G834" s="554" t="b">
        <v>0</v>
      </c>
      <c r="H834" s="556" t="s">
        <v>47</v>
      </c>
      <c r="I834" s="471">
        <v>4</v>
      </c>
      <c r="J834" s="471"/>
      <c r="K834" s="471"/>
      <c r="L834" s="471"/>
      <c r="M834" s="471"/>
      <c r="N834" s="471"/>
      <c r="O834" s="471" t="str">
        <f ca="1">道具!$C$10</f>
        <v>ＢＰ恢复的石榴（大）</v>
      </c>
      <c r="P834" s="554"/>
      <c r="Q834" s="556" t="s">
        <v>47</v>
      </c>
      <c r="R834" s="38"/>
      <c r="S834" s="38" t="str">
        <f ca="1">Summon!$I$53</f>
        <v>脑天击</v>
      </c>
      <c r="T834" s="556">
        <v>6</v>
      </c>
      <c r="U834" s="554"/>
      <c r="V834" s="471"/>
      <c r="W834" s="168"/>
    </row>
    <row r="835" spans="1:23" ht="12.75" x14ac:dyDescent="0.2">
      <c r="A835" s="168"/>
      <c r="B835" s="371"/>
      <c r="C835" s="371"/>
      <c r="D835" s="371"/>
      <c r="E835" s="371"/>
      <c r="F835" s="371"/>
      <c r="G835" s="371"/>
      <c r="H835" s="371"/>
      <c r="I835" s="371"/>
      <c r="J835" s="371"/>
      <c r="K835" s="371"/>
      <c r="L835" s="371"/>
      <c r="M835" s="371"/>
      <c r="N835" s="371"/>
      <c r="O835" s="371"/>
      <c r="P835" s="371"/>
      <c r="Q835" s="371"/>
      <c r="R835" s="38"/>
      <c r="S835" s="38" t="str">
        <f ca="1">Summon!$I$52</f>
        <v>重拳</v>
      </c>
      <c r="T835" s="371"/>
      <c r="U835" s="371"/>
      <c r="V835" s="371"/>
      <c r="W835" s="168"/>
    </row>
    <row r="836" spans="1:23" ht="12.75" x14ac:dyDescent="0.2">
      <c r="A836" s="168"/>
      <c r="B836" s="555"/>
      <c r="C836" s="555"/>
      <c r="D836" s="555"/>
      <c r="E836" s="555"/>
      <c r="F836" s="555"/>
      <c r="G836" s="555"/>
      <c r="H836" s="555"/>
      <c r="I836" s="555"/>
      <c r="J836" s="555"/>
      <c r="K836" s="555"/>
      <c r="L836" s="555"/>
      <c r="M836" s="555"/>
      <c r="N836" s="555"/>
      <c r="O836" s="555"/>
      <c r="P836" s="555"/>
      <c r="Q836" s="555"/>
      <c r="R836" s="173"/>
      <c r="S836" s="173" t="str">
        <f ca="1">Summon!$I$4</f>
        <v>战斗</v>
      </c>
      <c r="T836" s="555"/>
      <c r="U836" s="555"/>
      <c r="V836" s="555"/>
      <c r="W836" s="168"/>
    </row>
    <row r="837" spans="1:23" ht="12.75" x14ac:dyDescent="0.2">
      <c r="A837" s="168"/>
      <c r="B837" s="472" t="str">
        <f ca="1">语言!$A$1975</f>
        <v>商人</v>
      </c>
      <c r="C837" s="554"/>
      <c r="D837" s="560" t="s">
        <v>119</v>
      </c>
      <c r="E837" s="554" t="b">
        <v>0</v>
      </c>
      <c r="F837" s="471" t="str">
        <f ca="1">语言!$A$23</f>
        <v>无</v>
      </c>
      <c r="G837" s="554" t="b">
        <v>0</v>
      </c>
      <c r="H837" s="556" t="s">
        <v>48</v>
      </c>
      <c r="I837" s="471">
        <v>2</v>
      </c>
      <c r="J837" s="471"/>
      <c r="K837" s="471"/>
      <c r="L837" s="471"/>
      <c r="M837" s="471"/>
      <c r="N837" s="471"/>
      <c r="O837" s="471" t="str">
        <f ca="1">道具!$C$7</f>
        <v>ＳＰ恢复的李子（大）</v>
      </c>
      <c r="P837" s="554"/>
      <c r="Q837" s="556" t="s">
        <v>48</v>
      </c>
      <c r="R837" s="38"/>
      <c r="S837" s="38" t="str">
        <f ca="1">Summon!$I$52</f>
        <v>重拳</v>
      </c>
      <c r="T837" s="556">
        <v>9</v>
      </c>
      <c r="U837" s="554"/>
      <c r="V837" s="471"/>
      <c r="W837" s="168"/>
    </row>
    <row r="838" spans="1:23" ht="12.75" x14ac:dyDescent="0.2">
      <c r="A838" s="168"/>
      <c r="B838" s="555"/>
      <c r="C838" s="555"/>
      <c r="D838" s="555"/>
      <c r="E838" s="555"/>
      <c r="F838" s="555"/>
      <c r="G838" s="555"/>
      <c r="H838" s="555"/>
      <c r="I838" s="555"/>
      <c r="J838" s="555"/>
      <c r="K838" s="555"/>
      <c r="L838" s="555"/>
      <c r="M838" s="555"/>
      <c r="N838" s="555"/>
      <c r="O838" s="555"/>
      <c r="P838" s="555"/>
      <c r="Q838" s="555"/>
      <c r="R838" s="173"/>
      <c r="S838" s="173" t="str">
        <f ca="1">Summon!$I$4</f>
        <v>战斗</v>
      </c>
      <c r="T838" s="555"/>
      <c r="U838" s="555"/>
      <c r="V838" s="555"/>
      <c r="W838" s="168"/>
    </row>
    <row r="839" spans="1:23" ht="25.5" x14ac:dyDescent="0.2">
      <c r="A839" s="168"/>
      <c r="B839" s="472" t="str">
        <f ca="1">语言!$A$1798</f>
        <v>路边摊的客人</v>
      </c>
      <c r="C839" s="168" t="b">
        <v>0</v>
      </c>
      <c r="D839" s="40" t="str">
        <f ca="1">道具!$C$11</f>
        <v>ＢＰ恢复的石榴（特大）</v>
      </c>
      <c r="E839" s="554" t="b">
        <v>0</v>
      </c>
      <c r="F839" s="471" t="str">
        <f ca="1">语言!$A$33&amp;"
"&amp;道具!$C$7</f>
        <v>隐藏道具的资讯
ＳＰ恢复的李子（大）</v>
      </c>
      <c r="G839" s="554" t="b">
        <v>0</v>
      </c>
      <c r="H839" s="556" t="s">
        <v>46</v>
      </c>
      <c r="I839" s="471">
        <v>3</v>
      </c>
      <c r="J839" s="471"/>
      <c r="K839" s="471"/>
      <c r="L839" s="471"/>
      <c r="M839" s="471"/>
      <c r="N839" s="471"/>
      <c r="O839" s="471" t="str">
        <f ca="1">道具!$C$11</f>
        <v>ＢＰ恢复的石榴（特大）</v>
      </c>
      <c r="P839" s="554"/>
      <c r="Q839" s="556" t="s">
        <v>46</v>
      </c>
      <c r="R839" s="38"/>
      <c r="S839" s="38" t="str">
        <f ca="1">Summon!$I$80</f>
        <v>大火焰魔法</v>
      </c>
      <c r="T839" s="556">
        <v>8</v>
      </c>
      <c r="U839" s="554"/>
      <c r="V839" s="471"/>
      <c r="W839" s="168"/>
    </row>
    <row r="840" spans="1:23" ht="12.75" x14ac:dyDescent="0.2">
      <c r="A840" s="168"/>
      <c r="B840" s="371"/>
      <c r="C840" s="168" t="b">
        <v>0</v>
      </c>
      <c r="D840" s="40" t="str">
        <f ca="1">道具!$C$113</f>
        <v>擦得亮晶晶的银手表</v>
      </c>
      <c r="E840" s="371"/>
      <c r="F840" s="371"/>
      <c r="G840" s="371"/>
      <c r="H840" s="371"/>
      <c r="I840" s="371"/>
      <c r="J840" s="371"/>
      <c r="K840" s="371"/>
      <c r="L840" s="371"/>
      <c r="M840" s="371"/>
      <c r="N840" s="371"/>
      <c r="O840" s="371"/>
      <c r="P840" s="371"/>
      <c r="Q840" s="371"/>
      <c r="R840" s="38"/>
      <c r="S840" s="38" t="str">
        <f ca="1">Summon!$I$78</f>
        <v>火焰魔法</v>
      </c>
      <c r="T840" s="371"/>
      <c r="U840" s="371"/>
      <c r="V840" s="371"/>
      <c r="W840" s="168"/>
    </row>
    <row r="841" spans="1:23" ht="12.75" x14ac:dyDescent="0.2">
      <c r="A841" s="168"/>
      <c r="B841" s="555"/>
      <c r="C841" s="171" t="b">
        <v>0</v>
      </c>
      <c r="D841" s="172" t="str">
        <f ca="1">道具!$C$117</f>
        <v>鼓胀的钱包</v>
      </c>
      <c r="E841" s="555"/>
      <c r="F841" s="555"/>
      <c r="G841" s="555"/>
      <c r="H841" s="555"/>
      <c r="I841" s="555"/>
      <c r="J841" s="555"/>
      <c r="K841" s="555"/>
      <c r="L841" s="555"/>
      <c r="M841" s="555"/>
      <c r="N841" s="555"/>
      <c r="O841" s="555"/>
      <c r="P841" s="555"/>
      <c r="Q841" s="555"/>
      <c r="R841" s="173"/>
      <c r="S841" s="173" t="str">
        <f ca="1">Summon!$I$4</f>
        <v>战斗</v>
      </c>
      <c r="T841" s="555"/>
      <c r="U841" s="555"/>
      <c r="V841" s="555"/>
      <c r="W841" s="168"/>
    </row>
    <row r="842" spans="1:23" ht="12.75" x14ac:dyDescent="0.2">
      <c r="A842" s="168"/>
      <c r="B842" s="472" t="str">
        <f ca="1">语言!$A$1975</f>
        <v>商人</v>
      </c>
      <c r="C842" s="168" t="b">
        <v>0</v>
      </c>
      <c r="D842" s="40" t="str">
        <f ca="1">道具!$C$5</f>
        <v>ＨＰ全体恢复的葡萄</v>
      </c>
      <c r="E842" s="554" t="b">
        <v>0</v>
      </c>
      <c r="F842" s="471" t="str">
        <f ca="1">语言!$A$23</f>
        <v>无</v>
      </c>
      <c r="G842" s="554" t="b">
        <v>0</v>
      </c>
      <c r="H842" s="556" t="s">
        <v>51</v>
      </c>
      <c r="I842" s="471">
        <v>5</v>
      </c>
      <c r="J842" s="471"/>
      <c r="K842" s="471"/>
      <c r="L842" s="471"/>
      <c r="M842" s="471"/>
      <c r="N842" s="471"/>
      <c r="O842" s="471" t="str">
        <f ca="1">道具!$C$239</f>
        <v>食人魔猛击斧</v>
      </c>
      <c r="P842" s="554"/>
      <c r="Q842" s="556" t="s">
        <v>51</v>
      </c>
      <c r="R842" s="38"/>
      <c r="S842" s="38" t="str">
        <f ca="1">Summon!$I$174</f>
        <v>防御力提升</v>
      </c>
      <c r="T842" s="556">
        <v>6</v>
      </c>
      <c r="U842" s="554"/>
      <c r="V842" s="471"/>
      <c r="W842" s="168"/>
    </row>
    <row r="843" spans="1:23" ht="12.75" x14ac:dyDescent="0.2">
      <c r="A843" s="168"/>
      <c r="B843" s="371"/>
      <c r="C843" s="168" t="b">
        <v>0</v>
      </c>
      <c r="D843" s="40" t="str">
        <f ca="1">道具!$C$8</f>
        <v>ＳＰ全体恢复的李子</v>
      </c>
      <c r="E843" s="371"/>
      <c r="F843" s="371"/>
      <c r="G843" s="371"/>
      <c r="H843" s="371"/>
      <c r="I843" s="371"/>
      <c r="J843" s="371"/>
      <c r="K843" s="371"/>
      <c r="L843" s="371"/>
      <c r="M843" s="371"/>
      <c r="N843" s="371"/>
      <c r="O843" s="371"/>
      <c r="P843" s="371"/>
      <c r="Q843" s="371"/>
      <c r="R843" s="38"/>
      <c r="S843" s="38" t="str">
        <f ca="1">Summon!$I$53</f>
        <v>脑天击</v>
      </c>
      <c r="T843" s="371"/>
      <c r="U843" s="371"/>
      <c r="V843" s="371"/>
      <c r="W843" s="168"/>
    </row>
    <row r="844" spans="1:23" ht="25.5" x14ac:dyDescent="0.2">
      <c r="A844" s="168"/>
      <c r="B844" s="371"/>
      <c r="C844" s="168" t="b">
        <v>0</v>
      </c>
      <c r="D844" s="40" t="str">
        <f ca="1">道具!$C$11</f>
        <v>ＢＰ恢复的石榴（特大）</v>
      </c>
      <c r="E844" s="371"/>
      <c r="F844" s="371"/>
      <c r="G844" s="371"/>
      <c r="H844" s="371"/>
      <c r="I844" s="371"/>
      <c r="J844" s="371"/>
      <c r="K844" s="371"/>
      <c r="L844" s="371"/>
      <c r="M844" s="371"/>
      <c r="N844" s="371"/>
      <c r="O844" s="371"/>
      <c r="P844" s="371"/>
      <c r="Q844" s="371"/>
      <c r="R844" s="38"/>
      <c r="S844" s="38" t="str">
        <f ca="1">Summon!$I$4</f>
        <v>战斗</v>
      </c>
      <c r="T844" s="371"/>
      <c r="U844" s="371"/>
      <c r="V844" s="371"/>
      <c r="W844" s="168"/>
    </row>
    <row r="845" spans="1:23" ht="12.75" x14ac:dyDescent="0.2">
      <c r="A845" s="168"/>
      <c r="B845" s="371"/>
      <c r="C845" s="168" t="b">
        <v>0</v>
      </c>
      <c r="D845" s="40" t="str">
        <f ca="1">道具!$C$12</f>
        <v>ＨＰ／ＳＰ恢复的果酱</v>
      </c>
      <c r="E845" s="371"/>
      <c r="F845" s="371"/>
      <c r="G845" s="371"/>
      <c r="H845" s="371"/>
      <c r="I845" s="371"/>
      <c r="J845" s="371"/>
      <c r="K845" s="371"/>
      <c r="L845" s="371"/>
      <c r="M845" s="371"/>
      <c r="N845" s="371"/>
      <c r="O845" s="371"/>
      <c r="P845" s="371"/>
      <c r="Q845" s="371"/>
      <c r="R845" s="38"/>
      <c r="S845" s="38"/>
      <c r="T845" s="371"/>
      <c r="U845" s="371"/>
      <c r="V845" s="371"/>
      <c r="W845" s="168"/>
    </row>
    <row r="846" spans="1:23" ht="12.75" x14ac:dyDescent="0.2">
      <c r="A846" s="168"/>
      <c r="B846" s="555"/>
      <c r="C846" s="171" t="b">
        <v>0</v>
      </c>
      <c r="D846" s="172" t="str">
        <f ca="1">道具!$C$13</f>
        <v>ＨＰ／ＳＰ／ＢＰ恢复的果酱</v>
      </c>
      <c r="E846" s="555"/>
      <c r="F846" s="555"/>
      <c r="G846" s="555"/>
      <c r="H846" s="555"/>
      <c r="I846" s="555"/>
      <c r="J846" s="555"/>
      <c r="K846" s="555"/>
      <c r="L846" s="555"/>
      <c r="M846" s="555"/>
      <c r="N846" s="555"/>
      <c r="O846" s="555"/>
      <c r="P846" s="555"/>
      <c r="Q846" s="555"/>
      <c r="R846" s="173"/>
      <c r="S846" s="173"/>
      <c r="T846" s="555"/>
      <c r="U846" s="555"/>
      <c r="V846" s="555"/>
      <c r="W846" s="168"/>
    </row>
    <row r="847" spans="1:23" ht="12.75" x14ac:dyDescent="0.2">
      <c r="A847" s="168"/>
      <c r="B847" s="472" t="str">
        <f ca="1">语言!$A$1898</f>
        <v>狗</v>
      </c>
      <c r="C847" s="168" t="b">
        <v>0</v>
      </c>
      <c r="D847" s="40" t="str">
        <f ca="1">道具!$C$105</f>
        <v>项圈</v>
      </c>
      <c r="E847" s="554" t="b">
        <v>0</v>
      </c>
      <c r="F847" s="471" t="str">
        <f ca="1">语言!$A$23</f>
        <v>无</v>
      </c>
      <c r="G847" s="554"/>
      <c r="H847" s="559" t="s">
        <v>119</v>
      </c>
      <c r="I847" s="559" t="s">
        <v>119</v>
      </c>
      <c r="J847" s="559" t="s">
        <v>119</v>
      </c>
      <c r="K847" s="559" t="s">
        <v>119</v>
      </c>
      <c r="L847" s="559" t="s">
        <v>119</v>
      </c>
      <c r="M847" s="559" t="s">
        <v>119</v>
      </c>
      <c r="N847" s="559" t="s">
        <v>119</v>
      </c>
      <c r="O847" s="559" t="s">
        <v>119</v>
      </c>
      <c r="P847" s="554"/>
      <c r="Q847" s="559" t="s">
        <v>119</v>
      </c>
      <c r="R847" s="559" t="s">
        <v>119</v>
      </c>
      <c r="S847" s="559" t="s">
        <v>119</v>
      </c>
      <c r="T847" s="559" t="s">
        <v>119</v>
      </c>
      <c r="U847" s="554"/>
      <c r="V847" s="471" t="str">
        <f ca="1">"Can't "&amp;语言!$A$46&amp;", only "&amp;语言!$A$50</f>
        <v>Can't 购买, only 偷取</v>
      </c>
      <c r="W847" s="168"/>
    </row>
    <row r="848" spans="1:23" ht="12.75" x14ac:dyDescent="0.2">
      <c r="A848" s="168"/>
      <c r="B848" s="555"/>
      <c r="C848" s="171" t="b">
        <v>0</v>
      </c>
      <c r="D848" s="172" t="str">
        <f ca="1">道具!$C$104</f>
        <v>脏脏的布球</v>
      </c>
      <c r="E848" s="555"/>
      <c r="F848" s="555"/>
      <c r="G848" s="555"/>
      <c r="H848" s="555"/>
      <c r="I848" s="555"/>
      <c r="J848" s="555"/>
      <c r="K848" s="555"/>
      <c r="L848" s="555"/>
      <c r="M848" s="555"/>
      <c r="N848" s="555"/>
      <c r="O848" s="555"/>
      <c r="P848" s="555"/>
      <c r="Q848" s="555"/>
      <c r="R848" s="555"/>
      <c r="S848" s="555"/>
      <c r="T848" s="555"/>
      <c r="U848" s="555"/>
      <c r="V848" s="555"/>
      <c r="W848" s="168"/>
    </row>
    <row r="849" spans="1:23" ht="12.75" x14ac:dyDescent="0.2">
      <c r="A849" s="168"/>
      <c r="B849" s="172" t="str">
        <f ca="1">语言!$A$1897</f>
        <v>女孩</v>
      </c>
      <c r="C849" s="171" t="b">
        <v>0</v>
      </c>
      <c r="D849" s="172" t="str">
        <f ca="1">道具!$C$532</f>
        <v>含毒的素材</v>
      </c>
      <c r="E849" s="171" t="b">
        <v>0</v>
      </c>
      <c r="F849" s="173" t="str">
        <f ca="1">语言!$A$23</f>
        <v>无</v>
      </c>
      <c r="G849" s="171"/>
      <c r="H849" s="179" t="s">
        <v>119</v>
      </c>
      <c r="I849" s="179" t="s">
        <v>119</v>
      </c>
      <c r="J849" s="179" t="s">
        <v>119</v>
      </c>
      <c r="K849" s="179" t="s">
        <v>119</v>
      </c>
      <c r="L849" s="179" t="s">
        <v>119</v>
      </c>
      <c r="M849" s="179" t="s">
        <v>119</v>
      </c>
      <c r="N849" s="179" t="s">
        <v>119</v>
      </c>
      <c r="O849" s="179" t="s">
        <v>119</v>
      </c>
      <c r="P849" s="171"/>
      <c r="Q849" s="179" t="s">
        <v>119</v>
      </c>
      <c r="R849" s="179" t="s">
        <v>119</v>
      </c>
      <c r="S849" s="179" t="s">
        <v>119</v>
      </c>
      <c r="T849" s="179" t="s">
        <v>119</v>
      </c>
      <c r="U849" s="171"/>
      <c r="V849" s="173"/>
      <c r="W849" s="168"/>
    </row>
    <row r="850" spans="1:23" ht="12.75" x14ac:dyDescent="0.2">
      <c r="A850" s="168"/>
      <c r="B850" s="472" t="str">
        <f ca="1">语言!$A$1950</f>
        <v>拉拉</v>
      </c>
      <c r="C850" s="554" t="b">
        <v>0</v>
      </c>
      <c r="D850" s="472" t="str">
        <f ca="1">道具!$C$4</f>
        <v>ＨＰ恢复的葡萄（大）</v>
      </c>
      <c r="E850" s="554" t="b">
        <v>0</v>
      </c>
      <c r="F850" s="471" t="str">
        <f ca="1">道具!$I$32</f>
        <v>新生活</v>
      </c>
      <c r="G850" s="554" t="b">
        <v>0</v>
      </c>
      <c r="H850" s="556" t="s">
        <v>45</v>
      </c>
      <c r="I850" s="471">
        <v>2</v>
      </c>
      <c r="J850" s="471"/>
      <c r="K850" s="471"/>
      <c r="L850" s="471"/>
      <c r="M850" s="471"/>
      <c r="N850" s="471"/>
      <c r="O850" s="471" t="str">
        <f ca="1">道具!$C$4</f>
        <v>ＨＰ恢复的葡萄（大）</v>
      </c>
      <c r="P850" s="554"/>
      <c r="Q850" s="556" t="s">
        <v>45</v>
      </c>
      <c r="R850" s="38"/>
      <c r="S850" s="38" t="str">
        <f ca="1">Summon!$I$42</f>
        <v>猛击</v>
      </c>
      <c r="T850" s="556">
        <v>9</v>
      </c>
      <c r="U850" s="554"/>
      <c r="V850" s="471" t="str">
        <f ca="1">语言!$A$44&amp;" / "&amp;语言!$A$48&amp;" available after quest: "&amp;支线!$C$90</f>
        <v>引导 / 诱惑 available after quest: 罪人的愿望</v>
      </c>
      <c r="W850" s="168"/>
    </row>
    <row r="851" spans="1:23" ht="12.75" x14ac:dyDescent="0.2">
      <c r="A851" s="168"/>
      <c r="B851" s="555"/>
      <c r="C851" s="555"/>
      <c r="D851" s="555"/>
      <c r="E851" s="555"/>
      <c r="F851" s="555"/>
      <c r="G851" s="555"/>
      <c r="H851" s="555"/>
      <c r="I851" s="555"/>
      <c r="J851" s="555"/>
      <c r="K851" s="555"/>
      <c r="L851" s="555"/>
      <c r="M851" s="555"/>
      <c r="N851" s="555"/>
      <c r="O851" s="555"/>
      <c r="P851" s="555"/>
      <c r="Q851" s="555"/>
      <c r="R851" s="173"/>
      <c r="S851" s="173" t="str">
        <f ca="1">Summon!$I$4</f>
        <v>战斗</v>
      </c>
      <c r="T851" s="555"/>
      <c r="U851" s="555"/>
      <c r="V851" s="555"/>
      <c r="W851" s="168"/>
    </row>
    <row r="852" spans="1:23" ht="12.75" x14ac:dyDescent="0.2">
      <c r="A852" s="168"/>
      <c r="B852" s="472" t="str">
        <f ca="1">语言!$A$2129&amp;" (1)"</f>
        <v>来自卡拉戈沙的女子 (1)</v>
      </c>
      <c r="C852" s="168" t="b">
        <v>0</v>
      </c>
      <c r="D852" s="40" t="str">
        <f ca="1">道具!$C$530</f>
        <v>秘药的素材</v>
      </c>
      <c r="E852" s="554" t="b">
        <v>0</v>
      </c>
      <c r="F852" s="471" t="str">
        <f ca="1">语言!$A$23</f>
        <v>无</v>
      </c>
      <c r="G852" s="554" t="b">
        <v>0</v>
      </c>
      <c r="H852" s="556" t="s">
        <v>48</v>
      </c>
      <c r="I852" s="471">
        <v>2</v>
      </c>
      <c r="J852" s="471"/>
      <c r="K852" s="471"/>
      <c r="L852" s="471"/>
      <c r="M852" s="471"/>
      <c r="N852" s="471"/>
      <c r="O852" s="471" t="str">
        <f ca="1">道具!$C$18</f>
        <v>毒治疗药草</v>
      </c>
      <c r="P852" s="554"/>
      <c r="Q852" s="556" t="s">
        <v>48</v>
      </c>
      <c r="R852" s="38"/>
      <c r="S852" s="38" t="str">
        <f ca="1">Summon!$I$48</f>
        <v>连掷短剑</v>
      </c>
      <c r="T852" s="556">
        <v>9</v>
      </c>
      <c r="U852" s="554"/>
      <c r="V852" s="471" t="str">
        <f ca="1">"Moves to "&amp;语言!$A$366&amp;" after quest: "&amp;支线!$C$54&amp;" ("&amp;语言!$A$44&amp;" / "&amp;语言!$A$48&amp;" solution only)"</f>
        <v>Moves to 利布尔泰德 after quest: 异国的香氛 (引导 / 诱惑 solution only)</v>
      </c>
      <c r="W852" s="168"/>
    </row>
    <row r="853" spans="1:23" ht="12.75" x14ac:dyDescent="0.2">
      <c r="A853" s="168"/>
      <c r="B853" s="555"/>
      <c r="C853" s="171" t="b">
        <v>0</v>
      </c>
      <c r="D853" s="172" t="str">
        <f ca="1">道具!$C$7</f>
        <v>ＳＰ恢复的李子（大）</v>
      </c>
      <c r="E853" s="555"/>
      <c r="F853" s="555"/>
      <c r="G853" s="555"/>
      <c r="H853" s="555"/>
      <c r="I853" s="555"/>
      <c r="J853" s="555"/>
      <c r="K853" s="555"/>
      <c r="L853" s="555"/>
      <c r="M853" s="555"/>
      <c r="N853" s="555"/>
      <c r="O853" s="555"/>
      <c r="P853" s="555"/>
      <c r="Q853" s="555"/>
      <c r="R853" s="173"/>
      <c r="S853" s="173" t="str">
        <f ca="1">Summon!$I$4</f>
        <v>战斗</v>
      </c>
      <c r="T853" s="555"/>
      <c r="U853" s="555"/>
      <c r="V853" s="555"/>
      <c r="W853" s="168"/>
    </row>
    <row r="854" spans="1:23" ht="12.75" x14ac:dyDescent="0.2">
      <c r="A854" s="168"/>
      <c r="B854" s="472" t="str">
        <f ca="1">语言!$A$1798</f>
        <v>路边摊的客人</v>
      </c>
      <c r="C854" s="168" t="b">
        <v>0</v>
      </c>
      <c r="D854" s="40" t="str">
        <f ca="1">道具!$C$9</f>
        <v>ＢＰ恢复的石榴</v>
      </c>
      <c r="E854" s="554" t="b">
        <v>0</v>
      </c>
      <c r="F854" s="471" t="str">
        <f ca="1">语言!$A$23</f>
        <v>无</v>
      </c>
      <c r="G854" s="554" t="b">
        <v>0</v>
      </c>
      <c r="H854" s="556" t="s">
        <v>51</v>
      </c>
      <c r="I854" s="471">
        <v>5</v>
      </c>
      <c r="J854" s="471"/>
      <c r="K854" s="471"/>
      <c r="L854" s="471"/>
      <c r="M854" s="471"/>
      <c r="N854" s="471"/>
      <c r="O854" s="471" t="str">
        <f ca="1">道具!$C$305</f>
        <v>术士之杖</v>
      </c>
      <c r="P854" s="554"/>
      <c r="Q854" s="556" t="s">
        <v>51</v>
      </c>
      <c r="R854" s="38"/>
      <c r="S854" s="38" t="str">
        <f ca="1">Summon!$I$88</f>
        <v>特大冰冻魔法</v>
      </c>
      <c r="T854" s="556">
        <v>6</v>
      </c>
      <c r="U854" s="554"/>
      <c r="V854" s="471"/>
      <c r="W854" s="168"/>
    </row>
    <row r="855" spans="1:23" ht="25.5" x14ac:dyDescent="0.2">
      <c r="A855" s="168"/>
      <c r="B855" s="371"/>
      <c r="C855" s="168" t="b">
        <v>0</v>
      </c>
      <c r="D855" s="40" t="str">
        <f ca="1">道具!$C$10</f>
        <v>ＢＰ恢复的石榴（大）</v>
      </c>
      <c r="E855" s="371"/>
      <c r="F855" s="371"/>
      <c r="G855" s="371"/>
      <c r="H855" s="371"/>
      <c r="I855" s="371"/>
      <c r="J855" s="371"/>
      <c r="K855" s="371"/>
      <c r="L855" s="371"/>
      <c r="M855" s="371"/>
      <c r="N855" s="371"/>
      <c r="O855" s="371"/>
      <c r="P855" s="371"/>
      <c r="Q855" s="371"/>
      <c r="R855" s="38"/>
      <c r="S855" s="38" t="str">
        <f ca="1">Summon!$I$87</f>
        <v>大冰冻魔法</v>
      </c>
      <c r="T855" s="371"/>
      <c r="U855" s="371"/>
      <c r="V855" s="371"/>
      <c r="W855" s="168"/>
    </row>
    <row r="856" spans="1:23" ht="25.5" x14ac:dyDescent="0.2">
      <c r="A856" s="168"/>
      <c r="B856" s="555"/>
      <c r="C856" s="171" t="b">
        <v>0</v>
      </c>
      <c r="D856" s="172" t="str">
        <f ca="1">道具!$C$11</f>
        <v>ＢＰ恢复的石榴（特大）</v>
      </c>
      <c r="E856" s="555"/>
      <c r="F856" s="555"/>
      <c r="G856" s="555"/>
      <c r="H856" s="555"/>
      <c r="I856" s="555"/>
      <c r="J856" s="555"/>
      <c r="K856" s="555"/>
      <c r="L856" s="555"/>
      <c r="M856" s="555"/>
      <c r="N856" s="555"/>
      <c r="O856" s="555"/>
      <c r="P856" s="555"/>
      <c r="Q856" s="555"/>
      <c r="R856" s="173"/>
      <c r="S856" s="173" t="str">
        <f ca="1">Summon!$I$4</f>
        <v>战斗</v>
      </c>
      <c r="T856" s="555"/>
      <c r="U856" s="555"/>
      <c r="V856" s="555"/>
      <c r="W856" s="168"/>
    </row>
    <row r="857" spans="1:23" ht="12.75" x14ac:dyDescent="0.2">
      <c r="A857" s="168"/>
      <c r="B857" s="472" t="str">
        <f ca="1">语言!$A$1975</f>
        <v>商人</v>
      </c>
      <c r="C857" s="168" t="b">
        <v>0</v>
      </c>
      <c r="D857" s="40" t="str">
        <f ca="1">道具!$C$188</f>
        <v>元素长柄刀</v>
      </c>
      <c r="E857" s="554" t="b">
        <v>0</v>
      </c>
      <c r="F857" s="471" t="str">
        <f ca="1">语言!$A$23</f>
        <v>无</v>
      </c>
      <c r="G857" s="554" t="b">
        <v>0</v>
      </c>
      <c r="H857" s="556" t="s">
        <v>49</v>
      </c>
      <c r="I857" s="471">
        <v>4</v>
      </c>
      <c r="J857" s="471"/>
      <c r="K857" s="471"/>
      <c r="L857" s="471"/>
      <c r="M857" s="471"/>
      <c r="N857" s="471"/>
      <c r="O857" s="471" t="str">
        <f ca="1">道具!$C$4</f>
        <v>ＨＰ恢复的葡萄（大）</v>
      </c>
      <c r="P857" s="554"/>
      <c r="Q857" s="556" t="s">
        <v>49</v>
      </c>
      <c r="R857" s="38"/>
      <c r="S857" s="38" t="str">
        <f ca="1">Summon!$I$68</f>
        <v>恐慌之矢</v>
      </c>
      <c r="T857" s="556"/>
      <c r="U857" s="554"/>
      <c r="V857" s="471"/>
      <c r="W857" s="168"/>
    </row>
    <row r="858" spans="1:23" ht="12.75" x14ac:dyDescent="0.2">
      <c r="A858" s="168"/>
      <c r="B858" s="371"/>
      <c r="C858" s="168" t="b">
        <v>0</v>
      </c>
      <c r="D858" s="40" t="str">
        <f ca="1">道具!$C$174</f>
        <v>符文长柄刀</v>
      </c>
      <c r="E858" s="371"/>
      <c r="F858" s="371"/>
      <c r="G858" s="371"/>
      <c r="H858" s="371"/>
      <c r="I858" s="371"/>
      <c r="J858" s="371"/>
      <c r="K858" s="371"/>
      <c r="L858" s="371"/>
      <c r="M858" s="371"/>
      <c r="N858" s="371"/>
      <c r="O858" s="371"/>
      <c r="P858" s="371"/>
      <c r="Q858" s="371"/>
      <c r="R858" s="38"/>
      <c r="S858" s="38" t="str">
        <f ca="1">Summon!$I$64</f>
        <v>精准射击</v>
      </c>
      <c r="T858" s="371"/>
      <c r="U858" s="371"/>
      <c r="V858" s="371"/>
      <c r="W858" s="168"/>
    </row>
    <row r="859" spans="1:23" ht="12.75" x14ac:dyDescent="0.2">
      <c r="A859" s="168"/>
      <c r="B859" s="371"/>
      <c r="C859" s="168" t="b">
        <v>0</v>
      </c>
      <c r="D859" s="40" t="str">
        <f ca="1">道具!$C$180</f>
        <v>胜利长枪</v>
      </c>
      <c r="E859" s="371"/>
      <c r="F859" s="371"/>
      <c r="G859" s="371"/>
      <c r="H859" s="371"/>
      <c r="I859" s="371"/>
      <c r="J859" s="371"/>
      <c r="K859" s="371"/>
      <c r="L859" s="371"/>
      <c r="M859" s="371"/>
      <c r="N859" s="371"/>
      <c r="O859" s="371"/>
      <c r="P859" s="371"/>
      <c r="Q859" s="371"/>
      <c r="R859" s="38"/>
      <c r="S859" s="38" t="str">
        <f ca="1">Summon!$I$4</f>
        <v>战斗</v>
      </c>
      <c r="T859" s="371"/>
      <c r="U859" s="371"/>
      <c r="V859" s="371"/>
      <c r="W859" s="168"/>
    </row>
    <row r="860" spans="1:23" ht="12.75" x14ac:dyDescent="0.2">
      <c r="A860" s="168"/>
      <c r="B860" s="371"/>
      <c r="C860" s="168" t="b">
        <v>0</v>
      </c>
      <c r="D860" s="40" t="str">
        <f ca="1">道具!$C$187</f>
        <v>大桥骑枪</v>
      </c>
      <c r="E860" s="371"/>
      <c r="F860" s="371"/>
      <c r="G860" s="371"/>
      <c r="H860" s="371"/>
      <c r="I860" s="371"/>
      <c r="J860" s="371"/>
      <c r="K860" s="371"/>
      <c r="L860" s="371"/>
      <c r="M860" s="371"/>
      <c r="N860" s="371"/>
      <c r="O860" s="371"/>
      <c r="P860" s="371"/>
      <c r="Q860" s="371"/>
      <c r="R860" s="38"/>
      <c r="S860" s="38"/>
      <c r="T860" s="371"/>
      <c r="U860" s="371"/>
      <c r="V860" s="371"/>
      <c r="W860" s="168"/>
    </row>
    <row r="861" spans="1:23" ht="12.75" x14ac:dyDescent="0.2">
      <c r="A861" s="168"/>
      <c r="B861" s="555"/>
      <c r="C861" s="171" t="b">
        <v>0</v>
      </c>
      <c r="D861" s="172" t="str">
        <f ca="1">道具!$C$177</f>
        <v>灾厄骑枪</v>
      </c>
      <c r="E861" s="555"/>
      <c r="F861" s="555"/>
      <c r="G861" s="555"/>
      <c r="H861" s="555"/>
      <c r="I861" s="555"/>
      <c r="J861" s="555"/>
      <c r="K861" s="555"/>
      <c r="L861" s="555"/>
      <c r="M861" s="555"/>
      <c r="N861" s="555"/>
      <c r="O861" s="555"/>
      <c r="P861" s="555"/>
      <c r="Q861" s="555"/>
      <c r="R861" s="173"/>
      <c r="S861" s="173"/>
      <c r="T861" s="555"/>
      <c r="U861" s="555"/>
      <c r="V861" s="555"/>
      <c r="W861" s="168"/>
    </row>
    <row r="862" spans="1:23" ht="12.75" x14ac:dyDescent="0.2">
      <c r="A862" s="168"/>
      <c r="B862" s="472" t="str">
        <f ca="1">语言!$A$1970</f>
        <v>能干的宝石商</v>
      </c>
      <c r="C862" s="554" t="b">
        <v>0</v>
      </c>
      <c r="D862" s="472" t="str">
        <f ca="1">"* "&amp;道具!$F$55</f>
        <v>* 拜伦的戒指</v>
      </c>
      <c r="E862" s="554" t="b">
        <v>0</v>
      </c>
      <c r="F862" s="471" t="str">
        <f ca="1">语言!$A$23</f>
        <v>无</v>
      </c>
      <c r="G862" s="554" t="b">
        <v>0</v>
      </c>
      <c r="H862" s="556" t="s">
        <v>46</v>
      </c>
      <c r="I862" s="471">
        <v>3</v>
      </c>
      <c r="J862" s="471"/>
      <c r="K862" s="471"/>
      <c r="L862" s="471"/>
      <c r="M862" s="471"/>
      <c r="N862" s="471"/>
      <c r="O862" s="471" t="str">
        <f ca="1">道具!$C$12</f>
        <v>ＨＰ／ＳＰ恢复的果酱</v>
      </c>
      <c r="P862" s="554"/>
      <c r="Q862" s="556" t="s">
        <v>46</v>
      </c>
      <c r="R862" s="38"/>
      <c r="S862" s="38" t="str">
        <f ca="1">Summon!$I$155</f>
        <v>防御力下降</v>
      </c>
      <c r="T862" s="556">
        <v>8</v>
      </c>
      <c r="U862" s="554"/>
      <c r="V862" s="471"/>
      <c r="W862" s="168"/>
    </row>
    <row r="863" spans="1:23" ht="12.75" x14ac:dyDescent="0.2">
      <c r="A863" s="168"/>
      <c r="B863" s="371"/>
      <c r="C863" s="371"/>
      <c r="D863" s="371"/>
      <c r="E863" s="371"/>
      <c r="F863" s="371"/>
      <c r="G863" s="371"/>
      <c r="H863" s="371"/>
      <c r="I863" s="371"/>
      <c r="J863" s="371"/>
      <c r="K863" s="371"/>
      <c r="L863" s="371"/>
      <c r="M863" s="371"/>
      <c r="N863" s="371"/>
      <c r="O863" s="371"/>
      <c r="P863" s="371"/>
      <c r="Q863" s="371"/>
      <c r="R863" s="38"/>
      <c r="S863" s="38" t="str">
        <f ca="1">Summon!$I$37</f>
        <v>疾风二连突刺</v>
      </c>
      <c r="T863" s="371"/>
      <c r="U863" s="371"/>
      <c r="V863" s="371"/>
      <c r="W863" s="168"/>
    </row>
    <row r="864" spans="1:23" ht="12.75" x14ac:dyDescent="0.2">
      <c r="A864" s="168"/>
      <c r="B864" s="371"/>
      <c r="C864" s="371"/>
      <c r="D864" s="371"/>
      <c r="E864" s="371"/>
      <c r="F864" s="371"/>
      <c r="G864" s="371"/>
      <c r="H864" s="371"/>
      <c r="I864" s="371"/>
      <c r="J864" s="371"/>
      <c r="K864" s="371"/>
      <c r="L864" s="371"/>
      <c r="M864" s="371"/>
      <c r="N864" s="371"/>
      <c r="O864" s="371"/>
      <c r="P864" s="371"/>
      <c r="Q864" s="371"/>
      <c r="R864" s="38"/>
      <c r="S864" s="38" t="str">
        <f ca="1">Summon!$I$30</f>
        <v>突刺</v>
      </c>
      <c r="T864" s="371"/>
      <c r="U864" s="371"/>
      <c r="V864" s="371"/>
      <c r="W864" s="168"/>
    </row>
    <row r="865" spans="1:23" ht="12.75" x14ac:dyDescent="0.2">
      <c r="A865" s="168"/>
      <c r="B865" s="555"/>
      <c r="C865" s="555"/>
      <c r="D865" s="555"/>
      <c r="E865" s="555"/>
      <c r="F865" s="555"/>
      <c r="G865" s="555"/>
      <c r="H865" s="555"/>
      <c r="I865" s="555"/>
      <c r="J865" s="555"/>
      <c r="K865" s="555"/>
      <c r="L865" s="555"/>
      <c r="M865" s="555"/>
      <c r="N865" s="555"/>
      <c r="O865" s="555"/>
      <c r="P865" s="555"/>
      <c r="Q865" s="555"/>
      <c r="R865" s="173"/>
      <c r="S865" s="173" t="str">
        <f ca="1">Summon!$I$4</f>
        <v>战斗</v>
      </c>
      <c r="T865" s="555"/>
      <c r="U865" s="555"/>
      <c r="V865" s="555"/>
      <c r="W865" s="168"/>
    </row>
    <row r="866" spans="1:23" ht="12.75" x14ac:dyDescent="0.2">
      <c r="A866" s="168"/>
      <c r="B866" s="472" t="str">
        <f ca="1">语言!$A$1836</f>
        <v>诡异的旧货商</v>
      </c>
      <c r="C866" s="554" t="b">
        <v>0</v>
      </c>
      <c r="D866" s="472" t="str">
        <f ca="1">"* "&amp;道具!$F$56</f>
        <v>* 索克拉斯之剑</v>
      </c>
      <c r="E866" s="554" t="b">
        <v>0</v>
      </c>
      <c r="F866" s="471" t="str">
        <f ca="1">语言!$A$23</f>
        <v>无</v>
      </c>
      <c r="G866" s="554" t="b">
        <v>0</v>
      </c>
      <c r="H866" s="556" t="s">
        <v>50</v>
      </c>
      <c r="I866" s="471">
        <v>4</v>
      </c>
      <c r="J866" s="471"/>
      <c r="K866" s="471"/>
      <c r="L866" s="471"/>
      <c r="M866" s="471"/>
      <c r="N866" s="471"/>
      <c r="O866" s="471" t="str">
        <f ca="1">道具!$C$5</f>
        <v>ＨＰ全体恢复的葡萄</v>
      </c>
      <c r="P866" s="554"/>
      <c r="Q866" s="556" t="s">
        <v>50</v>
      </c>
      <c r="R866" s="38"/>
      <c r="S866" s="38" t="str">
        <f ca="1">Summon!$I$157</f>
        <v>攻击力下降</v>
      </c>
      <c r="T866" s="556">
        <v>7</v>
      </c>
      <c r="U866" s="554"/>
      <c r="V866" s="471"/>
      <c r="W866" s="168"/>
    </row>
    <row r="867" spans="1:23" ht="12.75" x14ac:dyDescent="0.2">
      <c r="A867" s="168"/>
      <c r="B867" s="371"/>
      <c r="C867" s="371"/>
      <c r="D867" s="371"/>
      <c r="E867" s="371"/>
      <c r="F867" s="371"/>
      <c r="G867" s="371"/>
      <c r="H867" s="371"/>
      <c r="I867" s="371"/>
      <c r="J867" s="371"/>
      <c r="K867" s="371"/>
      <c r="L867" s="371"/>
      <c r="M867" s="371"/>
      <c r="N867" s="371"/>
      <c r="O867" s="371"/>
      <c r="P867" s="371"/>
      <c r="Q867" s="371"/>
      <c r="R867" s="38"/>
      <c r="S867" s="38" t="str">
        <f ca="1">Summon!$I$143</f>
        <v>暗暗药</v>
      </c>
      <c r="T867" s="371"/>
      <c r="U867" s="371"/>
      <c r="V867" s="371"/>
      <c r="W867" s="168"/>
    </row>
    <row r="868" spans="1:23" ht="12.75" x14ac:dyDescent="0.2">
      <c r="A868" s="168"/>
      <c r="B868" s="555"/>
      <c r="C868" s="555"/>
      <c r="D868" s="555"/>
      <c r="E868" s="555"/>
      <c r="F868" s="555"/>
      <c r="G868" s="555"/>
      <c r="H868" s="555"/>
      <c r="I868" s="555"/>
      <c r="J868" s="555"/>
      <c r="K868" s="555"/>
      <c r="L868" s="555"/>
      <c r="M868" s="555"/>
      <c r="N868" s="555"/>
      <c r="O868" s="555"/>
      <c r="P868" s="555"/>
      <c r="Q868" s="555"/>
      <c r="R868" s="173"/>
      <c r="S868" s="173" t="str">
        <f ca="1">Summon!$I$4</f>
        <v>战斗</v>
      </c>
      <c r="T868" s="555"/>
      <c r="U868" s="555"/>
      <c r="V868" s="555"/>
      <c r="W868" s="168"/>
    </row>
    <row r="869" spans="1:23" ht="25.5" x14ac:dyDescent="0.2">
      <c r="A869" s="168"/>
      <c r="B869" s="172" t="str">
        <f ca="1">语言!$A$1926&amp;" (1)"</f>
        <v>日记伯伯英格 (1)</v>
      </c>
      <c r="C869" s="171" t="b">
        <v>0</v>
      </c>
      <c r="D869" s="172" t="str">
        <f ca="1">道具!$C$7</f>
        <v>ＳＰ恢复的李子（大）</v>
      </c>
      <c r="E869" s="171" t="b">
        <v>0</v>
      </c>
      <c r="F869" s="173" t="str">
        <f ca="1">语言!$A$23</f>
        <v>无</v>
      </c>
      <c r="G869" s="171" t="b">
        <v>0</v>
      </c>
      <c r="H869" s="175" t="s">
        <v>57</v>
      </c>
      <c r="I869" s="173">
        <v>3</v>
      </c>
      <c r="J869" s="173"/>
      <c r="K869" s="173"/>
      <c r="L869" s="173"/>
      <c r="M869" s="173"/>
      <c r="N869" s="173"/>
      <c r="O869" s="173" t="str">
        <f ca="1">道具!$C$7</f>
        <v>ＳＰ恢复的李子（大）</v>
      </c>
      <c r="P869" s="171"/>
      <c r="Q869" s="179" t="s">
        <v>119</v>
      </c>
      <c r="R869" s="179" t="s">
        <v>119</v>
      </c>
      <c r="S869" s="179" t="s">
        <v>119</v>
      </c>
      <c r="T869" s="179" t="s">
        <v>119</v>
      </c>
      <c r="U869" s="171"/>
      <c r="V869" s="173" t="str">
        <f ca="1">"NPC available during "&amp;语言!$A$37&amp;" chapter 4 (before getting our diary stolen)
Change name after: "&amp;语言!$A$37&amp;" chapter 4"</f>
        <v>NPC available during 特蕾莎 chapter 4 (before getting our diary stolen)
Change name after: 特蕾莎 chapter 4</v>
      </c>
      <c r="W869" s="168"/>
    </row>
    <row r="870" spans="1:23" ht="12.75" x14ac:dyDescent="0.2">
      <c r="A870" s="168"/>
      <c r="B870" s="472" t="str">
        <f ca="1">语言!$A$1926&amp;" (2)"</f>
        <v>日记伯伯英格 (2)</v>
      </c>
      <c r="C870" s="168" t="b">
        <v>0</v>
      </c>
      <c r="D870" s="40" t="str">
        <f ca="1">道具!$C$533</f>
        <v>含毒的素材（扩散）</v>
      </c>
      <c r="E870" s="554" t="b">
        <v>0</v>
      </c>
      <c r="F870" s="471" t="str">
        <f ca="1">语言!$A$23</f>
        <v>无</v>
      </c>
      <c r="G870" s="554" t="b">
        <v>0</v>
      </c>
      <c r="H870" s="556" t="s">
        <v>57</v>
      </c>
      <c r="I870" s="471">
        <v>3</v>
      </c>
      <c r="J870" s="471"/>
      <c r="K870" s="471"/>
      <c r="L870" s="471"/>
      <c r="M870" s="471"/>
      <c r="N870" s="471"/>
      <c r="O870" s="471" t="str">
        <f ca="1">道具!$C$7</f>
        <v>ＳＰ恢复的李子（大）</v>
      </c>
      <c r="P870" s="554"/>
      <c r="Q870" s="556" t="s">
        <v>57</v>
      </c>
      <c r="R870" s="38"/>
      <c r="S870" s="38" t="str">
        <f ca="1">Summon!$I$113</f>
        <v>全力投掷日记</v>
      </c>
      <c r="T870" s="556">
        <v>8</v>
      </c>
      <c r="U870" s="554"/>
      <c r="V870" s="471" t="str">
        <f ca="1">"NPC available after "&amp;语言!$A$37&amp;" chapter 4"</f>
        <v>NPC available after 特蕾莎 chapter 4</v>
      </c>
      <c r="W870" s="168"/>
    </row>
    <row r="871" spans="1:23" ht="12.75" x14ac:dyDescent="0.2">
      <c r="A871" s="168"/>
      <c r="B871" s="371"/>
      <c r="C871" s="168" t="b">
        <v>0</v>
      </c>
      <c r="D871" s="40" t="str">
        <f ca="1">道具!$C$474</f>
        <v>精神项链</v>
      </c>
      <c r="E871" s="371"/>
      <c r="F871" s="371"/>
      <c r="G871" s="371"/>
      <c r="H871" s="371"/>
      <c r="I871" s="371"/>
      <c r="J871" s="371"/>
      <c r="K871" s="371"/>
      <c r="L871" s="371"/>
      <c r="M871" s="371"/>
      <c r="N871" s="371"/>
      <c r="O871" s="371"/>
      <c r="P871" s="371"/>
      <c r="Q871" s="371"/>
      <c r="R871" s="38"/>
      <c r="S871" s="38" t="str">
        <f ca="1">Summon!$I$109</f>
        <v>投掷日记</v>
      </c>
      <c r="T871" s="371"/>
      <c r="U871" s="371"/>
      <c r="V871" s="371"/>
      <c r="W871" s="168"/>
    </row>
    <row r="872" spans="1:23" ht="12.75" x14ac:dyDescent="0.2">
      <c r="A872" s="168"/>
      <c r="B872" s="555"/>
      <c r="C872" s="171"/>
      <c r="D872" s="172"/>
      <c r="E872" s="555"/>
      <c r="F872" s="555"/>
      <c r="G872" s="555"/>
      <c r="H872" s="555"/>
      <c r="I872" s="555"/>
      <c r="J872" s="555"/>
      <c r="K872" s="555"/>
      <c r="L872" s="555"/>
      <c r="M872" s="555"/>
      <c r="N872" s="555"/>
      <c r="O872" s="555"/>
      <c r="P872" s="555"/>
      <c r="Q872" s="555"/>
      <c r="R872" s="173"/>
      <c r="S872" s="173" t="str">
        <f ca="1">Summon!$I$4</f>
        <v>战斗</v>
      </c>
      <c r="T872" s="555"/>
      <c r="U872" s="555"/>
      <c r="V872" s="555"/>
      <c r="W872" s="168"/>
    </row>
    <row r="873" spans="1:23" ht="12.75" x14ac:dyDescent="0.2">
      <c r="A873" s="168"/>
      <c r="B873" s="472" t="str">
        <f ca="1">语言!$A$1903</f>
        <v>卫兵</v>
      </c>
      <c r="C873" s="554" t="b">
        <v>0</v>
      </c>
      <c r="D873" s="472" t="str">
        <f ca="1">道具!$C$475</f>
        <v>守护项链</v>
      </c>
      <c r="E873" s="554" t="b">
        <v>0</v>
      </c>
      <c r="F873" s="471" t="str">
        <f ca="1">语言!$A$23</f>
        <v>无</v>
      </c>
      <c r="G873" s="554" t="b">
        <v>0</v>
      </c>
      <c r="H873" s="556" t="s">
        <v>44</v>
      </c>
      <c r="I873" s="471">
        <v>6</v>
      </c>
      <c r="J873" s="471"/>
      <c r="K873" s="471"/>
      <c r="L873" s="471"/>
      <c r="M873" s="471"/>
      <c r="N873" s="471"/>
      <c r="O873" s="471" t="str">
        <f ca="1">道具!$C$141</f>
        <v>皇帝之刃</v>
      </c>
      <c r="P873" s="554"/>
      <c r="Q873" s="556" t="s">
        <v>44</v>
      </c>
      <c r="R873" s="38"/>
      <c r="S873" s="38" t="str">
        <f ca="1">Summon!$I$168</f>
        <v>攻击架式</v>
      </c>
      <c r="T873" s="556">
        <v>5</v>
      </c>
      <c r="U873" s="554"/>
      <c r="V873" s="471"/>
      <c r="W873" s="168"/>
    </row>
    <row r="874" spans="1:23" ht="12.75" x14ac:dyDescent="0.2">
      <c r="A874" s="168"/>
      <c r="B874" s="371"/>
      <c r="C874" s="371"/>
      <c r="D874" s="371"/>
      <c r="E874" s="371"/>
      <c r="F874" s="371"/>
      <c r="G874" s="371"/>
      <c r="H874" s="371"/>
      <c r="I874" s="371"/>
      <c r="J874" s="371"/>
      <c r="K874" s="371"/>
      <c r="L874" s="371"/>
      <c r="M874" s="371"/>
      <c r="N874" s="371"/>
      <c r="O874" s="371"/>
      <c r="P874" s="371"/>
      <c r="Q874" s="371"/>
      <c r="R874" s="38"/>
      <c r="S874" s="38" t="str">
        <f ca="1">Summon!$I$9</f>
        <v>高速推进</v>
      </c>
      <c r="T874" s="371"/>
      <c r="U874" s="371"/>
      <c r="V874" s="371"/>
      <c r="W874" s="168"/>
    </row>
    <row r="875" spans="1:23" ht="12.75" x14ac:dyDescent="0.2">
      <c r="A875" s="168"/>
      <c r="B875" s="555"/>
      <c r="C875" s="555"/>
      <c r="D875" s="555"/>
      <c r="E875" s="555"/>
      <c r="F875" s="555"/>
      <c r="G875" s="555"/>
      <c r="H875" s="555"/>
      <c r="I875" s="555"/>
      <c r="J875" s="555"/>
      <c r="K875" s="555"/>
      <c r="L875" s="555"/>
      <c r="M875" s="555"/>
      <c r="N875" s="555"/>
      <c r="O875" s="555"/>
      <c r="P875" s="555"/>
      <c r="Q875" s="555"/>
      <c r="R875" s="173"/>
      <c r="S875" s="173" t="str">
        <f ca="1">Summon!$I$4</f>
        <v>战斗</v>
      </c>
      <c r="T875" s="555"/>
      <c r="U875" s="555"/>
      <c r="V875" s="555"/>
      <c r="W875" s="168"/>
    </row>
    <row r="876" spans="1:23" ht="12.75" x14ac:dyDescent="0.2">
      <c r="A876" s="168"/>
      <c r="B876" s="472" t="str">
        <f ca="1">语言!$A$1895</f>
        <v>管家吉尔</v>
      </c>
      <c r="C876" s="554" t="b">
        <v>0</v>
      </c>
      <c r="D876" s="472" t="str">
        <f ca="1">道具!$C$435</f>
        <v>犄角背心</v>
      </c>
      <c r="E876" s="554" t="b">
        <v>0</v>
      </c>
      <c r="F876" s="471" t="str">
        <f ca="1">语言!$A$23</f>
        <v>无</v>
      </c>
      <c r="G876" s="554" t="b">
        <v>0</v>
      </c>
      <c r="H876" s="556" t="s">
        <v>44</v>
      </c>
      <c r="I876" s="471">
        <v>6</v>
      </c>
      <c r="J876" s="471"/>
      <c r="K876" s="471"/>
      <c r="L876" s="471"/>
      <c r="M876" s="471"/>
      <c r="N876" s="471"/>
      <c r="O876" s="471" t="str">
        <f ca="1">道具!$C$142</f>
        <v>透明军刀</v>
      </c>
      <c r="P876" s="554"/>
      <c r="Q876" s="556" t="s">
        <v>44</v>
      </c>
      <c r="R876" s="38"/>
      <c r="S876" s="38" t="str">
        <f ca="1">Summon!$I$27</f>
        <v>二连扫</v>
      </c>
      <c r="T876" s="556">
        <v>5</v>
      </c>
      <c r="U876" s="554"/>
      <c r="V876" s="471" t="str">
        <f ca="1">"NPC available after "&amp;语言!$A$37&amp;" chapter 4"</f>
        <v>NPC available after 特蕾莎 chapter 4</v>
      </c>
      <c r="W876" s="168"/>
    </row>
    <row r="877" spans="1:23" ht="12.75" x14ac:dyDescent="0.2">
      <c r="A877" s="168"/>
      <c r="B877" s="371"/>
      <c r="C877" s="371"/>
      <c r="D877" s="371"/>
      <c r="E877" s="371"/>
      <c r="F877" s="371"/>
      <c r="G877" s="371"/>
      <c r="H877" s="371"/>
      <c r="I877" s="371"/>
      <c r="J877" s="371"/>
      <c r="K877" s="371"/>
      <c r="L877" s="371"/>
      <c r="M877" s="371"/>
      <c r="N877" s="371"/>
      <c r="O877" s="371"/>
      <c r="P877" s="371"/>
      <c r="Q877" s="371"/>
      <c r="R877" s="38"/>
      <c r="S877" s="38" t="str">
        <f ca="1">Summon!$I$157</f>
        <v>攻击力下降</v>
      </c>
      <c r="T877" s="371"/>
      <c r="U877" s="371"/>
      <c r="V877" s="371"/>
      <c r="W877" s="168"/>
    </row>
    <row r="878" spans="1:23" ht="12.75" x14ac:dyDescent="0.2">
      <c r="A878" s="168"/>
      <c r="B878" s="371"/>
      <c r="C878" s="554" t="b">
        <v>0</v>
      </c>
      <c r="D878" s="472" t="str">
        <f ca="1">道具!$C$373</f>
        <v>老兵的头盔</v>
      </c>
      <c r="E878" s="371"/>
      <c r="F878" s="371"/>
      <c r="G878" s="371"/>
      <c r="H878" s="371"/>
      <c r="I878" s="371"/>
      <c r="J878" s="371"/>
      <c r="K878" s="371"/>
      <c r="L878" s="371"/>
      <c r="M878" s="371"/>
      <c r="N878" s="371"/>
      <c r="O878" s="371"/>
      <c r="P878" s="371"/>
      <c r="Q878" s="371"/>
      <c r="R878" s="38"/>
      <c r="S878" s="38" t="str">
        <f ca="1">Summon!$I$23</f>
        <v>一闪</v>
      </c>
      <c r="T878" s="371"/>
      <c r="U878" s="371"/>
      <c r="V878" s="371"/>
      <c r="W878" s="168"/>
    </row>
    <row r="879" spans="1:23" ht="12.75" x14ac:dyDescent="0.2">
      <c r="A879" s="168"/>
      <c r="B879" s="555"/>
      <c r="C879" s="555"/>
      <c r="D879" s="555"/>
      <c r="E879" s="555"/>
      <c r="F879" s="555"/>
      <c r="G879" s="555"/>
      <c r="H879" s="555"/>
      <c r="I879" s="555"/>
      <c r="J879" s="555"/>
      <c r="K879" s="555"/>
      <c r="L879" s="555"/>
      <c r="M879" s="555"/>
      <c r="N879" s="555"/>
      <c r="O879" s="555"/>
      <c r="P879" s="555"/>
      <c r="Q879" s="555"/>
      <c r="R879" s="173"/>
      <c r="S879" s="173" t="str">
        <f ca="1">Summon!$I$4</f>
        <v>战斗</v>
      </c>
      <c r="T879" s="555"/>
      <c r="U879" s="555"/>
      <c r="V879" s="555"/>
      <c r="W879" s="168"/>
    </row>
    <row r="880" spans="1:23" ht="12.75" x14ac:dyDescent="0.2">
      <c r="A880" s="168"/>
      <c r="B880" s="472" t="str">
        <f ca="1">语言!$A$1789</f>
        <v>大富豪温德姆</v>
      </c>
      <c r="C880" s="554" t="b">
        <v>0</v>
      </c>
      <c r="D880" s="472" t="str">
        <f ca="1">道具!$C$410</f>
        <v>名家铠甲</v>
      </c>
      <c r="E880" s="554" t="b">
        <v>0</v>
      </c>
      <c r="F880" s="471" t="str">
        <f ca="1">语言!$A$23</f>
        <v>无</v>
      </c>
      <c r="G880" s="554" t="b">
        <v>0</v>
      </c>
      <c r="H880" s="556" t="s">
        <v>50</v>
      </c>
      <c r="I880" s="471">
        <v>4</v>
      </c>
      <c r="J880" s="471"/>
      <c r="K880" s="471"/>
      <c r="L880" s="471"/>
      <c r="M880" s="471"/>
      <c r="N880" s="471"/>
      <c r="O880" s="471" t="str">
        <f ca="1">道具!$C$10</f>
        <v>ＢＰ恢复的石榴（大）</v>
      </c>
      <c r="P880" s="554"/>
      <c r="Q880" s="556" t="s">
        <v>50</v>
      </c>
      <c r="R880" s="38"/>
      <c r="S880" s="38" t="str">
        <f ca="1">Summon!$I$80</f>
        <v>大火焰魔法</v>
      </c>
      <c r="T880" s="556">
        <v>7</v>
      </c>
      <c r="U880" s="554"/>
      <c r="V880" s="471" t="str">
        <f ca="1">"NPC available after "&amp;语言!$A$37&amp;" chapter 4"</f>
        <v>NPC available after 特蕾莎 chapter 4</v>
      </c>
      <c r="W880" s="168"/>
    </row>
    <row r="881" spans="1:23" ht="12.75" x14ac:dyDescent="0.2">
      <c r="A881" s="168"/>
      <c r="B881" s="371"/>
      <c r="C881" s="371"/>
      <c r="D881" s="371"/>
      <c r="E881" s="371"/>
      <c r="F881" s="371"/>
      <c r="G881" s="371"/>
      <c r="H881" s="371"/>
      <c r="I881" s="371"/>
      <c r="J881" s="371"/>
      <c r="K881" s="371"/>
      <c r="L881" s="371"/>
      <c r="M881" s="371"/>
      <c r="N881" s="371"/>
      <c r="O881" s="371"/>
      <c r="P881" s="371"/>
      <c r="Q881" s="371"/>
      <c r="R881" s="38"/>
      <c r="S881" s="38" t="str">
        <f ca="1">Summon!$I$37</f>
        <v>疾风二连突刺</v>
      </c>
      <c r="T881" s="371"/>
      <c r="U881" s="371"/>
      <c r="V881" s="371"/>
      <c r="W881" s="168"/>
    </row>
    <row r="882" spans="1:23" ht="12.75" x14ac:dyDescent="0.2">
      <c r="A882" s="168"/>
      <c r="B882" s="555"/>
      <c r="C882" s="555"/>
      <c r="D882" s="555"/>
      <c r="E882" s="555"/>
      <c r="F882" s="555"/>
      <c r="G882" s="555"/>
      <c r="H882" s="555"/>
      <c r="I882" s="555"/>
      <c r="J882" s="555"/>
      <c r="K882" s="555"/>
      <c r="L882" s="555"/>
      <c r="M882" s="555"/>
      <c r="N882" s="555"/>
      <c r="O882" s="555"/>
      <c r="P882" s="555"/>
      <c r="Q882" s="555"/>
      <c r="R882" s="173"/>
      <c r="S882" s="173" t="str">
        <f ca="1">Summon!$I$4</f>
        <v>战斗</v>
      </c>
      <c r="T882" s="555"/>
      <c r="U882" s="555"/>
      <c r="V882" s="555"/>
      <c r="W882" s="168"/>
    </row>
    <row r="883" spans="1:23" ht="12.75" x14ac:dyDescent="0.2">
      <c r="A883" s="168"/>
      <c r="B883" s="472" t="str">
        <f ca="1">语言!$A$1975</f>
        <v>商人</v>
      </c>
      <c r="C883" s="168" t="b">
        <v>0</v>
      </c>
      <c r="D883" s="40" t="str">
        <f ca="1">道具!$C$338</f>
        <v>禁忌之盾</v>
      </c>
      <c r="E883" s="554" t="b">
        <v>0</v>
      </c>
      <c r="F883" s="471" t="str">
        <f ca="1">语言!$A$33&amp;"
"&amp;道具!$C$131</f>
        <v>隐藏道具的资讯
锈蚀腐朽的杯子</v>
      </c>
      <c r="G883" s="554" t="b">
        <v>0</v>
      </c>
      <c r="H883" s="556" t="s">
        <v>47</v>
      </c>
      <c r="I883" s="471">
        <v>4</v>
      </c>
      <c r="J883" s="471"/>
      <c r="K883" s="471"/>
      <c r="L883" s="471"/>
      <c r="M883" s="471"/>
      <c r="N883" s="471"/>
      <c r="O883" s="471" t="str">
        <f ca="1">道具!$C$7</f>
        <v>ＳＰ恢复的李子（大）</v>
      </c>
      <c r="P883" s="554"/>
      <c r="Q883" s="556" t="s">
        <v>47</v>
      </c>
      <c r="R883" s="38"/>
      <c r="S883" s="38" t="str">
        <f ca="1">Summon!$I$34</f>
        <v>无双突刺</v>
      </c>
      <c r="T883" s="556">
        <v>6</v>
      </c>
      <c r="U883" s="554"/>
      <c r="V883" s="471" t="str">
        <f ca="1">"Can't "&amp;语言!$A$50&amp;" Forbidden Shield, only "&amp;语言!$A$46</f>
        <v>Can't 偷取 Forbidden Shield, only 购买</v>
      </c>
      <c r="W883" s="168"/>
    </row>
    <row r="884" spans="1:23" ht="12.75" x14ac:dyDescent="0.2">
      <c r="A884" s="168"/>
      <c r="B884" s="371"/>
      <c r="C884" s="168" t="b">
        <v>0</v>
      </c>
      <c r="D884" s="40" t="str">
        <f ca="1">道具!$C$83</f>
        <v>绒毛娃娃</v>
      </c>
      <c r="E884" s="371"/>
      <c r="F884" s="371"/>
      <c r="G884" s="371"/>
      <c r="H884" s="371"/>
      <c r="I884" s="371"/>
      <c r="J884" s="371"/>
      <c r="K884" s="371"/>
      <c r="L884" s="371"/>
      <c r="M884" s="371"/>
      <c r="N884" s="371"/>
      <c r="O884" s="371"/>
      <c r="P884" s="371"/>
      <c r="Q884" s="371"/>
      <c r="R884" s="38"/>
      <c r="S884" s="38" t="str">
        <f ca="1">Summon!$I$31</f>
        <v>要害突刺</v>
      </c>
      <c r="T884" s="371"/>
      <c r="U884" s="371"/>
      <c r="V884" s="371"/>
      <c r="W884" s="168"/>
    </row>
    <row r="885" spans="1:23" ht="12.75" x14ac:dyDescent="0.2">
      <c r="A885" s="168"/>
      <c r="B885" s="371"/>
      <c r="C885" s="168" t="b">
        <v>0</v>
      </c>
      <c r="D885" s="40" t="str">
        <f ca="1">道具!$C$102</f>
        <v>骨头</v>
      </c>
      <c r="E885" s="371"/>
      <c r="F885" s="371"/>
      <c r="G885" s="371"/>
      <c r="H885" s="371"/>
      <c r="I885" s="371"/>
      <c r="J885" s="371"/>
      <c r="K885" s="371"/>
      <c r="L885" s="371"/>
      <c r="M885" s="371"/>
      <c r="N885" s="371"/>
      <c r="O885" s="371"/>
      <c r="P885" s="371"/>
      <c r="Q885" s="371"/>
      <c r="R885" s="38"/>
      <c r="S885" s="38" t="str">
        <f ca="1">Summon!$I$4</f>
        <v>战斗</v>
      </c>
      <c r="T885" s="371"/>
      <c r="U885" s="371"/>
      <c r="V885" s="371"/>
      <c r="W885" s="168"/>
    </row>
    <row r="886" spans="1:23" ht="12.75" x14ac:dyDescent="0.2">
      <c r="A886" s="168"/>
      <c r="B886" s="371"/>
      <c r="C886" s="168" t="b">
        <v>0</v>
      </c>
      <c r="D886" s="40" t="str">
        <f ca="1">道具!$C$125</f>
        <v>带钱的项圈</v>
      </c>
      <c r="E886" s="371"/>
      <c r="F886" s="371"/>
      <c r="G886" s="371"/>
      <c r="H886" s="371"/>
      <c r="I886" s="371"/>
      <c r="J886" s="371"/>
      <c r="K886" s="371"/>
      <c r="L886" s="371"/>
      <c r="M886" s="371"/>
      <c r="N886" s="371"/>
      <c r="O886" s="371"/>
      <c r="P886" s="371"/>
      <c r="Q886" s="371"/>
      <c r="R886" s="38"/>
      <c r="S886" s="38"/>
      <c r="T886" s="371"/>
      <c r="U886" s="371"/>
      <c r="V886" s="371"/>
      <c r="W886" s="168"/>
    </row>
    <row r="887" spans="1:23" ht="12.75" x14ac:dyDescent="0.2">
      <c r="A887" s="168"/>
      <c r="B887" s="552" t="str">
        <f ca="1">语言!$A$384</f>
        <v>格兰波特 -大拍卖会场-</v>
      </c>
      <c r="C887" s="371"/>
      <c r="D887" s="371"/>
      <c r="E887" s="371"/>
      <c r="F887" s="371"/>
      <c r="G887" s="371"/>
      <c r="H887" s="371"/>
      <c r="I887" s="371"/>
      <c r="J887" s="371"/>
      <c r="K887" s="371"/>
      <c r="L887" s="371"/>
      <c r="M887" s="371"/>
      <c r="N887" s="371"/>
      <c r="O887" s="371"/>
      <c r="P887" s="371"/>
      <c r="Q887" s="371"/>
      <c r="R887" s="371"/>
      <c r="S887" s="371"/>
      <c r="T887" s="371"/>
      <c r="U887" s="371"/>
      <c r="V887" s="371"/>
      <c r="W887" s="168"/>
    </row>
    <row r="888" spans="1:23" ht="12.75" x14ac:dyDescent="0.2">
      <c r="A888" s="168"/>
      <c r="B888" s="472" t="str">
        <f ca="1">语言!$A$1975</f>
        <v>商人</v>
      </c>
      <c r="C888" s="168" t="b">
        <v>0</v>
      </c>
      <c r="D888" s="40" t="str">
        <f ca="1">道具!$C$317</f>
        <v>巨锤</v>
      </c>
      <c r="E888" s="554" t="b">
        <v>0</v>
      </c>
      <c r="F888" s="471" t="str">
        <f ca="1">语言!$A$33&amp;"
"&amp;道具!$C$521</f>
        <v>隐藏道具的资讯
沉默耐性石</v>
      </c>
      <c r="G888" s="554" t="b">
        <v>0</v>
      </c>
      <c r="H888" s="556" t="s">
        <v>57</v>
      </c>
      <c r="I888" s="471">
        <v>3</v>
      </c>
      <c r="J888" s="471"/>
      <c r="K888" s="471"/>
      <c r="L888" s="471"/>
      <c r="M888" s="471"/>
      <c r="N888" s="471"/>
      <c r="O888" s="471" t="str">
        <f ca="1">道具!$C$12</f>
        <v>ＨＰ／ＳＰ恢复的果酱</v>
      </c>
      <c r="P888" s="554"/>
      <c r="Q888" s="556" t="s">
        <v>57</v>
      </c>
      <c r="R888" s="38"/>
      <c r="S888" s="38" t="str">
        <f ca="1">Summon!$I$31</f>
        <v>要害突刺</v>
      </c>
      <c r="T888" s="556">
        <v>8</v>
      </c>
      <c r="U888" s="554"/>
      <c r="V888" s="471"/>
      <c r="W888" s="168"/>
    </row>
    <row r="889" spans="1:23" ht="12.75" x14ac:dyDescent="0.2">
      <c r="A889" s="168"/>
      <c r="B889" s="371"/>
      <c r="C889" s="168" t="b">
        <v>0</v>
      </c>
      <c r="D889" s="40" t="str">
        <f ca="1">道具!$C$313</f>
        <v>晨星锤</v>
      </c>
      <c r="E889" s="371"/>
      <c r="F889" s="371"/>
      <c r="G889" s="371"/>
      <c r="H889" s="371"/>
      <c r="I889" s="371"/>
      <c r="J889" s="371"/>
      <c r="K889" s="371"/>
      <c r="L889" s="371"/>
      <c r="M889" s="371"/>
      <c r="N889" s="371"/>
      <c r="O889" s="371"/>
      <c r="P889" s="371"/>
      <c r="Q889" s="371"/>
      <c r="R889" s="38"/>
      <c r="S889" s="38" t="str">
        <f ca="1">Summon!$I$30</f>
        <v>突刺</v>
      </c>
      <c r="T889" s="371"/>
      <c r="U889" s="371"/>
      <c r="V889" s="371"/>
      <c r="W889" s="168"/>
    </row>
    <row r="890" spans="1:23" ht="12.75" x14ac:dyDescent="0.2">
      <c r="A890" s="168"/>
      <c r="B890" s="371"/>
      <c r="C890" s="168" t="b">
        <v>0</v>
      </c>
      <c r="D890" s="40" t="str">
        <f ca="1">道具!$C$370</f>
        <v>毛皮帽子</v>
      </c>
      <c r="E890" s="371"/>
      <c r="F890" s="371"/>
      <c r="G890" s="371"/>
      <c r="H890" s="371"/>
      <c r="I890" s="371"/>
      <c r="J890" s="371"/>
      <c r="K890" s="371"/>
      <c r="L890" s="371"/>
      <c r="M890" s="371"/>
      <c r="N890" s="371"/>
      <c r="O890" s="371"/>
      <c r="P890" s="371"/>
      <c r="Q890" s="371"/>
      <c r="R890" s="38"/>
      <c r="S890" s="38" t="str">
        <f ca="1">Summon!$I$4</f>
        <v>战斗</v>
      </c>
      <c r="T890" s="371"/>
      <c r="U890" s="371"/>
      <c r="V890" s="371"/>
      <c r="W890" s="168"/>
    </row>
    <row r="891" spans="1:23" ht="12.75" x14ac:dyDescent="0.2">
      <c r="A891" s="168"/>
      <c r="B891" s="555"/>
      <c r="C891" s="171" t="b">
        <v>0</v>
      </c>
      <c r="D891" s="172" t="str">
        <f ca="1">道具!$C$425</f>
        <v>毛皮大衣</v>
      </c>
      <c r="E891" s="555"/>
      <c r="F891" s="555"/>
      <c r="G891" s="555"/>
      <c r="H891" s="555"/>
      <c r="I891" s="555"/>
      <c r="J891" s="555"/>
      <c r="K891" s="555"/>
      <c r="L891" s="555"/>
      <c r="M891" s="555"/>
      <c r="N891" s="555"/>
      <c r="O891" s="555"/>
      <c r="P891" s="555"/>
      <c r="Q891" s="555"/>
      <c r="R891" s="173"/>
      <c r="S891" s="173"/>
      <c r="T891" s="555"/>
      <c r="U891" s="555"/>
      <c r="V891" s="555"/>
      <c r="W891" s="168"/>
    </row>
    <row r="892" spans="1:23" ht="12.75" x14ac:dyDescent="0.2">
      <c r="A892" s="168"/>
      <c r="B892" s="472" t="str">
        <f ca="1">语言!$A$1780</f>
        <v>贵族</v>
      </c>
      <c r="C892" s="168" t="b">
        <v>0</v>
      </c>
      <c r="D892" s="40" t="str">
        <f ca="1">道具!$C$117</f>
        <v>鼓胀的钱包</v>
      </c>
      <c r="E892" s="554" t="b">
        <v>0</v>
      </c>
      <c r="F892" s="471" t="str">
        <f ca="1">语言!$A$25</f>
        <v>「购买」杀价机率ＵＰ资讯</v>
      </c>
      <c r="G892" s="554" t="b">
        <v>0</v>
      </c>
      <c r="H892" s="556" t="s">
        <v>48</v>
      </c>
      <c r="I892" s="471">
        <v>2</v>
      </c>
      <c r="J892" s="471"/>
      <c r="K892" s="471"/>
      <c r="L892" s="471"/>
      <c r="M892" s="471"/>
      <c r="N892" s="471"/>
      <c r="O892" s="471" t="str">
        <f ca="1">道具!$C$7</f>
        <v>ＳＰ恢复的李子（大）</v>
      </c>
      <c r="P892" s="554"/>
      <c r="Q892" s="556" t="s">
        <v>48</v>
      </c>
      <c r="R892" s="38"/>
      <c r="S892" s="38" t="str">
        <f ca="1">Summon!$I$157</f>
        <v>攻击力下降</v>
      </c>
      <c r="T892" s="556">
        <v>9</v>
      </c>
      <c r="U892" s="554"/>
      <c r="V892" s="471"/>
      <c r="W892" s="168"/>
    </row>
    <row r="893" spans="1:23" ht="12.75" x14ac:dyDescent="0.2">
      <c r="A893" s="168"/>
      <c r="B893" s="371"/>
      <c r="C893" s="168" t="b">
        <v>0</v>
      </c>
      <c r="D893" s="40" t="str">
        <f ca="1">道具!$C$129</f>
        <v>奇特的古董</v>
      </c>
      <c r="E893" s="371"/>
      <c r="F893" s="371"/>
      <c r="G893" s="371"/>
      <c r="H893" s="371"/>
      <c r="I893" s="371"/>
      <c r="J893" s="371"/>
      <c r="K893" s="371"/>
      <c r="L893" s="371"/>
      <c r="M893" s="371"/>
      <c r="N893" s="371"/>
      <c r="O893" s="371"/>
      <c r="P893" s="371"/>
      <c r="Q893" s="371"/>
      <c r="R893" s="38"/>
      <c r="S893" s="38" t="str">
        <f ca="1">Summon!$I$42</f>
        <v>猛击</v>
      </c>
      <c r="T893" s="371"/>
      <c r="U893" s="371"/>
      <c r="V893" s="371"/>
      <c r="W893" s="168"/>
    </row>
    <row r="894" spans="1:23" ht="12.75" x14ac:dyDescent="0.2">
      <c r="A894" s="168"/>
      <c r="B894" s="555"/>
      <c r="C894" s="171"/>
      <c r="D894" s="172"/>
      <c r="E894" s="555"/>
      <c r="F894" s="555"/>
      <c r="G894" s="555"/>
      <c r="H894" s="555"/>
      <c r="I894" s="555"/>
      <c r="J894" s="555"/>
      <c r="K894" s="555"/>
      <c r="L894" s="555"/>
      <c r="M894" s="555"/>
      <c r="N894" s="555"/>
      <c r="O894" s="555"/>
      <c r="P894" s="555"/>
      <c r="Q894" s="555"/>
      <c r="R894" s="173"/>
      <c r="S894" s="173" t="str">
        <f ca="1">Summon!$I$4</f>
        <v>战斗</v>
      </c>
      <c r="T894" s="555"/>
      <c r="U894" s="555"/>
      <c r="V894" s="555"/>
      <c r="W894" s="168"/>
    </row>
    <row r="895" spans="1:23" ht="12.75" x14ac:dyDescent="0.2">
      <c r="A895" s="168"/>
      <c r="B895" s="472" t="str">
        <f ca="1">语言!$A$1796</f>
        <v>主持人</v>
      </c>
      <c r="C895" s="554" t="b">
        <v>0</v>
      </c>
      <c r="D895" s="472" t="str">
        <f ca="1">道具!$C$5</f>
        <v>ＨＰ全体恢复的葡萄</v>
      </c>
      <c r="E895" s="554" t="b">
        <v>0</v>
      </c>
      <c r="F895" s="471" t="str">
        <f ca="1">语言!$A$23</f>
        <v>无</v>
      </c>
      <c r="G895" s="554" t="b">
        <v>0</v>
      </c>
      <c r="H895" s="556" t="s">
        <v>57</v>
      </c>
      <c r="I895" s="471">
        <v>3</v>
      </c>
      <c r="J895" s="471"/>
      <c r="K895" s="471"/>
      <c r="L895" s="471"/>
      <c r="M895" s="471"/>
      <c r="N895" s="471"/>
      <c r="O895" s="471" t="str">
        <f ca="1">道具!$C$5</f>
        <v>ＨＰ全体恢复的葡萄</v>
      </c>
      <c r="P895" s="554"/>
      <c r="Q895" s="556" t="s">
        <v>57</v>
      </c>
      <c r="R895" s="38"/>
      <c r="S895" s="38" t="str">
        <f ca="1">Summon!$I$180</f>
        <v>暴击提升</v>
      </c>
      <c r="T895" s="556">
        <v>8</v>
      </c>
      <c r="U895" s="554"/>
      <c r="V895" s="471" t="str">
        <f ca="1">语言!$A$44&amp;" / "&amp;语言!$A$48&amp;" available after "&amp;语言!$A$37&amp;" chapter 4"</f>
        <v>引导 / 诱惑 available after 特蕾莎 chapter 4</v>
      </c>
      <c r="W895" s="168"/>
    </row>
    <row r="896" spans="1:23" ht="12.75" x14ac:dyDescent="0.2">
      <c r="A896" s="168"/>
      <c r="B896" s="371"/>
      <c r="C896" s="371"/>
      <c r="D896" s="371"/>
      <c r="E896" s="371"/>
      <c r="F896" s="371"/>
      <c r="G896" s="371"/>
      <c r="H896" s="371"/>
      <c r="I896" s="371"/>
      <c r="J896" s="371"/>
      <c r="K896" s="371"/>
      <c r="L896" s="371"/>
      <c r="M896" s="371"/>
      <c r="N896" s="371"/>
      <c r="O896" s="371"/>
      <c r="P896" s="371"/>
      <c r="Q896" s="371"/>
      <c r="R896" s="38"/>
      <c r="S896" s="38" t="str">
        <f ca="1">Summon!$I$42</f>
        <v>猛击</v>
      </c>
      <c r="T896" s="371"/>
      <c r="U896" s="371"/>
      <c r="V896" s="371"/>
      <c r="W896" s="168"/>
    </row>
    <row r="897" spans="1:23" ht="12.75" x14ac:dyDescent="0.2">
      <c r="A897" s="168"/>
      <c r="B897" s="371"/>
      <c r="C897" s="371"/>
      <c r="D897" s="371"/>
      <c r="E897" s="371"/>
      <c r="F897" s="371"/>
      <c r="G897" s="371"/>
      <c r="H897" s="371"/>
      <c r="I897" s="371"/>
      <c r="J897" s="371"/>
      <c r="K897" s="371"/>
      <c r="L897" s="371"/>
      <c r="M897" s="371"/>
      <c r="N897" s="371"/>
      <c r="O897" s="371"/>
      <c r="P897" s="371"/>
      <c r="Q897" s="371"/>
      <c r="R897" s="38"/>
      <c r="S897" s="38" t="str">
        <f ca="1">Summon!$I$4</f>
        <v>战斗</v>
      </c>
      <c r="T897" s="371"/>
      <c r="U897" s="371"/>
      <c r="V897" s="371"/>
      <c r="W897" s="168"/>
    </row>
    <row r="898" spans="1:23" ht="12.75" x14ac:dyDescent="0.2">
      <c r="A898" s="168"/>
      <c r="B898" s="552" t="str">
        <f ca="1">语言!$A$385</f>
        <v>西格兰波特海道</v>
      </c>
      <c r="C898" s="371"/>
      <c r="D898" s="371"/>
      <c r="E898" s="371"/>
      <c r="F898" s="371"/>
      <c r="G898" s="371"/>
      <c r="H898" s="371"/>
      <c r="I898" s="371"/>
      <c r="J898" s="371"/>
      <c r="K898" s="371"/>
      <c r="L898" s="371"/>
      <c r="M898" s="371"/>
      <c r="N898" s="371"/>
      <c r="O898" s="371"/>
      <c r="P898" s="371"/>
      <c r="Q898" s="371"/>
      <c r="R898" s="371"/>
      <c r="S898" s="371"/>
      <c r="T898" s="371"/>
      <c r="U898" s="371"/>
      <c r="V898" s="371"/>
      <c r="W898" s="168"/>
    </row>
    <row r="899" spans="1:23" ht="12.75" x14ac:dyDescent="0.2">
      <c r="A899" s="168"/>
      <c r="B899" s="472" t="str">
        <f ca="1">语言!$A$1802</f>
        <v>当红作家</v>
      </c>
      <c r="C899" s="554" t="b">
        <v>0</v>
      </c>
      <c r="D899" s="472" t="str">
        <f ca="1">道具!$C$116</f>
        <v>稀奇的石头</v>
      </c>
      <c r="E899" s="554" t="b">
        <v>0</v>
      </c>
      <c r="F899" s="471" t="str">
        <f ca="1">语言!$A$23</f>
        <v>无</v>
      </c>
      <c r="G899" s="554" t="b">
        <v>0</v>
      </c>
      <c r="H899" s="556" t="s">
        <v>46</v>
      </c>
      <c r="I899" s="471">
        <v>3</v>
      </c>
      <c r="J899" s="471"/>
      <c r="K899" s="471"/>
      <c r="L899" s="471"/>
      <c r="M899" s="471"/>
      <c r="N899" s="471"/>
      <c r="O899" s="471" t="str">
        <f ca="1">道具!$C$7</f>
        <v>ＳＰ恢复的李子（大）</v>
      </c>
      <c r="P899" s="554"/>
      <c r="Q899" s="556" t="s">
        <v>46</v>
      </c>
      <c r="R899" s="38"/>
      <c r="S899" s="38" t="str">
        <f ca="1">Summon!$I$43</f>
        <v>要害突刺</v>
      </c>
      <c r="T899" s="556">
        <v>8</v>
      </c>
      <c r="U899" s="554"/>
      <c r="V899" s="471"/>
      <c r="W899" s="168"/>
    </row>
    <row r="900" spans="1:23" ht="12.75" x14ac:dyDescent="0.2">
      <c r="A900" s="168"/>
      <c r="B900" s="371"/>
      <c r="C900" s="371"/>
      <c r="D900" s="371"/>
      <c r="E900" s="371"/>
      <c r="F900" s="371"/>
      <c r="G900" s="371"/>
      <c r="H900" s="371"/>
      <c r="I900" s="371"/>
      <c r="J900" s="371"/>
      <c r="K900" s="371"/>
      <c r="L900" s="371"/>
      <c r="M900" s="371"/>
      <c r="N900" s="371"/>
      <c r="O900" s="371"/>
      <c r="P900" s="371"/>
      <c r="Q900" s="371"/>
      <c r="R900" s="38"/>
      <c r="S900" s="38" t="str">
        <f ca="1">Summon!$I$47</f>
        <v>恐慌猛击</v>
      </c>
      <c r="T900" s="371"/>
      <c r="U900" s="371"/>
      <c r="V900" s="371"/>
      <c r="W900" s="168"/>
    </row>
    <row r="901" spans="1:23" ht="12.75" x14ac:dyDescent="0.2">
      <c r="A901" s="168"/>
      <c r="B901" s="555"/>
      <c r="C901" s="555"/>
      <c r="D901" s="555"/>
      <c r="E901" s="555"/>
      <c r="F901" s="555"/>
      <c r="G901" s="555"/>
      <c r="H901" s="555"/>
      <c r="I901" s="555"/>
      <c r="J901" s="555"/>
      <c r="K901" s="555"/>
      <c r="L901" s="555"/>
      <c r="M901" s="555"/>
      <c r="N901" s="555"/>
      <c r="O901" s="555"/>
      <c r="P901" s="555"/>
      <c r="Q901" s="555"/>
      <c r="R901" s="173"/>
      <c r="S901" s="173" t="str">
        <f ca="1">Summon!$I$4</f>
        <v>战斗</v>
      </c>
      <c r="T901" s="555"/>
      <c r="U901" s="555"/>
      <c r="V901" s="555"/>
      <c r="W901" s="168"/>
    </row>
    <row r="902" spans="1:23" ht="12.75" x14ac:dyDescent="0.2">
      <c r="A902" s="168"/>
      <c r="B902" s="480" t="str">
        <f ca="1">语言!$A$1814</f>
        <v>山贼</v>
      </c>
      <c r="C902" s="168" t="b">
        <v>0</v>
      </c>
      <c r="D902" s="40" t="str">
        <f ca="1">道具!$C$4</f>
        <v>ＨＰ恢复的葡萄（大）</v>
      </c>
      <c r="E902" s="554" t="b">
        <v>0</v>
      </c>
      <c r="F902" s="471" t="str">
        <f ca="1">语言!$A$23</f>
        <v>无</v>
      </c>
      <c r="G902" s="554" t="b">
        <v>0</v>
      </c>
      <c r="H902" s="556" t="s">
        <v>47</v>
      </c>
      <c r="I902" s="471">
        <v>4</v>
      </c>
      <c r="J902" s="471"/>
      <c r="K902" s="471"/>
      <c r="L902" s="471"/>
      <c r="M902" s="471"/>
      <c r="N902" s="471"/>
      <c r="O902" s="471" t="str">
        <f ca="1">"* "&amp;道具!$F$78</f>
        <v>* 来自诺雅的信</v>
      </c>
      <c r="P902" s="554"/>
      <c r="Q902" s="559" t="s">
        <v>119</v>
      </c>
      <c r="R902" s="559" t="s">
        <v>119</v>
      </c>
      <c r="S902" s="559" t="s">
        <v>119</v>
      </c>
      <c r="T902" s="559" t="s">
        <v>119</v>
      </c>
      <c r="U902" s="554"/>
      <c r="V902" s="471" t="str">
        <f ca="1">"NPC available upon starting quest: "&amp;支线!$C$56&amp;"
Disapear after you beat him in a "&amp;语言!$A$47&amp;" / "&amp;语言!$A$51&amp;""</f>
        <v>NPC available upon starting quest: 寇蒂莉亚与诺雅，在那之后
Disapear after you beat him in a 比试 / 唆使</v>
      </c>
      <c r="W902" s="168"/>
    </row>
    <row r="903" spans="1:23" ht="12.75" x14ac:dyDescent="0.2">
      <c r="A903" s="168"/>
      <c r="B903" s="371"/>
      <c r="C903" s="168" t="b">
        <v>0</v>
      </c>
      <c r="D903" s="40" t="str">
        <f ca="1">道具!$C$4</f>
        <v>ＨＰ恢复的葡萄（大）</v>
      </c>
      <c r="E903" s="371"/>
      <c r="F903" s="371"/>
      <c r="G903" s="371"/>
      <c r="H903" s="371"/>
      <c r="I903" s="371"/>
      <c r="J903" s="371"/>
      <c r="K903" s="371"/>
      <c r="L903" s="371"/>
      <c r="M903" s="371"/>
      <c r="N903" s="371"/>
      <c r="O903" s="371"/>
      <c r="P903" s="371"/>
      <c r="Q903" s="371"/>
      <c r="R903" s="371"/>
      <c r="S903" s="371"/>
      <c r="T903" s="371"/>
      <c r="U903" s="371"/>
      <c r="V903" s="371"/>
      <c r="W903" s="168"/>
    </row>
    <row r="904" spans="1:23" ht="12.75" x14ac:dyDescent="0.2">
      <c r="A904" s="168"/>
      <c r="B904" s="371"/>
      <c r="C904" s="168" t="b">
        <v>0</v>
      </c>
      <c r="D904" s="40" t="str">
        <f ca="1">道具!$C$4</f>
        <v>ＨＰ恢复的葡萄（大）</v>
      </c>
      <c r="E904" s="371"/>
      <c r="F904" s="371"/>
      <c r="G904" s="371"/>
      <c r="H904" s="371"/>
      <c r="I904" s="371"/>
      <c r="J904" s="371"/>
      <c r="K904" s="371"/>
      <c r="L904" s="371"/>
      <c r="M904" s="371"/>
      <c r="N904" s="371"/>
      <c r="O904" s="371"/>
      <c r="P904" s="371"/>
      <c r="Q904" s="371"/>
      <c r="R904" s="371"/>
      <c r="S904" s="371"/>
      <c r="T904" s="371"/>
      <c r="U904" s="371"/>
      <c r="V904" s="371"/>
      <c r="W904" s="168"/>
    </row>
    <row r="905" spans="1:23" ht="12.75" x14ac:dyDescent="0.2">
      <c r="A905" s="168"/>
      <c r="B905" s="185"/>
      <c r="C905" s="168"/>
      <c r="D905" s="185"/>
      <c r="E905" s="168"/>
      <c r="F905" s="168"/>
      <c r="G905" s="168"/>
      <c r="H905" s="186"/>
      <c r="I905" s="168"/>
      <c r="J905" s="168"/>
      <c r="K905" s="168"/>
      <c r="L905" s="168"/>
      <c r="M905" s="168"/>
      <c r="N905" s="168"/>
      <c r="O905" s="168"/>
      <c r="P905" s="168"/>
      <c r="Q905" s="186"/>
      <c r="R905" s="168"/>
      <c r="S905" s="168"/>
      <c r="T905" s="186"/>
      <c r="U905" s="168"/>
      <c r="V905" s="168"/>
      <c r="W905" s="168"/>
    </row>
    <row r="906" spans="1:23" ht="23.25" x14ac:dyDescent="0.2">
      <c r="A906" s="592" t="str">
        <f ca="1">语言!$A$388</f>
        <v>哈伊兰多地区</v>
      </c>
      <c r="B906" s="371"/>
      <c r="C906" s="586"/>
      <c r="D906" s="371"/>
      <c r="E906" s="371"/>
      <c r="F906" s="371"/>
      <c r="G906" s="371"/>
      <c r="H906" s="371"/>
      <c r="I906" s="371"/>
      <c r="J906" s="371"/>
      <c r="K906" s="371"/>
      <c r="L906" s="371"/>
      <c r="M906" s="371"/>
      <c r="N906" s="371"/>
      <c r="O906" s="371"/>
      <c r="P906" s="371"/>
      <c r="Q906" s="371"/>
      <c r="R906" s="371"/>
      <c r="S906" s="371"/>
      <c r="T906" s="371"/>
      <c r="U906" s="371"/>
      <c r="V906" s="371"/>
      <c r="W906" s="371"/>
    </row>
    <row r="907" spans="1:23" ht="18" x14ac:dyDescent="0.2">
      <c r="A907" s="187"/>
      <c r="B907" s="587" t="str">
        <f ca="1">语言!$A$323&amp;" 1"</f>
        <v>Tier 1</v>
      </c>
      <c r="C907" s="371"/>
      <c r="D907" s="371"/>
      <c r="E907" s="371"/>
      <c r="F907" s="371"/>
      <c r="G907" s="371"/>
      <c r="H907" s="371"/>
      <c r="I907" s="371"/>
      <c r="J907" s="371"/>
      <c r="K907" s="371"/>
      <c r="L907" s="371"/>
      <c r="M907" s="371"/>
      <c r="N907" s="371"/>
      <c r="O907" s="371"/>
      <c r="P907" s="371"/>
      <c r="Q907" s="371"/>
      <c r="R907" s="371"/>
      <c r="S907" s="371"/>
      <c r="T907" s="371"/>
      <c r="U907" s="371"/>
      <c r="V907" s="371"/>
      <c r="W907" s="187"/>
    </row>
    <row r="908" spans="1:23" ht="12.75" x14ac:dyDescent="0.2">
      <c r="A908" s="188"/>
      <c r="B908" s="588" t="str">
        <f ca="1">语言!$A$389</f>
        <v>鹅卵石村</v>
      </c>
      <c r="C908" s="371"/>
      <c r="D908" s="371"/>
      <c r="E908" s="371"/>
      <c r="F908" s="371"/>
      <c r="G908" s="371"/>
      <c r="H908" s="371"/>
      <c r="I908" s="371"/>
      <c r="J908" s="371"/>
      <c r="K908" s="371"/>
      <c r="L908" s="371"/>
      <c r="M908" s="371"/>
      <c r="N908" s="371"/>
      <c r="O908" s="371"/>
      <c r="P908" s="371"/>
      <c r="Q908" s="371"/>
      <c r="R908" s="371"/>
      <c r="S908" s="371"/>
      <c r="T908" s="371"/>
      <c r="U908" s="371"/>
      <c r="V908" s="371"/>
      <c r="W908" s="188"/>
    </row>
    <row r="909" spans="1:23" ht="12.75" x14ac:dyDescent="0.2">
      <c r="A909" s="189"/>
      <c r="B909" s="479" t="str">
        <f ca="1">语言!$A$2120</f>
        <v>村民</v>
      </c>
      <c r="C909" s="189" t="b">
        <v>0</v>
      </c>
      <c r="D909" s="54" t="str">
        <f ca="1">道具!$C$544</f>
        <v>神秘之花</v>
      </c>
      <c r="E909" s="589" t="b">
        <v>0</v>
      </c>
      <c r="F909" s="464" t="str">
        <f ca="1">语言!$A$33&amp;"
"&amp;道具!$C$14</f>
        <v>隐藏道具的资讯
复活的橄榄</v>
      </c>
      <c r="G909" s="589" t="b">
        <v>0</v>
      </c>
      <c r="H909" s="591" t="s">
        <v>48</v>
      </c>
      <c r="I909" s="464">
        <v>2</v>
      </c>
      <c r="J909" s="464"/>
      <c r="K909" s="464"/>
      <c r="L909" s="464"/>
      <c r="M909" s="464"/>
      <c r="N909" s="464"/>
      <c r="O909" s="464" t="str">
        <f ca="1">道具!$C$537</f>
        <v>毒利米树之叶</v>
      </c>
      <c r="P909" s="589"/>
      <c r="Q909" s="591" t="s">
        <v>48</v>
      </c>
      <c r="R909" s="52"/>
      <c r="S909" s="52" t="str">
        <f ca="1">Summon!$I$174</f>
        <v>防御力提升</v>
      </c>
      <c r="T909" s="591">
        <v>9</v>
      </c>
      <c r="U909" s="589"/>
      <c r="V909" s="464"/>
      <c r="W909" s="189"/>
    </row>
    <row r="910" spans="1:23" ht="12.75" x14ac:dyDescent="0.2">
      <c r="A910" s="189"/>
      <c r="B910" s="371"/>
      <c r="C910" s="189" t="b">
        <v>0</v>
      </c>
      <c r="D910" s="54" t="str">
        <f ca="1">道具!$C$441</f>
        <v>铁制背心</v>
      </c>
      <c r="E910" s="371"/>
      <c r="F910" s="371"/>
      <c r="G910" s="371"/>
      <c r="H910" s="371"/>
      <c r="I910" s="371"/>
      <c r="J910" s="371"/>
      <c r="K910" s="371"/>
      <c r="L910" s="371"/>
      <c r="M910" s="371"/>
      <c r="N910" s="371"/>
      <c r="O910" s="371"/>
      <c r="P910" s="371"/>
      <c r="Q910" s="371"/>
      <c r="R910" s="52"/>
      <c r="S910" s="52" t="str">
        <f ca="1">Summon!$I$30</f>
        <v>突刺</v>
      </c>
      <c r="T910" s="371"/>
      <c r="U910" s="371"/>
      <c r="V910" s="371"/>
      <c r="W910" s="189"/>
    </row>
    <row r="911" spans="1:23" ht="12.75" x14ac:dyDescent="0.2">
      <c r="A911" s="189"/>
      <c r="B911" s="590"/>
      <c r="C911" s="191"/>
      <c r="D911" s="192"/>
      <c r="E911" s="590"/>
      <c r="F911" s="590"/>
      <c r="G911" s="590"/>
      <c r="H911" s="590"/>
      <c r="I911" s="590"/>
      <c r="J911" s="590"/>
      <c r="K911" s="590"/>
      <c r="L911" s="590"/>
      <c r="M911" s="590"/>
      <c r="N911" s="590"/>
      <c r="O911" s="590"/>
      <c r="P911" s="590"/>
      <c r="Q911" s="590"/>
      <c r="R911" s="193"/>
      <c r="S911" s="193" t="str">
        <f ca="1">Summon!$I$4</f>
        <v>战斗</v>
      </c>
      <c r="T911" s="590"/>
      <c r="U911" s="590"/>
      <c r="V911" s="590"/>
      <c r="W911" s="189"/>
    </row>
    <row r="912" spans="1:23" ht="12.75" x14ac:dyDescent="0.2">
      <c r="A912" s="189"/>
      <c r="B912" s="479" t="str">
        <f ca="1">语言!$A$2034</f>
        <v>菲利浦</v>
      </c>
      <c r="C912" s="589" t="b">
        <v>0</v>
      </c>
      <c r="D912" s="479" t="str">
        <f ca="1">道具!$C$85</f>
        <v>玻璃珠</v>
      </c>
      <c r="E912" s="589" t="b">
        <v>0</v>
      </c>
      <c r="F912" s="464" t="str">
        <f ca="1">语言!$A$33&amp;"
"&amp;道具!$C$84</f>
        <v>隐藏道具的资讯
糖果</v>
      </c>
      <c r="G912" s="589"/>
      <c r="H912" s="593" t="s">
        <v>119</v>
      </c>
      <c r="I912" s="593" t="s">
        <v>119</v>
      </c>
      <c r="J912" s="593" t="s">
        <v>119</v>
      </c>
      <c r="K912" s="593" t="s">
        <v>119</v>
      </c>
      <c r="L912" s="593" t="s">
        <v>119</v>
      </c>
      <c r="M912" s="593" t="s">
        <v>119</v>
      </c>
      <c r="N912" s="593" t="s">
        <v>119</v>
      </c>
      <c r="O912" s="593" t="s">
        <v>119</v>
      </c>
      <c r="P912" s="589"/>
      <c r="Q912" s="593" t="s">
        <v>119</v>
      </c>
      <c r="R912" s="593" t="s">
        <v>119</v>
      </c>
      <c r="S912" s="593" t="s">
        <v>119</v>
      </c>
      <c r="T912" s="593" t="s">
        <v>119</v>
      </c>
      <c r="U912" s="589"/>
      <c r="V912" s="464" t="str">
        <f ca="1">"NPC available after "&amp;语言!$A$38&amp;" chapter 1"</f>
        <v>NPC available after 欧尔贝克 chapter 1</v>
      </c>
      <c r="W912" s="189"/>
    </row>
    <row r="913" spans="1:23" ht="12.75" x14ac:dyDescent="0.2">
      <c r="A913" s="189"/>
      <c r="B913" s="590"/>
      <c r="C913" s="590"/>
      <c r="D913" s="590"/>
      <c r="E913" s="590"/>
      <c r="F913" s="590"/>
      <c r="G913" s="590"/>
      <c r="H913" s="590"/>
      <c r="I913" s="590"/>
      <c r="J913" s="590"/>
      <c r="K913" s="590"/>
      <c r="L913" s="590"/>
      <c r="M913" s="590"/>
      <c r="N913" s="590"/>
      <c r="O913" s="590"/>
      <c r="P913" s="590"/>
      <c r="Q913" s="590"/>
      <c r="R913" s="590"/>
      <c r="S913" s="590"/>
      <c r="T913" s="590"/>
      <c r="U913" s="590"/>
      <c r="V913" s="590"/>
      <c r="W913" s="189"/>
    </row>
    <row r="914" spans="1:23" ht="12.75" x14ac:dyDescent="0.2">
      <c r="A914" s="189"/>
      <c r="B914" s="479" t="str">
        <f ca="1">语言!$A$2035</f>
        <v>菲利浦的母亲</v>
      </c>
      <c r="C914" s="189" t="b">
        <v>0</v>
      </c>
      <c r="D914" s="54" t="str">
        <f ca="1">道具!$C$113</f>
        <v>擦得亮晶晶的银手表</v>
      </c>
      <c r="E914" s="589" t="b">
        <v>0</v>
      </c>
      <c r="F914" s="464" t="str">
        <f ca="1">语言!$A$23</f>
        <v>无</v>
      </c>
      <c r="G914" s="589" t="b">
        <v>0</v>
      </c>
      <c r="H914" s="591" t="s">
        <v>48</v>
      </c>
      <c r="I914" s="464">
        <v>2</v>
      </c>
      <c r="J914" s="464"/>
      <c r="K914" s="464"/>
      <c r="L914" s="464"/>
      <c r="M914" s="464"/>
      <c r="N914" s="464"/>
      <c r="O914" s="464" t="str">
        <f ca="1">道具!$C$537</f>
        <v>毒利米树之叶</v>
      </c>
      <c r="P914" s="589"/>
      <c r="Q914" s="591" t="s">
        <v>48</v>
      </c>
      <c r="R914" s="52"/>
      <c r="S914" s="52" t="str">
        <f ca="1">Summon!$I$42</f>
        <v>猛击</v>
      </c>
      <c r="T914" s="591">
        <v>9</v>
      </c>
      <c r="U914" s="589"/>
      <c r="V914" s="464" t="str">
        <f ca="1">道具!$C$113&amp;" Not for Sale"</f>
        <v>擦得亮晶晶的银手表 Not for Sale</v>
      </c>
      <c r="W914" s="189"/>
    </row>
    <row r="915" spans="1:23" ht="12.75" x14ac:dyDescent="0.2">
      <c r="A915" s="189"/>
      <c r="B915" s="590"/>
      <c r="C915" s="191" t="b">
        <v>0</v>
      </c>
      <c r="D915" s="192" t="str">
        <f ca="1">道具!$C$540</f>
        <v>葡萄树液</v>
      </c>
      <c r="E915" s="590"/>
      <c r="F915" s="590"/>
      <c r="G915" s="590"/>
      <c r="H915" s="590"/>
      <c r="I915" s="590"/>
      <c r="J915" s="590"/>
      <c r="K915" s="590"/>
      <c r="L915" s="590"/>
      <c r="M915" s="590"/>
      <c r="N915" s="590"/>
      <c r="O915" s="590"/>
      <c r="P915" s="590"/>
      <c r="Q915" s="590"/>
      <c r="R915" s="193"/>
      <c r="S915" s="193" t="str">
        <f ca="1">Summon!$I$4</f>
        <v>战斗</v>
      </c>
      <c r="T915" s="590"/>
      <c r="U915" s="590"/>
      <c r="V915" s="590"/>
      <c r="W915" s="189"/>
    </row>
    <row r="916" spans="1:23" ht="12.75" x14ac:dyDescent="0.2">
      <c r="A916" s="189"/>
      <c r="B916" s="479" t="str">
        <f ca="1">语言!$A$2123</f>
        <v>警备团员</v>
      </c>
      <c r="C916" s="189" t="b">
        <v>0</v>
      </c>
      <c r="D916" s="54" t="str">
        <f ca="1">道具!$C$393</f>
        <v>铁制头盔</v>
      </c>
      <c r="E916" s="589" t="b">
        <v>0</v>
      </c>
      <c r="F916" s="464" t="str">
        <f ca="1">语言!$A$24</f>
        <v>旅店的折扣资讯</v>
      </c>
      <c r="G916" s="589" t="b">
        <v>0</v>
      </c>
      <c r="H916" s="591" t="s">
        <v>45</v>
      </c>
      <c r="I916" s="464">
        <v>1</v>
      </c>
      <c r="J916" s="464"/>
      <c r="K916" s="464"/>
      <c r="L916" s="464"/>
      <c r="M916" s="464"/>
      <c r="N916" s="464"/>
      <c r="O916" s="464" t="str">
        <f ca="1">道具!$C$528</f>
        <v>药的素材</v>
      </c>
      <c r="P916" s="589"/>
      <c r="Q916" s="591" t="s">
        <v>45</v>
      </c>
      <c r="R916" s="52"/>
      <c r="S916" s="52" t="str">
        <f ca="1">Summon!$I$6</f>
        <v>斩击</v>
      </c>
      <c r="T916" s="591">
        <v>9</v>
      </c>
      <c r="U916" s="589"/>
      <c r="V916" s="464" t="str">
        <f ca="1">"NPC available upon starting "&amp;语言!$A$38&amp;" chapter 1"</f>
        <v>NPC available upon starting 欧尔贝克 chapter 1</v>
      </c>
      <c r="W916" s="189"/>
    </row>
    <row r="917" spans="1:23" ht="12.75" x14ac:dyDescent="0.2">
      <c r="A917" s="189"/>
      <c r="B917" s="590"/>
      <c r="C917" s="191" t="b">
        <v>0</v>
      </c>
      <c r="D917" s="192" t="str">
        <f ca="1">道具!$C$352</f>
        <v>大盾</v>
      </c>
      <c r="E917" s="590"/>
      <c r="F917" s="590"/>
      <c r="G917" s="590"/>
      <c r="H917" s="590"/>
      <c r="I917" s="590"/>
      <c r="J917" s="590"/>
      <c r="K917" s="590"/>
      <c r="L917" s="590"/>
      <c r="M917" s="590"/>
      <c r="N917" s="590"/>
      <c r="O917" s="590"/>
      <c r="P917" s="590"/>
      <c r="Q917" s="590"/>
      <c r="R917" s="193"/>
      <c r="S917" s="193" t="str">
        <f ca="1">Summon!$I$4</f>
        <v>战斗</v>
      </c>
      <c r="T917" s="590"/>
      <c r="U917" s="590"/>
      <c r="V917" s="590"/>
      <c r="W917" s="189"/>
    </row>
    <row r="918" spans="1:23" ht="12.75" x14ac:dyDescent="0.2">
      <c r="A918" s="189"/>
      <c r="B918" s="192" t="str">
        <f ca="1">语言!$A$2119</f>
        <v>村长</v>
      </c>
      <c r="C918" s="191" t="b">
        <v>0</v>
      </c>
      <c r="D918" s="192" t="str">
        <f ca="1">道具!$C$4</f>
        <v>ＨＰ恢复的葡萄（大）</v>
      </c>
      <c r="E918" s="191" t="b">
        <v>0</v>
      </c>
      <c r="F918" s="193" t="str">
        <f ca="1">语言!$A$33&amp;"
"&amp;道具!$C$194</f>
        <v>隐藏道具的资讯
战争骑枪</v>
      </c>
      <c r="G918" s="191" t="b">
        <v>0</v>
      </c>
      <c r="H918" s="194" t="s">
        <v>45</v>
      </c>
      <c r="I918" s="193">
        <v>1</v>
      </c>
      <c r="J918" s="193"/>
      <c r="K918" s="193"/>
      <c r="L918" s="193"/>
      <c r="M918" s="193"/>
      <c r="N918" s="193"/>
      <c r="O918" s="193" t="str">
        <f ca="1">道具!$C$528</f>
        <v>药的素材</v>
      </c>
      <c r="P918" s="191"/>
      <c r="Q918" s="195" t="s">
        <v>119</v>
      </c>
      <c r="R918" s="195" t="s">
        <v>119</v>
      </c>
      <c r="S918" s="195" t="s">
        <v>119</v>
      </c>
      <c r="T918" s="195" t="s">
        <v>119</v>
      </c>
      <c r="U918" s="191"/>
      <c r="V918" s="193"/>
      <c r="W918" s="189"/>
    </row>
    <row r="919" spans="1:23" ht="12.75" x14ac:dyDescent="0.2">
      <c r="A919" s="189"/>
      <c r="B919" s="479" t="str">
        <f ca="1">语言!$A$1888</f>
        <v>卡斯顿老大</v>
      </c>
      <c r="C919" s="189" t="b">
        <v>0</v>
      </c>
      <c r="D919" s="54" t="str">
        <f ca="1">道具!$C$142</f>
        <v>透明军刀</v>
      </c>
      <c r="E919" s="589" t="b">
        <v>0</v>
      </c>
      <c r="F919" s="464" t="str">
        <f ca="1">语言!$A$23</f>
        <v>无</v>
      </c>
      <c r="G919" s="589" t="b">
        <v>0</v>
      </c>
      <c r="H919" s="591" t="s">
        <v>49</v>
      </c>
      <c r="I919" s="464">
        <v>5</v>
      </c>
      <c r="J919" s="464"/>
      <c r="K919" s="464"/>
      <c r="L919" s="464"/>
      <c r="M919" s="464"/>
      <c r="N919" s="464"/>
      <c r="O919" s="464" t="str">
        <f ca="1">道具!$C$4</f>
        <v>ＨＰ恢复的葡萄（大）</v>
      </c>
      <c r="P919" s="589"/>
      <c r="Q919" s="591" t="s">
        <v>49</v>
      </c>
      <c r="R919" s="52"/>
      <c r="S919" s="52" t="str">
        <f ca="1">Summon!$I$10</f>
        <v>强击</v>
      </c>
      <c r="T919" s="591">
        <v>7</v>
      </c>
      <c r="U919" s="589"/>
      <c r="V919" s="464" t="str">
        <f ca="1">"NPC available after "&amp;语言!$A$38&amp;" chapter 4"</f>
        <v>NPC available after 欧尔贝克 chapter 4</v>
      </c>
      <c r="W919" s="189"/>
    </row>
    <row r="920" spans="1:23" ht="12.75" x14ac:dyDescent="0.2">
      <c r="A920" s="189"/>
      <c r="B920" s="371"/>
      <c r="C920" s="189" t="b">
        <v>0</v>
      </c>
      <c r="D920" s="54" t="str">
        <f ca="1">道具!$C$401</f>
        <v>水晶盔甲</v>
      </c>
      <c r="E920" s="371"/>
      <c r="F920" s="371"/>
      <c r="G920" s="371"/>
      <c r="H920" s="371"/>
      <c r="I920" s="371"/>
      <c r="J920" s="371"/>
      <c r="K920" s="371"/>
      <c r="L920" s="371"/>
      <c r="M920" s="371"/>
      <c r="N920" s="371"/>
      <c r="O920" s="371"/>
      <c r="P920" s="371"/>
      <c r="Q920" s="371"/>
      <c r="R920" s="52"/>
      <c r="S920" s="52" t="str">
        <f ca="1">Summon!$I$8</f>
        <v>殴打</v>
      </c>
      <c r="T920" s="371"/>
      <c r="U920" s="371"/>
      <c r="V920" s="371"/>
      <c r="W920" s="189"/>
    </row>
    <row r="921" spans="1:23" ht="12.75" x14ac:dyDescent="0.2">
      <c r="A921" s="189"/>
      <c r="B921" s="590"/>
      <c r="C921" s="191"/>
      <c r="D921" s="192"/>
      <c r="E921" s="590"/>
      <c r="F921" s="590"/>
      <c r="G921" s="590"/>
      <c r="H921" s="590"/>
      <c r="I921" s="590"/>
      <c r="J921" s="590"/>
      <c r="K921" s="590"/>
      <c r="L921" s="590"/>
      <c r="M921" s="590"/>
      <c r="N921" s="590"/>
      <c r="O921" s="590"/>
      <c r="P921" s="590"/>
      <c r="Q921" s="590"/>
      <c r="R921" s="193"/>
      <c r="S921" s="193" t="str">
        <f ca="1">Summon!$I$4</f>
        <v>战斗</v>
      </c>
      <c r="T921" s="590"/>
      <c r="U921" s="590"/>
      <c r="V921" s="590"/>
      <c r="W921" s="189"/>
    </row>
    <row r="922" spans="1:23" ht="12.75" x14ac:dyDescent="0.2">
      <c r="A922" s="189"/>
      <c r="B922" s="479" t="str">
        <f ca="1">语言!$A$1827</f>
        <v>心胸宽阔的说书人</v>
      </c>
      <c r="C922" s="189" t="b">
        <v>0</v>
      </c>
      <c r="D922" s="54" t="str">
        <f ca="1">道具!$C$6</f>
        <v>ＳＰ恢复的李子</v>
      </c>
      <c r="E922" s="589" t="b">
        <v>0</v>
      </c>
      <c r="F922" s="464" t="str">
        <f ca="1">道具!$I$17</f>
        <v>哈伊兰多的龙</v>
      </c>
      <c r="G922" s="589" t="b">
        <v>0</v>
      </c>
      <c r="H922" s="591" t="s">
        <v>57</v>
      </c>
      <c r="I922" s="464">
        <v>3</v>
      </c>
      <c r="J922" s="464"/>
      <c r="K922" s="464"/>
      <c r="L922" s="464"/>
      <c r="M922" s="464"/>
      <c r="N922" s="464"/>
      <c r="O922" s="464" t="str">
        <f ca="1">道具!$C$3</f>
        <v>ＨＰ恢复的葡萄</v>
      </c>
      <c r="P922" s="589"/>
      <c r="Q922" s="591" t="s">
        <v>57</v>
      </c>
      <c r="R922" s="52"/>
      <c r="S922" s="52" t="str">
        <f ca="1">Summon!$I$72</f>
        <v>殴打</v>
      </c>
      <c r="T922" s="591">
        <v>8</v>
      </c>
      <c r="U922" s="589"/>
      <c r="V922" s="464" t="str">
        <f ca="1">"NPC available after "&amp;语言!$A$38&amp;" chapter 1"</f>
        <v>NPC available after 欧尔贝克 chapter 1</v>
      </c>
      <c r="W922" s="189"/>
    </row>
    <row r="923" spans="1:23" ht="12.75" x14ac:dyDescent="0.2">
      <c r="A923" s="189"/>
      <c r="B923" s="371"/>
      <c r="C923" s="189" t="b">
        <v>0</v>
      </c>
      <c r="D923" s="54" t="str">
        <f ca="1">道具!$C$7</f>
        <v>ＳＰ恢复的李子（大）</v>
      </c>
      <c r="E923" s="371"/>
      <c r="F923" s="371"/>
      <c r="G923" s="371"/>
      <c r="H923" s="371"/>
      <c r="I923" s="371"/>
      <c r="J923" s="371"/>
      <c r="K923" s="371"/>
      <c r="L923" s="371"/>
      <c r="M923" s="371"/>
      <c r="N923" s="371"/>
      <c r="O923" s="371"/>
      <c r="P923" s="371"/>
      <c r="Q923" s="371"/>
      <c r="R923" s="52"/>
      <c r="S923" s="52" t="str">
        <f ca="1">Summon!$I$164</f>
        <v>支援</v>
      </c>
      <c r="T923" s="371"/>
      <c r="U923" s="371"/>
      <c r="V923" s="371"/>
      <c r="W923" s="189"/>
    </row>
    <row r="924" spans="1:23" ht="12.75" x14ac:dyDescent="0.2">
      <c r="A924" s="189"/>
      <c r="B924" s="590"/>
      <c r="C924" s="191"/>
      <c r="D924" s="192"/>
      <c r="E924" s="590"/>
      <c r="F924" s="590"/>
      <c r="G924" s="590"/>
      <c r="H924" s="590"/>
      <c r="I924" s="590"/>
      <c r="J924" s="590"/>
      <c r="K924" s="590"/>
      <c r="L924" s="590"/>
      <c r="M924" s="590"/>
      <c r="N924" s="590"/>
      <c r="O924" s="590"/>
      <c r="P924" s="590"/>
      <c r="Q924" s="590"/>
      <c r="R924" s="193"/>
      <c r="S924" s="193" t="str">
        <f ca="1">Summon!$I$4</f>
        <v>战斗</v>
      </c>
      <c r="T924" s="590"/>
      <c r="U924" s="590"/>
      <c r="V924" s="590"/>
      <c r="W924" s="189"/>
    </row>
    <row r="925" spans="1:23" ht="12.75" x14ac:dyDescent="0.2">
      <c r="A925" s="189"/>
      <c r="B925" s="479" t="str">
        <f ca="1">语言!$A$1937</f>
        <v>笑容灿烂的农民</v>
      </c>
      <c r="C925" s="589" t="b">
        <v>0</v>
      </c>
      <c r="D925" s="479" t="str">
        <f ca="1">道具!$C$195</f>
        <v>银制长枪</v>
      </c>
      <c r="E925" s="589" t="b">
        <v>0</v>
      </c>
      <c r="F925" s="464" t="str">
        <f ca="1">语言!$A$23</f>
        <v>无</v>
      </c>
      <c r="G925" s="589" t="b">
        <v>0</v>
      </c>
      <c r="H925" s="591" t="s">
        <v>57</v>
      </c>
      <c r="I925" s="464">
        <v>3</v>
      </c>
      <c r="J925" s="464"/>
      <c r="K925" s="464"/>
      <c r="L925" s="464"/>
      <c r="M925" s="464"/>
      <c r="N925" s="464"/>
      <c r="O925" s="464" t="str">
        <f ca="1">道具!$C$395</f>
        <v>青铜头盔</v>
      </c>
      <c r="P925" s="589"/>
      <c r="Q925" s="591" t="s">
        <v>57</v>
      </c>
      <c r="R925" s="52"/>
      <c r="S925" s="52" t="str">
        <f ca="1">Summon!$I$118</f>
        <v>恢复ＨＰ的葡萄</v>
      </c>
      <c r="T925" s="591">
        <v>8</v>
      </c>
      <c r="U925" s="589"/>
      <c r="V925" s="464" t="str">
        <f ca="1">"NPC available after "&amp;语言!$A$38&amp;" chapter 1"</f>
        <v>NPC available after 欧尔贝克 chapter 1</v>
      </c>
      <c r="W925" s="189"/>
    </row>
    <row r="926" spans="1:23" ht="12.75" x14ac:dyDescent="0.2">
      <c r="A926" s="189"/>
      <c r="B926" s="371"/>
      <c r="C926" s="371"/>
      <c r="D926" s="371"/>
      <c r="E926" s="371"/>
      <c r="F926" s="371"/>
      <c r="G926" s="371"/>
      <c r="H926" s="371"/>
      <c r="I926" s="371"/>
      <c r="J926" s="371"/>
      <c r="K926" s="371"/>
      <c r="L926" s="371"/>
      <c r="M926" s="371"/>
      <c r="N926" s="371"/>
      <c r="O926" s="371"/>
      <c r="P926" s="371"/>
      <c r="Q926" s="371"/>
      <c r="R926" s="52"/>
      <c r="S926" s="52" t="str">
        <f ca="1">Summon!$I$40</f>
        <v>乱挥</v>
      </c>
      <c r="T926" s="371"/>
      <c r="U926" s="371"/>
      <c r="V926" s="371"/>
      <c r="W926" s="189"/>
    </row>
    <row r="927" spans="1:23" ht="12.75" x14ac:dyDescent="0.2">
      <c r="A927" s="189"/>
      <c r="B927" s="590"/>
      <c r="C927" s="590"/>
      <c r="D927" s="590"/>
      <c r="E927" s="590"/>
      <c r="F927" s="590"/>
      <c r="G927" s="590"/>
      <c r="H927" s="590"/>
      <c r="I927" s="590"/>
      <c r="J927" s="590"/>
      <c r="K927" s="590"/>
      <c r="L927" s="590"/>
      <c r="M927" s="590"/>
      <c r="N927" s="590"/>
      <c r="O927" s="590"/>
      <c r="P927" s="590"/>
      <c r="Q927" s="590"/>
      <c r="R927" s="193"/>
      <c r="S927" s="193" t="str">
        <f ca="1">Summon!$I$4</f>
        <v>战斗</v>
      </c>
      <c r="T927" s="590"/>
      <c r="U927" s="590"/>
      <c r="V927" s="590"/>
      <c r="W927" s="189"/>
    </row>
    <row r="928" spans="1:23" ht="12.75" x14ac:dyDescent="0.2">
      <c r="A928" s="189"/>
      <c r="B928" s="479" t="str">
        <f ca="1">语言!$A$2120</f>
        <v>村民</v>
      </c>
      <c r="C928" s="589" t="b">
        <v>0</v>
      </c>
      <c r="D928" s="479" t="str">
        <f ca="1">道具!$C$499</f>
        <v>狙击耳环</v>
      </c>
      <c r="E928" s="589" t="b">
        <v>0</v>
      </c>
      <c r="F928" s="464" t="str">
        <f ca="1">语言!$A$33&amp;"
"&amp;道具!$C$296</f>
        <v>隐藏道具的资讯
魔咒弓</v>
      </c>
      <c r="G928" s="589" t="b">
        <v>0</v>
      </c>
      <c r="H928" s="591" t="s">
        <v>50</v>
      </c>
      <c r="I928" s="464">
        <v>4</v>
      </c>
      <c r="J928" s="464"/>
      <c r="K928" s="464"/>
      <c r="L928" s="464"/>
      <c r="M928" s="464"/>
      <c r="N928" s="464"/>
      <c r="O928" s="464" t="str">
        <f ca="1">道具!$C$287</f>
        <v>影弓</v>
      </c>
      <c r="P928" s="589"/>
      <c r="Q928" s="591" t="s">
        <v>50</v>
      </c>
      <c r="R928" s="52"/>
      <c r="S928" s="52" t="str">
        <f ca="1">Summon!$I$67</f>
        <v>睡眠之矢</v>
      </c>
      <c r="T928" s="591">
        <v>7</v>
      </c>
      <c r="U928" s="589"/>
      <c r="V928" s="464"/>
      <c r="W928" s="189"/>
    </row>
    <row r="929" spans="1:23" ht="12.75" x14ac:dyDescent="0.2">
      <c r="A929" s="189"/>
      <c r="B929" s="371"/>
      <c r="C929" s="371"/>
      <c r="D929" s="371"/>
      <c r="E929" s="371"/>
      <c r="F929" s="371"/>
      <c r="G929" s="371"/>
      <c r="H929" s="371"/>
      <c r="I929" s="371"/>
      <c r="J929" s="371"/>
      <c r="K929" s="371"/>
      <c r="L929" s="371"/>
      <c r="M929" s="371"/>
      <c r="N929" s="371"/>
      <c r="O929" s="371"/>
      <c r="P929" s="371"/>
      <c r="Q929" s="371"/>
      <c r="R929" s="52"/>
      <c r="S929" s="52" t="str">
        <f ca="1">Summon!$I$70</f>
        <v>乱射</v>
      </c>
      <c r="T929" s="371"/>
      <c r="U929" s="371"/>
      <c r="V929" s="371"/>
      <c r="W929" s="189"/>
    </row>
    <row r="930" spans="1:23" ht="12.75" x14ac:dyDescent="0.2">
      <c r="A930" s="189"/>
      <c r="B930" s="590"/>
      <c r="C930" s="590"/>
      <c r="D930" s="590"/>
      <c r="E930" s="590"/>
      <c r="F930" s="590"/>
      <c r="G930" s="590"/>
      <c r="H930" s="590"/>
      <c r="I930" s="590"/>
      <c r="J930" s="590"/>
      <c r="K930" s="590"/>
      <c r="L930" s="590"/>
      <c r="M930" s="590"/>
      <c r="N930" s="590"/>
      <c r="O930" s="590"/>
      <c r="P930" s="590"/>
      <c r="Q930" s="590"/>
      <c r="R930" s="193"/>
      <c r="S930" s="193" t="str">
        <f ca="1">Summon!$I$4</f>
        <v>战斗</v>
      </c>
      <c r="T930" s="590"/>
      <c r="U930" s="590"/>
      <c r="V930" s="590"/>
      <c r="W930" s="189"/>
    </row>
    <row r="931" spans="1:23" ht="12.75" x14ac:dyDescent="0.2">
      <c r="A931" s="189"/>
      <c r="B931" s="479" t="str">
        <f ca="1">语言!$A$1821</f>
        <v>警备团团长</v>
      </c>
      <c r="C931" s="189" t="b">
        <v>0</v>
      </c>
      <c r="D931" s="54" t="str">
        <f ca="1">道具!$C$3</f>
        <v>ＨＰ恢复的葡萄</v>
      </c>
      <c r="E931" s="589" t="b">
        <v>0</v>
      </c>
      <c r="F931" s="464" t="str">
        <f ca="1">语言!$A$31</f>
        <v>「比试」必须等级降低资讯</v>
      </c>
      <c r="G931" s="589" t="b">
        <v>0</v>
      </c>
      <c r="H931" s="591" t="s">
        <v>46</v>
      </c>
      <c r="I931" s="464">
        <v>3</v>
      </c>
      <c r="J931" s="464"/>
      <c r="K931" s="464"/>
      <c r="L931" s="464"/>
      <c r="M931" s="464"/>
      <c r="N931" s="464"/>
      <c r="O931" s="464" t="str">
        <f ca="1">道具!$C$4</f>
        <v>ＨＰ恢复的葡萄（大）</v>
      </c>
      <c r="P931" s="589"/>
      <c r="Q931" s="593" t="s">
        <v>119</v>
      </c>
      <c r="R931" s="593" t="s">
        <v>119</v>
      </c>
      <c r="S931" s="593" t="s">
        <v>119</v>
      </c>
      <c r="T931" s="593" t="s">
        <v>119</v>
      </c>
      <c r="U931" s="589"/>
      <c r="V931" s="464"/>
      <c r="W931" s="189"/>
    </row>
    <row r="932" spans="1:23" ht="12.75" x14ac:dyDescent="0.2">
      <c r="A932" s="189"/>
      <c r="B932" s="590"/>
      <c r="C932" s="191" t="b">
        <v>0</v>
      </c>
      <c r="D932" s="192" t="str">
        <f ca="1">道具!$C$543</f>
        <v>橄榄花</v>
      </c>
      <c r="E932" s="590"/>
      <c r="F932" s="590"/>
      <c r="G932" s="590"/>
      <c r="H932" s="590"/>
      <c r="I932" s="590"/>
      <c r="J932" s="590"/>
      <c r="K932" s="590"/>
      <c r="L932" s="590"/>
      <c r="M932" s="590"/>
      <c r="N932" s="590"/>
      <c r="O932" s="590"/>
      <c r="P932" s="590"/>
      <c r="Q932" s="590"/>
      <c r="R932" s="590"/>
      <c r="S932" s="590"/>
      <c r="T932" s="590"/>
      <c r="U932" s="590"/>
      <c r="V932" s="590"/>
      <c r="W932" s="189"/>
    </row>
    <row r="933" spans="1:23" ht="12.75" x14ac:dyDescent="0.2">
      <c r="A933" s="189"/>
      <c r="B933" s="479" t="str">
        <f ca="1">语言!$A$1835</f>
        <v>健壮的养牛人</v>
      </c>
      <c r="C933" s="189" t="b">
        <v>0</v>
      </c>
      <c r="D933" s="54" t="str">
        <f ca="1">"* "&amp;道具!$F$39</f>
        <v>* 牛粪</v>
      </c>
      <c r="E933" s="589" t="b">
        <v>0</v>
      </c>
      <c r="F933" s="464" t="str">
        <f ca="1">语言!$A$23</f>
        <v>无</v>
      </c>
      <c r="G933" s="589" t="b">
        <v>0</v>
      </c>
      <c r="H933" s="591" t="s">
        <v>57</v>
      </c>
      <c r="I933" s="464">
        <v>3</v>
      </c>
      <c r="J933" s="464"/>
      <c r="K933" s="464"/>
      <c r="L933" s="464"/>
      <c r="M933" s="464"/>
      <c r="N933" s="464"/>
      <c r="O933" s="464" t="str">
        <f ca="1">道具!$C$532</f>
        <v>含毒的素材</v>
      </c>
      <c r="P933" s="589"/>
      <c r="Q933" s="591" t="s">
        <v>57</v>
      </c>
      <c r="R933" s="52"/>
      <c r="S933" s="52" t="str">
        <f ca="1">Summon!$I$59</f>
        <v>投掷肥料</v>
      </c>
      <c r="T933" s="591">
        <v>8</v>
      </c>
      <c r="U933" s="589"/>
      <c r="V933" s="464" t="str">
        <f ca="1">"NPC available after "&amp;语言!$A$38&amp;" chapter 1"</f>
        <v>NPC available after 欧尔贝克 chapter 1</v>
      </c>
      <c r="W933" s="189"/>
    </row>
    <row r="934" spans="1:23" ht="12.75" x14ac:dyDescent="0.2">
      <c r="A934" s="189"/>
      <c r="B934" s="590"/>
      <c r="C934" s="191" t="b">
        <v>0</v>
      </c>
      <c r="D934" s="192" t="str">
        <f ca="1">道具!$C$529</f>
        <v>药的素材（扩散）</v>
      </c>
      <c r="E934" s="590"/>
      <c r="F934" s="590"/>
      <c r="G934" s="590"/>
      <c r="H934" s="590"/>
      <c r="I934" s="590"/>
      <c r="J934" s="590"/>
      <c r="K934" s="590"/>
      <c r="L934" s="590"/>
      <c r="M934" s="590"/>
      <c r="N934" s="590"/>
      <c r="O934" s="590"/>
      <c r="P934" s="590"/>
      <c r="Q934" s="590"/>
      <c r="R934" s="193"/>
      <c r="S934" s="193" t="str">
        <f ca="1">Summon!$I$4</f>
        <v>战斗</v>
      </c>
      <c r="T934" s="590"/>
      <c r="U934" s="590"/>
      <c r="V934" s="590"/>
      <c r="W934" s="189"/>
    </row>
    <row r="935" spans="1:23" ht="12.75" x14ac:dyDescent="0.2">
      <c r="A935" s="189"/>
      <c r="B935" s="479" t="str">
        <f ca="1">语言!$A$2005&amp;" (1)"</f>
        <v>诺艾尔 (1)</v>
      </c>
      <c r="C935" s="189" t="b">
        <v>0</v>
      </c>
      <c r="D935" s="54" t="str">
        <f ca="1">道具!$C$478</f>
        <v>灵敏项链</v>
      </c>
      <c r="E935" s="589" t="b">
        <v>0</v>
      </c>
      <c r="F935" s="464" t="str">
        <f ca="1">语言!$A$23</f>
        <v>无</v>
      </c>
      <c r="G935" s="589" t="b">
        <v>0</v>
      </c>
      <c r="H935" s="591" t="s">
        <v>45</v>
      </c>
      <c r="I935" s="464">
        <v>1</v>
      </c>
      <c r="J935" s="464"/>
      <c r="K935" s="464"/>
      <c r="L935" s="464"/>
      <c r="M935" s="464"/>
      <c r="N935" s="464"/>
      <c r="O935" s="464" t="str">
        <f ca="1">道具!$C$529</f>
        <v>药的素材（扩散）</v>
      </c>
      <c r="P935" s="589"/>
      <c r="Q935" s="591" t="s">
        <v>45</v>
      </c>
      <c r="R935" s="52"/>
      <c r="S935" s="52" t="str">
        <f ca="1">Summon!$I$173</f>
        <v>攻击力提升</v>
      </c>
      <c r="T935" s="591">
        <v>9</v>
      </c>
      <c r="U935" s="589"/>
      <c r="V935" s="464" t="str">
        <f ca="1">"NPC available after "&amp;语言!$A$38&amp;" chapter 1
Moves to "&amp;语言!$A$395&amp;" after quest: "&amp;支线!$C$60</f>
        <v>NPC available after 欧尔贝克 chapter 1
Moves to 斯托冈德 after quest: 历史研究家诺艾尔（１）</v>
      </c>
      <c r="W935" s="189"/>
    </row>
    <row r="936" spans="1:23" ht="12.75" x14ac:dyDescent="0.2">
      <c r="A936" s="189"/>
      <c r="B936" s="371"/>
      <c r="C936" s="189" t="b">
        <v>0</v>
      </c>
      <c r="D936" s="54" t="str">
        <f ca="1">道具!$C$489</f>
        <v>精神戒指</v>
      </c>
      <c r="E936" s="371"/>
      <c r="F936" s="371"/>
      <c r="G936" s="371"/>
      <c r="H936" s="371"/>
      <c r="I936" s="371"/>
      <c r="J936" s="371"/>
      <c r="K936" s="371"/>
      <c r="L936" s="371"/>
      <c r="M936" s="371"/>
      <c r="N936" s="371"/>
      <c r="O936" s="371"/>
      <c r="P936" s="371"/>
      <c r="Q936" s="371"/>
      <c r="R936" s="52"/>
      <c r="S936" s="52" t="str">
        <f ca="1">Summon!$I$42</f>
        <v>猛击</v>
      </c>
      <c r="T936" s="371"/>
      <c r="U936" s="371"/>
      <c r="V936" s="371"/>
      <c r="W936" s="189"/>
    </row>
    <row r="937" spans="1:23" ht="12.75" x14ac:dyDescent="0.2">
      <c r="A937" s="189"/>
      <c r="B937" s="590"/>
      <c r="C937" s="191" t="b">
        <v>0</v>
      </c>
      <c r="D937" s="192" t="str">
        <f ca="1">道具!$C$495</f>
        <v>体力耳环</v>
      </c>
      <c r="E937" s="590"/>
      <c r="F937" s="590"/>
      <c r="G937" s="590"/>
      <c r="H937" s="590"/>
      <c r="I937" s="590"/>
      <c r="J937" s="590"/>
      <c r="K937" s="590"/>
      <c r="L937" s="590"/>
      <c r="M937" s="590"/>
      <c r="N937" s="590"/>
      <c r="O937" s="590"/>
      <c r="P937" s="590"/>
      <c r="Q937" s="590"/>
      <c r="R937" s="193"/>
      <c r="S937" s="193" t="str">
        <f ca="1">Summon!$I$4</f>
        <v>战斗</v>
      </c>
      <c r="T937" s="590"/>
      <c r="U937" s="590"/>
      <c r="V937" s="590"/>
      <c r="W937" s="189"/>
    </row>
    <row r="938" spans="1:23" ht="12.75" x14ac:dyDescent="0.2">
      <c r="A938" s="189"/>
      <c r="B938" s="479" t="str">
        <f ca="1">语言!$A$2123</f>
        <v>警备团员</v>
      </c>
      <c r="C938" s="589" t="b">
        <v>0</v>
      </c>
      <c r="D938" s="479" t="str">
        <f ca="1">道具!$C$167</f>
        <v>阔剑</v>
      </c>
      <c r="E938" s="589" t="b">
        <v>0</v>
      </c>
      <c r="F938" s="464" t="str">
        <f ca="1">语言!$A$27</f>
        <v>杂货店商品追加资讯</v>
      </c>
      <c r="G938" s="589" t="b">
        <v>0</v>
      </c>
      <c r="H938" s="591" t="s">
        <v>45</v>
      </c>
      <c r="I938" s="464">
        <v>1</v>
      </c>
      <c r="J938" s="464"/>
      <c r="K938" s="464"/>
      <c r="L938" s="464"/>
      <c r="M938" s="464"/>
      <c r="N938" s="464"/>
      <c r="O938" s="464" t="str">
        <f ca="1">道具!$C$39</f>
        <v>风之精灵石</v>
      </c>
      <c r="P938" s="589"/>
      <c r="Q938" s="591" t="s">
        <v>45</v>
      </c>
      <c r="R938" s="52"/>
      <c r="S938" s="52" t="str">
        <f ca="1">Summon!$I$21</f>
        <v>乱斩</v>
      </c>
      <c r="T938" s="190">
        <v>9</v>
      </c>
      <c r="U938" s="589"/>
      <c r="V938" s="464" t="str">
        <f ca="1">"NPC available upon starting "&amp;语言!$A$38&amp;" chapter 1"</f>
        <v>NPC available upon starting 欧尔贝克 chapter 1</v>
      </c>
      <c r="W938" s="189"/>
    </row>
    <row r="939" spans="1:23" ht="12.75" x14ac:dyDescent="0.2">
      <c r="A939" s="189"/>
      <c r="B939" s="371"/>
      <c r="C939" s="371"/>
      <c r="D939" s="371"/>
      <c r="E939" s="371"/>
      <c r="F939" s="371"/>
      <c r="G939" s="371"/>
      <c r="H939" s="371"/>
      <c r="I939" s="371"/>
      <c r="J939" s="371"/>
      <c r="K939" s="371"/>
      <c r="L939" s="371"/>
      <c r="M939" s="371"/>
      <c r="N939" s="371"/>
      <c r="O939" s="371"/>
      <c r="P939" s="371"/>
      <c r="Q939" s="371"/>
      <c r="R939" s="52"/>
      <c r="S939" s="52" t="str">
        <f ca="1">Summon!$I$6</f>
        <v>斩击</v>
      </c>
      <c r="T939" s="190"/>
      <c r="U939" s="371"/>
      <c r="V939" s="371"/>
      <c r="W939" s="189"/>
    </row>
    <row r="940" spans="1:23" ht="12.75" x14ac:dyDescent="0.2">
      <c r="A940" s="189"/>
      <c r="B940" s="590"/>
      <c r="C940" s="590"/>
      <c r="D940" s="590"/>
      <c r="E940" s="590"/>
      <c r="F940" s="590"/>
      <c r="G940" s="590"/>
      <c r="H940" s="590"/>
      <c r="I940" s="590"/>
      <c r="J940" s="590"/>
      <c r="K940" s="590"/>
      <c r="L940" s="590"/>
      <c r="M940" s="590"/>
      <c r="N940" s="590"/>
      <c r="O940" s="590"/>
      <c r="P940" s="590"/>
      <c r="Q940" s="590"/>
      <c r="R940" s="193"/>
      <c r="S940" s="193" t="str">
        <f ca="1">Summon!$I$4</f>
        <v>战斗</v>
      </c>
      <c r="T940" s="194"/>
      <c r="U940" s="590"/>
      <c r="V940" s="590"/>
      <c r="W940" s="189"/>
    </row>
    <row r="941" spans="1:23" ht="12.75" x14ac:dyDescent="0.2">
      <c r="A941" s="189"/>
      <c r="B941" s="479" t="str">
        <f ca="1">语言!$A$1973&amp;" (1)"</f>
        <v>忧郁的青年 (1)</v>
      </c>
      <c r="C941" s="189" t="b">
        <v>0</v>
      </c>
      <c r="D941" s="54" t="str">
        <f ca="1">道具!$C$25</f>
        <v>毒瓶</v>
      </c>
      <c r="E941" s="589" t="b">
        <v>0</v>
      </c>
      <c r="F941" s="464" t="str">
        <f ca="1">语言!$A$23</f>
        <v>无</v>
      </c>
      <c r="G941" s="589" t="b">
        <v>0</v>
      </c>
      <c r="H941" s="591" t="s">
        <v>48</v>
      </c>
      <c r="I941" s="464">
        <v>2</v>
      </c>
      <c r="J941" s="464"/>
      <c r="K941" s="464"/>
      <c r="L941" s="464"/>
      <c r="M941" s="464"/>
      <c r="N941" s="464"/>
      <c r="O941" s="464" t="str">
        <f ca="1">道具!$C$3</f>
        <v>ＨＰ恢复的葡萄</v>
      </c>
      <c r="P941" s="589"/>
      <c r="Q941" s="591" t="s">
        <v>48</v>
      </c>
      <c r="R941" s="464"/>
      <c r="S941" s="464" t="str">
        <f ca="1">Summon!$I$31</f>
        <v>要害突刺</v>
      </c>
      <c r="T941" s="591">
        <v>9</v>
      </c>
      <c r="U941" s="589"/>
      <c r="V941" s="464" t="str">
        <f ca="1">"NPC available after "&amp;语言!$A$38&amp;" chapter 1
Moves to "&amp;语言!$A$355&amp;" after quest: "&amp;支线!$C$62</f>
        <v>NPC available after 欧尔贝克 chapter 1
Moves to 诺布尔寇德 -东地区- after quest: 无法忘怀的回忆</v>
      </c>
      <c r="W941" s="189"/>
    </row>
    <row r="942" spans="1:23" ht="12.75" x14ac:dyDescent="0.2">
      <c r="A942" s="189"/>
      <c r="B942" s="371"/>
      <c r="C942" s="189" t="b">
        <v>0</v>
      </c>
      <c r="D942" s="54" t="str">
        <f ca="1">道具!$C$26</f>
        <v>暗黑瓶</v>
      </c>
      <c r="E942" s="371"/>
      <c r="F942" s="371"/>
      <c r="G942" s="371"/>
      <c r="H942" s="371"/>
      <c r="I942" s="371"/>
      <c r="J942" s="371"/>
      <c r="K942" s="371"/>
      <c r="L942" s="371"/>
      <c r="M942" s="371"/>
      <c r="N942" s="371"/>
      <c r="O942" s="371"/>
      <c r="P942" s="371"/>
      <c r="Q942" s="371"/>
      <c r="R942" s="371"/>
      <c r="S942" s="371"/>
      <c r="T942" s="371"/>
      <c r="U942" s="371"/>
      <c r="V942" s="371"/>
      <c r="W942" s="189"/>
    </row>
    <row r="943" spans="1:23" ht="12.75" x14ac:dyDescent="0.2">
      <c r="A943" s="189"/>
      <c r="B943" s="371"/>
      <c r="C943" s="189" t="b">
        <v>0</v>
      </c>
      <c r="D943" s="54" t="str">
        <f ca="1">道具!$C$27</f>
        <v>混乱瓶</v>
      </c>
      <c r="E943" s="371"/>
      <c r="F943" s="371"/>
      <c r="G943" s="371"/>
      <c r="H943" s="371"/>
      <c r="I943" s="371"/>
      <c r="J943" s="371"/>
      <c r="K943" s="371"/>
      <c r="L943" s="371"/>
      <c r="M943" s="371"/>
      <c r="N943" s="371"/>
      <c r="O943" s="371"/>
      <c r="P943" s="371"/>
      <c r="Q943" s="371"/>
      <c r="R943" s="464"/>
      <c r="S943" s="464" t="str">
        <f ca="1">Summon!$I$4</f>
        <v>战斗</v>
      </c>
      <c r="T943" s="371"/>
      <c r="U943" s="371"/>
      <c r="V943" s="371"/>
      <c r="W943" s="189"/>
    </row>
    <row r="944" spans="1:23" ht="12.75" x14ac:dyDescent="0.2">
      <c r="A944" s="189"/>
      <c r="B944" s="590"/>
      <c r="C944" s="191" t="b">
        <v>0</v>
      </c>
      <c r="D944" s="192" t="str">
        <f ca="1">道具!$C$29</f>
        <v>睡眠瓶</v>
      </c>
      <c r="E944" s="590"/>
      <c r="F944" s="590"/>
      <c r="G944" s="590"/>
      <c r="H944" s="590"/>
      <c r="I944" s="590"/>
      <c r="J944" s="590"/>
      <c r="K944" s="590"/>
      <c r="L944" s="590"/>
      <c r="M944" s="590"/>
      <c r="N944" s="590"/>
      <c r="O944" s="590"/>
      <c r="P944" s="590"/>
      <c r="Q944" s="590"/>
      <c r="R944" s="590"/>
      <c r="S944" s="590"/>
      <c r="T944" s="590"/>
      <c r="U944" s="590"/>
      <c r="V944" s="590"/>
      <c r="W944" s="189"/>
    </row>
    <row r="945" spans="1:23" ht="12.75" x14ac:dyDescent="0.2">
      <c r="A945" s="189"/>
      <c r="B945" s="479" t="str">
        <f ca="1">语言!$A$2120</f>
        <v>村民</v>
      </c>
      <c r="C945" s="189" t="b">
        <v>0</v>
      </c>
      <c r="D945" s="54" t="str">
        <f ca="1">道具!$C$531</f>
        <v>秘药的素材（扩散）</v>
      </c>
      <c r="E945" s="589" t="b">
        <v>0</v>
      </c>
      <c r="F945" s="464" t="str">
        <f ca="1">语言!$A$33&amp;"
"&amp;道具!$C$530</f>
        <v>隐藏道具的资讯
秘药的素材</v>
      </c>
      <c r="G945" s="589" t="b">
        <v>0</v>
      </c>
      <c r="H945" s="591" t="s">
        <v>46</v>
      </c>
      <c r="I945" s="464">
        <v>3</v>
      </c>
      <c r="J945" s="464"/>
      <c r="K945" s="464"/>
      <c r="L945" s="464"/>
      <c r="M945" s="464"/>
      <c r="N945" s="464"/>
      <c r="O945" s="464" t="str">
        <f ca="1">道具!$C$537</f>
        <v>毒利米树之叶</v>
      </c>
      <c r="P945" s="589"/>
      <c r="Q945" s="591" t="s">
        <v>46</v>
      </c>
      <c r="R945" s="52"/>
      <c r="S945" s="52" t="str">
        <f ca="1">Summon!$I$31</f>
        <v>要害突刺</v>
      </c>
      <c r="T945" s="591">
        <v>8</v>
      </c>
      <c r="U945" s="589"/>
      <c r="V945" s="464"/>
      <c r="W945" s="189"/>
    </row>
    <row r="946" spans="1:23" ht="12.75" x14ac:dyDescent="0.2">
      <c r="A946" s="189"/>
      <c r="B946" s="371"/>
      <c r="C946" s="189" t="b">
        <v>0</v>
      </c>
      <c r="D946" s="54" t="str">
        <f ca="1">道具!$C$543</f>
        <v>橄榄花</v>
      </c>
      <c r="E946" s="371"/>
      <c r="F946" s="371"/>
      <c r="G946" s="371"/>
      <c r="H946" s="371"/>
      <c r="I946" s="371"/>
      <c r="J946" s="371"/>
      <c r="K946" s="371"/>
      <c r="L946" s="371"/>
      <c r="M946" s="371"/>
      <c r="N946" s="371"/>
      <c r="O946" s="371"/>
      <c r="P946" s="371"/>
      <c r="Q946" s="371"/>
      <c r="R946" s="52"/>
      <c r="S946" s="52" t="str">
        <f ca="1">Summon!$I$30</f>
        <v>突刺</v>
      </c>
      <c r="T946" s="371"/>
      <c r="U946" s="371"/>
      <c r="V946" s="371"/>
      <c r="W946" s="189"/>
    </row>
    <row r="947" spans="1:23" ht="12.75" x14ac:dyDescent="0.2">
      <c r="A947" s="189"/>
      <c r="B947" s="371"/>
      <c r="C947" s="189" t="b">
        <v>0</v>
      </c>
      <c r="D947" s="54" t="str">
        <f ca="1">道具!$C$544</f>
        <v>神秘之花</v>
      </c>
      <c r="E947" s="371"/>
      <c r="F947" s="371"/>
      <c r="G947" s="371"/>
      <c r="H947" s="371"/>
      <c r="I947" s="371"/>
      <c r="J947" s="371"/>
      <c r="K947" s="371"/>
      <c r="L947" s="371"/>
      <c r="M947" s="371"/>
      <c r="N947" s="371"/>
      <c r="O947" s="371"/>
      <c r="P947" s="371"/>
      <c r="Q947" s="371"/>
      <c r="R947" s="52"/>
      <c r="S947" s="52" t="str">
        <f ca="1">Summon!$I$4</f>
        <v>战斗</v>
      </c>
      <c r="T947" s="371"/>
      <c r="U947" s="371"/>
      <c r="V947" s="371"/>
      <c r="W947" s="189"/>
    </row>
    <row r="948" spans="1:23" ht="18" x14ac:dyDescent="0.2">
      <c r="A948" s="196"/>
      <c r="B948" s="587" t="str">
        <f ca="1">语言!$A$323&amp;" 2"</f>
        <v>Tier 2</v>
      </c>
      <c r="C948" s="371"/>
      <c r="D948" s="371"/>
      <c r="E948" s="371"/>
      <c r="F948" s="371"/>
      <c r="G948" s="371"/>
      <c r="H948" s="371"/>
      <c r="I948" s="371"/>
      <c r="J948" s="371"/>
      <c r="K948" s="371"/>
      <c r="L948" s="371"/>
      <c r="M948" s="371"/>
      <c r="N948" s="371"/>
      <c r="O948" s="371"/>
      <c r="P948" s="371"/>
      <c r="Q948" s="371"/>
      <c r="R948" s="371"/>
      <c r="S948" s="371"/>
      <c r="T948" s="371"/>
      <c r="U948" s="371"/>
      <c r="V948" s="371"/>
      <c r="W948" s="196"/>
    </row>
    <row r="949" spans="1:23" ht="12.75" x14ac:dyDescent="0.2">
      <c r="A949" s="189"/>
      <c r="B949" s="588" t="str">
        <f ca="1">语言!$A$395</f>
        <v>斯托冈德</v>
      </c>
      <c r="C949" s="371"/>
      <c r="D949" s="371"/>
      <c r="E949" s="371"/>
      <c r="F949" s="371"/>
      <c r="G949" s="371"/>
      <c r="H949" s="371"/>
      <c r="I949" s="371"/>
      <c r="J949" s="371"/>
      <c r="K949" s="371"/>
      <c r="L949" s="371"/>
      <c r="M949" s="371"/>
      <c r="N949" s="371"/>
      <c r="O949" s="371"/>
      <c r="P949" s="371"/>
      <c r="Q949" s="371"/>
      <c r="R949" s="371"/>
      <c r="S949" s="371"/>
      <c r="T949" s="371"/>
      <c r="U949" s="371"/>
      <c r="V949" s="371"/>
      <c r="W949" s="189"/>
    </row>
    <row r="950" spans="1:23" ht="12.75" x14ac:dyDescent="0.2">
      <c r="A950" s="189"/>
      <c r="B950" s="479" t="str">
        <f ca="1">语言!$A$2102</f>
        <v>市民</v>
      </c>
      <c r="C950" s="189" t="b">
        <v>0</v>
      </c>
      <c r="D950" s="54" t="str">
        <f ca="1">道具!$C$40</f>
        <v>风之精灵石（大）</v>
      </c>
      <c r="E950" s="589" t="b">
        <v>0</v>
      </c>
      <c r="F950" s="464" t="str">
        <f ca="1">语言!$A$24</f>
        <v>旅店的折扣资讯</v>
      </c>
      <c r="G950" s="589" t="b">
        <v>0</v>
      </c>
      <c r="H950" s="591" t="s">
        <v>57</v>
      </c>
      <c r="I950" s="464">
        <v>3</v>
      </c>
      <c r="J950" s="464"/>
      <c r="K950" s="464"/>
      <c r="L950" s="464"/>
      <c r="M950" s="464"/>
      <c r="N950" s="464"/>
      <c r="O950" s="464" t="str">
        <f ca="1">道具!$C$40</f>
        <v>风之精灵石（大）</v>
      </c>
      <c r="P950" s="589"/>
      <c r="Q950" s="591" t="s">
        <v>57</v>
      </c>
      <c r="R950" s="52"/>
      <c r="S950" s="52" t="str">
        <f ca="1">Summon!$I$130</f>
        <v>技能的气息</v>
      </c>
      <c r="T950" s="591">
        <v>8</v>
      </c>
      <c r="U950" s="589"/>
      <c r="V950" s="464"/>
      <c r="W950" s="189"/>
    </row>
    <row r="951" spans="1:23" ht="12.75" x14ac:dyDescent="0.2">
      <c r="A951" s="189"/>
      <c r="B951" s="371"/>
      <c r="C951" s="189" t="b">
        <v>0</v>
      </c>
      <c r="D951" s="54" t="str">
        <f ca="1">道具!$C$60</f>
        <v>增强物防的坚果（大）</v>
      </c>
      <c r="E951" s="371"/>
      <c r="F951" s="371"/>
      <c r="G951" s="371"/>
      <c r="H951" s="371"/>
      <c r="I951" s="371"/>
      <c r="J951" s="371"/>
      <c r="K951" s="371"/>
      <c r="L951" s="371"/>
      <c r="M951" s="371"/>
      <c r="N951" s="371"/>
      <c r="O951" s="371"/>
      <c r="P951" s="371"/>
      <c r="Q951" s="371"/>
      <c r="R951" s="52"/>
      <c r="S951" s="52" t="str">
        <f ca="1">Summon!$I$121</f>
        <v>ＨＰ疗愈</v>
      </c>
      <c r="T951" s="371"/>
      <c r="U951" s="371"/>
      <c r="V951" s="371"/>
      <c r="W951" s="189"/>
    </row>
    <row r="952" spans="1:23" ht="12.75" x14ac:dyDescent="0.2">
      <c r="A952" s="189"/>
      <c r="B952" s="590"/>
      <c r="C952" s="191"/>
      <c r="D952" s="192"/>
      <c r="E952" s="590"/>
      <c r="F952" s="590"/>
      <c r="G952" s="590"/>
      <c r="H952" s="590"/>
      <c r="I952" s="590"/>
      <c r="J952" s="590"/>
      <c r="K952" s="590"/>
      <c r="L952" s="590"/>
      <c r="M952" s="590"/>
      <c r="N952" s="590"/>
      <c r="O952" s="590"/>
      <c r="P952" s="590"/>
      <c r="Q952" s="590"/>
      <c r="R952" s="193"/>
      <c r="S952" s="193" t="str">
        <f ca="1">Summon!$I$4</f>
        <v>战斗</v>
      </c>
      <c r="T952" s="590"/>
      <c r="U952" s="590"/>
      <c r="V952" s="590"/>
      <c r="W952" s="189"/>
    </row>
    <row r="953" spans="1:23" ht="12.75" x14ac:dyDescent="0.2">
      <c r="A953" s="189"/>
      <c r="B953" s="479" t="str">
        <f ca="1">语言!$A$2112</f>
        <v>信仰深厚的男子</v>
      </c>
      <c r="C953" s="189" t="b">
        <v>0</v>
      </c>
      <c r="D953" s="54" t="str">
        <f ca="1">道具!$C$481</f>
        <v>精神手环</v>
      </c>
      <c r="E953" s="589" t="b">
        <v>0</v>
      </c>
      <c r="F953" s="464" t="str">
        <f ca="1">语言!$A$23</f>
        <v>无</v>
      </c>
      <c r="G953" s="589" t="b">
        <v>0</v>
      </c>
      <c r="H953" s="591" t="s">
        <v>45</v>
      </c>
      <c r="I953" s="464">
        <v>1</v>
      </c>
      <c r="J953" s="464"/>
      <c r="K953" s="464"/>
      <c r="L953" s="464"/>
      <c r="M953" s="464"/>
      <c r="N953" s="464"/>
      <c r="O953" s="464" t="str">
        <f ca="1">道具!$C$6</f>
        <v>ＳＰ恢复的李子</v>
      </c>
      <c r="P953" s="589"/>
      <c r="Q953" s="591" t="s">
        <v>45</v>
      </c>
      <c r="R953" s="52"/>
      <c r="S953" s="52" t="str">
        <f ca="1">Summon!$I$30</f>
        <v>突刺</v>
      </c>
      <c r="T953" s="591">
        <v>9</v>
      </c>
      <c r="U953" s="589"/>
      <c r="V953" s="464"/>
      <c r="W953" s="189"/>
    </row>
    <row r="954" spans="1:23" ht="12.75" x14ac:dyDescent="0.2">
      <c r="A954" s="189"/>
      <c r="B954" s="590"/>
      <c r="C954" s="191" t="b">
        <v>0</v>
      </c>
      <c r="D954" s="192" t="str">
        <f ca="1">道具!$C$490</f>
        <v>守护戒指</v>
      </c>
      <c r="E954" s="590"/>
      <c r="F954" s="590"/>
      <c r="G954" s="590"/>
      <c r="H954" s="590"/>
      <c r="I954" s="590"/>
      <c r="J954" s="590"/>
      <c r="K954" s="590"/>
      <c r="L954" s="590"/>
      <c r="M954" s="590"/>
      <c r="N954" s="590"/>
      <c r="O954" s="590"/>
      <c r="P954" s="590"/>
      <c r="Q954" s="590"/>
      <c r="R954" s="193"/>
      <c r="S954" s="193" t="str">
        <f ca="1">Summon!$I$4</f>
        <v>战斗</v>
      </c>
      <c r="T954" s="590"/>
      <c r="U954" s="590"/>
      <c r="V954" s="590"/>
      <c r="W954" s="189"/>
    </row>
    <row r="955" spans="1:23" ht="12.75" x14ac:dyDescent="0.2">
      <c r="A955" s="189"/>
      <c r="B955" s="479" t="str">
        <f ca="1">语言!$A$2051&amp;" (2)"</f>
        <v>流氓的小弟 (2)</v>
      </c>
      <c r="C955" s="589" t="b">
        <v>0</v>
      </c>
      <c r="D955" s="479" t="str">
        <f ca="1">道具!$C$252</f>
        <v>岩石猛击斧</v>
      </c>
      <c r="E955" s="589" t="b">
        <v>0</v>
      </c>
      <c r="F955" s="464" t="str">
        <f ca="1">语言!$A$23</f>
        <v>无</v>
      </c>
      <c r="G955" s="589" t="b">
        <v>0</v>
      </c>
      <c r="H955" s="591" t="s">
        <v>57</v>
      </c>
      <c r="I955" s="464">
        <v>3</v>
      </c>
      <c r="J955" s="464"/>
      <c r="K955" s="464"/>
      <c r="L955" s="464"/>
      <c r="M955" s="464"/>
      <c r="N955" s="464"/>
      <c r="O955" s="464" t="str">
        <f ca="1">道具!$C$34</f>
        <v>冰之精灵石（大）</v>
      </c>
      <c r="P955" s="589"/>
      <c r="Q955" s="591" t="s">
        <v>57</v>
      </c>
      <c r="R955" s="52"/>
      <c r="S955" s="52" t="str">
        <f ca="1">Summon!$I$45</f>
        <v>失明猛击</v>
      </c>
      <c r="T955" s="591">
        <v>8</v>
      </c>
      <c r="U955" s="589"/>
      <c r="V955" s="464" t="str">
        <f ca="1">"NPC at this location after quest: "&amp;支线!$C$65&amp;"
("&amp;语言!$A$47&amp;" / "&amp;语言!$A$51&amp;" solution only)"</f>
        <v>NPC at this location after quest: 无赖
(比试 / 唆使 solution only)</v>
      </c>
      <c r="W955" s="189"/>
    </row>
    <row r="956" spans="1:23" ht="12.75" x14ac:dyDescent="0.2">
      <c r="A956" s="189"/>
      <c r="B956" s="371"/>
      <c r="C956" s="371"/>
      <c r="D956" s="371"/>
      <c r="E956" s="371"/>
      <c r="F956" s="371"/>
      <c r="G956" s="371"/>
      <c r="H956" s="371"/>
      <c r="I956" s="371"/>
      <c r="J956" s="371"/>
      <c r="K956" s="371"/>
      <c r="L956" s="371"/>
      <c r="M956" s="371"/>
      <c r="N956" s="371"/>
      <c r="O956" s="371"/>
      <c r="P956" s="371"/>
      <c r="Q956" s="371"/>
      <c r="R956" s="52"/>
      <c r="S956" s="52" t="str">
        <f ca="1">Summon!$I$42</f>
        <v>猛击</v>
      </c>
      <c r="T956" s="371"/>
      <c r="U956" s="371"/>
      <c r="V956" s="371"/>
      <c r="W956" s="189"/>
    </row>
    <row r="957" spans="1:23" ht="12.75" x14ac:dyDescent="0.2">
      <c r="A957" s="189"/>
      <c r="B957" s="590"/>
      <c r="C957" s="590"/>
      <c r="D957" s="590"/>
      <c r="E957" s="590"/>
      <c r="F957" s="590"/>
      <c r="G957" s="590"/>
      <c r="H957" s="590"/>
      <c r="I957" s="590"/>
      <c r="J957" s="590"/>
      <c r="K957" s="590"/>
      <c r="L957" s="590"/>
      <c r="M957" s="590"/>
      <c r="N957" s="590"/>
      <c r="O957" s="590"/>
      <c r="P957" s="590"/>
      <c r="Q957" s="590"/>
      <c r="R957" s="193"/>
      <c r="S957" s="193" t="str">
        <f ca="1">Summon!$I$4</f>
        <v>战斗</v>
      </c>
      <c r="T957" s="590"/>
      <c r="U957" s="590"/>
      <c r="V957" s="590"/>
      <c r="W957" s="189"/>
    </row>
    <row r="958" spans="1:23" ht="12.75" x14ac:dyDescent="0.2">
      <c r="A958" s="189"/>
      <c r="B958" s="479" t="str">
        <f ca="1">语言!$A$2049&amp;" (2)"</f>
        <v>流氓 (2)</v>
      </c>
      <c r="C958" s="189" t="b">
        <v>0</v>
      </c>
      <c r="D958" s="54" t="str">
        <f ca="1">道具!$C$498</f>
        <v>守护耳环</v>
      </c>
      <c r="E958" s="589" t="b">
        <v>0</v>
      </c>
      <c r="F958" s="464" t="str">
        <f ca="1">语言!$A$23</f>
        <v>无</v>
      </c>
      <c r="G958" s="589" t="b">
        <v>0</v>
      </c>
      <c r="H958" s="591" t="s">
        <v>46</v>
      </c>
      <c r="I958" s="464">
        <v>3</v>
      </c>
      <c r="J958" s="464"/>
      <c r="K958" s="464"/>
      <c r="L958" s="464"/>
      <c r="M958" s="464"/>
      <c r="N958" s="464"/>
      <c r="O958" s="464" t="str">
        <f ca="1">道具!$C$31</f>
        <v>火之精灵石（大）</v>
      </c>
      <c r="P958" s="589"/>
      <c r="Q958" s="591" t="s">
        <v>46</v>
      </c>
      <c r="R958" s="52"/>
      <c r="S958" s="197" t="str">
        <f ca="1">Summon!$I$53</f>
        <v>脑天击</v>
      </c>
      <c r="T958" s="591">
        <v>8</v>
      </c>
      <c r="U958" s="589"/>
      <c r="V958" s="464" t="str">
        <f ca="1">"NPC at this location after quest: "&amp;支线!$C$65&amp;"
("&amp;语言!$A$47&amp;" / "&amp;语言!$A$51&amp;" solution only)"</f>
        <v>NPC at this location after quest: 无赖
(比试 / 唆使 solution only)</v>
      </c>
      <c r="W958" s="189"/>
    </row>
    <row r="959" spans="1:23" ht="12.75" x14ac:dyDescent="0.2">
      <c r="A959" s="189"/>
      <c r="B959" s="371"/>
      <c r="C959" s="189" t="b">
        <v>0</v>
      </c>
      <c r="D959" s="54" t="str">
        <f ca="1">道具!$C$515</f>
        <v>风之避邪符</v>
      </c>
      <c r="E959" s="371"/>
      <c r="F959" s="371"/>
      <c r="G959" s="371"/>
      <c r="H959" s="371"/>
      <c r="I959" s="371"/>
      <c r="J959" s="371"/>
      <c r="K959" s="371"/>
      <c r="L959" s="371"/>
      <c r="M959" s="371"/>
      <c r="N959" s="371"/>
      <c r="O959" s="371"/>
      <c r="P959" s="371"/>
      <c r="Q959" s="371"/>
      <c r="R959" s="52"/>
      <c r="S959" s="197" t="str">
        <f ca="1">Summon!$I$52</f>
        <v>重拳</v>
      </c>
      <c r="T959" s="371"/>
      <c r="U959" s="371"/>
      <c r="V959" s="371"/>
      <c r="W959" s="189"/>
    </row>
    <row r="960" spans="1:23" ht="12.75" x14ac:dyDescent="0.2">
      <c r="A960" s="189"/>
      <c r="B960" s="590"/>
      <c r="C960" s="191"/>
      <c r="D960" s="192"/>
      <c r="E960" s="590"/>
      <c r="F960" s="590"/>
      <c r="G960" s="590"/>
      <c r="H960" s="590"/>
      <c r="I960" s="590"/>
      <c r="J960" s="590"/>
      <c r="K960" s="590"/>
      <c r="L960" s="590"/>
      <c r="M960" s="590"/>
      <c r="N960" s="590"/>
      <c r="O960" s="590"/>
      <c r="P960" s="590"/>
      <c r="Q960" s="590"/>
      <c r="R960" s="193"/>
      <c r="S960" s="198" t="str">
        <f ca="1">Summon!$I$4</f>
        <v>战斗</v>
      </c>
      <c r="T960" s="590"/>
      <c r="U960" s="590"/>
      <c r="V960" s="590"/>
      <c r="W960" s="189"/>
    </row>
    <row r="961" spans="1:23" ht="12.75" x14ac:dyDescent="0.2">
      <c r="A961" s="189"/>
      <c r="B961" s="479" t="str">
        <f ca="1">语言!$A$1804</f>
        <v>制书工房的员工</v>
      </c>
      <c r="C961" s="189" t="b">
        <v>0</v>
      </c>
      <c r="D961" s="54" t="str">
        <f ca="1">道具!$C$3</f>
        <v>ＨＰ恢复的葡萄</v>
      </c>
      <c r="E961" s="589" t="b">
        <v>0</v>
      </c>
      <c r="F961" s="464" t="str">
        <f ca="1">语言!$A$23&amp;" /
"&amp;道具!$I$45</f>
        <v>无 /
书被卖去哪里</v>
      </c>
      <c r="G961" s="589" t="b">
        <v>0</v>
      </c>
      <c r="H961" s="591" t="s">
        <v>57</v>
      </c>
      <c r="I961" s="464">
        <v>3</v>
      </c>
      <c r="J961" s="464"/>
      <c r="K961" s="464"/>
      <c r="L961" s="464"/>
      <c r="M961" s="464"/>
      <c r="N961" s="464"/>
      <c r="O961" s="464" t="str">
        <f ca="1">道具!$C$31</f>
        <v>火之精灵石（大）</v>
      </c>
      <c r="P961" s="589"/>
      <c r="Q961" s="591" t="s">
        <v>57</v>
      </c>
      <c r="R961" s="52"/>
      <c r="S961" s="52" t="str">
        <f ca="1">Summon!$I$6</f>
        <v>斩击</v>
      </c>
      <c r="T961" s="591">
        <v>8</v>
      </c>
      <c r="U961" s="589"/>
      <c r="V961" s="464" t="str">
        <f ca="1">语言!$A$44&amp;" / "&amp;语言!$A$48&amp;" available after "&amp;语言!$A$36&amp;" chapter 3
"&amp;道具!$I$45&amp;" available during "&amp;语言!$A$36&amp;" chapter 3"</f>
        <v>引导 / 诱惑 available after 赛拉斯 chapter 3
书被卖去哪里 available during 赛拉斯 chapter 3</v>
      </c>
      <c r="W961" s="189"/>
    </row>
    <row r="962" spans="1:23" ht="12.75" x14ac:dyDescent="0.2">
      <c r="A962" s="189"/>
      <c r="B962" s="371"/>
      <c r="C962" s="189" t="b">
        <v>0</v>
      </c>
      <c r="D962" s="54" t="str">
        <f ca="1">道具!$C$4</f>
        <v>ＨＰ恢复的葡萄（大）</v>
      </c>
      <c r="E962" s="371"/>
      <c r="F962" s="371"/>
      <c r="G962" s="371"/>
      <c r="H962" s="371"/>
      <c r="I962" s="371"/>
      <c r="J962" s="371"/>
      <c r="K962" s="371"/>
      <c r="L962" s="371"/>
      <c r="M962" s="371"/>
      <c r="N962" s="371"/>
      <c r="O962" s="371"/>
      <c r="P962" s="371"/>
      <c r="Q962" s="371"/>
      <c r="R962" s="52"/>
      <c r="S962" s="52" t="str">
        <f ca="1">Summon!$I$4</f>
        <v>战斗</v>
      </c>
      <c r="T962" s="371"/>
      <c r="U962" s="371"/>
      <c r="V962" s="371"/>
      <c r="W962" s="189"/>
    </row>
    <row r="963" spans="1:23" ht="12.75" x14ac:dyDescent="0.2">
      <c r="A963" s="189"/>
      <c r="B963" s="590"/>
      <c r="C963" s="191" t="b">
        <v>0</v>
      </c>
      <c r="D963" s="192" t="str">
        <f ca="1">道具!$C$5</f>
        <v>ＨＰ全体恢复的葡萄</v>
      </c>
      <c r="E963" s="590"/>
      <c r="F963" s="590"/>
      <c r="G963" s="590"/>
      <c r="H963" s="590"/>
      <c r="I963" s="590"/>
      <c r="J963" s="590"/>
      <c r="K963" s="590"/>
      <c r="L963" s="590"/>
      <c r="M963" s="590"/>
      <c r="N963" s="590"/>
      <c r="O963" s="590"/>
      <c r="P963" s="590"/>
      <c r="Q963" s="590"/>
      <c r="R963" s="193"/>
      <c r="S963" s="193"/>
      <c r="T963" s="590"/>
      <c r="U963" s="590"/>
      <c r="V963" s="590"/>
      <c r="W963" s="189"/>
    </row>
    <row r="964" spans="1:23" ht="12.75" x14ac:dyDescent="0.2">
      <c r="A964" s="189"/>
      <c r="B964" s="479" t="str">
        <f ca="1">语言!$A$2102</f>
        <v>市民</v>
      </c>
      <c r="C964" s="589" t="b">
        <v>0</v>
      </c>
      <c r="D964" s="479" t="str">
        <f ca="1">道具!$C$3</f>
        <v>ＨＰ恢复的葡萄</v>
      </c>
      <c r="E964" s="589" t="b">
        <v>0</v>
      </c>
      <c r="F964" s="464" t="str">
        <f ca="1">语言!$A$33&amp;"
"&amp;道具!$C$120</f>
        <v>隐藏道具的资讯
放了银块的皮袋</v>
      </c>
      <c r="G964" s="589" t="b">
        <v>0</v>
      </c>
      <c r="H964" s="591" t="s">
        <v>48</v>
      </c>
      <c r="I964" s="464">
        <v>2</v>
      </c>
      <c r="J964" s="464"/>
      <c r="K964" s="464"/>
      <c r="L964" s="464"/>
      <c r="M964" s="464"/>
      <c r="N964" s="464"/>
      <c r="O964" s="464" t="str">
        <f ca="1">道具!$C$6</f>
        <v>ＳＰ恢复的李子</v>
      </c>
      <c r="P964" s="589"/>
      <c r="Q964" s="591" t="s">
        <v>48</v>
      </c>
      <c r="R964" s="52"/>
      <c r="S964" s="52" t="str">
        <f ca="1">Summon!$I$173</f>
        <v>攻击力提升</v>
      </c>
      <c r="T964" s="591">
        <v>9</v>
      </c>
      <c r="U964" s="589"/>
      <c r="V964" s="464"/>
      <c r="W964" s="189"/>
    </row>
    <row r="965" spans="1:23" ht="12.75" x14ac:dyDescent="0.2">
      <c r="A965" s="189"/>
      <c r="B965" s="371"/>
      <c r="C965" s="371"/>
      <c r="D965" s="371"/>
      <c r="E965" s="371"/>
      <c r="F965" s="371"/>
      <c r="G965" s="371"/>
      <c r="H965" s="371"/>
      <c r="I965" s="371"/>
      <c r="J965" s="371"/>
      <c r="K965" s="371"/>
      <c r="L965" s="371"/>
      <c r="M965" s="371"/>
      <c r="N965" s="371"/>
      <c r="O965" s="371"/>
      <c r="P965" s="371"/>
      <c r="Q965" s="371"/>
      <c r="R965" s="52"/>
      <c r="S965" s="52" t="str">
        <f ca="1">Summon!$I$6</f>
        <v>斩击</v>
      </c>
      <c r="T965" s="371"/>
      <c r="U965" s="371"/>
      <c r="V965" s="371"/>
      <c r="W965" s="189"/>
    </row>
    <row r="966" spans="1:23" ht="12.75" x14ac:dyDescent="0.2">
      <c r="A966" s="189"/>
      <c r="B966" s="590"/>
      <c r="C966" s="590"/>
      <c r="D966" s="590"/>
      <c r="E966" s="590"/>
      <c r="F966" s="590"/>
      <c r="G966" s="590"/>
      <c r="H966" s="590"/>
      <c r="I966" s="590"/>
      <c r="J966" s="590"/>
      <c r="K966" s="590"/>
      <c r="L966" s="590"/>
      <c r="M966" s="590"/>
      <c r="N966" s="590"/>
      <c r="O966" s="590"/>
      <c r="P966" s="590"/>
      <c r="Q966" s="590"/>
      <c r="R966" s="193"/>
      <c r="S966" s="193" t="str">
        <f ca="1">Summon!$I$4</f>
        <v>战斗</v>
      </c>
      <c r="T966" s="590"/>
      <c r="U966" s="590"/>
      <c r="V966" s="590"/>
      <c r="W966" s="189"/>
    </row>
    <row r="967" spans="1:23" ht="12.75" x14ac:dyDescent="0.2">
      <c r="A967" s="189"/>
      <c r="B967" s="479" t="str">
        <f ca="1">语言!$A$2002</f>
        <v>附近的老人</v>
      </c>
      <c r="C967" s="589" t="b">
        <v>0</v>
      </c>
      <c r="D967" s="479" t="str">
        <f ca="1">道具!$C$346</f>
        <v>塔盾</v>
      </c>
      <c r="E967" s="589" t="b">
        <v>0</v>
      </c>
      <c r="F967" s="464" t="str">
        <f ca="1">语言!$A$23&amp;" /
"&amp;道具!$I$11</f>
        <v>无 /
多明尼克的悔恨</v>
      </c>
      <c r="G967" s="589" t="b">
        <v>0</v>
      </c>
      <c r="H967" s="591" t="s">
        <v>48</v>
      </c>
      <c r="I967" s="464">
        <v>2</v>
      </c>
      <c r="J967" s="464"/>
      <c r="K967" s="464"/>
      <c r="L967" s="464"/>
      <c r="M967" s="464"/>
      <c r="N967" s="464"/>
      <c r="O967" s="464" t="str">
        <f ca="1">道具!$C$6</f>
        <v>ＳＰ恢复的李子</v>
      </c>
      <c r="P967" s="589"/>
      <c r="Q967" s="591" t="s">
        <v>48</v>
      </c>
      <c r="R967" s="52"/>
      <c r="S967" s="52" t="str">
        <f ca="1">Summon!$I$129</f>
        <v>恢复ＳＰ的李子</v>
      </c>
      <c r="T967" s="591">
        <v>9</v>
      </c>
      <c r="U967" s="589"/>
      <c r="V967" s="464" t="str">
        <f ca="1">语言!$A$44&amp;" / "&amp;语言!$A$48&amp;" available after "&amp;语言!$A$36&amp;" chapter 3
"&amp;道具!$I$11&amp;" available during "&amp;语言!$A$36&amp;" chapter 3"</f>
        <v>引导 / 诱惑 available after 赛拉斯 chapter 3
多明尼克的悔恨 available during 赛拉斯 chapter 3</v>
      </c>
      <c r="W967" s="189"/>
    </row>
    <row r="968" spans="1:23" ht="12.75" x14ac:dyDescent="0.2">
      <c r="A968" s="189"/>
      <c r="B968" s="590"/>
      <c r="C968" s="590"/>
      <c r="D968" s="590"/>
      <c r="E968" s="590"/>
      <c r="F968" s="590"/>
      <c r="G968" s="590"/>
      <c r="H968" s="590"/>
      <c r="I968" s="590"/>
      <c r="J968" s="590"/>
      <c r="K968" s="590"/>
      <c r="L968" s="590"/>
      <c r="M968" s="590"/>
      <c r="N968" s="590"/>
      <c r="O968" s="590"/>
      <c r="P968" s="590"/>
      <c r="Q968" s="590"/>
      <c r="R968" s="193"/>
      <c r="S968" s="193" t="str">
        <f ca="1">Summon!$I$4</f>
        <v>战斗</v>
      </c>
      <c r="T968" s="590"/>
      <c r="U968" s="590"/>
      <c r="V968" s="590"/>
      <c r="W968" s="189"/>
    </row>
    <row r="969" spans="1:23" ht="12.75" x14ac:dyDescent="0.2">
      <c r="A969" s="189"/>
      <c r="B969" s="479" t="str">
        <f ca="1">语言!$A$2001</f>
        <v>附近的老婆婆</v>
      </c>
      <c r="C969" s="189" t="b">
        <v>0</v>
      </c>
      <c r="D969" s="54" t="str">
        <f ca="1">道具!$C$16</f>
        <v>复活的橄榄（大）</v>
      </c>
      <c r="E969" s="589" t="b">
        <v>0</v>
      </c>
      <c r="F969" s="464" t="str">
        <f ca="1">语言!$A$23&amp;" /
"&amp;道具!$I$12</f>
        <v>无 /
讨厌人类的多明尼克</v>
      </c>
      <c r="G969" s="589" t="b">
        <v>0</v>
      </c>
      <c r="H969" s="591" t="s">
        <v>45</v>
      </c>
      <c r="I969" s="464">
        <v>1</v>
      </c>
      <c r="J969" s="464"/>
      <c r="K969" s="464"/>
      <c r="L969" s="464"/>
      <c r="M969" s="464"/>
      <c r="N969" s="464"/>
      <c r="O969" s="464" t="str">
        <f ca="1">道具!$C$34</f>
        <v>冰之精灵石（大）</v>
      </c>
      <c r="P969" s="589"/>
      <c r="Q969" s="591" t="s">
        <v>45</v>
      </c>
      <c r="R969" s="52"/>
      <c r="S969" s="52" t="str">
        <f ca="1">Summon!$I$36</f>
        <v>连环突刺</v>
      </c>
      <c r="T969" s="591">
        <v>9</v>
      </c>
      <c r="U969" s="589"/>
      <c r="V969" s="464" t="str">
        <f ca="1">语言!$A$44&amp;" / "&amp;语言!$A$48&amp;" available after "&amp;语言!$A$36&amp;" chapter 3
"&amp;道具!$I$12&amp;" available during "&amp;语言!$A$36&amp;" chapter 3"</f>
        <v>引导 / 诱惑 available after 赛拉斯 chapter 3
讨厌人类的多明尼克 available during 赛拉斯 chapter 3</v>
      </c>
      <c r="W969" s="189"/>
    </row>
    <row r="970" spans="1:23" ht="12.75" x14ac:dyDescent="0.2">
      <c r="A970" s="189"/>
      <c r="B970" s="371"/>
      <c r="C970" s="189" t="b">
        <v>0</v>
      </c>
      <c r="D970" s="54" t="str">
        <f ca="1">道具!$C$16</f>
        <v>复活的橄榄（大）</v>
      </c>
      <c r="E970" s="371"/>
      <c r="F970" s="371"/>
      <c r="G970" s="371"/>
      <c r="H970" s="371"/>
      <c r="I970" s="371"/>
      <c r="J970" s="371"/>
      <c r="K970" s="371"/>
      <c r="L970" s="371"/>
      <c r="M970" s="371"/>
      <c r="N970" s="371"/>
      <c r="O970" s="371"/>
      <c r="P970" s="371"/>
      <c r="Q970" s="371"/>
      <c r="R970" s="52"/>
      <c r="S970" s="52" t="str">
        <f ca="1">Summon!$I$4</f>
        <v>战斗</v>
      </c>
      <c r="T970" s="371"/>
      <c r="U970" s="371"/>
      <c r="V970" s="371"/>
      <c r="W970" s="189"/>
    </row>
    <row r="971" spans="1:23" ht="12.75" x14ac:dyDescent="0.2">
      <c r="A971" s="189"/>
      <c r="B971" s="590"/>
      <c r="C971" s="191" t="b">
        <v>0</v>
      </c>
      <c r="D971" s="192" t="str">
        <f ca="1">道具!$C$543</f>
        <v>橄榄花</v>
      </c>
      <c r="E971" s="590"/>
      <c r="F971" s="590"/>
      <c r="G971" s="590"/>
      <c r="H971" s="590"/>
      <c r="I971" s="590"/>
      <c r="J971" s="590"/>
      <c r="K971" s="590"/>
      <c r="L971" s="590"/>
      <c r="M971" s="590"/>
      <c r="N971" s="590"/>
      <c r="O971" s="590"/>
      <c r="P971" s="590"/>
      <c r="Q971" s="590"/>
      <c r="R971" s="193"/>
      <c r="S971" s="193"/>
      <c r="T971" s="590"/>
      <c r="U971" s="590"/>
      <c r="V971" s="590"/>
      <c r="W971" s="189"/>
    </row>
    <row r="972" spans="1:23" ht="12.75" x14ac:dyDescent="0.2">
      <c r="A972" s="189"/>
      <c r="B972" s="479" t="str">
        <f ca="1">语言!$A$2102</f>
        <v>市民</v>
      </c>
      <c r="C972" s="189" t="b">
        <v>0</v>
      </c>
      <c r="D972" s="54" t="str">
        <f ca="1">道具!$C$44</f>
        <v>光之精灵石（大）</v>
      </c>
      <c r="E972" s="589" t="b">
        <v>0</v>
      </c>
      <c r="F972" s="464" t="str">
        <f ca="1">语言!$A$25</f>
        <v>「购买」杀价机率ＵＰ资讯</v>
      </c>
      <c r="G972" s="589" t="b">
        <v>0</v>
      </c>
      <c r="H972" s="591" t="s">
        <v>46</v>
      </c>
      <c r="I972" s="464">
        <v>3</v>
      </c>
      <c r="J972" s="464"/>
      <c r="K972" s="464"/>
      <c r="L972" s="464"/>
      <c r="M972" s="464"/>
      <c r="N972" s="464"/>
      <c r="O972" s="464" t="str">
        <f ca="1">道具!$C$44</f>
        <v>光之精灵石（大）</v>
      </c>
      <c r="P972" s="589"/>
      <c r="Q972" s="591" t="s">
        <v>46</v>
      </c>
      <c r="R972" s="52"/>
      <c r="S972" s="52" t="str">
        <f ca="1">Summon!$I$134</f>
        <v>睡眠治疗药</v>
      </c>
      <c r="T972" s="591">
        <v>8</v>
      </c>
      <c r="U972" s="589"/>
      <c r="V972" s="464"/>
      <c r="W972" s="189"/>
    </row>
    <row r="973" spans="1:23" ht="12.75" x14ac:dyDescent="0.2">
      <c r="A973" s="189"/>
      <c r="B973" s="371"/>
      <c r="C973" s="189" t="b">
        <v>0</v>
      </c>
      <c r="D973" s="54" t="str">
        <f ca="1">道具!$C$47</f>
        <v>暗之精灵石（大）</v>
      </c>
      <c r="E973" s="371"/>
      <c r="F973" s="371"/>
      <c r="G973" s="371"/>
      <c r="H973" s="371"/>
      <c r="I973" s="371"/>
      <c r="J973" s="371"/>
      <c r="K973" s="371"/>
      <c r="L973" s="371"/>
      <c r="M973" s="371"/>
      <c r="N973" s="371"/>
      <c r="O973" s="371"/>
      <c r="P973" s="371"/>
      <c r="Q973" s="371"/>
      <c r="R973" s="52"/>
      <c r="S973" s="52" t="str">
        <f ca="1">Summon!$I$42</f>
        <v>猛击</v>
      </c>
      <c r="T973" s="371"/>
      <c r="U973" s="371"/>
      <c r="V973" s="371"/>
      <c r="W973" s="189"/>
    </row>
    <row r="974" spans="1:23" ht="12.75" x14ac:dyDescent="0.2">
      <c r="A974" s="189"/>
      <c r="B974" s="590"/>
      <c r="C974" s="191" t="b">
        <v>0</v>
      </c>
      <c r="D974" s="192" t="str">
        <f ca="1">道具!$C$31</f>
        <v>火之精灵石（大）</v>
      </c>
      <c r="E974" s="590"/>
      <c r="F974" s="590"/>
      <c r="G974" s="590"/>
      <c r="H974" s="590"/>
      <c r="I974" s="590"/>
      <c r="J974" s="590"/>
      <c r="K974" s="590"/>
      <c r="L974" s="590"/>
      <c r="M974" s="590"/>
      <c r="N974" s="590"/>
      <c r="O974" s="590"/>
      <c r="P974" s="590"/>
      <c r="Q974" s="590"/>
      <c r="R974" s="193"/>
      <c r="S974" s="193" t="str">
        <f ca="1">Summon!$I$4</f>
        <v>战斗</v>
      </c>
      <c r="T974" s="590"/>
      <c r="U974" s="590"/>
      <c r="V974" s="590"/>
      <c r="W974" s="189"/>
    </row>
    <row r="975" spans="1:23" ht="12.75" x14ac:dyDescent="0.2">
      <c r="A975" s="189"/>
      <c r="B975" s="595" t="str">
        <f ca="1">语言!$A$2116&amp;" (2)"</f>
        <v>老练的盗贼 (2)</v>
      </c>
      <c r="C975" s="200" t="b">
        <v>0</v>
      </c>
      <c r="D975" s="199" t="str">
        <f ca="1">道具!$C$231</f>
        <v>铁制匕首</v>
      </c>
      <c r="E975" s="594" t="b">
        <v>0</v>
      </c>
      <c r="F975" s="464" t="str">
        <f ca="1">语言!$A$23</f>
        <v>无</v>
      </c>
      <c r="G975" s="594" t="b">
        <v>0</v>
      </c>
      <c r="H975" s="596" t="s">
        <v>57</v>
      </c>
      <c r="I975" s="597">
        <v>3</v>
      </c>
      <c r="J975" s="464"/>
      <c r="K975" s="464"/>
      <c r="L975" s="464"/>
      <c r="M975" s="464"/>
      <c r="N975" s="598"/>
      <c r="O975" s="464" t="str">
        <f ca="1">道具!$C$3</f>
        <v>ＨＰ恢复的葡萄</v>
      </c>
      <c r="P975" s="594"/>
      <c r="Q975" s="596" t="s">
        <v>57</v>
      </c>
      <c r="R975" s="52"/>
      <c r="S975" s="53" t="str">
        <f ca="1">Summon!$I$44</f>
        <v>剧毒猛击</v>
      </c>
      <c r="T975" s="596">
        <v>8</v>
      </c>
      <c r="U975" s="594"/>
      <c r="V975" s="466" t="str">
        <f ca="1">"NPC at this location after quest: "&amp;支线!$C$118&amp;" ("&amp;语言!$A$44&amp;" / "&amp;语言!$A$48&amp;" solution only)"</f>
        <v>NPC at this location after quest: 盗贼的规矩 (引导 / 诱惑 solution only)</v>
      </c>
      <c r="W975" s="189"/>
    </row>
    <row r="976" spans="1:23" ht="12.75" x14ac:dyDescent="0.2">
      <c r="A976" s="189"/>
      <c r="B976" s="590"/>
      <c r="C976" s="202" t="b">
        <v>0</v>
      </c>
      <c r="D976" s="203" t="str">
        <f ca="1">道具!$C$501</f>
        <v>灵敏耳环</v>
      </c>
      <c r="E976" s="590"/>
      <c r="F976" s="590"/>
      <c r="G976" s="590"/>
      <c r="H976" s="590"/>
      <c r="I976" s="590"/>
      <c r="J976" s="590"/>
      <c r="K976" s="590"/>
      <c r="L976" s="590"/>
      <c r="M976" s="590"/>
      <c r="N976" s="590"/>
      <c r="O976" s="590"/>
      <c r="P976" s="590"/>
      <c r="Q976" s="590"/>
      <c r="R976" s="193"/>
      <c r="S976" s="204" t="str">
        <f ca="1">Summon!$I$4</f>
        <v>战斗</v>
      </c>
      <c r="T976" s="590"/>
      <c r="U976" s="590"/>
      <c r="V976" s="590"/>
      <c r="W976" s="189"/>
    </row>
    <row r="977" spans="1:23" ht="12.75" x14ac:dyDescent="0.2">
      <c r="A977" s="189"/>
      <c r="B977" s="479" t="str">
        <f ca="1">语言!$A$1847</f>
        <v>翻译者多明尼克</v>
      </c>
      <c r="C977" s="189" t="b">
        <v>0</v>
      </c>
      <c r="D977" s="54" t="str">
        <f ca="1">道具!$C$35</f>
        <v>冰之精灵石（特大）</v>
      </c>
      <c r="E977" s="589" t="b">
        <v>0</v>
      </c>
      <c r="F977" s="464" t="str">
        <f ca="1">语言!$A$23</f>
        <v>无</v>
      </c>
      <c r="G977" s="589" t="b">
        <v>0</v>
      </c>
      <c r="H977" s="591" t="s">
        <v>47</v>
      </c>
      <c r="I977" s="464">
        <v>4</v>
      </c>
      <c r="J977" s="464"/>
      <c r="K977" s="464"/>
      <c r="L977" s="464"/>
      <c r="M977" s="464"/>
      <c r="N977" s="464"/>
      <c r="O977" s="464" t="str">
        <f ca="1">道具!$C$32</f>
        <v>火之精灵石（特大）</v>
      </c>
      <c r="P977" s="589"/>
      <c r="Q977" s="591" t="s">
        <v>47</v>
      </c>
      <c r="R977" s="52"/>
      <c r="S977" s="52" t="str">
        <f ca="1">Summon!$I$83</f>
        <v>特大火焰魔法</v>
      </c>
      <c r="T977" s="591">
        <v>6</v>
      </c>
      <c r="U977" s="589"/>
      <c r="V977" s="464" t="str">
        <f ca="1">"NPC available after quest: "&amp;支线!$C$68</f>
        <v>NPC available after quest: 学者拉塞尔，在那之后</v>
      </c>
      <c r="W977" s="189"/>
    </row>
    <row r="978" spans="1:23" ht="12.75" x14ac:dyDescent="0.2">
      <c r="A978" s="189"/>
      <c r="B978" s="371"/>
      <c r="C978" s="189" t="b">
        <v>0</v>
      </c>
      <c r="D978" s="54" t="str">
        <f ca="1">道具!$C$489</f>
        <v>精神戒指</v>
      </c>
      <c r="E978" s="371"/>
      <c r="F978" s="371"/>
      <c r="G978" s="371"/>
      <c r="H978" s="371"/>
      <c r="I978" s="371"/>
      <c r="J978" s="371"/>
      <c r="K978" s="371"/>
      <c r="L978" s="371"/>
      <c r="M978" s="371"/>
      <c r="N978" s="371"/>
      <c r="O978" s="371"/>
      <c r="P978" s="371"/>
      <c r="Q978" s="371"/>
      <c r="R978" s="52"/>
      <c r="S978" s="52" t="str">
        <f ca="1">Summon!$I$80</f>
        <v>大火焰魔法</v>
      </c>
      <c r="T978" s="371"/>
      <c r="U978" s="371"/>
      <c r="V978" s="371"/>
      <c r="W978" s="189"/>
    </row>
    <row r="979" spans="1:23" ht="12.75" x14ac:dyDescent="0.2">
      <c r="A979" s="189"/>
      <c r="B979" s="590"/>
      <c r="C979" s="191"/>
      <c r="D979" s="192"/>
      <c r="E979" s="590"/>
      <c r="F979" s="590"/>
      <c r="G979" s="590"/>
      <c r="H979" s="590"/>
      <c r="I979" s="590"/>
      <c r="J979" s="590"/>
      <c r="K979" s="590"/>
      <c r="L979" s="590"/>
      <c r="M979" s="590"/>
      <c r="N979" s="590"/>
      <c r="O979" s="590"/>
      <c r="P979" s="590"/>
      <c r="Q979" s="590"/>
      <c r="R979" s="193"/>
      <c r="S979" s="193" t="str">
        <f ca="1">Summon!$I$4</f>
        <v>战斗</v>
      </c>
      <c r="T979" s="590"/>
      <c r="U979" s="590"/>
      <c r="V979" s="590"/>
      <c r="W979" s="189"/>
    </row>
    <row r="980" spans="1:23" ht="12.75" x14ac:dyDescent="0.2">
      <c r="A980" s="189"/>
      <c r="B980" s="479" t="str">
        <f ca="1">语言!$A$2053&amp;" (2)"</f>
        <v>学者拉赛尔 (2)</v>
      </c>
      <c r="C980" s="189" t="b">
        <v>0</v>
      </c>
      <c r="D980" s="54" t="str">
        <f ca="1">道具!$C$330</f>
        <v>月桂手杖</v>
      </c>
      <c r="E980" s="589" t="b">
        <v>0</v>
      </c>
      <c r="F980" s="464" t="str">
        <f ca="1">语言!$A$23</f>
        <v>无</v>
      </c>
      <c r="G980" s="589" t="b">
        <v>0</v>
      </c>
      <c r="H980" s="591" t="s">
        <v>50</v>
      </c>
      <c r="I980" s="464">
        <v>4</v>
      </c>
      <c r="J980" s="464"/>
      <c r="K980" s="464"/>
      <c r="L980" s="464"/>
      <c r="M980" s="464"/>
      <c r="N980" s="464"/>
      <c r="O980" s="464" t="str">
        <f ca="1">道具!$C$35</f>
        <v>冰之精灵石（特大）</v>
      </c>
      <c r="P980" s="589"/>
      <c r="Q980" s="591" t="s">
        <v>50</v>
      </c>
      <c r="R980" s="52"/>
      <c r="S980" s="52" t="str">
        <f ca="1">Summon!$I$83</f>
        <v>特大火焰魔法</v>
      </c>
      <c r="T980" s="591">
        <v>7</v>
      </c>
      <c r="U980" s="589"/>
      <c r="V980" s="464" t="str">
        <f ca="1">"NPC available after "&amp;语言!$A$36&amp;" chapter 4
"&amp;语言!$A$44&amp;" / "&amp;语言!$A$48&amp;" available after quest: "&amp;支线!$C$68</f>
        <v>NPC available after 赛拉斯 chapter 4
引导 / 诱惑 available after quest: 学者拉塞尔，在那之后</v>
      </c>
      <c r="W980" s="189"/>
    </row>
    <row r="981" spans="1:23" ht="12.75" x14ac:dyDescent="0.2">
      <c r="A981" s="189"/>
      <c r="B981" s="371"/>
      <c r="C981" s="189" t="b">
        <v>0</v>
      </c>
      <c r="D981" s="54" t="str">
        <f ca="1">道具!$C$30</f>
        <v>火之精灵石</v>
      </c>
      <c r="E981" s="371"/>
      <c r="F981" s="371"/>
      <c r="G981" s="371"/>
      <c r="H981" s="371"/>
      <c r="I981" s="371"/>
      <c r="J981" s="371"/>
      <c r="K981" s="371"/>
      <c r="L981" s="371"/>
      <c r="M981" s="371"/>
      <c r="N981" s="371"/>
      <c r="O981" s="371"/>
      <c r="P981" s="371"/>
      <c r="Q981" s="371"/>
      <c r="R981" s="52"/>
      <c r="S981" s="52" t="str">
        <f ca="1">Summon!$I$80</f>
        <v>大火焰魔法</v>
      </c>
      <c r="T981" s="371"/>
      <c r="U981" s="371"/>
      <c r="V981" s="371"/>
      <c r="W981" s="189"/>
    </row>
    <row r="982" spans="1:23" ht="12.75" x14ac:dyDescent="0.2">
      <c r="A982" s="189"/>
      <c r="B982" s="371"/>
      <c r="C982" s="189"/>
      <c r="D982" s="54"/>
      <c r="E982" s="371"/>
      <c r="F982" s="371"/>
      <c r="G982" s="371"/>
      <c r="H982" s="371"/>
      <c r="I982" s="371"/>
      <c r="J982" s="371"/>
      <c r="K982" s="371"/>
      <c r="L982" s="371"/>
      <c r="M982" s="371"/>
      <c r="N982" s="371"/>
      <c r="O982" s="371"/>
      <c r="P982" s="371"/>
      <c r="Q982" s="371"/>
      <c r="R982" s="193"/>
      <c r="S982" s="52" t="str">
        <f ca="1">Summon!$I$4</f>
        <v>战斗</v>
      </c>
      <c r="T982" s="371"/>
      <c r="U982" s="371"/>
      <c r="V982" s="371"/>
      <c r="W982" s="189"/>
    </row>
    <row r="983" spans="1:23" ht="12.75" x14ac:dyDescent="0.2">
      <c r="A983" s="189"/>
      <c r="B983" s="588" t="str">
        <f ca="1">语言!$A$396</f>
        <v>斯托冈德 -下街-</v>
      </c>
      <c r="C983" s="371"/>
      <c r="D983" s="371"/>
      <c r="E983" s="371"/>
      <c r="F983" s="371"/>
      <c r="G983" s="371"/>
      <c r="H983" s="371"/>
      <c r="I983" s="371"/>
      <c r="J983" s="371"/>
      <c r="K983" s="371"/>
      <c r="L983" s="371"/>
      <c r="M983" s="371"/>
      <c r="N983" s="371"/>
      <c r="O983" s="371"/>
      <c r="P983" s="371"/>
      <c r="Q983" s="371"/>
      <c r="R983" s="371"/>
      <c r="S983" s="371"/>
      <c r="T983" s="371"/>
      <c r="U983" s="371"/>
      <c r="V983" s="371"/>
      <c r="W983" s="189"/>
    </row>
    <row r="984" spans="1:23" ht="12.75" x14ac:dyDescent="0.2">
      <c r="A984" s="189"/>
      <c r="B984" s="479" t="str">
        <f ca="1">语言!$A$2102</f>
        <v>市民</v>
      </c>
      <c r="C984" s="589" t="b">
        <v>0</v>
      </c>
      <c r="D984" s="479" t="str">
        <f ca="1">道具!$C$287</f>
        <v>影弓</v>
      </c>
      <c r="E984" s="589" t="b">
        <v>0</v>
      </c>
      <c r="F984" s="464" t="str">
        <f ca="1">语言!$A$33&amp;"
"&amp;道具!$C$250</f>
        <v>隐藏道具的资讯
重力子斧</v>
      </c>
      <c r="G984" s="589" t="b">
        <v>0</v>
      </c>
      <c r="H984" s="591" t="s">
        <v>48</v>
      </c>
      <c r="I984" s="464">
        <v>2</v>
      </c>
      <c r="J984" s="464"/>
      <c r="K984" s="464"/>
      <c r="L984" s="464"/>
      <c r="M984" s="464"/>
      <c r="N984" s="464"/>
      <c r="O984" s="464" t="str">
        <f ca="1">道具!$C$6</f>
        <v>ＳＰ恢复的李子</v>
      </c>
      <c r="P984" s="589"/>
      <c r="Q984" s="591" t="s">
        <v>48</v>
      </c>
      <c r="R984" s="52"/>
      <c r="S984" s="52" t="str">
        <f ca="1">Summon!$I$64</f>
        <v>精准射击</v>
      </c>
      <c r="T984" s="591">
        <v>9</v>
      </c>
      <c r="U984" s="589"/>
      <c r="V984" s="464"/>
      <c r="W984" s="189"/>
    </row>
    <row r="985" spans="1:23" ht="12.75" x14ac:dyDescent="0.2">
      <c r="A985" s="189"/>
      <c r="B985" s="590"/>
      <c r="C985" s="590"/>
      <c r="D985" s="590"/>
      <c r="E985" s="590"/>
      <c r="F985" s="590"/>
      <c r="G985" s="590"/>
      <c r="H985" s="590"/>
      <c r="I985" s="590"/>
      <c r="J985" s="590"/>
      <c r="K985" s="590"/>
      <c r="L985" s="590"/>
      <c r="M985" s="590"/>
      <c r="N985" s="590"/>
      <c r="O985" s="590"/>
      <c r="P985" s="590"/>
      <c r="Q985" s="590"/>
      <c r="R985" s="193"/>
      <c r="S985" s="193" t="str">
        <f ca="1">Summon!$I$4</f>
        <v>战斗</v>
      </c>
      <c r="T985" s="590"/>
      <c r="U985" s="590"/>
      <c r="V985" s="590"/>
      <c r="W985" s="189"/>
    </row>
    <row r="986" spans="1:23" ht="12.75" x14ac:dyDescent="0.2">
      <c r="A986" s="189"/>
      <c r="B986" s="479" t="str">
        <f ca="1">语言!$A$2099</f>
        <v>托比亚斯</v>
      </c>
      <c r="C986" s="189" t="b">
        <v>0</v>
      </c>
      <c r="D986" s="54" t="str">
        <f ca="1">道具!$C$533</f>
        <v>含毒的素材（扩散）</v>
      </c>
      <c r="E986" s="589" t="b">
        <v>0</v>
      </c>
      <c r="F986" s="464" t="str">
        <f ca="1">语言!$A$23</f>
        <v>无</v>
      </c>
      <c r="G986" s="589" t="b">
        <v>0</v>
      </c>
      <c r="H986" s="591" t="s">
        <v>48</v>
      </c>
      <c r="I986" s="464">
        <v>2</v>
      </c>
      <c r="J986" s="464"/>
      <c r="K986" s="464"/>
      <c r="L986" s="464"/>
      <c r="M986" s="464"/>
      <c r="N986" s="464"/>
      <c r="O986" s="464" t="str">
        <f ca="1">道具!$C$32</f>
        <v>火之精灵石（特大）</v>
      </c>
      <c r="P986" s="589"/>
      <c r="Q986" s="593" t="s">
        <v>119</v>
      </c>
      <c r="R986" s="593" t="s">
        <v>119</v>
      </c>
      <c r="S986" s="593" t="s">
        <v>119</v>
      </c>
      <c r="T986" s="593" t="s">
        <v>119</v>
      </c>
      <c r="U986" s="589"/>
      <c r="V986" s="464"/>
      <c r="W986" s="189"/>
    </row>
    <row r="987" spans="1:23" ht="12.75" x14ac:dyDescent="0.2">
      <c r="A987" s="189"/>
      <c r="B987" s="590"/>
      <c r="C987" s="191" t="b">
        <v>0</v>
      </c>
      <c r="D987" s="192" t="str">
        <f ca="1">道具!$C$32</f>
        <v>火之精灵石（特大）</v>
      </c>
      <c r="E987" s="590"/>
      <c r="F987" s="590"/>
      <c r="G987" s="590"/>
      <c r="H987" s="590"/>
      <c r="I987" s="590"/>
      <c r="J987" s="590"/>
      <c r="K987" s="590"/>
      <c r="L987" s="590"/>
      <c r="M987" s="590"/>
      <c r="N987" s="590"/>
      <c r="O987" s="590"/>
      <c r="P987" s="590"/>
      <c r="Q987" s="590"/>
      <c r="R987" s="590"/>
      <c r="S987" s="590"/>
      <c r="T987" s="590"/>
      <c r="U987" s="590"/>
      <c r="V987" s="590"/>
      <c r="W987" s="189"/>
    </row>
    <row r="988" spans="1:23" ht="12.75" x14ac:dyDescent="0.2">
      <c r="A988" s="189"/>
      <c r="B988" s="479" t="str">
        <f ca="1">语言!$A$1775</f>
        <v>药师</v>
      </c>
      <c r="C988" s="189" t="b">
        <v>0</v>
      </c>
      <c r="D988" s="54" t="str">
        <f ca="1">道具!$C$529</f>
        <v>药的素材（扩散）</v>
      </c>
      <c r="E988" s="589" t="b">
        <v>0</v>
      </c>
      <c r="F988" s="464" t="str">
        <f ca="1">语言!$A$23&amp;" /
"&amp;道具!$I$13</f>
        <v>无 /
多明尼克的烦恼</v>
      </c>
      <c r="G988" s="589" t="b">
        <v>0</v>
      </c>
      <c r="H988" s="591" t="s">
        <v>46</v>
      </c>
      <c r="I988" s="464">
        <v>3</v>
      </c>
      <c r="J988" s="464"/>
      <c r="K988" s="464"/>
      <c r="L988" s="464"/>
      <c r="M988" s="464"/>
      <c r="N988" s="464"/>
      <c r="O988" s="464" t="str">
        <f ca="1">道具!$C$47</f>
        <v>暗之精灵石（大）</v>
      </c>
      <c r="P988" s="589"/>
      <c r="Q988" s="591" t="s">
        <v>46</v>
      </c>
      <c r="R988" s="52"/>
      <c r="S988" s="52" t="str">
        <f ca="1">Summon!$I$138</f>
        <v>万能药</v>
      </c>
      <c r="T988" s="591">
        <v>8</v>
      </c>
      <c r="U988" s="589"/>
      <c r="V988" s="464" t="str">
        <f ca="1">语言!$A$44&amp;" / "&amp;语言!$A$48&amp;" available after "&amp;语言!$A$36&amp;" chapter 3
"&amp;道具!$I$13&amp;" available during "&amp;语言!$A$36&amp;" chapter 3"</f>
        <v>引导 / 诱惑 available after 赛拉斯 chapter 3
多明尼克的烦恼 available during 赛拉斯 chapter 3</v>
      </c>
      <c r="W988" s="189"/>
    </row>
    <row r="989" spans="1:23" ht="12.75" x14ac:dyDescent="0.2">
      <c r="A989" s="189"/>
      <c r="B989" s="371"/>
      <c r="C989" s="189" t="b">
        <v>0</v>
      </c>
      <c r="D989" s="54" t="str">
        <f ca="1">道具!$C$529</f>
        <v>药的素材（扩散）</v>
      </c>
      <c r="E989" s="371"/>
      <c r="F989" s="371"/>
      <c r="G989" s="371"/>
      <c r="H989" s="371"/>
      <c r="I989" s="371"/>
      <c r="J989" s="371"/>
      <c r="K989" s="371"/>
      <c r="L989" s="371"/>
      <c r="M989" s="371"/>
      <c r="N989" s="371"/>
      <c r="O989" s="371"/>
      <c r="P989" s="371"/>
      <c r="Q989" s="371"/>
      <c r="R989" s="52"/>
      <c r="S989" s="52" t="str">
        <f ca="1">Summon!$I$56</f>
        <v>一刀两断</v>
      </c>
      <c r="T989" s="371"/>
      <c r="U989" s="371"/>
      <c r="V989" s="371"/>
      <c r="W989" s="189"/>
    </row>
    <row r="990" spans="1:23" ht="12.75" x14ac:dyDescent="0.2">
      <c r="A990" s="189"/>
      <c r="B990" s="590"/>
      <c r="C990" s="191" t="b">
        <v>0</v>
      </c>
      <c r="D990" s="192" t="str">
        <f ca="1">道具!$C$530</f>
        <v>秘药的素材</v>
      </c>
      <c r="E990" s="590"/>
      <c r="F990" s="590"/>
      <c r="G990" s="590"/>
      <c r="H990" s="590"/>
      <c r="I990" s="590"/>
      <c r="J990" s="590"/>
      <c r="K990" s="590"/>
      <c r="L990" s="590"/>
      <c r="M990" s="590"/>
      <c r="N990" s="590"/>
      <c r="O990" s="590"/>
      <c r="P990" s="590"/>
      <c r="Q990" s="590"/>
      <c r="R990" s="193"/>
      <c r="S990" s="193" t="str">
        <f ca="1">Summon!$I$4</f>
        <v>战斗</v>
      </c>
      <c r="T990" s="590"/>
      <c r="U990" s="590"/>
      <c r="V990" s="590"/>
      <c r="W990" s="189"/>
    </row>
    <row r="991" spans="1:23" ht="12.75" x14ac:dyDescent="0.2">
      <c r="A991" s="189"/>
      <c r="B991" s="479" t="str">
        <f ca="1">语言!$A$2022</f>
        <v>制纸工匠</v>
      </c>
      <c r="C991" s="589" t="b">
        <v>0</v>
      </c>
      <c r="D991" s="479" t="str">
        <f ca="1">道具!$C$430</f>
        <v>猎鹰之服</v>
      </c>
      <c r="E991" s="589" t="b">
        <v>0</v>
      </c>
      <c r="F991" s="464" t="str">
        <f ca="1">语言!$A$23</f>
        <v>无</v>
      </c>
      <c r="G991" s="589" t="b">
        <v>0</v>
      </c>
      <c r="H991" s="591" t="s">
        <v>57</v>
      </c>
      <c r="I991" s="464">
        <v>3</v>
      </c>
      <c r="J991" s="464"/>
      <c r="K991" s="464"/>
      <c r="L991" s="464"/>
      <c r="M991" s="464"/>
      <c r="N991" s="464"/>
      <c r="O991" s="464" t="str">
        <f ca="1">道具!$C$6</f>
        <v>ＳＰ恢复的李子</v>
      </c>
      <c r="P991" s="589"/>
      <c r="Q991" s="591" t="s">
        <v>57</v>
      </c>
      <c r="R991" s="52"/>
      <c r="S991" s="52" t="str">
        <f ca="1">Summon!$I$48</f>
        <v>连掷短剑</v>
      </c>
      <c r="T991" s="591">
        <v>8</v>
      </c>
      <c r="U991" s="589"/>
      <c r="V991" s="464"/>
      <c r="W991" s="189"/>
    </row>
    <row r="992" spans="1:23" ht="12.75" x14ac:dyDescent="0.2">
      <c r="A992" s="189"/>
      <c r="B992" s="590"/>
      <c r="C992" s="590"/>
      <c r="D992" s="590"/>
      <c r="E992" s="590"/>
      <c r="F992" s="590"/>
      <c r="G992" s="590"/>
      <c r="H992" s="590"/>
      <c r="I992" s="590"/>
      <c r="J992" s="590"/>
      <c r="K992" s="590"/>
      <c r="L992" s="590"/>
      <c r="M992" s="590"/>
      <c r="N992" s="590"/>
      <c r="O992" s="590"/>
      <c r="P992" s="590"/>
      <c r="Q992" s="590"/>
      <c r="R992" s="193"/>
      <c r="S992" s="193" t="str">
        <f ca="1">Summon!$I$4</f>
        <v>战斗</v>
      </c>
      <c r="T992" s="590"/>
      <c r="U992" s="590"/>
      <c r="V992" s="590"/>
      <c r="W992" s="189"/>
    </row>
    <row r="993" spans="1:23" ht="12.75" x14ac:dyDescent="0.2">
      <c r="A993" s="189"/>
      <c r="B993" s="479" t="str">
        <f ca="1">语言!$A$2102</f>
        <v>市民</v>
      </c>
      <c r="C993" s="589" t="b">
        <v>0</v>
      </c>
      <c r="D993" s="479" t="str">
        <f ca="1">道具!$C$138</f>
        <v>禁忌之剑</v>
      </c>
      <c r="E993" s="589" t="b">
        <v>0</v>
      </c>
      <c r="F993" s="464" t="str">
        <f ca="1">语言!$A$33&amp;"
"&amp;道具!$C$159</f>
        <v>隐藏道具的资讯
混用剑</v>
      </c>
      <c r="G993" s="589" t="b">
        <v>0</v>
      </c>
      <c r="H993" s="591" t="s">
        <v>49</v>
      </c>
      <c r="I993" s="464">
        <v>4</v>
      </c>
      <c r="J993" s="464"/>
      <c r="K993" s="464"/>
      <c r="L993" s="464"/>
      <c r="M993" s="464"/>
      <c r="N993" s="464"/>
      <c r="O993" s="464" t="str">
        <f ca="1">道具!$C$47</f>
        <v>暗之精灵石（大）</v>
      </c>
      <c r="P993" s="589"/>
      <c r="Q993" s="591" t="s">
        <v>49</v>
      </c>
      <c r="R993" s="52"/>
      <c r="S993" s="52" t="str">
        <f ca="1">Summon!$I$180</f>
        <v>暴击提升</v>
      </c>
      <c r="T993" s="591">
        <v>7</v>
      </c>
      <c r="U993" s="589"/>
      <c r="V993" s="464" t="str">
        <f ca="1">"Can't "&amp;语言!$A$50&amp;" "&amp;道具!$C$138&amp;", only "&amp;语言!$A$46</f>
        <v>Can't 偷取 禁忌之剑, only 购买</v>
      </c>
      <c r="W993" s="189"/>
    </row>
    <row r="994" spans="1:23" ht="12.75" x14ac:dyDescent="0.2">
      <c r="A994" s="189"/>
      <c r="B994" s="371"/>
      <c r="C994" s="371"/>
      <c r="D994" s="371"/>
      <c r="E994" s="371"/>
      <c r="F994" s="371"/>
      <c r="G994" s="371"/>
      <c r="H994" s="371"/>
      <c r="I994" s="371"/>
      <c r="J994" s="371"/>
      <c r="K994" s="371"/>
      <c r="L994" s="371"/>
      <c r="M994" s="371"/>
      <c r="N994" s="371"/>
      <c r="O994" s="371"/>
      <c r="P994" s="371"/>
      <c r="Q994" s="371"/>
      <c r="R994" s="52"/>
      <c r="S994" s="52" t="str">
        <f ca="1">Summon!$I$20</f>
        <v>横扫</v>
      </c>
      <c r="T994" s="371"/>
      <c r="U994" s="371"/>
      <c r="V994" s="371"/>
      <c r="W994" s="189"/>
    </row>
    <row r="995" spans="1:23" ht="12.75" x14ac:dyDescent="0.2">
      <c r="A995" s="189"/>
      <c r="B995" s="590"/>
      <c r="C995" s="590"/>
      <c r="D995" s="590"/>
      <c r="E995" s="590"/>
      <c r="F995" s="590"/>
      <c r="G995" s="590"/>
      <c r="H995" s="590"/>
      <c r="I995" s="590"/>
      <c r="J995" s="590"/>
      <c r="K995" s="590"/>
      <c r="L995" s="590"/>
      <c r="M995" s="590"/>
      <c r="N995" s="590"/>
      <c r="O995" s="590"/>
      <c r="P995" s="590"/>
      <c r="Q995" s="590"/>
      <c r="R995" s="193"/>
      <c r="S995" s="193" t="str">
        <f ca="1">Summon!$I$4</f>
        <v>战斗</v>
      </c>
      <c r="T995" s="590"/>
      <c r="U995" s="590"/>
      <c r="V995" s="590"/>
      <c r="W995" s="189"/>
    </row>
    <row r="996" spans="1:23" ht="12.75" x14ac:dyDescent="0.2">
      <c r="A996" s="189"/>
      <c r="B996" s="479" t="str">
        <f ca="1">语言!$A$1779&amp;" (2)"</f>
        <v>侍女亚莉安娜 (2)</v>
      </c>
      <c r="C996" s="189" t="b">
        <v>0</v>
      </c>
      <c r="D996" s="54" t="str">
        <f ca="1">道具!$C$539</f>
        <v>混乱多之叶</v>
      </c>
      <c r="E996" s="589" t="b">
        <v>0</v>
      </c>
      <c r="F996" s="464" t="str">
        <f ca="1">语言!$A$23</f>
        <v>无</v>
      </c>
      <c r="G996" s="589" t="b">
        <v>0</v>
      </c>
      <c r="H996" s="591" t="s">
        <v>45</v>
      </c>
      <c r="I996" s="464">
        <v>2</v>
      </c>
      <c r="J996" s="464"/>
      <c r="K996" s="464"/>
      <c r="L996" s="464"/>
      <c r="M996" s="464"/>
      <c r="N996" s="464"/>
      <c r="O996" s="464" t="str">
        <f ca="1">道具!$C$34</f>
        <v>冰之精灵石（大）</v>
      </c>
      <c r="P996" s="589"/>
      <c r="Q996" s="591" t="s">
        <v>45</v>
      </c>
      <c r="R996" s="52"/>
      <c r="S996" s="52" t="str">
        <f ca="1">Summon!$I$42</f>
        <v>猛击</v>
      </c>
      <c r="T996" s="591">
        <v>9</v>
      </c>
      <c r="U996" s="589"/>
      <c r="V996" s="464" t="str">
        <f ca="1">"NPC at this location after quest: "&amp;支线!$C$16</f>
        <v>NPC at this location after quest: 亚莉安娜，在那之后（１）</v>
      </c>
      <c r="W996" s="189"/>
    </row>
    <row r="997" spans="1:23" ht="12.75" x14ac:dyDescent="0.2">
      <c r="A997" s="189"/>
      <c r="B997" s="371"/>
      <c r="C997" s="189" t="b">
        <v>0</v>
      </c>
      <c r="D997" s="54" t="str">
        <f ca="1">道具!$C$538</f>
        <v>睡眠花之叶</v>
      </c>
      <c r="E997" s="371"/>
      <c r="F997" s="371"/>
      <c r="G997" s="371"/>
      <c r="H997" s="371"/>
      <c r="I997" s="371"/>
      <c r="J997" s="371"/>
      <c r="K997" s="371"/>
      <c r="L997" s="371"/>
      <c r="M997" s="371"/>
      <c r="N997" s="371"/>
      <c r="O997" s="371"/>
      <c r="P997" s="371"/>
      <c r="Q997" s="371"/>
      <c r="R997" s="52"/>
      <c r="S997" s="52" t="str">
        <f ca="1">Summon!$I$4</f>
        <v>战斗</v>
      </c>
      <c r="T997" s="371"/>
      <c r="U997" s="371"/>
      <c r="V997" s="371"/>
      <c r="W997" s="189"/>
    </row>
    <row r="998" spans="1:23" ht="12.75" x14ac:dyDescent="0.2">
      <c r="A998" s="189"/>
      <c r="B998" s="590"/>
      <c r="C998" s="191" t="b">
        <v>0</v>
      </c>
      <c r="D998" s="192" t="str">
        <f ca="1">道具!$C$480</f>
        <v>体力手环</v>
      </c>
      <c r="E998" s="590"/>
      <c r="F998" s="590"/>
      <c r="G998" s="590"/>
      <c r="H998" s="590"/>
      <c r="I998" s="590"/>
      <c r="J998" s="590"/>
      <c r="K998" s="590"/>
      <c r="L998" s="590"/>
      <c r="M998" s="590"/>
      <c r="N998" s="590"/>
      <c r="O998" s="590"/>
      <c r="P998" s="590"/>
      <c r="Q998" s="590"/>
      <c r="R998" s="193"/>
      <c r="S998" s="193"/>
      <c r="T998" s="590"/>
      <c r="U998" s="590"/>
      <c r="V998" s="590"/>
      <c r="W998" s="189"/>
    </row>
    <row r="999" spans="1:23" ht="12.75" x14ac:dyDescent="0.2">
      <c r="A999" s="189"/>
      <c r="B999" s="479" t="str">
        <f ca="1">语言!$A$2019&amp;" (2)"</f>
        <v>车夫厄伦 (2)</v>
      </c>
      <c r="C999" s="189" t="b">
        <v>0</v>
      </c>
      <c r="D999" s="54" t="str">
        <f ca="1">道具!$C$160</f>
        <v>重刃</v>
      </c>
      <c r="E999" s="589" t="b">
        <v>0</v>
      </c>
      <c r="F999" s="464" t="str">
        <f ca="1">语言!$A$23</f>
        <v>无</v>
      </c>
      <c r="G999" s="589" t="b">
        <v>0</v>
      </c>
      <c r="H999" s="591" t="s">
        <v>57</v>
      </c>
      <c r="I999" s="464">
        <v>3</v>
      </c>
      <c r="J999" s="464"/>
      <c r="K999" s="464"/>
      <c r="L999" s="464"/>
      <c r="M999" s="464"/>
      <c r="N999" s="464"/>
      <c r="O999" s="464" t="str">
        <f ca="1">道具!$C$31</f>
        <v>火之精灵石（大）</v>
      </c>
      <c r="P999" s="589"/>
      <c r="Q999" s="591" t="s">
        <v>57</v>
      </c>
      <c r="R999" s="52"/>
      <c r="S999" s="52" t="str">
        <f ca="1">Summon!$I$179</f>
        <v>速度提升</v>
      </c>
      <c r="T999" s="591">
        <v>8</v>
      </c>
      <c r="U999" s="589"/>
      <c r="V999" s="464" t="str">
        <f ca="1">"NPC at this location after quest: "&amp;支线!$C$17</f>
        <v>NPC at this location after quest: 亚莉安娜，在那之后（２）</v>
      </c>
      <c r="W999" s="189"/>
    </row>
    <row r="1000" spans="1:23" ht="12.75" x14ac:dyDescent="0.2">
      <c r="A1000" s="189"/>
      <c r="B1000" s="371"/>
      <c r="C1000" s="189" t="b">
        <v>0</v>
      </c>
      <c r="D1000" s="54" t="str">
        <f ca="1">道具!$C$350</f>
        <v>板盾</v>
      </c>
      <c r="E1000" s="371"/>
      <c r="F1000" s="371"/>
      <c r="G1000" s="371"/>
      <c r="H1000" s="371"/>
      <c r="I1000" s="371"/>
      <c r="J1000" s="371"/>
      <c r="K1000" s="371"/>
      <c r="L1000" s="371"/>
      <c r="M1000" s="371"/>
      <c r="N1000" s="371"/>
      <c r="O1000" s="371"/>
      <c r="P1000" s="371"/>
      <c r="Q1000" s="371"/>
      <c r="R1000" s="52"/>
      <c r="S1000" s="52" t="str">
        <f ca="1">Summon!$I$6</f>
        <v>斩击</v>
      </c>
      <c r="T1000" s="371"/>
      <c r="U1000" s="371"/>
      <c r="V1000" s="371"/>
      <c r="W1000" s="189"/>
    </row>
    <row r="1001" spans="1:23" ht="12.75" x14ac:dyDescent="0.2">
      <c r="A1001" s="189"/>
      <c r="B1001" s="590"/>
      <c r="C1001" s="191"/>
      <c r="D1001" s="192"/>
      <c r="E1001" s="590"/>
      <c r="F1001" s="590"/>
      <c r="G1001" s="590"/>
      <c r="H1001" s="590"/>
      <c r="I1001" s="590"/>
      <c r="J1001" s="590"/>
      <c r="K1001" s="590"/>
      <c r="L1001" s="590"/>
      <c r="M1001" s="590"/>
      <c r="N1001" s="590"/>
      <c r="O1001" s="590"/>
      <c r="P1001" s="590"/>
      <c r="Q1001" s="590"/>
      <c r="R1001" s="193"/>
      <c r="S1001" s="193" t="str">
        <f ca="1">Summon!$I$4</f>
        <v>战斗</v>
      </c>
      <c r="T1001" s="590"/>
      <c r="U1001" s="590"/>
      <c r="V1001" s="590"/>
      <c r="W1001" s="189"/>
    </row>
    <row r="1002" spans="1:23" ht="12.75" x14ac:dyDescent="0.2">
      <c r="A1002" s="189"/>
      <c r="B1002" s="479" t="str">
        <f ca="1">语言!$A$1995</f>
        <v>娜塔莉亚</v>
      </c>
      <c r="C1002" s="589" t="b">
        <v>0</v>
      </c>
      <c r="D1002" s="479" t="str">
        <f ca="1">道具!$C$356</f>
        <v>水晶头盔</v>
      </c>
      <c r="E1002" s="589" t="b">
        <v>0</v>
      </c>
      <c r="F1002" s="464" t="str">
        <f ca="1">语言!$A$23</f>
        <v>无</v>
      </c>
      <c r="G1002" s="589" t="b">
        <v>0</v>
      </c>
      <c r="H1002" s="591" t="s">
        <v>57</v>
      </c>
      <c r="I1002" s="464">
        <v>3</v>
      </c>
      <c r="J1002" s="464"/>
      <c r="K1002" s="464"/>
      <c r="L1002" s="464"/>
      <c r="M1002" s="464"/>
      <c r="N1002" s="464"/>
      <c r="O1002" s="464" t="str">
        <f ca="1">道具!$C$31</f>
        <v>火之精灵石（大）</v>
      </c>
      <c r="P1002" s="589"/>
      <c r="Q1002" s="591" t="s">
        <v>48</v>
      </c>
      <c r="R1002" s="52"/>
      <c r="S1002" s="52" t="str">
        <f ca="1">Summon!$I$6</f>
        <v>斩击</v>
      </c>
      <c r="T1002" s="591">
        <v>9</v>
      </c>
      <c r="U1002" s="589"/>
      <c r="V1002" s="464" t="str">
        <f ca="1">"NPC available upon starting quest: "&amp;支线!$C$16</f>
        <v>NPC available upon starting quest: 亚莉安娜，在那之后（１）</v>
      </c>
      <c r="W1002" s="189"/>
    </row>
    <row r="1003" spans="1:23" ht="12.75" x14ac:dyDescent="0.2">
      <c r="A1003" s="189"/>
      <c r="B1003" s="590"/>
      <c r="C1003" s="590"/>
      <c r="D1003" s="590"/>
      <c r="E1003" s="590"/>
      <c r="F1003" s="590"/>
      <c r="G1003" s="590"/>
      <c r="H1003" s="590"/>
      <c r="I1003" s="590"/>
      <c r="J1003" s="590"/>
      <c r="K1003" s="590"/>
      <c r="L1003" s="590"/>
      <c r="M1003" s="590"/>
      <c r="N1003" s="590"/>
      <c r="O1003" s="590"/>
      <c r="P1003" s="590"/>
      <c r="Q1003" s="590"/>
      <c r="R1003" s="193"/>
      <c r="S1003" s="193" t="str">
        <f ca="1">Summon!$I$4</f>
        <v>战斗</v>
      </c>
      <c r="T1003" s="590"/>
      <c r="U1003" s="590"/>
      <c r="V1003" s="590"/>
      <c r="W1003" s="189"/>
    </row>
    <row r="1004" spans="1:23" ht="12.75" x14ac:dyDescent="0.2">
      <c r="A1004" s="189"/>
      <c r="B1004" s="479" t="str">
        <f ca="1">语言!$A$2052</f>
        <v>爱说闲话的男子</v>
      </c>
      <c r="C1004" s="189" t="b">
        <v>0</v>
      </c>
      <c r="D1004" s="54" t="str">
        <f ca="1">道具!$C$4</f>
        <v>ＨＰ恢复的葡萄（大）</v>
      </c>
      <c r="E1004" s="589" t="b">
        <v>0</v>
      </c>
      <c r="F1004" s="464" t="str">
        <f ca="1">语言!$A$23</f>
        <v>无</v>
      </c>
      <c r="G1004" s="589" t="b">
        <v>0</v>
      </c>
      <c r="H1004" s="591" t="s">
        <v>48</v>
      </c>
      <c r="I1004" s="464">
        <v>2</v>
      </c>
      <c r="J1004" s="464"/>
      <c r="K1004" s="464"/>
      <c r="L1004" s="464"/>
      <c r="M1004" s="464"/>
      <c r="N1004" s="464"/>
      <c r="O1004" s="464" t="str">
        <f ca="1">道具!$C$4</f>
        <v>ＨＰ恢复的葡萄（大）</v>
      </c>
      <c r="P1004" s="589"/>
      <c r="Q1004" s="591" t="s">
        <v>48</v>
      </c>
      <c r="R1004" s="52"/>
      <c r="S1004" s="52" t="str">
        <f ca="1">Summon!$I$6</f>
        <v>斩击</v>
      </c>
      <c r="T1004" s="591">
        <v>9</v>
      </c>
      <c r="U1004" s="589"/>
      <c r="V1004" s="464"/>
      <c r="W1004" s="189"/>
    </row>
    <row r="1005" spans="1:23" ht="12.75" x14ac:dyDescent="0.2">
      <c r="A1005" s="189"/>
      <c r="B1005" s="590"/>
      <c r="C1005" s="191" t="b">
        <v>0</v>
      </c>
      <c r="D1005" s="192" t="str">
        <f ca="1">道具!$C$6</f>
        <v>ＳＰ恢复的李子</v>
      </c>
      <c r="E1005" s="590"/>
      <c r="F1005" s="590"/>
      <c r="G1005" s="590"/>
      <c r="H1005" s="590"/>
      <c r="I1005" s="590"/>
      <c r="J1005" s="590"/>
      <c r="K1005" s="590"/>
      <c r="L1005" s="590"/>
      <c r="M1005" s="590"/>
      <c r="N1005" s="590"/>
      <c r="O1005" s="590"/>
      <c r="P1005" s="590"/>
      <c r="Q1005" s="590"/>
      <c r="R1005" s="193"/>
      <c r="S1005" s="193" t="str">
        <f ca="1">Summon!$I$4</f>
        <v>战斗</v>
      </c>
      <c r="T1005" s="590"/>
      <c r="U1005" s="590"/>
      <c r="V1005" s="590"/>
      <c r="W1005" s="189"/>
    </row>
    <row r="1006" spans="1:23" ht="12.75" x14ac:dyDescent="0.2">
      <c r="A1006" s="189"/>
      <c r="B1006" s="479" t="str">
        <f ca="1">语言!$A$2028&amp;" (1)"</f>
        <v>有高贵气息的青年 (1)</v>
      </c>
      <c r="C1006" s="589" t="b">
        <v>0</v>
      </c>
      <c r="D1006" s="479" t="str">
        <f ca="1">道具!$C$130</f>
        <v>目眩神迷的美术品</v>
      </c>
      <c r="E1006" s="589" t="b">
        <v>0</v>
      </c>
      <c r="F1006" s="464" t="str">
        <f ca="1">语言!$A$23</f>
        <v>无</v>
      </c>
      <c r="G1006" s="589" t="b">
        <v>0</v>
      </c>
      <c r="H1006" s="591" t="s">
        <v>46</v>
      </c>
      <c r="I1006" s="464">
        <v>3</v>
      </c>
      <c r="J1006" s="464"/>
      <c r="K1006" s="464"/>
      <c r="L1006" s="464"/>
      <c r="M1006" s="464"/>
      <c r="N1006" s="464"/>
      <c r="O1006" s="464" t="str">
        <f ca="1">道具!$C$437</f>
        <v>魔咒长袍</v>
      </c>
      <c r="P1006" s="589"/>
      <c r="Q1006" s="591" t="s">
        <v>46</v>
      </c>
      <c r="R1006" s="52"/>
      <c r="S1006" s="52" t="str">
        <f ca="1">Summon!$I$50</f>
        <v>连掷雕刻刀</v>
      </c>
      <c r="T1006" s="591">
        <v>8</v>
      </c>
      <c r="U1006" s="589"/>
      <c r="V1006" s="464" t="str">
        <f ca="1">"Moves to "&amp;语言!$A$397&amp;" after quest: "&amp;支线!$C$67&amp;"
("&amp;语言!$A$44&amp;" / "&amp;语言!$A$48&amp;" solution only)"</f>
        <v>Moves to 斯托冈德 -上街- after quest: 王家的秘密
(引导 / 诱惑 solution only)</v>
      </c>
      <c r="W1006" s="189"/>
    </row>
    <row r="1007" spans="1:23" ht="12.75" x14ac:dyDescent="0.2">
      <c r="A1007" s="189"/>
      <c r="B1007" s="371"/>
      <c r="C1007" s="371"/>
      <c r="D1007" s="371"/>
      <c r="E1007" s="371"/>
      <c r="F1007" s="371"/>
      <c r="G1007" s="371"/>
      <c r="H1007" s="371"/>
      <c r="I1007" s="371"/>
      <c r="J1007" s="371"/>
      <c r="K1007" s="371"/>
      <c r="L1007" s="371"/>
      <c r="M1007" s="371"/>
      <c r="N1007" s="371"/>
      <c r="O1007" s="371"/>
      <c r="P1007" s="371"/>
      <c r="Q1007" s="371"/>
      <c r="R1007" s="52"/>
      <c r="S1007" s="52" t="str">
        <f ca="1">Summon!$I$42</f>
        <v>猛击</v>
      </c>
      <c r="T1007" s="371"/>
      <c r="U1007" s="371"/>
      <c r="V1007" s="371"/>
      <c r="W1007" s="189"/>
    </row>
    <row r="1008" spans="1:23" ht="12.75" x14ac:dyDescent="0.2">
      <c r="A1008" s="189"/>
      <c r="B1008" s="590"/>
      <c r="C1008" s="590"/>
      <c r="D1008" s="590"/>
      <c r="E1008" s="590"/>
      <c r="F1008" s="590"/>
      <c r="G1008" s="590"/>
      <c r="H1008" s="590"/>
      <c r="I1008" s="590"/>
      <c r="J1008" s="590"/>
      <c r="K1008" s="590"/>
      <c r="L1008" s="590"/>
      <c r="M1008" s="590"/>
      <c r="N1008" s="590"/>
      <c r="O1008" s="590"/>
      <c r="P1008" s="590"/>
      <c r="Q1008" s="590"/>
      <c r="R1008" s="193"/>
      <c r="S1008" s="193" t="str">
        <f ca="1">Summon!$I$4</f>
        <v>战斗</v>
      </c>
      <c r="T1008" s="590"/>
      <c r="U1008" s="590"/>
      <c r="V1008" s="590"/>
      <c r="W1008" s="189"/>
    </row>
    <row r="1009" spans="1:23" ht="12.75" x14ac:dyDescent="0.2">
      <c r="A1009" s="189"/>
      <c r="B1009" s="479" t="str">
        <f ca="1">语言!$A$1776&amp;" (2)"</f>
        <v>粉碎者阿奇博德 (2)</v>
      </c>
      <c r="C1009" s="189" t="b">
        <v>0</v>
      </c>
      <c r="D1009" s="54" t="str">
        <f ca="1">道具!$C$255</f>
        <v>银斧</v>
      </c>
      <c r="E1009" s="589" t="b">
        <v>0</v>
      </c>
      <c r="F1009" s="464" t="str">
        <f ca="1">语言!$A$23</f>
        <v>无</v>
      </c>
      <c r="G1009" s="589" t="b">
        <v>0</v>
      </c>
      <c r="H1009" s="591" t="s">
        <v>50</v>
      </c>
      <c r="I1009" s="464">
        <v>4</v>
      </c>
      <c r="J1009" s="464"/>
      <c r="K1009" s="464"/>
      <c r="L1009" s="464"/>
      <c r="M1009" s="464"/>
      <c r="N1009" s="464"/>
      <c r="O1009" s="464" t="str">
        <f ca="1">道具!$C$16</f>
        <v>复活的橄榄（大）</v>
      </c>
      <c r="P1009" s="589"/>
      <c r="Q1009" s="591" t="s">
        <v>50</v>
      </c>
      <c r="R1009" s="52"/>
      <c r="S1009" s="52" t="str">
        <f ca="1">Summon!$I$62</f>
        <v>王者的铁锤</v>
      </c>
      <c r="T1009" s="591">
        <v>7</v>
      </c>
      <c r="U1009" s="589"/>
      <c r="V1009" s="464" t="str">
        <f ca="1">"NPC at this location after "&amp;语言!$A$38&amp;" chapter 4"</f>
        <v>NPC at this location after 欧尔贝克 chapter 4</v>
      </c>
      <c r="W1009" s="189"/>
    </row>
    <row r="1010" spans="1:23" ht="12.75" x14ac:dyDescent="0.2">
      <c r="A1010" s="189"/>
      <c r="B1010" s="371"/>
      <c r="C1010" s="189" t="b">
        <v>0</v>
      </c>
      <c r="D1010" s="54" t="str">
        <f ca="1">道具!$C$237</f>
        <v>双刃战斧</v>
      </c>
      <c r="E1010" s="371"/>
      <c r="F1010" s="371"/>
      <c r="G1010" s="371"/>
      <c r="H1010" s="371"/>
      <c r="I1010" s="371"/>
      <c r="J1010" s="371"/>
      <c r="K1010" s="371"/>
      <c r="L1010" s="371"/>
      <c r="M1010" s="371"/>
      <c r="N1010" s="371"/>
      <c r="O1010" s="371"/>
      <c r="P1010" s="371"/>
      <c r="Q1010" s="371"/>
      <c r="R1010" s="52"/>
      <c r="S1010" s="52" t="str">
        <f ca="1">Summon!$I$60</f>
        <v>乱挥</v>
      </c>
      <c r="T1010" s="371"/>
      <c r="U1010" s="371"/>
      <c r="V1010" s="371"/>
      <c r="W1010" s="189"/>
    </row>
    <row r="1011" spans="1:23" ht="12.75" x14ac:dyDescent="0.2">
      <c r="A1011" s="189"/>
      <c r="B1011" s="590"/>
      <c r="C1011" s="191"/>
      <c r="D1011" s="192"/>
      <c r="E1011" s="590"/>
      <c r="F1011" s="590"/>
      <c r="G1011" s="590"/>
      <c r="H1011" s="590"/>
      <c r="I1011" s="590"/>
      <c r="J1011" s="590"/>
      <c r="K1011" s="590"/>
      <c r="L1011" s="590"/>
      <c r="M1011" s="590"/>
      <c r="N1011" s="590"/>
      <c r="O1011" s="590"/>
      <c r="P1011" s="590"/>
      <c r="Q1011" s="590"/>
      <c r="R1011" s="193"/>
      <c r="S1011" s="193" t="str">
        <f ca="1">Summon!$I$4</f>
        <v>战斗</v>
      </c>
      <c r="T1011" s="590"/>
      <c r="U1011" s="590"/>
      <c r="V1011" s="590"/>
      <c r="W1011" s="189"/>
    </row>
    <row r="1012" spans="1:23" ht="12.75" x14ac:dyDescent="0.2">
      <c r="A1012" s="189"/>
      <c r="B1012" s="479" t="str">
        <f ca="1">语言!$A$1829</f>
        <v>神官</v>
      </c>
      <c r="C1012" s="189" t="b">
        <v>0</v>
      </c>
      <c r="D1012" s="54" t="str">
        <f ca="1">道具!$C$489</f>
        <v>精神戒指</v>
      </c>
      <c r="E1012" s="589" t="b">
        <v>0</v>
      </c>
      <c r="F1012" s="464" t="str">
        <f ca="1">语言!$A$33&amp;"
"&amp;道具!$C$7</f>
        <v>隐藏道具的资讯
ＳＰ恢复的李子（大）</v>
      </c>
      <c r="G1012" s="589" t="b">
        <v>0</v>
      </c>
      <c r="H1012" s="591" t="s">
        <v>51</v>
      </c>
      <c r="I1012" s="464">
        <v>5</v>
      </c>
      <c r="J1012" s="464"/>
      <c r="K1012" s="464"/>
      <c r="L1012" s="464"/>
      <c r="M1012" s="464"/>
      <c r="N1012" s="464"/>
      <c r="O1012" s="464" t="str">
        <f ca="1">道具!$C$382</f>
        <v>黄金发饰</v>
      </c>
      <c r="P1012" s="589"/>
      <c r="Q1012" s="591" t="s">
        <v>51</v>
      </c>
      <c r="R1012" s="52"/>
      <c r="S1012" s="52" t="str">
        <f ca="1">Summon!$I$132</f>
        <v>鼓动技能</v>
      </c>
      <c r="T1012" s="591">
        <v>6</v>
      </c>
      <c r="U1012" s="589"/>
      <c r="V1012" s="464"/>
      <c r="W1012" s="189"/>
    </row>
    <row r="1013" spans="1:23" ht="12.75" x14ac:dyDescent="0.2">
      <c r="A1013" s="189"/>
      <c r="B1013" s="371"/>
      <c r="C1013" s="189" t="b">
        <v>0</v>
      </c>
      <c r="D1013" s="54" t="str">
        <f ca="1">道具!$C$490</f>
        <v>守护戒指</v>
      </c>
      <c r="E1013" s="371"/>
      <c r="F1013" s="371"/>
      <c r="G1013" s="371"/>
      <c r="H1013" s="371"/>
      <c r="I1013" s="371"/>
      <c r="J1013" s="371"/>
      <c r="K1013" s="371"/>
      <c r="L1013" s="371"/>
      <c r="M1013" s="371"/>
      <c r="N1013" s="371"/>
      <c r="O1013" s="371"/>
      <c r="P1013" s="371"/>
      <c r="Q1013" s="371"/>
      <c r="R1013" s="52"/>
      <c r="S1013" s="52" t="str">
        <f ca="1">Summon!$I$126</f>
        <v>疗愈的摇篮</v>
      </c>
      <c r="T1013" s="371"/>
      <c r="U1013" s="371"/>
      <c r="V1013" s="371"/>
      <c r="W1013" s="189"/>
    </row>
    <row r="1014" spans="1:23" ht="12.75" x14ac:dyDescent="0.2">
      <c r="A1014" s="189"/>
      <c r="B1014" s="590"/>
      <c r="C1014" s="191" t="b">
        <v>0</v>
      </c>
      <c r="D1014" s="192" t="str">
        <f ca="1">道具!$C$492</f>
        <v>察知戒指</v>
      </c>
      <c r="E1014" s="590"/>
      <c r="F1014" s="590"/>
      <c r="G1014" s="590"/>
      <c r="H1014" s="590"/>
      <c r="I1014" s="590"/>
      <c r="J1014" s="590"/>
      <c r="K1014" s="590"/>
      <c r="L1014" s="590"/>
      <c r="M1014" s="590"/>
      <c r="N1014" s="590"/>
      <c r="O1014" s="590"/>
      <c r="P1014" s="590"/>
      <c r="Q1014" s="590"/>
      <c r="R1014" s="193"/>
      <c r="S1014" s="193" t="str">
        <f ca="1">Summon!$I$4</f>
        <v>战斗</v>
      </c>
      <c r="T1014" s="590"/>
      <c r="U1014" s="590"/>
      <c r="V1014" s="590"/>
      <c r="W1014" s="189"/>
    </row>
    <row r="1015" spans="1:23" ht="12.75" x14ac:dyDescent="0.2">
      <c r="A1015" s="189"/>
      <c r="B1015" s="479" t="str">
        <f ca="1">语言!$A$2122</f>
        <v>随风起舞的吟游诗人</v>
      </c>
      <c r="C1015" s="189" t="b">
        <v>0</v>
      </c>
      <c r="D1015" s="54" t="str">
        <f ca="1">道具!$C$528</f>
        <v>药的素材</v>
      </c>
      <c r="E1015" s="589" t="b">
        <v>0</v>
      </c>
      <c r="F1015" s="464" t="str">
        <f ca="1">道具!$I$47</f>
        <v>艾巴霍多的堡垒</v>
      </c>
      <c r="G1015" s="589" t="b">
        <v>0</v>
      </c>
      <c r="H1015" s="591" t="s">
        <v>47</v>
      </c>
      <c r="I1015" s="464">
        <v>4</v>
      </c>
      <c r="J1015" s="464"/>
      <c r="K1015" s="464"/>
      <c r="L1015" s="464"/>
      <c r="M1015" s="464"/>
      <c r="N1015" s="464"/>
      <c r="O1015" s="464" t="str">
        <f ca="1">道具!$C$537</f>
        <v>毒利米树之叶</v>
      </c>
      <c r="P1015" s="589"/>
      <c r="Q1015" s="593" t="s">
        <v>119</v>
      </c>
      <c r="R1015" s="593" t="s">
        <v>119</v>
      </c>
      <c r="S1015" s="593" t="s">
        <v>119</v>
      </c>
      <c r="T1015" s="593" t="s">
        <v>119</v>
      </c>
      <c r="U1015" s="589"/>
      <c r="V1015" s="464" t="str">
        <f ca="1">"NPC available after quest: "&amp;支线!$C$60</f>
        <v>NPC available after quest: 历史研究家诺艾尔（１）</v>
      </c>
      <c r="W1015" s="189"/>
    </row>
    <row r="1016" spans="1:23" ht="12.75" x14ac:dyDescent="0.2">
      <c r="A1016" s="189"/>
      <c r="B1016" s="590"/>
      <c r="C1016" s="191" t="b">
        <v>0</v>
      </c>
      <c r="D1016" s="192" t="str">
        <f ca="1">道具!$C$349</f>
        <v>闪避之盾</v>
      </c>
      <c r="E1016" s="590"/>
      <c r="F1016" s="590"/>
      <c r="G1016" s="590"/>
      <c r="H1016" s="590"/>
      <c r="I1016" s="590"/>
      <c r="J1016" s="590"/>
      <c r="K1016" s="590"/>
      <c r="L1016" s="590"/>
      <c r="M1016" s="590"/>
      <c r="N1016" s="590"/>
      <c r="O1016" s="590"/>
      <c r="P1016" s="590"/>
      <c r="Q1016" s="590"/>
      <c r="R1016" s="590"/>
      <c r="S1016" s="590"/>
      <c r="T1016" s="590"/>
      <c r="U1016" s="590"/>
      <c r="V1016" s="590"/>
      <c r="W1016" s="189"/>
    </row>
    <row r="1017" spans="1:23" ht="12.75" x14ac:dyDescent="0.2">
      <c r="A1017" s="189"/>
      <c r="B1017" s="479" t="str">
        <f ca="1">语言!$A$2102</f>
        <v>市民</v>
      </c>
      <c r="C1017" s="189" t="b">
        <v>0</v>
      </c>
      <c r="D1017" s="54" t="str">
        <f ca="1">道具!$C$31</f>
        <v>火之精灵石（大）</v>
      </c>
      <c r="E1017" s="589" t="b">
        <v>0</v>
      </c>
      <c r="F1017" s="464" t="str">
        <f ca="1">语言!$A$23</f>
        <v>无</v>
      </c>
      <c r="G1017" s="589" t="b">
        <v>0</v>
      </c>
      <c r="H1017" s="591" t="s">
        <v>51</v>
      </c>
      <c r="I1017" s="464">
        <v>5</v>
      </c>
      <c r="J1017" s="464"/>
      <c r="K1017" s="464"/>
      <c r="L1017" s="464"/>
      <c r="M1017" s="464"/>
      <c r="N1017" s="464"/>
      <c r="O1017" s="464" t="str">
        <f ca="1">道具!$C$176</f>
        <v>炽天使长枪</v>
      </c>
      <c r="P1017" s="589"/>
      <c r="Q1017" s="593" t="s">
        <v>119</v>
      </c>
      <c r="R1017" s="593" t="s">
        <v>119</v>
      </c>
      <c r="S1017" s="593" t="s">
        <v>119</v>
      </c>
      <c r="T1017" s="593" t="s">
        <v>119</v>
      </c>
      <c r="U1017" s="589"/>
      <c r="V1017" s="464"/>
      <c r="W1017" s="189"/>
    </row>
    <row r="1018" spans="1:23" ht="12.75" x14ac:dyDescent="0.2">
      <c r="A1018" s="189"/>
      <c r="B1018" s="371"/>
      <c r="C1018" s="189" t="b">
        <v>0</v>
      </c>
      <c r="D1018" s="54" t="str">
        <f ca="1">道具!$C$34</f>
        <v>冰之精灵石（大）</v>
      </c>
      <c r="E1018" s="371"/>
      <c r="F1018" s="371"/>
      <c r="G1018" s="371"/>
      <c r="H1018" s="371"/>
      <c r="I1018" s="371"/>
      <c r="J1018" s="371"/>
      <c r="K1018" s="371"/>
      <c r="L1018" s="371"/>
      <c r="M1018" s="371"/>
      <c r="N1018" s="371"/>
      <c r="O1018" s="371"/>
      <c r="P1018" s="371"/>
      <c r="Q1018" s="371"/>
      <c r="R1018" s="371"/>
      <c r="S1018" s="371"/>
      <c r="T1018" s="371"/>
      <c r="U1018" s="371"/>
      <c r="V1018" s="371"/>
      <c r="W1018" s="189"/>
    </row>
    <row r="1019" spans="1:23" ht="12.75" x14ac:dyDescent="0.2">
      <c r="A1019" s="189"/>
      <c r="B1019" s="590"/>
      <c r="C1019" s="191" t="b">
        <v>0</v>
      </c>
      <c r="D1019" s="192" t="str">
        <f ca="1">道具!$C$37</f>
        <v>雷之精灵石（大）</v>
      </c>
      <c r="E1019" s="590"/>
      <c r="F1019" s="590"/>
      <c r="G1019" s="590"/>
      <c r="H1019" s="590"/>
      <c r="I1019" s="590"/>
      <c r="J1019" s="590"/>
      <c r="K1019" s="590"/>
      <c r="L1019" s="590"/>
      <c r="M1019" s="590"/>
      <c r="N1019" s="590"/>
      <c r="O1019" s="590"/>
      <c r="P1019" s="590"/>
      <c r="Q1019" s="590"/>
      <c r="R1019" s="590"/>
      <c r="S1019" s="590"/>
      <c r="T1019" s="590"/>
      <c r="U1019" s="590"/>
      <c r="V1019" s="590"/>
      <c r="W1019" s="189"/>
    </row>
    <row r="1020" spans="1:23" ht="12.75" x14ac:dyDescent="0.2">
      <c r="A1020" s="189"/>
      <c r="B1020" s="479" t="str">
        <f ca="1">语言!$A$2102</f>
        <v>市民</v>
      </c>
      <c r="C1020" s="189" t="b">
        <v>0</v>
      </c>
      <c r="D1020" s="54" t="str">
        <f ca="1">道具!$C$44</f>
        <v>光之精灵石（大）</v>
      </c>
      <c r="E1020" s="589" t="b">
        <v>0</v>
      </c>
      <c r="F1020" s="464" t="str">
        <f ca="1">语言!$A$28</f>
        <v>武器店商品追加资讯</v>
      </c>
      <c r="G1020" s="589" t="b">
        <v>0</v>
      </c>
      <c r="H1020" s="591" t="s">
        <v>57</v>
      </c>
      <c r="I1020" s="464">
        <v>3</v>
      </c>
      <c r="J1020" s="464"/>
      <c r="K1020" s="464"/>
      <c r="L1020" s="464"/>
      <c r="M1020" s="464"/>
      <c r="N1020" s="464"/>
      <c r="O1020" s="464" t="str">
        <f ca="1">道具!$C$6</f>
        <v>ＳＰ恢复的李子</v>
      </c>
      <c r="P1020" s="589"/>
      <c r="Q1020" s="591" t="s">
        <v>57</v>
      </c>
      <c r="R1020" s="52"/>
      <c r="S1020" s="52" t="str">
        <f ca="1">Summon!$I$147</f>
        <v>混乱药</v>
      </c>
      <c r="T1020" s="591">
        <v>8</v>
      </c>
      <c r="U1020" s="589"/>
      <c r="V1020" s="464" t="str">
        <f ca="1">"Behind other NPC ("&amp;语言!$A$47&amp;" / "&amp;语言!$A$51&amp;")"</f>
        <v>Behind other NPC (比试 / 唆使)</v>
      </c>
      <c r="W1020" s="189"/>
    </row>
    <row r="1021" spans="1:23" ht="12.75" x14ac:dyDescent="0.2">
      <c r="A1021" s="189"/>
      <c r="B1021" s="371"/>
      <c r="C1021" s="189" t="b">
        <v>0</v>
      </c>
      <c r="D1021" s="54" t="str">
        <f ca="1">道具!$C$37</f>
        <v>雷之精灵石（大）</v>
      </c>
      <c r="E1021" s="371"/>
      <c r="F1021" s="371"/>
      <c r="G1021" s="371"/>
      <c r="H1021" s="371"/>
      <c r="I1021" s="371"/>
      <c r="J1021" s="371"/>
      <c r="K1021" s="371"/>
      <c r="L1021" s="371"/>
      <c r="M1021" s="371"/>
      <c r="N1021" s="371"/>
      <c r="O1021" s="371"/>
      <c r="P1021" s="371"/>
      <c r="Q1021" s="371"/>
      <c r="R1021" s="52"/>
      <c r="S1021" s="52" t="str">
        <f ca="1">Summon!$I$4</f>
        <v>战斗</v>
      </c>
      <c r="T1021" s="371"/>
      <c r="U1021" s="371"/>
      <c r="V1021" s="371"/>
      <c r="W1021" s="189"/>
    </row>
    <row r="1022" spans="1:23" ht="12.75" x14ac:dyDescent="0.2">
      <c r="A1022" s="189"/>
      <c r="B1022" s="590"/>
      <c r="C1022" s="191" t="b">
        <v>0</v>
      </c>
      <c r="D1022" s="192" t="str">
        <f ca="1">道具!$C$40</f>
        <v>风之精灵石（大）</v>
      </c>
      <c r="E1022" s="590"/>
      <c r="F1022" s="590"/>
      <c r="G1022" s="590"/>
      <c r="H1022" s="590"/>
      <c r="I1022" s="590"/>
      <c r="J1022" s="590"/>
      <c r="K1022" s="590"/>
      <c r="L1022" s="590"/>
      <c r="M1022" s="590"/>
      <c r="N1022" s="590"/>
      <c r="O1022" s="590"/>
      <c r="P1022" s="590"/>
      <c r="Q1022" s="590"/>
      <c r="R1022" s="193"/>
      <c r="S1022" s="193"/>
      <c r="T1022" s="590"/>
      <c r="U1022" s="590"/>
      <c r="V1022" s="590"/>
      <c r="W1022" s="189"/>
    </row>
    <row r="1023" spans="1:23" ht="12.75" x14ac:dyDescent="0.2">
      <c r="A1023" s="189"/>
      <c r="B1023" s="479" t="str">
        <f ca="1">语言!$A$1768&amp;" (2)"</f>
        <v>失忆的女孩 /
莱雅 (2)</v>
      </c>
      <c r="C1023" s="189" t="b">
        <v>0</v>
      </c>
      <c r="D1023" s="54" t="str">
        <f ca="1">道具!$C$498</f>
        <v>守护耳环</v>
      </c>
      <c r="E1023" s="589" t="b">
        <v>0</v>
      </c>
      <c r="F1023" s="464" t="str">
        <f ca="1">语言!$A$23</f>
        <v>无</v>
      </c>
      <c r="G1023" s="589" t="b">
        <v>0</v>
      </c>
      <c r="H1023" s="591" t="s">
        <v>45</v>
      </c>
      <c r="I1023" s="464">
        <v>1</v>
      </c>
      <c r="J1023" s="464"/>
      <c r="K1023" s="464"/>
      <c r="L1023" s="464"/>
      <c r="M1023" s="464"/>
      <c r="N1023" s="464"/>
      <c r="O1023" s="464" t="str">
        <f ca="1">道具!$C$39</f>
        <v>风之精灵石</v>
      </c>
      <c r="P1023" s="589"/>
      <c r="Q1023" s="591" t="s">
        <v>45</v>
      </c>
      <c r="R1023" s="52"/>
      <c r="S1023" s="52" t="str">
        <f ca="1">Summon!$I$42</f>
        <v>猛击</v>
      </c>
      <c r="T1023" s="591">
        <v>9</v>
      </c>
      <c r="U1023" s="589"/>
      <c r="V1023" s="464" t="str">
        <f ca="1">"NPC at this location after quest: "&amp;支线!$C$65&amp;" ("&amp;语言!$A$44&amp;" / "&amp;语言!$A$48&amp;" solution only)"</f>
        <v>NPC at this location after quest: 无赖 (引导 / 诱惑 solution only)</v>
      </c>
      <c r="W1023" s="189"/>
    </row>
    <row r="1024" spans="1:23" ht="12.75" x14ac:dyDescent="0.2">
      <c r="A1024" s="189"/>
      <c r="B1024" s="590"/>
      <c r="C1024" s="191" t="b">
        <v>0</v>
      </c>
      <c r="D1024" s="192" t="str">
        <f ca="1">道具!$C$515</f>
        <v>风之避邪符</v>
      </c>
      <c r="E1024" s="590"/>
      <c r="F1024" s="590"/>
      <c r="G1024" s="590"/>
      <c r="H1024" s="590"/>
      <c r="I1024" s="590"/>
      <c r="J1024" s="590"/>
      <c r="K1024" s="590"/>
      <c r="L1024" s="590"/>
      <c r="M1024" s="590"/>
      <c r="N1024" s="590"/>
      <c r="O1024" s="590"/>
      <c r="P1024" s="590"/>
      <c r="Q1024" s="590"/>
      <c r="R1024" s="193"/>
      <c r="S1024" s="193" t="str">
        <f ca="1">Summon!$I$4</f>
        <v>战斗</v>
      </c>
      <c r="T1024" s="590"/>
      <c r="U1024" s="590"/>
      <c r="V1024" s="590"/>
      <c r="W1024" s="189"/>
    </row>
    <row r="1025" spans="1:23" ht="12.75" x14ac:dyDescent="0.2">
      <c r="A1025" s="189"/>
      <c r="B1025" s="479" t="str">
        <f ca="1">语言!$A$2051&amp;" (1)"</f>
        <v>流氓的小弟 (1)</v>
      </c>
      <c r="C1025" s="589" t="b">
        <v>0</v>
      </c>
      <c r="D1025" s="479" t="str">
        <f ca="1">道具!$C$252</f>
        <v>岩石猛击斧</v>
      </c>
      <c r="E1025" s="589" t="b">
        <v>0</v>
      </c>
      <c r="F1025" s="464" t="str">
        <f ca="1">语言!$A$23</f>
        <v>无</v>
      </c>
      <c r="G1025" s="589" t="b">
        <v>0</v>
      </c>
      <c r="H1025" s="591" t="s">
        <v>57</v>
      </c>
      <c r="I1025" s="464">
        <v>3</v>
      </c>
      <c r="J1025" s="464"/>
      <c r="K1025" s="464"/>
      <c r="L1025" s="464"/>
      <c r="M1025" s="464"/>
      <c r="N1025" s="464"/>
      <c r="O1025" s="464" t="str">
        <f ca="1">道具!$C$34</f>
        <v>冰之精灵石（大）</v>
      </c>
      <c r="P1025" s="589"/>
      <c r="Q1025" s="591" t="s">
        <v>57</v>
      </c>
      <c r="R1025" s="52"/>
      <c r="S1025" s="52" t="str">
        <f ca="1">Summon!$I$45</f>
        <v>失明猛击</v>
      </c>
      <c r="T1025" s="591">
        <v>8</v>
      </c>
      <c r="U1025" s="589"/>
      <c r="V1025" s="464" t="str">
        <f ca="1">"Moves to "&amp;语言!$A$395&amp;" after quest: "&amp;支线!$C$65&amp;"
("&amp;语言!$A$47&amp;" / "&amp;语言!$A$51&amp;" solution only)"</f>
        <v>Moves to 斯托冈德 after quest: 无赖
(比试 / 唆使 solution only)</v>
      </c>
      <c r="W1025" s="189"/>
    </row>
    <row r="1026" spans="1:23" ht="12.75" x14ac:dyDescent="0.2">
      <c r="A1026" s="189"/>
      <c r="B1026" s="371"/>
      <c r="C1026" s="371"/>
      <c r="D1026" s="371"/>
      <c r="E1026" s="371"/>
      <c r="F1026" s="371"/>
      <c r="G1026" s="371"/>
      <c r="H1026" s="371"/>
      <c r="I1026" s="371"/>
      <c r="J1026" s="371"/>
      <c r="K1026" s="371"/>
      <c r="L1026" s="371"/>
      <c r="M1026" s="371"/>
      <c r="N1026" s="371"/>
      <c r="O1026" s="371"/>
      <c r="P1026" s="371"/>
      <c r="Q1026" s="371"/>
      <c r="R1026" s="52"/>
      <c r="S1026" s="52" t="str">
        <f ca="1">Summon!$I$42</f>
        <v>猛击</v>
      </c>
      <c r="T1026" s="371"/>
      <c r="U1026" s="371"/>
      <c r="V1026" s="371"/>
      <c r="W1026" s="189"/>
    </row>
    <row r="1027" spans="1:23" ht="12.75" x14ac:dyDescent="0.2">
      <c r="A1027" s="189"/>
      <c r="B1027" s="590"/>
      <c r="C1027" s="590"/>
      <c r="D1027" s="590"/>
      <c r="E1027" s="590"/>
      <c r="F1027" s="590"/>
      <c r="G1027" s="590"/>
      <c r="H1027" s="590"/>
      <c r="I1027" s="590"/>
      <c r="J1027" s="590"/>
      <c r="K1027" s="590"/>
      <c r="L1027" s="590"/>
      <c r="M1027" s="590"/>
      <c r="N1027" s="590"/>
      <c r="O1027" s="590"/>
      <c r="P1027" s="590"/>
      <c r="Q1027" s="590"/>
      <c r="R1027" s="193"/>
      <c r="S1027" s="193" t="str">
        <f ca="1">Summon!$I$4</f>
        <v>战斗</v>
      </c>
      <c r="T1027" s="590"/>
      <c r="U1027" s="590"/>
      <c r="V1027" s="590"/>
      <c r="W1027" s="189"/>
    </row>
    <row r="1028" spans="1:23" ht="12.75" x14ac:dyDescent="0.2">
      <c r="A1028" s="189"/>
      <c r="B1028" s="479" t="str">
        <f ca="1">语言!$A$2049&amp;" (1)"</f>
        <v>流氓 (1)</v>
      </c>
      <c r="C1028" s="189" t="b">
        <v>0</v>
      </c>
      <c r="D1028" s="54" t="str">
        <f ca="1">道具!$C$498</f>
        <v>守护耳环</v>
      </c>
      <c r="E1028" s="589" t="b">
        <v>0</v>
      </c>
      <c r="F1028" s="464" t="str">
        <f ca="1">语言!$A$23</f>
        <v>无</v>
      </c>
      <c r="G1028" s="589" t="b">
        <v>0</v>
      </c>
      <c r="H1028" s="591" t="s">
        <v>46</v>
      </c>
      <c r="I1028" s="464">
        <v>3</v>
      </c>
      <c r="J1028" s="464"/>
      <c r="K1028" s="464"/>
      <c r="L1028" s="464"/>
      <c r="M1028" s="464"/>
      <c r="N1028" s="464"/>
      <c r="O1028" s="464" t="str">
        <f ca="1">道具!$C$31</f>
        <v>火之精灵石（大）</v>
      </c>
      <c r="P1028" s="589"/>
      <c r="Q1028" s="593" t="s">
        <v>119</v>
      </c>
      <c r="R1028" s="593" t="s">
        <v>119</v>
      </c>
      <c r="S1028" s="593" t="s">
        <v>119</v>
      </c>
      <c r="T1028" s="593" t="s">
        <v>119</v>
      </c>
      <c r="U1028" s="589"/>
      <c r="V1028" s="464" t="str">
        <f ca="1">"Moves to "&amp;语言!$A$395&amp;" after quest: "&amp;支线!$C$65&amp;"
("&amp;语言!$A$47&amp;" / "&amp;语言!$A$51&amp;" solution only)"</f>
        <v>Moves to 斯托冈德 after quest: 无赖
(比试 / 唆使 solution only)</v>
      </c>
      <c r="W1028" s="189"/>
    </row>
    <row r="1029" spans="1:23" ht="12.75" x14ac:dyDescent="0.2">
      <c r="A1029" s="189"/>
      <c r="B1029" s="590"/>
      <c r="C1029" s="191" t="b">
        <v>0</v>
      </c>
      <c r="D1029" s="192" t="str">
        <f ca="1">道具!$C$515</f>
        <v>风之避邪符</v>
      </c>
      <c r="E1029" s="590"/>
      <c r="F1029" s="590"/>
      <c r="G1029" s="590"/>
      <c r="H1029" s="590"/>
      <c r="I1029" s="590"/>
      <c r="J1029" s="590"/>
      <c r="K1029" s="590"/>
      <c r="L1029" s="590"/>
      <c r="M1029" s="590"/>
      <c r="N1029" s="590"/>
      <c r="O1029" s="590"/>
      <c r="P1029" s="590"/>
      <c r="Q1029" s="590"/>
      <c r="R1029" s="590"/>
      <c r="S1029" s="590"/>
      <c r="T1029" s="590"/>
      <c r="U1029" s="590"/>
      <c r="V1029" s="590"/>
      <c r="W1029" s="189"/>
    </row>
    <row r="1030" spans="1:23" ht="12.75" x14ac:dyDescent="0.2">
      <c r="A1030" s="189"/>
      <c r="B1030" s="479" t="str">
        <f ca="1">语言!$A$1853</f>
        <v>商店的老人</v>
      </c>
      <c r="C1030" s="189" t="b">
        <v>0</v>
      </c>
      <c r="D1030" s="54" t="str">
        <f ca="1">道具!$C$468</f>
        <v>力量腰带</v>
      </c>
      <c r="E1030" s="589" t="b">
        <v>0</v>
      </c>
      <c r="F1030" s="464" t="str">
        <f ca="1">语言!$A$23</f>
        <v>无</v>
      </c>
      <c r="G1030" s="589"/>
      <c r="H1030" s="593" t="s">
        <v>119</v>
      </c>
      <c r="I1030" s="593" t="s">
        <v>119</v>
      </c>
      <c r="J1030" s="593" t="s">
        <v>119</v>
      </c>
      <c r="K1030" s="593" t="s">
        <v>119</v>
      </c>
      <c r="L1030" s="593" t="s">
        <v>119</v>
      </c>
      <c r="M1030" s="593" t="s">
        <v>119</v>
      </c>
      <c r="N1030" s="593" t="s">
        <v>119</v>
      </c>
      <c r="O1030" s="593" t="s">
        <v>119</v>
      </c>
      <c r="P1030" s="589"/>
      <c r="Q1030" s="593" t="s">
        <v>119</v>
      </c>
      <c r="R1030" s="593" t="s">
        <v>119</v>
      </c>
      <c r="S1030" s="593" t="s">
        <v>119</v>
      </c>
      <c r="T1030" s="593" t="s">
        <v>119</v>
      </c>
      <c r="U1030" s="589"/>
      <c r="V1030" s="464"/>
      <c r="W1030" s="189"/>
    </row>
    <row r="1031" spans="1:23" ht="12.75" x14ac:dyDescent="0.2">
      <c r="A1031" s="189"/>
      <c r="B1031" s="371"/>
      <c r="C1031" s="189" t="b">
        <v>0</v>
      </c>
      <c r="D1031" s="54" t="str">
        <f ca="1">道具!$C$469</f>
        <v>元素增幅器</v>
      </c>
      <c r="E1031" s="371"/>
      <c r="F1031" s="371"/>
      <c r="G1031" s="371"/>
      <c r="H1031" s="371"/>
      <c r="I1031" s="371"/>
      <c r="J1031" s="371"/>
      <c r="K1031" s="371"/>
      <c r="L1031" s="371"/>
      <c r="M1031" s="371"/>
      <c r="N1031" s="371"/>
      <c r="O1031" s="371"/>
      <c r="P1031" s="371"/>
      <c r="Q1031" s="371"/>
      <c r="R1031" s="371"/>
      <c r="S1031" s="371"/>
      <c r="T1031" s="371"/>
      <c r="U1031" s="371"/>
      <c r="V1031" s="371"/>
      <c r="W1031" s="189"/>
    </row>
    <row r="1032" spans="1:23" ht="12.75" x14ac:dyDescent="0.2">
      <c r="A1032" s="189"/>
      <c r="B1032" s="371"/>
      <c r="C1032" s="189" t="b">
        <v>0</v>
      </c>
      <c r="D1032" s="54" t="str">
        <f ca="1">道具!$C$129</f>
        <v>奇特的古董</v>
      </c>
      <c r="E1032" s="371"/>
      <c r="F1032" s="371"/>
      <c r="G1032" s="371"/>
      <c r="H1032" s="371"/>
      <c r="I1032" s="371"/>
      <c r="J1032" s="371"/>
      <c r="K1032" s="371"/>
      <c r="L1032" s="371"/>
      <c r="M1032" s="371"/>
      <c r="N1032" s="371"/>
      <c r="O1032" s="371"/>
      <c r="P1032" s="371"/>
      <c r="Q1032" s="371"/>
      <c r="R1032" s="371"/>
      <c r="S1032" s="371"/>
      <c r="T1032" s="371"/>
      <c r="U1032" s="371"/>
      <c r="V1032" s="371"/>
      <c r="W1032" s="189"/>
    </row>
    <row r="1033" spans="1:23" ht="12.75" x14ac:dyDescent="0.2">
      <c r="A1033" s="189"/>
      <c r="B1033" s="588" t="str">
        <f ca="1">语言!$A$397</f>
        <v>斯托冈德 -上街-</v>
      </c>
      <c r="C1033" s="371"/>
      <c r="D1033" s="371"/>
      <c r="E1033" s="371"/>
      <c r="F1033" s="371"/>
      <c r="G1033" s="371"/>
      <c r="H1033" s="371"/>
      <c r="I1033" s="371"/>
      <c r="J1033" s="371"/>
      <c r="K1033" s="371"/>
      <c r="L1033" s="371"/>
      <c r="M1033" s="371"/>
      <c r="N1033" s="371"/>
      <c r="O1033" s="371"/>
      <c r="P1033" s="371"/>
      <c r="Q1033" s="371"/>
      <c r="R1033" s="371"/>
      <c r="S1033" s="371"/>
      <c r="T1033" s="371"/>
      <c r="U1033" s="371"/>
      <c r="V1033" s="371"/>
      <c r="W1033" s="189"/>
    </row>
    <row r="1034" spans="1:23" ht="12.75" x14ac:dyDescent="0.2">
      <c r="A1034" s="189"/>
      <c r="B1034" s="479" t="str">
        <f ca="1">语言!$A$2102</f>
        <v>市民</v>
      </c>
      <c r="C1034" s="589" t="b">
        <v>0</v>
      </c>
      <c r="D1034" s="479" t="str">
        <f ca="1">道具!$C$290</f>
        <v>神射手的大弓</v>
      </c>
      <c r="E1034" s="589" t="b">
        <v>0</v>
      </c>
      <c r="F1034" s="464" t="str">
        <f ca="1">语言!$A$33&amp;"
"&amp;道具!$C$292</f>
        <v>隐藏道具的资讯
士兵的大弓</v>
      </c>
      <c r="G1034" s="589" t="b">
        <v>0</v>
      </c>
      <c r="H1034" s="591" t="s">
        <v>57</v>
      </c>
      <c r="I1034" s="464">
        <v>3</v>
      </c>
      <c r="J1034" s="464"/>
      <c r="K1034" s="464"/>
      <c r="L1034" s="464"/>
      <c r="M1034" s="464"/>
      <c r="N1034" s="464"/>
      <c r="O1034" s="464" t="str">
        <f ca="1">道具!$C$48</f>
        <v>暗之精灵石（特大）</v>
      </c>
      <c r="P1034" s="589"/>
      <c r="Q1034" s="591" t="s">
        <v>57</v>
      </c>
      <c r="R1034" s="52"/>
      <c r="S1034" s="52" t="str">
        <f ca="1">Summon!$I$157</f>
        <v>攻击力下降</v>
      </c>
      <c r="T1034" s="591">
        <v>8</v>
      </c>
      <c r="U1034" s="589"/>
      <c r="V1034" s="464"/>
      <c r="W1034" s="189"/>
    </row>
    <row r="1035" spans="1:23" ht="12.75" x14ac:dyDescent="0.2">
      <c r="A1035" s="189"/>
      <c r="B1035" s="371"/>
      <c r="C1035" s="371"/>
      <c r="D1035" s="371"/>
      <c r="E1035" s="371"/>
      <c r="F1035" s="371"/>
      <c r="G1035" s="371"/>
      <c r="H1035" s="371"/>
      <c r="I1035" s="371"/>
      <c r="J1035" s="371"/>
      <c r="K1035" s="371"/>
      <c r="L1035" s="371"/>
      <c r="M1035" s="371"/>
      <c r="N1035" s="371"/>
      <c r="O1035" s="371"/>
      <c r="P1035" s="371"/>
      <c r="Q1035" s="371"/>
      <c r="R1035" s="193"/>
      <c r="S1035" s="52" t="str">
        <f ca="1">Summon!$I$64</f>
        <v>精准射击</v>
      </c>
      <c r="T1035" s="371"/>
      <c r="U1035" s="371"/>
      <c r="V1035" s="371"/>
      <c r="W1035" s="189"/>
    </row>
    <row r="1036" spans="1:23" ht="12.75" x14ac:dyDescent="0.2">
      <c r="A1036" s="189"/>
      <c r="B1036" s="590"/>
      <c r="C1036" s="590"/>
      <c r="D1036" s="590"/>
      <c r="E1036" s="590"/>
      <c r="F1036" s="590"/>
      <c r="G1036" s="590"/>
      <c r="H1036" s="590"/>
      <c r="I1036" s="590"/>
      <c r="J1036" s="590"/>
      <c r="K1036" s="590"/>
      <c r="L1036" s="590"/>
      <c r="M1036" s="590"/>
      <c r="N1036" s="590"/>
      <c r="O1036" s="590"/>
      <c r="P1036" s="590"/>
      <c r="Q1036" s="590"/>
      <c r="R1036" s="193"/>
      <c r="S1036" s="193" t="str">
        <f ca="1">Summon!$I$4</f>
        <v>战斗</v>
      </c>
      <c r="T1036" s="590"/>
      <c r="U1036" s="590"/>
      <c r="V1036" s="590"/>
      <c r="W1036" s="189"/>
    </row>
    <row r="1037" spans="1:23" ht="12.75" x14ac:dyDescent="0.2">
      <c r="A1037" s="189"/>
      <c r="B1037" s="479" t="str">
        <f ca="1">语言!$A$2005&amp;" (2)"</f>
        <v>诺艾尔 (2)</v>
      </c>
      <c r="C1037" s="189" t="b">
        <v>0</v>
      </c>
      <c r="D1037" s="54" t="str">
        <f ca="1">道具!$C$478</f>
        <v>灵敏项链</v>
      </c>
      <c r="E1037" s="589" t="b">
        <v>0</v>
      </c>
      <c r="F1037" s="464" t="str">
        <f ca="1">语言!$A$23</f>
        <v>无</v>
      </c>
      <c r="G1037" s="589" t="b">
        <v>0</v>
      </c>
      <c r="H1037" s="591" t="s">
        <v>45</v>
      </c>
      <c r="I1037" s="464">
        <v>1</v>
      </c>
      <c r="J1037" s="464"/>
      <c r="K1037" s="464"/>
      <c r="L1037" s="464"/>
      <c r="M1037" s="464"/>
      <c r="N1037" s="464"/>
      <c r="O1037" s="464" t="str">
        <f ca="1">道具!$C$529</f>
        <v>药的素材（扩散）</v>
      </c>
      <c r="P1037" s="589"/>
      <c r="Q1037" s="591" t="s">
        <v>45</v>
      </c>
      <c r="R1037" s="52"/>
      <c r="S1037" s="52" t="str">
        <f ca="1">Summon!$I$173</f>
        <v>攻击力提升</v>
      </c>
      <c r="T1037" s="591">
        <v>9</v>
      </c>
      <c r="U1037" s="589"/>
      <c r="V1037" s="464" t="str">
        <f ca="1">"NPC at this location after quest: "&amp;支线!$C$60&amp;"
Moves to "&amp;语言!$A$404&amp;" after quest: "&amp;支线!$C$64</f>
        <v>NPC at this location after quest: 历史研究家诺艾尔（１）
Moves to 艾巴霍多 after quest: 历史研究家诺艾尔（２）</v>
      </c>
      <c r="W1037" s="189"/>
    </row>
    <row r="1038" spans="1:23" ht="12.75" x14ac:dyDescent="0.2">
      <c r="A1038" s="189"/>
      <c r="B1038" s="371"/>
      <c r="C1038" s="189" t="b">
        <v>0</v>
      </c>
      <c r="D1038" s="54" t="str">
        <f ca="1">道具!$C$489</f>
        <v>精神戒指</v>
      </c>
      <c r="E1038" s="371"/>
      <c r="F1038" s="371"/>
      <c r="G1038" s="371"/>
      <c r="H1038" s="371"/>
      <c r="I1038" s="371"/>
      <c r="J1038" s="371"/>
      <c r="K1038" s="371"/>
      <c r="L1038" s="371"/>
      <c r="M1038" s="371"/>
      <c r="N1038" s="371"/>
      <c r="O1038" s="371"/>
      <c r="P1038" s="371"/>
      <c r="Q1038" s="371"/>
      <c r="R1038" s="52"/>
      <c r="S1038" s="52" t="str">
        <f ca="1">Summon!$I$42</f>
        <v>猛击</v>
      </c>
      <c r="T1038" s="371"/>
      <c r="U1038" s="371"/>
      <c r="V1038" s="371"/>
      <c r="W1038" s="189"/>
    </row>
    <row r="1039" spans="1:23" ht="12.75" x14ac:dyDescent="0.2">
      <c r="A1039" s="189"/>
      <c r="B1039" s="590"/>
      <c r="C1039" s="191" t="b">
        <v>0</v>
      </c>
      <c r="D1039" s="192" t="str">
        <f ca="1">道具!$C$495</f>
        <v>体力耳环</v>
      </c>
      <c r="E1039" s="590"/>
      <c r="F1039" s="590"/>
      <c r="G1039" s="590"/>
      <c r="H1039" s="590"/>
      <c r="I1039" s="590"/>
      <c r="J1039" s="590"/>
      <c r="K1039" s="590"/>
      <c r="L1039" s="590"/>
      <c r="M1039" s="590"/>
      <c r="N1039" s="590"/>
      <c r="O1039" s="590"/>
      <c r="P1039" s="590"/>
      <c r="Q1039" s="590"/>
      <c r="R1039" s="193"/>
      <c r="S1039" s="193" t="str">
        <f ca="1">Summon!$I$4</f>
        <v>战斗</v>
      </c>
      <c r="T1039" s="590"/>
      <c r="U1039" s="590"/>
      <c r="V1039" s="590"/>
      <c r="W1039" s="189"/>
    </row>
    <row r="1040" spans="1:23" ht="12.75" x14ac:dyDescent="0.2">
      <c r="A1040" s="189"/>
      <c r="B1040" s="479" t="str">
        <f ca="1">语言!$A$2102</f>
        <v>市民</v>
      </c>
      <c r="C1040" s="589" t="b">
        <v>0</v>
      </c>
      <c r="D1040" s="479" t="str">
        <f ca="1">道具!$C$117</f>
        <v>鼓胀的钱包</v>
      </c>
      <c r="E1040" s="589" t="b">
        <v>0</v>
      </c>
      <c r="F1040" s="464" t="str">
        <f ca="1">语言!$A$33&amp;"
"&amp;道具!$C$94</f>
        <v>隐藏道具的资讯
空空的钱包</v>
      </c>
      <c r="G1040" s="589" t="b">
        <v>0</v>
      </c>
      <c r="H1040" s="591" t="s">
        <v>50</v>
      </c>
      <c r="I1040" s="464">
        <v>4</v>
      </c>
      <c r="J1040" s="464"/>
      <c r="K1040" s="464"/>
      <c r="L1040" s="464"/>
      <c r="M1040" s="464"/>
      <c r="N1040" s="464"/>
      <c r="O1040" s="464" t="str">
        <f ca="1">道具!$C$422</f>
        <v>古老长袍</v>
      </c>
      <c r="P1040" s="589"/>
      <c r="Q1040" s="593" t="s">
        <v>119</v>
      </c>
      <c r="R1040" s="593" t="s">
        <v>119</v>
      </c>
      <c r="S1040" s="593" t="s">
        <v>119</v>
      </c>
      <c r="T1040" s="593" t="s">
        <v>119</v>
      </c>
      <c r="U1040" s="589"/>
      <c r="V1040" s="464"/>
      <c r="W1040" s="189"/>
    </row>
    <row r="1041" spans="1:23" ht="12.75" x14ac:dyDescent="0.2">
      <c r="A1041" s="189"/>
      <c r="B1041" s="590"/>
      <c r="C1041" s="590"/>
      <c r="D1041" s="590"/>
      <c r="E1041" s="590"/>
      <c r="F1041" s="590"/>
      <c r="G1041" s="590"/>
      <c r="H1041" s="590"/>
      <c r="I1041" s="590"/>
      <c r="J1041" s="590"/>
      <c r="K1041" s="590"/>
      <c r="L1041" s="590"/>
      <c r="M1041" s="590"/>
      <c r="N1041" s="590"/>
      <c r="O1041" s="590"/>
      <c r="P1041" s="590"/>
      <c r="Q1041" s="590"/>
      <c r="R1041" s="590"/>
      <c r="S1041" s="590"/>
      <c r="T1041" s="590"/>
      <c r="U1041" s="590"/>
      <c r="V1041" s="590"/>
      <c r="W1041" s="189"/>
    </row>
    <row r="1042" spans="1:23" ht="12.75" x14ac:dyDescent="0.2">
      <c r="A1042" s="189"/>
      <c r="B1042" s="479" t="str">
        <f ca="1">语言!$A$2102</f>
        <v>市民</v>
      </c>
      <c r="C1042" s="189" t="b">
        <v>0</v>
      </c>
      <c r="D1042" s="54" t="str">
        <f ca="1">道具!$C$152</f>
        <v>骑士剑</v>
      </c>
      <c r="E1042" s="589" t="b">
        <v>0</v>
      </c>
      <c r="F1042" s="464" t="str">
        <f ca="1">语言!$A$33&amp;"
"&amp;道具!$C$32</f>
        <v>隐藏道具的资讯
火之精灵石（特大）</v>
      </c>
      <c r="G1042" s="589" t="b">
        <v>0</v>
      </c>
      <c r="H1042" s="591" t="s">
        <v>49</v>
      </c>
      <c r="I1042" s="464">
        <v>4</v>
      </c>
      <c r="J1042" s="464"/>
      <c r="K1042" s="464"/>
      <c r="L1042" s="464"/>
      <c r="M1042" s="464"/>
      <c r="N1042" s="464"/>
      <c r="O1042" s="464" t="str">
        <f ca="1">道具!$C$40</f>
        <v>风之精灵石（大）</v>
      </c>
      <c r="P1042" s="589"/>
      <c r="Q1042" s="591" t="s">
        <v>49</v>
      </c>
      <c r="R1042" s="464"/>
      <c r="S1042" s="464" t="str">
        <f ca="1">Summon!$I$144</f>
        <v>睡眠药</v>
      </c>
      <c r="T1042" s="591">
        <v>7</v>
      </c>
      <c r="U1042" s="589"/>
      <c r="V1042" s="464" t="str">
        <f ca="1">"Behind other NPC ("&amp;语言!$A$47&amp;" / "&amp;语言!$A$51&amp;")"</f>
        <v>Behind other NPC (比试 / 唆使)</v>
      </c>
      <c r="W1042" s="189"/>
    </row>
    <row r="1043" spans="1:23" ht="12.75" x14ac:dyDescent="0.2">
      <c r="A1043" s="189"/>
      <c r="B1043" s="371"/>
      <c r="C1043" s="189" t="b">
        <v>0</v>
      </c>
      <c r="D1043" s="54" t="str">
        <f ca="1">道具!$C$155</f>
        <v>月之刃</v>
      </c>
      <c r="E1043" s="371"/>
      <c r="F1043" s="371"/>
      <c r="G1043" s="371"/>
      <c r="H1043" s="371"/>
      <c r="I1043" s="371"/>
      <c r="J1043" s="371"/>
      <c r="K1043" s="371"/>
      <c r="L1043" s="371"/>
      <c r="M1043" s="371"/>
      <c r="N1043" s="371"/>
      <c r="O1043" s="371"/>
      <c r="P1043" s="371"/>
      <c r="Q1043" s="371"/>
      <c r="R1043" s="371"/>
      <c r="S1043" s="371"/>
      <c r="T1043" s="371"/>
      <c r="U1043" s="371"/>
      <c r="V1043" s="371"/>
      <c r="W1043" s="189"/>
    </row>
    <row r="1044" spans="1:23" ht="12.75" x14ac:dyDescent="0.2">
      <c r="A1044" s="189"/>
      <c r="B1044" s="371"/>
      <c r="C1044" s="189" t="b">
        <v>0</v>
      </c>
      <c r="D1044" s="54" t="str">
        <f ca="1">道具!$C$247</f>
        <v>地狱斧</v>
      </c>
      <c r="E1044" s="371"/>
      <c r="F1044" s="371"/>
      <c r="G1044" s="371"/>
      <c r="H1044" s="371"/>
      <c r="I1044" s="371"/>
      <c r="J1044" s="371"/>
      <c r="K1044" s="371"/>
      <c r="L1044" s="371"/>
      <c r="M1044" s="371"/>
      <c r="N1044" s="371"/>
      <c r="O1044" s="371"/>
      <c r="P1044" s="371"/>
      <c r="Q1044" s="371"/>
      <c r="R1044" s="464"/>
      <c r="S1044" s="464" t="str">
        <f ca="1">Summon!$I$4</f>
        <v>战斗</v>
      </c>
      <c r="T1044" s="371"/>
      <c r="U1044" s="371"/>
      <c r="V1044" s="371"/>
      <c r="W1044" s="189"/>
    </row>
    <row r="1045" spans="1:23" ht="12.75" x14ac:dyDescent="0.2">
      <c r="A1045" s="189"/>
      <c r="B1045" s="590"/>
      <c r="C1045" s="191" t="b">
        <v>0</v>
      </c>
      <c r="D1045" s="192" t="str">
        <f ca="1">道具!$C$416</f>
        <v>帝国盔甲</v>
      </c>
      <c r="E1045" s="590"/>
      <c r="F1045" s="590"/>
      <c r="G1045" s="590"/>
      <c r="H1045" s="590"/>
      <c r="I1045" s="590"/>
      <c r="J1045" s="590"/>
      <c r="K1045" s="590"/>
      <c r="L1045" s="590"/>
      <c r="M1045" s="590"/>
      <c r="N1045" s="590"/>
      <c r="O1045" s="590"/>
      <c r="P1045" s="590"/>
      <c r="Q1045" s="590"/>
      <c r="R1045" s="590"/>
      <c r="S1045" s="590"/>
      <c r="T1045" s="590"/>
      <c r="U1045" s="590"/>
      <c r="V1045" s="590"/>
      <c r="W1045" s="189"/>
    </row>
    <row r="1046" spans="1:23" ht="12.75" x14ac:dyDescent="0.2">
      <c r="A1046" s="189"/>
      <c r="B1046" s="479" t="str">
        <f ca="1">语言!$A$1871&amp;" (2)"</f>
        <v>异国的老婆婆 (2)</v>
      </c>
      <c r="C1046" s="189" t="b">
        <v>0</v>
      </c>
      <c r="D1046" s="54" t="str">
        <f ca="1">道具!$C$30</f>
        <v>火之精灵石</v>
      </c>
      <c r="E1046" s="589" t="b">
        <v>0</v>
      </c>
      <c r="F1046" s="464" t="str">
        <f ca="1">语言!$A$23</f>
        <v>无</v>
      </c>
      <c r="G1046" s="589" t="b">
        <v>0</v>
      </c>
      <c r="H1046" s="591" t="s">
        <v>48</v>
      </c>
      <c r="I1046" s="464">
        <v>2</v>
      </c>
      <c r="J1046" s="464"/>
      <c r="K1046" s="464"/>
      <c r="L1046" s="464"/>
      <c r="M1046" s="464"/>
      <c r="N1046" s="464"/>
      <c r="O1046" s="464" t="str">
        <f ca="1">道具!$C$20</f>
        <v>黑暗治疗药草</v>
      </c>
      <c r="P1046" s="589"/>
      <c r="Q1046" s="591" t="s">
        <v>48</v>
      </c>
      <c r="R1046" s="52"/>
      <c r="S1046" s="52" t="str">
        <f ca="1">Summon!$I$118</f>
        <v>恢复ＨＰ的葡萄</v>
      </c>
      <c r="T1046" s="591">
        <v>9</v>
      </c>
      <c r="U1046" s="589"/>
      <c r="V1046" s="464" t="str">
        <f ca="1">"NPC at this location after quest: "&amp;支线!$C$66</f>
        <v>NPC at this location after quest: 异国的语言</v>
      </c>
      <c r="W1046" s="189"/>
    </row>
    <row r="1047" spans="1:23" ht="12.75" x14ac:dyDescent="0.2">
      <c r="A1047" s="189"/>
      <c r="B1047" s="371"/>
      <c r="C1047" s="189" t="b">
        <v>0</v>
      </c>
      <c r="D1047" s="54" t="str">
        <f ca="1">道具!$C$33</f>
        <v>冰之精灵石</v>
      </c>
      <c r="E1047" s="371"/>
      <c r="F1047" s="371"/>
      <c r="G1047" s="371"/>
      <c r="H1047" s="371"/>
      <c r="I1047" s="371"/>
      <c r="J1047" s="371"/>
      <c r="K1047" s="371"/>
      <c r="L1047" s="371"/>
      <c r="M1047" s="371"/>
      <c r="N1047" s="371"/>
      <c r="O1047" s="371"/>
      <c r="P1047" s="371"/>
      <c r="Q1047" s="371"/>
      <c r="R1047" s="52"/>
      <c r="S1047" s="52" t="str">
        <f ca="1">Summon!$I$48</f>
        <v>连掷短剑</v>
      </c>
      <c r="T1047" s="371"/>
      <c r="U1047" s="371"/>
      <c r="V1047" s="371"/>
      <c r="W1047" s="189"/>
    </row>
    <row r="1048" spans="1:23" ht="12.75" x14ac:dyDescent="0.2">
      <c r="A1048" s="189"/>
      <c r="B1048" s="371"/>
      <c r="C1048" s="189" t="b">
        <v>0</v>
      </c>
      <c r="D1048" s="54" t="str">
        <f ca="1">道具!$C$36</f>
        <v>雷之精灵石</v>
      </c>
      <c r="E1048" s="371"/>
      <c r="F1048" s="371"/>
      <c r="G1048" s="371"/>
      <c r="H1048" s="371"/>
      <c r="I1048" s="371"/>
      <c r="J1048" s="371"/>
      <c r="K1048" s="371"/>
      <c r="L1048" s="371"/>
      <c r="M1048" s="371"/>
      <c r="N1048" s="371"/>
      <c r="O1048" s="371"/>
      <c r="P1048" s="371"/>
      <c r="Q1048" s="371"/>
      <c r="R1048" s="193"/>
      <c r="S1048" s="52" t="str">
        <f ca="1">Summon!$I$4</f>
        <v>战斗</v>
      </c>
      <c r="T1048" s="371"/>
      <c r="U1048" s="371"/>
      <c r="V1048" s="371"/>
      <c r="W1048" s="189"/>
    </row>
    <row r="1049" spans="1:23" ht="12.75" x14ac:dyDescent="0.2">
      <c r="A1049" s="189"/>
      <c r="B1049" s="590"/>
      <c r="C1049" s="191" t="b">
        <v>0</v>
      </c>
      <c r="D1049" s="192" t="str">
        <f ca="1">道具!$C$39</f>
        <v>风之精灵石</v>
      </c>
      <c r="E1049" s="590"/>
      <c r="F1049" s="590"/>
      <c r="G1049" s="590"/>
      <c r="H1049" s="590"/>
      <c r="I1049" s="590"/>
      <c r="J1049" s="590"/>
      <c r="K1049" s="590"/>
      <c r="L1049" s="590"/>
      <c r="M1049" s="590"/>
      <c r="N1049" s="590"/>
      <c r="O1049" s="590"/>
      <c r="P1049" s="590"/>
      <c r="Q1049" s="590"/>
      <c r="R1049" s="193"/>
      <c r="S1049" s="193"/>
      <c r="T1049" s="590"/>
      <c r="U1049" s="590"/>
      <c r="V1049" s="590"/>
      <c r="W1049" s="189"/>
    </row>
    <row r="1050" spans="1:23" ht="12.75" x14ac:dyDescent="0.2">
      <c r="A1050" s="189"/>
      <c r="B1050" s="479" t="str">
        <f ca="1">语言!$A$1810</f>
        <v>制书工匠</v>
      </c>
      <c r="C1050" s="189" t="b">
        <v>0</v>
      </c>
      <c r="D1050" s="54" t="str">
        <f ca="1">道具!$C$348</f>
        <v>元素盾</v>
      </c>
      <c r="E1050" s="589" t="b">
        <v>0</v>
      </c>
      <c r="F1050" s="464" t="str">
        <f ca="1">语言!$A$33&amp;"
"&amp;道具!$C$97</f>
        <v>隐藏道具的资讯
大鸟的羽毛</v>
      </c>
      <c r="G1050" s="589" t="b">
        <v>0</v>
      </c>
      <c r="H1050" s="591" t="s">
        <v>57</v>
      </c>
      <c r="I1050" s="464">
        <v>3</v>
      </c>
      <c r="J1050" s="464"/>
      <c r="K1050" s="464"/>
      <c r="L1050" s="464"/>
      <c r="M1050" s="464"/>
      <c r="N1050" s="464"/>
      <c r="O1050" s="464" t="str">
        <f ca="1">道具!$C$4</f>
        <v>ＨＰ恢复的葡萄（大）</v>
      </c>
      <c r="P1050" s="589"/>
      <c r="Q1050" s="591" t="s">
        <v>57</v>
      </c>
      <c r="R1050" s="52"/>
      <c r="S1050" s="52" t="str">
        <f ca="1">Summon!$I$42</f>
        <v>猛击</v>
      </c>
      <c r="T1050" s="591">
        <v>8</v>
      </c>
      <c r="U1050" s="589"/>
      <c r="V1050" s="464" t="str">
        <f ca="1">"Hidden Item is in other part of the town
"&amp;语言!$A$44&amp;" / "&amp;语言!$A$48&amp;" available after quest: "&amp;支线!$C$66</f>
        <v>Hidden Item is in other part of the town
引导 / 诱惑 available after quest: 异国的语言</v>
      </c>
      <c r="W1050" s="189"/>
    </row>
    <row r="1051" spans="1:23" ht="12.75" x14ac:dyDescent="0.2">
      <c r="A1051" s="189"/>
      <c r="B1051" s="590"/>
      <c r="C1051" s="191" t="b">
        <v>0</v>
      </c>
      <c r="D1051" s="192" t="str">
        <f ca="1">道具!$C$432</f>
        <v>元素长袍</v>
      </c>
      <c r="E1051" s="590"/>
      <c r="F1051" s="590"/>
      <c r="G1051" s="590"/>
      <c r="H1051" s="590"/>
      <c r="I1051" s="590"/>
      <c r="J1051" s="590"/>
      <c r="K1051" s="590"/>
      <c r="L1051" s="590"/>
      <c r="M1051" s="590"/>
      <c r="N1051" s="590"/>
      <c r="O1051" s="590"/>
      <c r="P1051" s="590"/>
      <c r="Q1051" s="590"/>
      <c r="R1051" s="193"/>
      <c r="S1051" s="193" t="str">
        <f ca="1">Summon!$I$4</f>
        <v>战斗</v>
      </c>
      <c r="T1051" s="590"/>
      <c r="U1051" s="590"/>
      <c r="V1051" s="590"/>
      <c r="W1051" s="189"/>
    </row>
    <row r="1052" spans="1:23" ht="12.75" x14ac:dyDescent="0.2">
      <c r="A1052" s="189"/>
      <c r="B1052" s="479" t="str">
        <f ca="1">语言!$A$1863</f>
        <v>商人艾连</v>
      </c>
      <c r="C1052" s="189" t="b">
        <v>0</v>
      </c>
      <c r="D1052" s="54" t="str">
        <f ca="1">道具!$C$484</f>
        <v>狙击手环</v>
      </c>
      <c r="E1052" s="589" t="b">
        <v>0</v>
      </c>
      <c r="F1052" s="464" t="str">
        <f ca="1">语言!$A$23</f>
        <v>无</v>
      </c>
      <c r="G1052" s="589" t="b">
        <v>0</v>
      </c>
      <c r="H1052" s="591" t="s">
        <v>57</v>
      </c>
      <c r="I1052" s="464">
        <v>3</v>
      </c>
      <c r="J1052" s="464"/>
      <c r="K1052" s="464"/>
      <c r="L1052" s="464"/>
      <c r="M1052" s="464"/>
      <c r="N1052" s="464"/>
      <c r="O1052" s="464" t="str">
        <f ca="1">道具!$C$45</f>
        <v>光之精灵石（特大）</v>
      </c>
      <c r="P1052" s="589"/>
      <c r="Q1052" s="591" t="s">
        <v>57</v>
      </c>
      <c r="R1052" s="52"/>
      <c r="S1052" s="52" t="str">
        <f ca="1">Summon!$I$137</f>
        <v>沉默治疗药</v>
      </c>
      <c r="T1052" s="591">
        <v>8</v>
      </c>
      <c r="U1052" s="589"/>
      <c r="V1052" s="464"/>
      <c r="W1052" s="189"/>
    </row>
    <row r="1053" spans="1:23" ht="12.75" x14ac:dyDescent="0.2">
      <c r="A1053" s="189"/>
      <c r="B1053" s="371"/>
      <c r="C1053" s="189" t="b">
        <v>0</v>
      </c>
      <c r="D1053" s="54" t="str">
        <f ca="1">道具!$C$48</f>
        <v>暗之精灵石（特大）</v>
      </c>
      <c r="E1053" s="371"/>
      <c r="F1053" s="371"/>
      <c r="G1053" s="371"/>
      <c r="H1053" s="371"/>
      <c r="I1053" s="371"/>
      <c r="J1053" s="371"/>
      <c r="K1053" s="371"/>
      <c r="L1053" s="371"/>
      <c r="M1053" s="371"/>
      <c r="N1053" s="371"/>
      <c r="O1053" s="371"/>
      <c r="P1053" s="371"/>
      <c r="Q1053" s="371"/>
      <c r="R1053" s="52"/>
      <c r="S1053" s="52" t="str">
        <f ca="1">Summon!$I$40</f>
        <v>乱挥</v>
      </c>
      <c r="T1053" s="371"/>
      <c r="U1053" s="371"/>
      <c r="V1053" s="371"/>
      <c r="W1053" s="189"/>
    </row>
    <row r="1054" spans="1:23" ht="12.75" x14ac:dyDescent="0.2">
      <c r="A1054" s="189"/>
      <c r="B1054" s="590"/>
      <c r="C1054" s="191" t="b">
        <v>0</v>
      </c>
      <c r="D1054" s="192" t="str">
        <f ca="1">道具!$C$45</f>
        <v>光之精灵石（特大）</v>
      </c>
      <c r="E1054" s="590"/>
      <c r="F1054" s="590"/>
      <c r="G1054" s="590"/>
      <c r="H1054" s="590"/>
      <c r="I1054" s="590"/>
      <c r="J1054" s="590"/>
      <c r="K1054" s="590"/>
      <c r="L1054" s="590"/>
      <c r="M1054" s="590"/>
      <c r="N1054" s="590"/>
      <c r="O1054" s="590"/>
      <c r="P1054" s="590"/>
      <c r="Q1054" s="590"/>
      <c r="R1054" s="193"/>
      <c r="S1054" s="193" t="str">
        <f ca="1">Summon!$I$4</f>
        <v>战斗</v>
      </c>
      <c r="T1054" s="590"/>
      <c r="U1054" s="590"/>
      <c r="V1054" s="590"/>
      <c r="W1054" s="189"/>
    </row>
    <row r="1055" spans="1:23" ht="12.75" x14ac:dyDescent="0.2">
      <c r="A1055" s="189"/>
      <c r="B1055" s="479" t="str">
        <f ca="1">语言!$A$1929</f>
        <v>喜欢历史的青年</v>
      </c>
      <c r="C1055" s="589" t="b">
        <v>0</v>
      </c>
      <c r="D1055" s="479" t="str">
        <f ca="1">道具!$C$8</f>
        <v>ＳＰ全体恢复的李子</v>
      </c>
      <c r="E1055" s="589" t="b">
        <v>0</v>
      </c>
      <c r="F1055" s="464" t="str">
        <f ca="1">语言!$A$23</f>
        <v>无</v>
      </c>
      <c r="G1055" s="589" t="b">
        <v>0</v>
      </c>
      <c r="H1055" s="591" t="s">
        <v>57</v>
      </c>
      <c r="I1055" s="464">
        <v>3</v>
      </c>
      <c r="J1055" s="464"/>
      <c r="K1055" s="464"/>
      <c r="L1055" s="464"/>
      <c r="M1055" s="464"/>
      <c r="N1055" s="464"/>
      <c r="O1055" s="464" t="str">
        <f ca="1">道具!$C$8</f>
        <v>ＳＰ全体恢复的李子</v>
      </c>
      <c r="P1055" s="589"/>
      <c r="Q1055" s="591" t="s">
        <v>57</v>
      </c>
      <c r="R1055" s="52"/>
      <c r="S1055" s="52" t="str">
        <f ca="1">Summon!$I$87</f>
        <v>大冰冻魔法</v>
      </c>
      <c r="T1055" s="591">
        <v>8</v>
      </c>
      <c r="U1055" s="589"/>
      <c r="V1055" s="464" t="str">
        <f ca="1">语言!$A$44&amp;" / "&amp;语言!$A$48&amp;" available after quest: "&amp;支线!$C$67</f>
        <v>引导 / 诱惑 available after quest: 王家的秘密</v>
      </c>
      <c r="W1055" s="189"/>
    </row>
    <row r="1056" spans="1:23" ht="12.75" x14ac:dyDescent="0.2">
      <c r="A1056" s="189"/>
      <c r="B1056" s="371"/>
      <c r="C1056" s="371"/>
      <c r="D1056" s="371"/>
      <c r="E1056" s="371"/>
      <c r="F1056" s="371"/>
      <c r="G1056" s="371"/>
      <c r="H1056" s="371"/>
      <c r="I1056" s="371"/>
      <c r="J1056" s="371"/>
      <c r="K1056" s="371"/>
      <c r="L1056" s="371"/>
      <c r="M1056" s="371"/>
      <c r="N1056" s="371"/>
      <c r="O1056" s="371"/>
      <c r="P1056" s="371"/>
      <c r="Q1056" s="371"/>
      <c r="R1056" s="52"/>
      <c r="S1056" s="52" t="str">
        <f ca="1">Summon!$I$98</f>
        <v>光明魔法</v>
      </c>
      <c r="T1056" s="371"/>
      <c r="U1056" s="371"/>
      <c r="V1056" s="371"/>
      <c r="W1056" s="189"/>
    </row>
    <row r="1057" spans="1:23" ht="12.75" x14ac:dyDescent="0.2">
      <c r="A1057" s="189"/>
      <c r="B1057" s="590"/>
      <c r="C1057" s="590"/>
      <c r="D1057" s="590"/>
      <c r="E1057" s="590"/>
      <c r="F1057" s="590"/>
      <c r="G1057" s="590"/>
      <c r="H1057" s="590"/>
      <c r="I1057" s="590"/>
      <c r="J1057" s="590"/>
      <c r="K1057" s="590"/>
      <c r="L1057" s="590"/>
      <c r="M1057" s="590"/>
      <c r="N1057" s="590"/>
      <c r="O1057" s="590"/>
      <c r="P1057" s="590"/>
      <c r="Q1057" s="590"/>
      <c r="R1057" s="193"/>
      <c r="S1057" s="193" t="str">
        <f ca="1">Summon!$I$4</f>
        <v>战斗</v>
      </c>
      <c r="T1057" s="590"/>
      <c r="U1057" s="590"/>
      <c r="V1057" s="590"/>
      <c r="W1057" s="189"/>
    </row>
    <row r="1058" spans="1:23" ht="12.75" x14ac:dyDescent="0.2">
      <c r="A1058" s="189"/>
      <c r="B1058" s="479" t="str">
        <f ca="1">语言!$A$2028&amp;" (2)"</f>
        <v>有高贵气息的青年 (2)</v>
      </c>
      <c r="C1058" s="589" t="b">
        <v>0</v>
      </c>
      <c r="D1058" s="479" t="str">
        <f ca="1">道具!$C$130</f>
        <v>目眩神迷的美术品</v>
      </c>
      <c r="E1058" s="589" t="b">
        <v>0</v>
      </c>
      <c r="F1058" s="464" t="str">
        <f ca="1">语言!$A$23</f>
        <v>无</v>
      </c>
      <c r="G1058" s="589" t="b">
        <v>0</v>
      </c>
      <c r="H1058" s="591" t="s">
        <v>46</v>
      </c>
      <c r="I1058" s="464">
        <v>3</v>
      </c>
      <c r="J1058" s="464"/>
      <c r="K1058" s="464"/>
      <c r="L1058" s="464"/>
      <c r="M1058" s="464"/>
      <c r="N1058" s="464"/>
      <c r="O1058" s="464" t="str">
        <f ca="1">道具!$C$437</f>
        <v>魔咒长袍</v>
      </c>
      <c r="P1058" s="589"/>
      <c r="Q1058" s="591" t="s">
        <v>46</v>
      </c>
      <c r="R1058" s="52"/>
      <c r="S1058" s="52" t="str">
        <f ca="1">Summon!$I$50</f>
        <v>连掷雕刻刀</v>
      </c>
      <c r="T1058" s="591">
        <v>8</v>
      </c>
      <c r="U1058" s="589"/>
      <c r="V1058" s="464" t="str">
        <f ca="1">"NPC at this location after quest: "&amp;支线!$C$67&amp;" ("&amp;语言!$A$44&amp;" / "&amp;语言!$A$48&amp;" solution only)"</f>
        <v>NPC at this location after quest: 王家的秘密 (引导 / 诱惑 solution only)</v>
      </c>
      <c r="W1058" s="189"/>
    </row>
    <row r="1059" spans="1:23" ht="12.75" x14ac:dyDescent="0.2">
      <c r="A1059" s="189"/>
      <c r="B1059" s="371"/>
      <c r="C1059" s="371"/>
      <c r="D1059" s="371"/>
      <c r="E1059" s="371"/>
      <c r="F1059" s="371"/>
      <c r="G1059" s="371"/>
      <c r="H1059" s="371"/>
      <c r="I1059" s="371"/>
      <c r="J1059" s="371"/>
      <c r="K1059" s="371"/>
      <c r="L1059" s="371"/>
      <c r="M1059" s="371"/>
      <c r="N1059" s="371"/>
      <c r="O1059" s="371"/>
      <c r="P1059" s="371"/>
      <c r="Q1059" s="371"/>
      <c r="R1059" s="52"/>
      <c r="S1059" s="52" t="str">
        <f ca="1">Summon!$I$42</f>
        <v>猛击</v>
      </c>
      <c r="T1059" s="371"/>
      <c r="U1059" s="371"/>
      <c r="V1059" s="371"/>
      <c r="W1059" s="189"/>
    </row>
    <row r="1060" spans="1:23" ht="12.75" x14ac:dyDescent="0.2">
      <c r="A1060" s="189"/>
      <c r="B1060" s="590"/>
      <c r="C1060" s="590"/>
      <c r="D1060" s="590"/>
      <c r="E1060" s="590"/>
      <c r="F1060" s="590"/>
      <c r="G1060" s="590"/>
      <c r="H1060" s="590"/>
      <c r="I1060" s="590"/>
      <c r="J1060" s="590"/>
      <c r="K1060" s="590"/>
      <c r="L1060" s="590"/>
      <c r="M1060" s="590"/>
      <c r="N1060" s="590"/>
      <c r="O1060" s="590"/>
      <c r="P1060" s="590"/>
      <c r="Q1060" s="590"/>
      <c r="R1060" s="193"/>
      <c r="S1060" s="193" t="str">
        <f ca="1">Summon!$I$4</f>
        <v>战斗</v>
      </c>
      <c r="T1060" s="590"/>
      <c r="U1060" s="590"/>
      <c r="V1060" s="590"/>
      <c r="W1060" s="189"/>
    </row>
    <row r="1061" spans="1:23" ht="12.75" x14ac:dyDescent="0.2">
      <c r="A1061" s="189"/>
      <c r="B1061" s="479" t="str">
        <f ca="1">语言!$A$1865</f>
        <v>前贵族保镳</v>
      </c>
      <c r="C1061" s="189" t="b">
        <v>0</v>
      </c>
      <c r="D1061" s="54" t="str">
        <f ca="1">道具!$C$265</f>
        <v>战斧</v>
      </c>
      <c r="E1061" s="589" t="b">
        <v>0</v>
      </c>
      <c r="F1061" s="464" t="str">
        <f ca="1">道具!$I$46</f>
        <v>贵族兰道尔最后的下场</v>
      </c>
      <c r="G1061" s="589" t="b">
        <v>0</v>
      </c>
      <c r="H1061" s="591" t="s">
        <v>46</v>
      </c>
      <c r="I1061" s="464">
        <v>3</v>
      </c>
      <c r="J1061" s="464"/>
      <c r="K1061" s="464"/>
      <c r="L1061" s="464"/>
      <c r="M1061" s="464"/>
      <c r="N1061" s="464"/>
      <c r="O1061" s="464" t="str">
        <f ca="1">道具!$C$6</f>
        <v>ＳＰ恢复的李子</v>
      </c>
      <c r="P1061" s="589"/>
      <c r="Q1061" s="593" t="s">
        <v>119</v>
      </c>
      <c r="R1061" s="593" t="s">
        <v>119</v>
      </c>
      <c r="S1061" s="593" t="s">
        <v>119</v>
      </c>
      <c r="T1061" s="593" t="s">
        <v>119</v>
      </c>
      <c r="U1061" s="589"/>
      <c r="V1061" s="464"/>
      <c r="W1061" s="189"/>
    </row>
    <row r="1062" spans="1:23" ht="12.75" x14ac:dyDescent="0.2">
      <c r="A1062" s="189"/>
      <c r="B1062" s="590"/>
      <c r="C1062" s="191" t="b">
        <v>0</v>
      </c>
      <c r="D1062" s="192" t="str">
        <f ca="1">道具!$C$449</f>
        <v>青铜盔甲</v>
      </c>
      <c r="E1062" s="590"/>
      <c r="F1062" s="590"/>
      <c r="G1062" s="590"/>
      <c r="H1062" s="590"/>
      <c r="I1062" s="590"/>
      <c r="J1062" s="590"/>
      <c r="K1062" s="590"/>
      <c r="L1062" s="590"/>
      <c r="M1062" s="590"/>
      <c r="N1062" s="590"/>
      <c r="O1062" s="590"/>
      <c r="P1062" s="590"/>
      <c r="Q1062" s="590"/>
      <c r="R1062" s="590"/>
      <c r="S1062" s="590"/>
      <c r="T1062" s="590"/>
      <c r="U1062" s="590"/>
      <c r="V1062" s="590"/>
      <c r="W1062" s="189"/>
    </row>
    <row r="1063" spans="1:23" ht="12.75" x14ac:dyDescent="0.2">
      <c r="A1063" s="189"/>
      <c r="B1063" s="479" t="str">
        <f ca="1">语言!$A$2102</f>
        <v>市民</v>
      </c>
      <c r="C1063" s="189" t="b">
        <v>0</v>
      </c>
      <c r="D1063" s="54" t="str">
        <f ca="1">道具!$C$37</f>
        <v>雷之精灵石（大）</v>
      </c>
      <c r="E1063" s="589" t="b">
        <v>0</v>
      </c>
      <c r="F1063" s="464" t="str">
        <f ca="1">语言!$A$29</f>
        <v>「引导」必须等级降低资讯</v>
      </c>
      <c r="G1063" s="589" t="b">
        <v>0</v>
      </c>
      <c r="H1063" s="591" t="s">
        <v>46</v>
      </c>
      <c r="I1063" s="464">
        <v>3</v>
      </c>
      <c r="J1063" s="464"/>
      <c r="K1063" s="464"/>
      <c r="L1063" s="464"/>
      <c r="M1063" s="464"/>
      <c r="N1063" s="464"/>
      <c r="O1063" s="464" t="str">
        <f ca="1">道具!$C$4</f>
        <v>ＨＰ恢复的葡萄（大）</v>
      </c>
      <c r="P1063" s="589"/>
      <c r="Q1063" s="591">
        <v>4</v>
      </c>
      <c r="R1063" s="52"/>
      <c r="S1063" s="52" t="str">
        <f ca="1">Summon!$I$80</f>
        <v>大火焰魔法</v>
      </c>
      <c r="T1063" s="591">
        <v>8</v>
      </c>
      <c r="U1063" s="589"/>
      <c r="V1063" s="464"/>
      <c r="W1063" s="189"/>
    </row>
    <row r="1064" spans="1:23" ht="12.75" x14ac:dyDescent="0.2">
      <c r="A1064" s="189"/>
      <c r="B1064" s="371"/>
      <c r="C1064" s="189" t="b">
        <v>0</v>
      </c>
      <c r="D1064" s="54" t="str">
        <f ca="1">道具!$C$57</f>
        <v>增强物攻的坚果（大）</v>
      </c>
      <c r="E1064" s="371"/>
      <c r="F1064" s="371"/>
      <c r="G1064" s="371"/>
      <c r="H1064" s="371"/>
      <c r="I1064" s="371"/>
      <c r="J1064" s="371"/>
      <c r="K1064" s="371"/>
      <c r="L1064" s="371"/>
      <c r="M1064" s="371"/>
      <c r="N1064" s="371"/>
      <c r="O1064" s="371"/>
      <c r="P1064" s="371"/>
      <c r="Q1064" s="371"/>
      <c r="R1064" s="52"/>
      <c r="S1064" s="52" t="str">
        <f ca="1">Summon!$I$78</f>
        <v>火焰魔法</v>
      </c>
      <c r="T1064" s="371"/>
      <c r="U1064" s="371"/>
      <c r="V1064" s="371"/>
      <c r="W1064" s="189"/>
    </row>
    <row r="1065" spans="1:23" ht="12.75" x14ac:dyDescent="0.2">
      <c r="A1065" s="189"/>
      <c r="B1065" s="590"/>
      <c r="C1065" s="191"/>
      <c r="D1065" s="192"/>
      <c r="E1065" s="590"/>
      <c r="F1065" s="590"/>
      <c r="G1065" s="590"/>
      <c r="H1065" s="590"/>
      <c r="I1065" s="590"/>
      <c r="J1065" s="590"/>
      <c r="K1065" s="590"/>
      <c r="L1065" s="590"/>
      <c r="M1065" s="590"/>
      <c r="N1065" s="590"/>
      <c r="O1065" s="590"/>
      <c r="P1065" s="590"/>
      <c r="Q1065" s="590"/>
      <c r="R1065" s="193"/>
      <c r="S1065" s="193" t="str">
        <f ca="1">Summon!$I$4</f>
        <v>战斗</v>
      </c>
      <c r="T1065" s="590"/>
      <c r="U1065" s="590"/>
      <c r="V1065" s="590"/>
      <c r="W1065" s="189"/>
    </row>
    <row r="1066" spans="1:23" ht="12.75" x14ac:dyDescent="0.2">
      <c r="A1066" s="189"/>
      <c r="B1066" s="479" t="str">
        <f ca="1">语言!$A$1918</f>
        <v>直率的少年</v>
      </c>
      <c r="C1066" s="189" t="b">
        <v>0</v>
      </c>
      <c r="D1066" s="54" t="str">
        <f ca="1">道具!$C$84</f>
        <v>糖果</v>
      </c>
      <c r="E1066" s="589" t="b">
        <v>0</v>
      </c>
      <c r="F1066" s="464" t="str">
        <f ca="1">语言!$A$23</f>
        <v>无</v>
      </c>
      <c r="G1066" s="589"/>
      <c r="H1066" s="593" t="s">
        <v>119</v>
      </c>
      <c r="I1066" s="593" t="s">
        <v>119</v>
      </c>
      <c r="J1066" s="593" t="s">
        <v>119</v>
      </c>
      <c r="K1066" s="593" t="s">
        <v>119</v>
      </c>
      <c r="L1066" s="593" t="s">
        <v>119</v>
      </c>
      <c r="M1066" s="593" t="s">
        <v>119</v>
      </c>
      <c r="N1066" s="593" t="s">
        <v>119</v>
      </c>
      <c r="O1066" s="593" t="s">
        <v>119</v>
      </c>
      <c r="P1066" s="589"/>
      <c r="Q1066" s="593" t="s">
        <v>119</v>
      </c>
      <c r="R1066" s="593" t="s">
        <v>119</v>
      </c>
      <c r="S1066" s="593" t="s">
        <v>119</v>
      </c>
      <c r="T1066" s="593" t="s">
        <v>119</v>
      </c>
      <c r="U1066" s="589"/>
      <c r="V1066" s="464"/>
      <c r="W1066" s="189"/>
    </row>
    <row r="1067" spans="1:23" ht="12.75" x14ac:dyDescent="0.2">
      <c r="A1067" s="189"/>
      <c r="B1067" s="590"/>
      <c r="C1067" s="191" t="b">
        <v>0</v>
      </c>
      <c r="D1067" s="192" t="str">
        <f ca="1">道具!$C$85</f>
        <v>玻璃珠</v>
      </c>
      <c r="E1067" s="590"/>
      <c r="F1067" s="590"/>
      <c r="G1067" s="590"/>
      <c r="H1067" s="590"/>
      <c r="I1067" s="590"/>
      <c r="J1067" s="590"/>
      <c r="K1067" s="590"/>
      <c r="L1067" s="590"/>
      <c r="M1067" s="590"/>
      <c r="N1067" s="590"/>
      <c r="O1067" s="590"/>
      <c r="P1067" s="590"/>
      <c r="Q1067" s="590"/>
      <c r="R1067" s="590"/>
      <c r="S1067" s="590"/>
      <c r="T1067" s="590"/>
      <c r="U1067" s="590"/>
      <c r="V1067" s="590"/>
      <c r="W1067" s="189"/>
    </row>
    <row r="1068" spans="1:23" ht="12.75" x14ac:dyDescent="0.2">
      <c r="A1068" s="189"/>
      <c r="B1068" s="479" t="str">
        <f ca="1">语言!$A$1998</f>
        <v>内森的护卫</v>
      </c>
      <c r="C1068" s="189" t="b">
        <v>0</v>
      </c>
      <c r="D1068" s="54" t="str">
        <f ca="1">道具!$C$4</f>
        <v>ＨＰ恢复的葡萄（大）</v>
      </c>
      <c r="E1068" s="589" t="b">
        <v>0</v>
      </c>
      <c r="F1068" s="464" t="str">
        <f ca="1">语言!$A$23</f>
        <v>无</v>
      </c>
      <c r="G1068" s="589" t="b">
        <v>0</v>
      </c>
      <c r="H1068" s="591" t="s">
        <v>49</v>
      </c>
      <c r="I1068" s="464">
        <v>4</v>
      </c>
      <c r="J1068" s="464"/>
      <c r="K1068" s="464"/>
      <c r="L1068" s="464"/>
      <c r="M1068" s="464"/>
      <c r="N1068" s="464"/>
      <c r="O1068" s="464" t="str">
        <f ca="1">道具!$C$159</f>
        <v>混用剑</v>
      </c>
      <c r="P1068" s="589"/>
      <c r="Q1068" s="591" t="s">
        <v>49</v>
      </c>
      <c r="R1068" s="52"/>
      <c r="S1068" s="52" t="str">
        <f ca="1">Summon!$I$21</f>
        <v>乱斩</v>
      </c>
      <c r="T1068" s="591">
        <v>7</v>
      </c>
      <c r="U1068" s="589"/>
      <c r="V1068" s="464" t="str">
        <f ca="1">"NPC available upon starting "&amp;语言!$A$42&amp;" chapter 2"</f>
        <v>NPC available upon starting 海茵特 chapter 2</v>
      </c>
      <c r="W1068" s="189"/>
    </row>
    <row r="1069" spans="1:23" ht="12.75" x14ac:dyDescent="0.2">
      <c r="A1069" s="189"/>
      <c r="B1069" s="371"/>
      <c r="C1069" s="189" t="b">
        <v>0</v>
      </c>
      <c r="D1069" s="54" t="str">
        <f ca="1">道具!$C$7</f>
        <v>ＳＰ恢复的李子（大）</v>
      </c>
      <c r="E1069" s="371"/>
      <c r="F1069" s="371"/>
      <c r="G1069" s="371"/>
      <c r="H1069" s="371"/>
      <c r="I1069" s="371"/>
      <c r="J1069" s="371"/>
      <c r="K1069" s="371"/>
      <c r="L1069" s="371"/>
      <c r="M1069" s="371"/>
      <c r="N1069" s="371"/>
      <c r="O1069" s="371"/>
      <c r="P1069" s="371"/>
      <c r="Q1069" s="371"/>
      <c r="R1069" s="52"/>
      <c r="S1069" s="52" t="str">
        <f ca="1">Summon!$I$6</f>
        <v>斩击</v>
      </c>
      <c r="T1069" s="371"/>
      <c r="U1069" s="371"/>
      <c r="V1069" s="371"/>
      <c r="W1069" s="189"/>
    </row>
    <row r="1070" spans="1:23" ht="25.5" x14ac:dyDescent="0.2">
      <c r="A1070" s="189"/>
      <c r="B1070" s="590"/>
      <c r="C1070" s="191" t="b">
        <v>0</v>
      </c>
      <c r="D1070" s="192" t="str">
        <f ca="1">道具!$C$10</f>
        <v>ＢＰ恢复的石榴（大）</v>
      </c>
      <c r="E1070" s="590"/>
      <c r="F1070" s="590"/>
      <c r="G1070" s="590"/>
      <c r="H1070" s="590"/>
      <c r="I1070" s="590"/>
      <c r="J1070" s="590"/>
      <c r="K1070" s="590"/>
      <c r="L1070" s="590"/>
      <c r="M1070" s="590"/>
      <c r="N1070" s="590"/>
      <c r="O1070" s="590"/>
      <c r="P1070" s="590"/>
      <c r="Q1070" s="590"/>
      <c r="R1070" s="193"/>
      <c r="S1070" s="193" t="str">
        <f ca="1">Summon!$I$4</f>
        <v>战斗</v>
      </c>
      <c r="T1070" s="590"/>
      <c r="U1070" s="590"/>
      <c r="V1070" s="590"/>
      <c r="W1070" s="189"/>
    </row>
    <row r="1071" spans="1:23" ht="12.75" x14ac:dyDescent="0.2">
      <c r="A1071" s="189"/>
      <c r="B1071" s="479" t="str">
        <f ca="1">语言!$A$1997</f>
        <v>贵族内森</v>
      </c>
      <c r="C1071" s="189" t="b">
        <v>0</v>
      </c>
      <c r="D1071" s="54" t="str">
        <f ca="1">道具!$C$471</f>
        <v>守护者腰带</v>
      </c>
      <c r="E1071" s="589" t="b">
        <v>0</v>
      </c>
      <c r="F1071" s="464" t="str">
        <f ca="1">语言!$A$23</f>
        <v>无</v>
      </c>
      <c r="G1071" s="589" t="b">
        <v>0</v>
      </c>
      <c r="H1071" s="591" t="s">
        <v>57</v>
      </c>
      <c r="I1071" s="464">
        <v>3</v>
      </c>
      <c r="J1071" s="464"/>
      <c r="K1071" s="464"/>
      <c r="L1071" s="464"/>
      <c r="M1071" s="464"/>
      <c r="N1071" s="464"/>
      <c r="O1071" s="464" t="str">
        <f ca="1">道具!$C$37</f>
        <v>雷之精灵石（大）</v>
      </c>
      <c r="P1071" s="589"/>
      <c r="Q1071" s="591" t="s">
        <v>57</v>
      </c>
      <c r="R1071" s="52"/>
      <c r="S1071" s="52" t="str">
        <f ca="1">Summon!$I$20</f>
        <v>横扫</v>
      </c>
      <c r="T1071" s="591">
        <v>8</v>
      </c>
      <c r="U1071" s="589"/>
      <c r="V1071" s="464" t="str">
        <f ca="1">"NPC available upon starting "&amp;语言!$A$42&amp;" chapter 2
"&amp;道具!$C$468&amp;" available after "&amp;语言!$A$42&amp;" chapter 2"</f>
        <v>NPC available upon starting 海茵特 chapter 2
力量腰带 available after 海茵特 chapter 2</v>
      </c>
      <c r="W1071" s="189"/>
    </row>
    <row r="1072" spans="1:23" ht="12.75" x14ac:dyDescent="0.2">
      <c r="A1072" s="189"/>
      <c r="B1072" s="590"/>
      <c r="C1072" s="191" t="b">
        <v>0</v>
      </c>
      <c r="D1072" s="192" t="str">
        <f ca="1">道具!$C$468</f>
        <v>力量腰带</v>
      </c>
      <c r="E1072" s="590"/>
      <c r="F1072" s="590"/>
      <c r="G1072" s="590"/>
      <c r="H1072" s="590"/>
      <c r="I1072" s="590"/>
      <c r="J1072" s="590"/>
      <c r="K1072" s="590"/>
      <c r="L1072" s="590"/>
      <c r="M1072" s="590"/>
      <c r="N1072" s="590"/>
      <c r="O1072" s="590"/>
      <c r="P1072" s="590"/>
      <c r="Q1072" s="590"/>
      <c r="R1072" s="193"/>
      <c r="S1072" s="193" t="str">
        <f ca="1">Summon!$I$4</f>
        <v>战斗</v>
      </c>
      <c r="T1072" s="590"/>
      <c r="U1072" s="590"/>
      <c r="V1072" s="590"/>
      <c r="W1072" s="189"/>
    </row>
    <row r="1073" spans="1:23" ht="12.75" x14ac:dyDescent="0.2">
      <c r="A1073" s="189"/>
      <c r="B1073" s="479" t="str">
        <f ca="1">语言!$A$1919</f>
        <v>猎人</v>
      </c>
      <c r="C1073" s="189" t="b">
        <v>0</v>
      </c>
      <c r="D1073" s="54" t="str">
        <f ca="1">道具!$C$484</f>
        <v>狙击手环</v>
      </c>
      <c r="E1073" s="589" t="b">
        <v>0</v>
      </c>
      <c r="F1073" s="464" t="str">
        <f ca="1">语言!$A$23</f>
        <v>无</v>
      </c>
      <c r="G1073" s="589" t="b">
        <v>0</v>
      </c>
      <c r="H1073" s="591" t="s">
        <v>50</v>
      </c>
      <c r="I1073" s="464">
        <v>4</v>
      </c>
      <c r="J1073" s="464"/>
      <c r="K1073" s="464"/>
      <c r="L1073" s="464"/>
      <c r="M1073" s="464"/>
      <c r="N1073" s="464"/>
      <c r="O1073" s="464" t="str">
        <f ca="1">道具!$C$7</f>
        <v>ＳＰ恢复的李子（大）</v>
      </c>
      <c r="P1073" s="589"/>
      <c r="Q1073" s="591" t="s">
        <v>50</v>
      </c>
      <c r="R1073" s="52"/>
      <c r="S1073" s="52" t="str">
        <f ca="1">Summon!$I$70</f>
        <v>乱射</v>
      </c>
      <c r="T1073" s="591">
        <v>7</v>
      </c>
      <c r="U1073" s="589"/>
      <c r="V1073" s="464"/>
      <c r="W1073" s="189"/>
    </row>
    <row r="1074" spans="1:23" ht="12.75" x14ac:dyDescent="0.2">
      <c r="A1074" s="189"/>
      <c r="B1074" s="371"/>
      <c r="C1074" s="189" t="b">
        <v>0</v>
      </c>
      <c r="D1074" s="54" t="str">
        <f ca="1">道具!$C$296</f>
        <v>魔咒弓</v>
      </c>
      <c r="E1074" s="371"/>
      <c r="F1074" s="371"/>
      <c r="G1074" s="371"/>
      <c r="H1074" s="371"/>
      <c r="I1074" s="371"/>
      <c r="J1074" s="371"/>
      <c r="K1074" s="371"/>
      <c r="L1074" s="371"/>
      <c r="M1074" s="371"/>
      <c r="N1074" s="371"/>
      <c r="O1074" s="371"/>
      <c r="P1074" s="371"/>
      <c r="Q1074" s="371"/>
      <c r="R1074" s="52"/>
      <c r="S1074" s="52" t="str">
        <f ca="1">Summon!$I$64</f>
        <v>精准射击</v>
      </c>
      <c r="T1074" s="371"/>
      <c r="U1074" s="371"/>
      <c r="V1074" s="371"/>
      <c r="W1074" s="189"/>
    </row>
    <row r="1075" spans="1:23" ht="12.75" x14ac:dyDescent="0.2">
      <c r="A1075" s="189"/>
      <c r="B1075" s="590"/>
      <c r="C1075" s="191"/>
      <c r="D1075" s="192"/>
      <c r="E1075" s="590"/>
      <c r="F1075" s="590"/>
      <c r="G1075" s="590"/>
      <c r="H1075" s="590"/>
      <c r="I1075" s="590"/>
      <c r="J1075" s="590"/>
      <c r="K1075" s="590"/>
      <c r="L1075" s="590"/>
      <c r="M1075" s="590"/>
      <c r="N1075" s="590"/>
      <c r="O1075" s="590"/>
      <c r="P1075" s="590"/>
      <c r="Q1075" s="590"/>
      <c r="R1075" s="193"/>
      <c r="S1075" s="193" t="str">
        <f ca="1">Summon!$I$4</f>
        <v>战斗</v>
      </c>
      <c r="T1075" s="590"/>
      <c r="U1075" s="590"/>
      <c r="V1075" s="590"/>
      <c r="W1075" s="189"/>
    </row>
    <row r="1076" spans="1:23" ht="12.75" x14ac:dyDescent="0.2">
      <c r="A1076" s="189"/>
      <c r="B1076" s="479" t="str">
        <f ca="1">语言!$A$2102</f>
        <v>市民</v>
      </c>
      <c r="C1076" s="189" t="b">
        <v>0</v>
      </c>
      <c r="D1076" s="54" t="str">
        <f ca="1">道具!$C$5</f>
        <v>ＨＰ全体恢复的葡萄</v>
      </c>
      <c r="E1076" s="589" t="b">
        <v>0</v>
      </c>
      <c r="F1076" s="464" t="str">
        <f ca="1">语言!$A$32</f>
        <v>「唆使」先制化的资讯</v>
      </c>
      <c r="G1076" s="589" t="b">
        <v>0</v>
      </c>
      <c r="H1076" s="591" t="s">
        <v>48</v>
      </c>
      <c r="I1076" s="464">
        <v>2</v>
      </c>
      <c r="J1076" s="464"/>
      <c r="K1076" s="464"/>
      <c r="L1076" s="464"/>
      <c r="M1076" s="464"/>
      <c r="N1076" s="464"/>
      <c r="O1076" s="464" t="str">
        <f ca="1">道具!$C$5</f>
        <v>ＨＰ全体恢复的葡萄</v>
      </c>
      <c r="P1076" s="589"/>
      <c r="Q1076" s="591" t="s">
        <v>48</v>
      </c>
      <c r="R1076" s="52"/>
      <c r="S1076" s="52" t="str">
        <f ca="1">Summon!$I$52</f>
        <v>重拳</v>
      </c>
      <c r="T1076" s="591">
        <v>9</v>
      </c>
      <c r="U1076" s="589"/>
      <c r="V1076" s="464"/>
      <c r="W1076" s="189"/>
    </row>
    <row r="1077" spans="1:23" ht="12.75" x14ac:dyDescent="0.2">
      <c r="A1077" s="189"/>
      <c r="B1077" s="371"/>
      <c r="C1077" s="189" t="b">
        <v>0</v>
      </c>
      <c r="D1077" s="54" t="str">
        <f ca="1">道具!$C$70</f>
        <v>增强命中的坚果（大）</v>
      </c>
      <c r="E1077" s="371"/>
      <c r="F1077" s="371"/>
      <c r="G1077" s="371"/>
      <c r="H1077" s="371"/>
      <c r="I1077" s="371"/>
      <c r="J1077" s="371"/>
      <c r="K1077" s="371"/>
      <c r="L1077" s="371"/>
      <c r="M1077" s="371"/>
      <c r="N1077" s="371"/>
      <c r="O1077" s="371"/>
      <c r="P1077" s="371"/>
      <c r="Q1077" s="371"/>
      <c r="R1077" s="52"/>
      <c r="S1077" s="52" t="str">
        <f ca="1">Summon!$I$4</f>
        <v>战斗</v>
      </c>
      <c r="T1077" s="371"/>
      <c r="U1077" s="371"/>
      <c r="V1077" s="371"/>
      <c r="W1077" s="189"/>
    </row>
    <row r="1078" spans="1:23" ht="12.75" x14ac:dyDescent="0.2">
      <c r="A1078" s="189"/>
      <c r="B1078" s="588" t="str">
        <f ca="1">语言!$A$400</f>
        <v>王家之墓</v>
      </c>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189"/>
    </row>
    <row r="1079" spans="1:23" ht="12.75" x14ac:dyDescent="0.2">
      <c r="A1079" s="189"/>
      <c r="B1079" s="479" t="str">
        <f ca="1">语言!$A$1994</f>
        <v>无名的守墓人</v>
      </c>
      <c r="C1079" s="189" t="b">
        <v>0</v>
      </c>
      <c r="D1079" s="54" t="str">
        <f ca="1">道具!$C$7</f>
        <v>ＳＰ恢复的李子（大）</v>
      </c>
      <c r="E1079" s="589" t="b">
        <v>0</v>
      </c>
      <c r="F1079" s="464" t="str">
        <f ca="1">道具!$I$25</f>
        <v>守墓人的情报</v>
      </c>
      <c r="G1079" s="589" t="b">
        <v>0</v>
      </c>
      <c r="H1079" s="591" t="s">
        <v>48</v>
      </c>
      <c r="I1079" s="464">
        <v>2</v>
      </c>
      <c r="J1079" s="464"/>
      <c r="K1079" s="464"/>
      <c r="L1079" s="464"/>
      <c r="M1079" s="464"/>
      <c r="N1079" s="464"/>
      <c r="O1079" s="464" t="str">
        <f ca="1">道具!$C$6</f>
        <v>ＳＰ恢复的李子</v>
      </c>
      <c r="P1079" s="589"/>
      <c r="Q1079" s="593" t="s">
        <v>119</v>
      </c>
      <c r="R1079" s="593" t="s">
        <v>119</v>
      </c>
      <c r="S1079" s="593" t="s">
        <v>119</v>
      </c>
      <c r="T1079" s="593" t="s">
        <v>119</v>
      </c>
      <c r="U1079" s="589"/>
      <c r="V1079" s="464"/>
      <c r="W1079" s="189"/>
    </row>
    <row r="1080" spans="1:23" ht="12.75" x14ac:dyDescent="0.2">
      <c r="A1080" s="189"/>
      <c r="B1080" s="371"/>
      <c r="C1080" s="189" t="b">
        <v>0</v>
      </c>
      <c r="D1080" s="54" t="str">
        <f ca="1">道具!$C$45</f>
        <v>光之精灵石（特大）</v>
      </c>
      <c r="E1080" s="371"/>
      <c r="F1080" s="371"/>
      <c r="G1080" s="371"/>
      <c r="H1080" s="371"/>
      <c r="I1080" s="371"/>
      <c r="J1080" s="371"/>
      <c r="K1080" s="371"/>
      <c r="L1080" s="371"/>
      <c r="M1080" s="371"/>
      <c r="N1080" s="371"/>
      <c r="O1080" s="371"/>
      <c r="P1080" s="371"/>
      <c r="Q1080" s="371"/>
      <c r="R1080" s="371"/>
      <c r="S1080" s="371"/>
      <c r="T1080" s="371"/>
      <c r="U1080" s="371"/>
      <c r="V1080" s="371"/>
      <c r="W1080" s="189"/>
    </row>
    <row r="1081" spans="1:23" ht="18" x14ac:dyDescent="0.2">
      <c r="A1081" s="196"/>
      <c r="B1081" s="587" t="str">
        <f ca="1">语言!$A$323&amp;" 3"</f>
        <v>Tier 3</v>
      </c>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196"/>
    </row>
    <row r="1082" spans="1:23" ht="12.75" x14ac:dyDescent="0.2">
      <c r="A1082" s="189"/>
      <c r="B1082" s="588" t="str">
        <f ca="1">语言!$A$404</f>
        <v>艾巴霍多</v>
      </c>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189"/>
    </row>
    <row r="1083" spans="1:23" ht="12.75" x14ac:dyDescent="0.2">
      <c r="A1083" s="189"/>
      <c r="B1083" s="479" t="str">
        <f ca="1">语言!$A$2073</f>
        <v>大道具负责人</v>
      </c>
      <c r="C1083" s="589" t="b">
        <v>0</v>
      </c>
      <c r="D1083" s="479" t="str">
        <f ca="1">"* "&amp;道具!$F$62</f>
        <v>* 老旧的挂毯</v>
      </c>
      <c r="E1083" s="589" t="b">
        <v>0</v>
      </c>
      <c r="F1083" s="464" t="str">
        <f ca="1">语言!$A$23</f>
        <v>无</v>
      </c>
      <c r="G1083" s="589" t="b">
        <v>0</v>
      </c>
      <c r="H1083" s="591" t="s">
        <v>48</v>
      </c>
      <c r="I1083" s="464">
        <v>2</v>
      </c>
      <c r="J1083" s="464"/>
      <c r="K1083" s="464"/>
      <c r="L1083" s="464"/>
      <c r="M1083" s="464"/>
      <c r="N1083" s="464"/>
      <c r="O1083" s="464" t="str">
        <f ca="1">道具!$C$8</f>
        <v>ＳＰ全体恢复的李子</v>
      </c>
      <c r="P1083" s="589"/>
      <c r="Q1083" s="591" t="s">
        <v>48</v>
      </c>
      <c r="R1083" s="52"/>
      <c r="S1083" s="52" t="str">
        <f ca="1">Summon!$I$48</f>
        <v>连掷短剑</v>
      </c>
      <c r="T1083" s="591">
        <v>9</v>
      </c>
      <c r="U1083" s="589"/>
      <c r="V1083" s="464" t="str">
        <f ca="1">"NPC available after quest: "&amp;支线!$C$64</f>
        <v>NPC available after quest: 历史研究家诺艾尔（２）</v>
      </c>
      <c r="W1083" s="189"/>
    </row>
    <row r="1084" spans="1:23" ht="12.75" x14ac:dyDescent="0.2">
      <c r="A1084" s="189"/>
      <c r="B1084" s="371"/>
      <c r="C1084" s="371"/>
      <c r="D1084" s="371"/>
      <c r="E1084" s="371"/>
      <c r="F1084" s="371"/>
      <c r="G1084" s="371"/>
      <c r="H1084" s="371"/>
      <c r="I1084" s="371"/>
      <c r="J1084" s="371"/>
      <c r="K1084" s="371"/>
      <c r="L1084" s="371"/>
      <c r="M1084" s="371"/>
      <c r="N1084" s="371"/>
      <c r="O1084" s="371"/>
      <c r="P1084" s="371"/>
      <c r="Q1084" s="371"/>
      <c r="R1084" s="52"/>
      <c r="S1084" s="52" t="str">
        <f ca="1">Summon!$I$42</f>
        <v>猛击</v>
      </c>
      <c r="T1084" s="371"/>
      <c r="U1084" s="371"/>
      <c r="V1084" s="371"/>
      <c r="W1084" s="189"/>
    </row>
    <row r="1085" spans="1:23" ht="12.75" x14ac:dyDescent="0.2">
      <c r="A1085" s="189"/>
      <c r="B1085" s="590"/>
      <c r="C1085" s="590"/>
      <c r="D1085" s="590"/>
      <c r="E1085" s="590"/>
      <c r="F1085" s="590"/>
      <c r="G1085" s="590"/>
      <c r="H1085" s="590"/>
      <c r="I1085" s="590"/>
      <c r="J1085" s="590"/>
      <c r="K1085" s="590"/>
      <c r="L1085" s="590"/>
      <c r="M1085" s="590"/>
      <c r="N1085" s="590"/>
      <c r="O1085" s="590"/>
      <c r="P1085" s="590"/>
      <c r="Q1085" s="590"/>
      <c r="R1085" s="193"/>
      <c r="S1085" s="193" t="str">
        <f ca="1">Summon!$I$4</f>
        <v>战斗</v>
      </c>
      <c r="T1085" s="590"/>
      <c r="U1085" s="590"/>
      <c r="V1085" s="590"/>
      <c r="W1085" s="189"/>
    </row>
    <row r="1086" spans="1:23" ht="12.75" x14ac:dyDescent="0.2">
      <c r="A1086" s="189"/>
      <c r="B1086" s="479" t="str">
        <f ca="1">语言!$A$2102</f>
        <v>市民</v>
      </c>
      <c r="C1086" s="189" t="b">
        <v>0</v>
      </c>
      <c r="D1086" s="54" t="str">
        <f ca="1">道具!$C$48</f>
        <v>暗之精灵石（特大）</v>
      </c>
      <c r="E1086" s="589" t="b">
        <v>0</v>
      </c>
      <c r="F1086" s="464" t="str">
        <f ca="1">语言!$A$28</f>
        <v>武器店商品追加资讯</v>
      </c>
      <c r="G1086" s="589" t="b">
        <v>0</v>
      </c>
      <c r="H1086" s="591" t="s">
        <v>48</v>
      </c>
      <c r="I1086" s="464">
        <v>2</v>
      </c>
      <c r="J1086" s="464"/>
      <c r="K1086" s="464"/>
      <c r="L1086" s="464"/>
      <c r="M1086" s="464"/>
      <c r="N1086" s="464"/>
      <c r="O1086" s="464" t="str">
        <f ca="1">道具!$C$7</f>
        <v>ＳＰ恢复的李子（大）</v>
      </c>
      <c r="P1086" s="589"/>
      <c r="Q1086" s="591" t="s">
        <v>48</v>
      </c>
      <c r="R1086" s="52"/>
      <c r="S1086" s="52" t="str">
        <f ca="1">Summon!$I$78</f>
        <v>火焰魔法</v>
      </c>
      <c r="T1086" s="591">
        <v>9</v>
      </c>
      <c r="U1086" s="589"/>
      <c r="V1086" s="464"/>
      <c r="W1086" s="189"/>
    </row>
    <row r="1087" spans="1:23" ht="12.75" x14ac:dyDescent="0.2">
      <c r="A1087" s="189"/>
      <c r="B1087" s="371"/>
      <c r="C1087" s="189" t="b">
        <v>0</v>
      </c>
      <c r="D1087" s="54" t="str">
        <f ca="1">道具!$C$315</f>
        <v>智慧手杖</v>
      </c>
      <c r="E1087" s="371"/>
      <c r="F1087" s="371"/>
      <c r="G1087" s="371"/>
      <c r="H1087" s="371"/>
      <c r="I1087" s="371"/>
      <c r="J1087" s="371"/>
      <c r="K1087" s="371"/>
      <c r="L1087" s="371"/>
      <c r="M1087" s="371"/>
      <c r="N1087" s="371"/>
      <c r="O1087" s="371"/>
      <c r="P1087" s="371"/>
      <c r="Q1087" s="371"/>
      <c r="R1087" s="52"/>
      <c r="S1087" s="52" t="str">
        <f ca="1">Summon!$I$86</f>
        <v>冰冻魔法</v>
      </c>
      <c r="T1087" s="371"/>
      <c r="U1087" s="371"/>
      <c r="V1087" s="371"/>
      <c r="W1087" s="189"/>
    </row>
    <row r="1088" spans="1:23" ht="12.75" x14ac:dyDescent="0.2">
      <c r="A1088" s="189"/>
      <c r="B1088" s="371"/>
      <c r="C1088" s="189" t="b">
        <v>0</v>
      </c>
      <c r="D1088" s="54" t="str">
        <f ca="1">道具!$C$408</f>
        <v>魔术师长袍</v>
      </c>
      <c r="E1088" s="371"/>
      <c r="F1088" s="371"/>
      <c r="G1088" s="371"/>
      <c r="H1088" s="371"/>
      <c r="I1088" s="371"/>
      <c r="J1088" s="371"/>
      <c r="K1088" s="371"/>
      <c r="L1088" s="371"/>
      <c r="M1088" s="371"/>
      <c r="N1088" s="371"/>
      <c r="O1088" s="371"/>
      <c r="P1088" s="371"/>
      <c r="Q1088" s="371"/>
      <c r="R1088" s="52"/>
      <c r="S1088" s="52" t="str">
        <f ca="1">Summon!$I$90</f>
        <v>雷击魔法</v>
      </c>
      <c r="T1088" s="371"/>
      <c r="U1088" s="371"/>
      <c r="V1088" s="371"/>
      <c r="W1088" s="189"/>
    </row>
    <row r="1089" spans="1:23" ht="12.75" x14ac:dyDescent="0.2">
      <c r="A1089" s="189"/>
      <c r="B1089" s="590"/>
      <c r="C1089" s="191"/>
      <c r="D1089" s="192"/>
      <c r="E1089" s="590"/>
      <c r="F1089" s="590"/>
      <c r="G1089" s="590"/>
      <c r="H1089" s="590"/>
      <c r="I1089" s="590"/>
      <c r="J1089" s="590"/>
      <c r="K1089" s="590"/>
      <c r="L1089" s="590"/>
      <c r="M1089" s="590"/>
      <c r="N1089" s="590"/>
      <c r="O1089" s="590"/>
      <c r="P1089" s="590"/>
      <c r="Q1089" s="590"/>
      <c r="R1089" s="193"/>
      <c r="S1089" s="193" t="str">
        <f ca="1">Summon!$I$4</f>
        <v>战斗</v>
      </c>
      <c r="T1089" s="590"/>
      <c r="U1089" s="590"/>
      <c r="V1089" s="590"/>
      <c r="W1089" s="189"/>
    </row>
    <row r="1090" spans="1:23" ht="12.75" x14ac:dyDescent="0.2">
      <c r="A1090" s="189"/>
      <c r="B1090" s="479" t="str">
        <f ca="1">语言!$A$1777</f>
        <v>狂热的演员</v>
      </c>
      <c r="C1090" s="189" t="b">
        <v>0</v>
      </c>
      <c r="D1090" s="54" t="str">
        <f ca="1">道具!$C$148</f>
        <v>天使军刀</v>
      </c>
      <c r="E1090" s="589" t="b">
        <v>0</v>
      </c>
      <c r="F1090" s="464" t="str">
        <f ca="1">语言!$A$23</f>
        <v>无</v>
      </c>
      <c r="G1090" s="589" t="b">
        <v>0</v>
      </c>
      <c r="H1090" s="591" t="s">
        <v>49</v>
      </c>
      <c r="I1090" s="464">
        <v>4</v>
      </c>
      <c r="J1090" s="464"/>
      <c r="K1090" s="464"/>
      <c r="L1090" s="464"/>
      <c r="M1090" s="464"/>
      <c r="N1090" s="464"/>
      <c r="O1090" s="464" t="str">
        <f ca="1">道具!$C$38</f>
        <v>雷之精灵石（特大）</v>
      </c>
      <c r="P1090" s="589"/>
      <c r="Q1090" s="591" t="s">
        <v>49</v>
      </c>
      <c r="R1090" s="52"/>
      <c r="S1090" s="52" t="str">
        <f ca="1">Summon!$I$153</f>
        <v>攻击力下降</v>
      </c>
      <c r="T1090" s="591">
        <v>7</v>
      </c>
      <c r="U1090" s="589"/>
      <c r="V1090" s="464"/>
      <c r="W1090" s="189"/>
    </row>
    <row r="1091" spans="1:23" ht="12.75" x14ac:dyDescent="0.2">
      <c r="A1091" s="189"/>
      <c r="B1091" s="371"/>
      <c r="C1091" s="189" t="b">
        <v>0</v>
      </c>
      <c r="D1091" s="54" t="str">
        <f ca="1">道具!$C$421</f>
        <v>寂静斗篷</v>
      </c>
      <c r="E1091" s="371"/>
      <c r="F1091" s="371"/>
      <c r="G1091" s="371"/>
      <c r="H1091" s="371"/>
      <c r="I1091" s="371"/>
      <c r="J1091" s="371"/>
      <c r="K1091" s="371"/>
      <c r="L1091" s="371"/>
      <c r="M1091" s="371"/>
      <c r="N1091" s="371"/>
      <c r="O1091" s="371"/>
      <c r="P1091" s="371"/>
      <c r="Q1091" s="371"/>
      <c r="R1091" s="52"/>
      <c r="S1091" s="52" t="str">
        <f ca="1">Summon!$I$48</f>
        <v>连掷短剑</v>
      </c>
      <c r="T1091" s="371"/>
      <c r="U1091" s="371"/>
      <c r="V1091" s="371"/>
      <c r="W1091" s="189"/>
    </row>
    <row r="1092" spans="1:23" ht="12.75" x14ac:dyDescent="0.2">
      <c r="A1092" s="189"/>
      <c r="B1092" s="590"/>
      <c r="C1092" s="191" t="b">
        <v>0</v>
      </c>
      <c r="D1092" s="192" t="str">
        <f ca="1">道具!$C$375</f>
        <v>显赫头盔</v>
      </c>
      <c r="E1092" s="590"/>
      <c r="F1092" s="590"/>
      <c r="G1092" s="590"/>
      <c r="H1092" s="590"/>
      <c r="I1092" s="590"/>
      <c r="J1092" s="590"/>
      <c r="K1092" s="590"/>
      <c r="L1092" s="590"/>
      <c r="M1092" s="590"/>
      <c r="N1092" s="590"/>
      <c r="O1092" s="590"/>
      <c r="P1092" s="590"/>
      <c r="Q1092" s="590"/>
      <c r="R1092" s="193"/>
      <c r="S1092" s="193" t="str">
        <f ca="1">Summon!$I$4</f>
        <v>战斗</v>
      </c>
      <c r="T1092" s="590"/>
      <c r="U1092" s="590"/>
      <c r="V1092" s="590"/>
      <c r="W1092" s="189"/>
    </row>
    <row r="1093" spans="1:23" ht="12.75" x14ac:dyDescent="0.2">
      <c r="A1093" s="189"/>
      <c r="B1093" s="479" t="str">
        <f ca="1">语言!$A$1896</f>
        <v>少女</v>
      </c>
      <c r="C1093" s="189" t="b">
        <v>0</v>
      </c>
      <c r="D1093" s="54" t="str">
        <f ca="1">道具!$C$83</f>
        <v>绒毛娃娃</v>
      </c>
      <c r="E1093" s="589" t="b">
        <v>0</v>
      </c>
      <c r="F1093" s="464" t="str">
        <f ca="1">语言!$A$33&amp;"
"&amp;道具!$C$129</f>
        <v>隐藏道具的资讯
奇特的古董</v>
      </c>
      <c r="G1093" s="589"/>
      <c r="H1093" s="593" t="s">
        <v>119</v>
      </c>
      <c r="I1093" s="593" t="s">
        <v>119</v>
      </c>
      <c r="J1093" s="593" t="s">
        <v>119</v>
      </c>
      <c r="K1093" s="593" t="s">
        <v>119</v>
      </c>
      <c r="L1093" s="593" t="s">
        <v>119</v>
      </c>
      <c r="M1093" s="593" t="s">
        <v>119</v>
      </c>
      <c r="N1093" s="593" t="s">
        <v>119</v>
      </c>
      <c r="O1093" s="593" t="s">
        <v>119</v>
      </c>
      <c r="P1093" s="589"/>
      <c r="Q1093" s="593" t="s">
        <v>119</v>
      </c>
      <c r="R1093" s="593" t="s">
        <v>119</v>
      </c>
      <c r="S1093" s="593" t="s">
        <v>119</v>
      </c>
      <c r="T1093" s="593" t="s">
        <v>119</v>
      </c>
      <c r="U1093" s="589"/>
      <c r="V1093" s="464" t="str">
        <f ca="1">"Hidden Item requires "&amp;语言!$A$47&amp;" / "&amp;语言!$A$51&amp;""</f>
        <v>Hidden Item requires 比试 / 唆使</v>
      </c>
      <c r="W1093" s="189"/>
    </row>
    <row r="1094" spans="1:23" ht="12.75" x14ac:dyDescent="0.2">
      <c r="A1094" s="189"/>
      <c r="B1094" s="590"/>
      <c r="C1094" s="191" t="b">
        <v>0</v>
      </c>
      <c r="D1094" s="192" t="str">
        <f ca="1">道具!$C$84</f>
        <v>糖果</v>
      </c>
      <c r="E1094" s="590"/>
      <c r="F1094" s="590"/>
      <c r="G1094" s="590"/>
      <c r="H1094" s="590"/>
      <c r="I1094" s="590"/>
      <c r="J1094" s="590"/>
      <c r="K1094" s="590"/>
      <c r="L1094" s="590"/>
      <c r="M1094" s="590"/>
      <c r="N1094" s="590"/>
      <c r="O1094" s="590"/>
      <c r="P1094" s="590"/>
      <c r="Q1094" s="590"/>
      <c r="R1094" s="590"/>
      <c r="S1094" s="590"/>
      <c r="T1094" s="590"/>
      <c r="U1094" s="590"/>
      <c r="V1094" s="590"/>
      <c r="W1094" s="189"/>
    </row>
    <row r="1095" spans="1:23" ht="12.75" x14ac:dyDescent="0.2">
      <c r="A1095" s="189"/>
      <c r="B1095" s="479" t="str">
        <f ca="1">语言!$A$2102</f>
        <v>市民</v>
      </c>
      <c r="C1095" s="189" t="b">
        <v>0</v>
      </c>
      <c r="D1095" s="54" t="str">
        <f ca="1">道具!$C$530</f>
        <v>秘药的素材</v>
      </c>
      <c r="E1095" s="589" t="b">
        <v>0</v>
      </c>
      <c r="F1095" s="464" t="str">
        <f ca="1">语言!$A$24</f>
        <v>旅店的折扣资讯</v>
      </c>
      <c r="G1095" s="589" t="b">
        <v>0</v>
      </c>
      <c r="H1095" s="591" t="s">
        <v>47</v>
      </c>
      <c r="I1095" s="464">
        <v>4</v>
      </c>
      <c r="J1095" s="464"/>
      <c r="K1095" s="464"/>
      <c r="L1095" s="464"/>
      <c r="M1095" s="464"/>
      <c r="N1095" s="464"/>
      <c r="O1095" s="464" t="str">
        <f ca="1">道具!$C$281</f>
        <v>达人的大弓</v>
      </c>
      <c r="P1095" s="589"/>
      <c r="Q1095" s="591" t="s">
        <v>47</v>
      </c>
      <c r="R1095" s="52"/>
      <c r="S1095" s="52" t="str">
        <f ca="1">Summon!$I$65</f>
        <v>剧毒之矢</v>
      </c>
      <c r="T1095" s="591">
        <v>6</v>
      </c>
      <c r="U1095" s="589"/>
      <c r="V1095" s="464"/>
      <c r="W1095" s="189"/>
    </row>
    <row r="1096" spans="1:23" ht="12.75" x14ac:dyDescent="0.2">
      <c r="A1096" s="189"/>
      <c r="B1096" s="371"/>
      <c r="C1096" s="189" t="b">
        <v>0</v>
      </c>
      <c r="D1096" s="54" t="str">
        <f ca="1">道具!$C$530</f>
        <v>秘药的素材</v>
      </c>
      <c r="E1096" s="371"/>
      <c r="F1096" s="371"/>
      <c r="G1096" s="371"/>
      <c r="H1096" s="371"/>
      <c r="I1096" s="371"/>
      <c r="J1096" s="371"/>
      <c r="K1096" s="371"/>
      <c r="L1096" s="371"/>
      <c r="M1096" s="371"/>
      <c r="N1096" s="371"/>
      <c r="O1096" s="371"/>
      <c r="P1096" s="371"/>
      <c r="Q1096" s="371"/>
      <c r="R1096" s="52"/>
      <c r="S1096" s="52" t="str">
        <f ca="1">Summon!$I$64</f>
        <v>精准射击</v>
      </c>
      <c r="T1096" s="371"/>
      <c r="U1096" s="371"/>
      <c r="V1096" s="371"/>
      <c r="W1096" s="189"/>
    </row>
    <row r="1097" spans="1:23" ht="12.75" x14ac:dyDescent="0.2">
      <c r="A1097" s="189"/>
      <c r="B1097" s="590"/>
      <c r="C1097" s="191" t="b">
        <v>0</v>
      </c>
      <c r="D1097" s="192" t="str">
        <f ca="1">道具!$C$277</f>
        <v>符文弓</v>
      </c>
      <c r="E1097" s="590"/>
      <c r="F1097" s="590"/>
      <c r="G1097" s="590"/>
      <c r="H1097" s="590"/>
      <c r="I1097" s="590"/>
      <c r="J1097" s="590"/>
      <c r="K1097" s="590"/>
      <c r="L1097" s="590"/>
      <c r="M1097" s="590"/>
      <c r="N1097" s="590"/>
      <c r="O1097" s="590"/>
      <c r="P1097" s="590"/>
      <c r="Q1097" s="590"/>
      <c r="R1097" s="193"/>
      <c r="S1097" s="193" t="str">
        <f ca="1">Summon!$I$4</f>
        <v>战斗</v>
      </c>
      <c r="T1097" s="590"/>
      <c r="U1097" s="590"/>
      <c r="V1097" s="590"/>
      <c r="W1097" s="189"/>
    </row>
    <row r="1098" spans="1:23" ht="12.75" x14ac:dyDescent="0.2">
      <c r="A1098" s="189"/>
      <c r="B1098" s="479" t="str">
        <f ca="1">语言!$A$2014</f>
        <v>老人</v>
      </c>
      <c r="C1098" s="189" t="b">
        <v>0</v>
      </c>
      <c r="D1098" s="54" t="str">
        <f ca="1">道具!$C$422</f>
        <v>古老长袍</v>
      </c>
      <c r="E1098" s="589" t="b">
        <v>0</v>
      </c>
      <c r="F1098" s="464" t="str">
        <f ca="1">语言!$A$33&amp;"
"&amp;道具!$C$116</f>
        <v>隐藏道具的资讯
稀奇的石头</v>
      </c>
      <c r="G1098" s="589" t="b">
        <v>0</v>
      </c>
      <c r="H1098" s="591" t="s">
        <v>51</v>
      </c>
      <c r="I1098" s="464">
        <v>5</v>
      </c>
      <c r="J1098" s="464"/>
      <c r="K1098" s="464"/>
      <c r="L1098" s="464"/>
      <c r="M1098" s="464"/>
      <c r="N1098" s="464"/>
      <c r="O1098" s="464" t="str">
        <f ca="1">道具!$C$48</f>
        <v>暗之精灵石（特大）</v>
      </c>
      <c r="P1098" s="589"/>
      <c r="Q1098" s="593" t="s">
        <v>119</v>
      </c>
      <c r="R1098" s="593" t="s">
        <v>119</v>
      </c>
      <c r="S1098" s="593" t="s">
        <v>119</v>
      </c>
      <c r="T1098" s="593" t="s">
        <v>119</v>
      </c>
      <c r="U1098" s="589"/>
      <c r="V1098" s="464"/>
      <c r="W1098" s="189"/>
    </row>
    <row r="1099" spans="1:23" ht="12.75" x14ac:dyDescent="0.2">
      <c r="A1099" s="189"/>
      <c r="B1099" s="590"/>
      <c r="C1099" s="191" t="b">
        <v>0</v>
      </c>
      <c r="D1099" s="192" t="str">
        <f ca="1">道具!$C$144</f>
        <v>三位一体剑</v>
      </c>
      <c r="E1099" s="590"/>
      <c r="F1099" s="590"/>
      <c r="G1099" s="590"/>
      <c r="H1099" s="590"/>
      <c r="I1099" s="590"/>
      <c r="J1099" s="590"/>
      <c r="K1099" s="590"/>
      <c r="L1099" s="590"/>
      <c r="M1099" s="590"/>
      <c r="N1099" s="590"/>
      <c r="O1099" s="590"/>
      <c r="P1099" s="590"/>
      <c r="Q1099" s="590"/>
      <c r="R1099" s="590"/>
      <c r="S1099" s="590"/>
      <c r="T1099" s="590"/>
      <c r="U1099" s="590"/>
      <c r="V1099" s="590"/>
      <c r="W1099" s="189"/>
    </row>
    <row r="1100" spans="1:23" ht="12.75" x14ac:dyDescent="0.2">
      <c r="A1100" s="189"/>
      <c r="B1100" s="479" t="str">
        <f ca="1">语言!$A$2102</f>
        <v>市民</v>
      </c>
      <c r="C1100" s="589" t="b">
        <v>0</v>
      </c>
      <c r="D1100" s="479" t="str">
        <f ca="1">道具!$C$143</f>
        <v>召唤死亡之剑</v>
      </c>
      <c r="E1100" s="589" t="b">
        <v>0</v>
      </c>
      <c r="F1100" s="464" t="str">
        <f ca="1">语言!$A$23</f>
        <v>无</v>
      </c>
      <c r="G1100" s="589" t="b">
        <v>0</v>
      </c>
      <c r="H1100" s="591" t="s">
        <v>51</v>
      </c>
      <c r="I1100" s="464">
        <v>5</v>
      </c>
      <c r="J1100" s="464"/>
      <c r="K1100" s="464"/>
      <c r="L1100" s="464"/>
      <c r="M1100" s="464"/>
      <c r="N1100" s="464"/>
      <c r="O1100" s="464" t="str">
        <f ca="1">道具!$C$45</f>
        <v>光之精灵石（特大）</v>
      </c>
      <c r="P1100" s="589"/>
      <c r="Q1100" s="591" t="s">
        <v>51</v>
      </c>
      <c r="R1100" s="52"/>
      <c r="S1100" s="52" t="str">
        <f ca="1">Summon!$I$173</f>
        <v>攻击力提升</v>
      </c>
      <c r="T1100" s="591">
        <v>6</v>
      </c>
      <c r="U1100" s="589"/>
      <c r="V1100" s="464" t="str">
        <f ca="1">"Behind other NPC ("&amp;语言!$A$47&amp;" / "&amp;语言!$A$51&amp;")"</f>
        <v>Behind other NPC (比试 / 唆使)</v>
      </c>
      <c r="W1100" s="189"/>
    </row>
    <row r="1101" spans="1:23" ht="12.75" x14ac:dyDescent="0.2">
      <c r="A1101" s="189"/>
      <c r="B1101" s="371"/>
      <c r="C1101" s="371"/>
      <c r="D1101" s="371"/>
      <c r="E1101" s="371"/>
      <c r="F1101" s="371"/>
      <c r="G1101" s="371"/>
      <c r="H1101" s="371"/>
      <c r="I1101" s="371"/>
      <c r="J1101" s="371"/>
      <c r="K1101" s="371"/>
      <c r="L1101" s="371"/>
      <c r="M1101" s="371"/>
      <c r="N1101" s="371"/>
      <c r="O1101" s="371"/>
      <c r="P1101" s="371"/>
      <c r="Q1101" s="371"/>
      <c r="R1101" s="52"/>
      <c r="S1101" s="52" t="str">
        <f ca="1">Summon!$I$61</f>
        <v>全力斩击</v>
      </c>
      <c r="T1101" s="371"/>
      <c r="U1101" s="371"/>
      <c r="V1101" s="371"/>
      <c r="W1101" s="189"/>
    </row>
    <row r="1102" spans="1:23" ht="12.75" x14ac:dyDescent="0.2">
      <c r="A1102" s="189"/>
      <c r="B1102" s="590"/>
      <c r="C1102" s="590"/>
      <c r="D1102" s="590"/>
      <c r="E1102" s="590"/>
      <c r="F1102" s="590"/>
      <c r="G1102" s="590"/>
      <c r="H1102" s="590"/>
      <c r="I1102" s="590"/>
      <c r="J1102" s="590"/>
      <c r="K1102" s="590"/>
      <c r="L1102" s="590"/>
      <c r="M1102" s="590"/>
      <c r="N1102" s="590"/>
      <c r="O1102" s="590"/>
      <c r="P1102" s="590"/>
      <c r="Q1102" s="590"/>
      <c r="R1102" s="193"/>
      <c r="S1102" s="193" t="str">
        <f ca="1">Summon!$I$4</f>
        <v>战斗</v>
      </c>
      <c r="T1102" s="590"/>
      <c r="U1102" s="590"/>
      <c r="V1102" s="590"/>
      <c r="W1102" s="189"/>
    </row>
    <row r="1103" spans="1:23" ht="12.75" x14ac:dyDescent="0.2">
      <c r="A1103" s="189"/>
      <c r="B1103" s="479" t="str">
        <f ca="1">语言!$A$2005&amp;" (3)"</f>
        <v>诺艾尔 (3)</v>
      </c>
      <c r="C1103" s="189" t="b">
        <v>0</v>
      </c>
      <c r="D1103" s="54" t="str">
        <f ca="1">道具!$C$478</f>
        <v>灵敏项链</v>
      </c>
      <c r="E1103" s="589" t="b">
        <v>0</v>
      </c>
      <c r="F1103" s="464" t="str">
        <f ca="1">语言!$A$23</f>
        <v>无</v>
      </c>
      <c r="G1103" s="589" t="b">
        <v>0</v>
      </c>
      <c r="H1103" s="591" t="s">
        <v>45</v>
      </c>
      <c r="I1103" s="464">
        <v>2</v>
      </c>
      <c r="J1103" s="464"/>
      <c r="K1103" s="464"/>
      <c r="L1103" s="464"/>
      <c r="M1103" s="464"/>
      <c r="N1103" s="464"/>
      <c r="O1103" s="464" t="str">
        <f ca="1">道具!$C$529</f>
        <v>药的素材（扩散）</v>
      </c>
      <c r="P1103" s="589"/>
      <c r="Q1103" s="591" t="s">
        <v>45</v>
      </c>
      <c r="R1103" s="52"/>
      <c r="S1103" s="52" t="str">
        <f ca="1">Summon!$I$173</f>
        <v>攻击力提升</v>
      </c>
      <c r="T1103" s="591">
        <v>9</v>
      </c>
      <c r="U1103" s="589"/>
      <c r="V1103" s="464" t="str">
        <f ca="1">"NPC available after quest: "&amp;支线!$C$64</f>
        <v>NPC available after quest: 历史研究家诺艾尔（２）</v>
      </c>
      <c r="W1103" s="189"/>
    </row>
    <row r="1104" spans="1:23" ht="12.75" x14ac:dyDescent="0.2">
      <c r="A1104" s="189"/>
      <c r="B1104" s="371"/>
      <c r="C1104" s="189" t="b">
        <v>0</v>
      </c>
      <c r="D1104" s="54" t="str">
        <f ca="1">道具!$C$489</f>
        <v>精神戒指</v>
      </c>
      <c r="E1104" s="371"/>
      <c r="F1104" s="371"/>
      <c r="G1104" s="371"/>
      <c r="H1104" s="371"/>
      <c r="I1104" s="371"/>
      <c r="J1104" s="371"/>
      <c r="K1104" s="371"/>
      <c r="L1104" s="371"/>
      <c r="M1104" s="371"/>
      <c r="N1104" s="371"/>
      <c r="O1104" s="371"/>
      <c r="P1104" s="371"/>
      <c r="Q1104" s="371"/>
      <c r="R1104" s="52"/>
      <c r="S1104" s="52" t="str">
        <f ca="1">Summon!$I$42</f>
        <v>猛击</v>
      </c>
      <c r="T1104" s="371"/>
      <c r="U1104" s="371"/>
      <c r="V1104" s="371"/>
      <c r="W1104" s="189"/>
    </row>
    <row r="1105" spans="1:23" ht="12.75" x14ac:dyDescent="0.2">
      <c r="A1105" s="189"/>
      <c r="B1105" s="371"/>
      <c r="C1105" s="189" t="b">
        <v>0</v>
      </c>
      <c r="D1105" s="54" t="str">
        <f ca="1">道具!$C$495</f>
        <v>体力耳环</v>
      </c>
      <c r="E1105" s="371"/>
      <c r="F1105" s="371"/>
      <c r="G1105" s="371"/>
      <c r="H1105" s="371"/>
      <c r="I1105" s="371"/>
      <c r="J1105" s="371"/>
      <c r="K1105" s="371"/>
      <c r="L1105" s="371"/>
      <c r="M1105" s="371"/>
      <c r="N1105" s="371"/>
      <c r="O1105" s="371"/>
      <c r="P1105" s="371"/>
      <c r="Q1105" s="371"/>
      <c r="R1105" s="52"/>
      <c r="S1105" s="52" t="str">
        <f ca="1">Summon!$I$4</f>
        <v>战斗</v>
      </c>
      <c r="T1105" s="371"/>
      <c r="U1105" s="371"/>
      <c r="V1105" s="371"/>
      <c r="W1105" s="189"/>
    </row>
    <row r="1106" spans="1:23" ht="12.75" x14ac:dyDescent="0.2">
      <c r="A1106" s="189"/>
      <c r="B1106" s="371"/>
      <c r="C1106" s="189" t="b">
        <v>0</v>
      </c>
      <c r="D1106" s="54" t="str">
        <f ca="1">道具!$C$21</f>
        <v>混乱治疗药草</v>
      </c>
      <c r="E1106" s="371"/>
      <c r="F1106" s="371"/>
      <c r="G1106" s="371"/>
      <c r="H1106" s="371"/>
      <c r="I1106" s="371"/>
      <c r="J1106" s="371"/>
      <c r="K1106" s="371"/>
      <c r="L1106" s="371"/>
      <c r="M1106" s="371"/>
      <c r="N1106" s="371"/>
      <c r="O1106" s="371"/>
      <c r="P1106" s="371"/>
      <c r="Q1106" s="371"/>
      <c r="R1106" s="52"/>
      <c r="S1106" s="52"/>
      <c r="T1106" s="371"/>
      <c r="U1106" s="371"/>
      <c r="V1106" s="371"/>
      <c r="W1106" s="189"/>
    </row>
    <row r="1107" spans="1:23" ht="12.75" x14ac:dyDescent="0.2">
      <c r="A1107" s="189"/>
      <c r="B1107" s="590"/>
      <c r="C1107" s="191" t="b">
        <v>0</v>
      </c>
      <c r="D1107" s="192" t="str">
        <f ca="1">道具!$C$7</f>
        <v>ＳＰ恢复的李子（大）</v>
      </c>
      <c r="E1107" s="590"/>
      <c r="F1107" s="590"/>
      <c r="G1107" s="590"/>
      <c r="H1107" s="590"/>
      <c r="I1107" s="590"/>
      <c r="J1107" s="590"/>
      <c r="K1107" s="590"/>
      <c r="L1107" s="590"/>
      <c r="M1107" s="590"/>
      <c r="N1107" s="590"/>
      <c r="O1107" s="590"/>
      <c r="P1107" s="590"/>
      <c r="Q1107" s="590"/>
      <c r="R1107" s="193"/>
      <c r="S1107" s="193"/>
      <c r="T1107" s="590"/>
      <c r="U1107" s="590"/>
      <c r="V1107" s="590"/>
      <c r="W1107" s="189"/>
    </row>
    <row r="1108" spans="1:23" ht="12.75" x14ac:dyDescent="0.2">
      <c r="A1108" s="189"/>
      <c r="B1108" s="479" t="str">
        <f ca="1">语言!$A$1922</f>
        <v>团长</v>
      </c>
      <c r="C1108" s="189" t="b">
        <v>0</v>
      </c>
      <c r="D1108" s="54" t="str">
        <f ca="1">道具!$C$71</f>
        <v>增强命中的坚果（特大）</v>
      </c>
      <c r="E1108" s="589" t="b">
        <v>0</v>
      </c>
      <c r="F1108" s="464" t="str">
        <f ca="1">语言!$A$23</f>
        <v>无</v>
      </c>
      <c r="G1108" s="589" t="b">
        <v>0</v>
      </c>
      <c r="H1108" s="591" t="s">
        <v>47</v>
      </c>
      <c r="I1108" s="464">
        <v>4</v>
      </c>
      <c r="J1108" s="464"/>
      <c r="K1108" s="464"/>
      <c r="L1108" s="464"/>
      <c r="M1108" s="464"/>
      <c r="N1108" s="464"/>
      <c r="O1108" s="464" t="str">
        <f ca="1">道具!$C$7</f>
        <v>ＳＰ恢复的李子（大）</v>
      </c>
      <c r="P1108" s="589"/>
      <c r="Q1108" s="591" t="s">
        <v>47</v>
      </c>
      <c r="R1108" s="52"/>
      <c r="S1108" s="52" t="str">
        <f ca="1">Summon!$I$34</f>
        <v>无双突刺</v>
      </c>
      <c r="T1108" s="591">
        <v>6</v>
      </c>
      <c r="U1108" s="589"/>
      <c r="V1108" s="464"/>
      <c r="W1108" s="189"/>
    </row>
    <row r="1109" spans="1:23" ht="12.75" x14ac:dyDescent="0.2">
      <c r="A1109" s="189"/>
      <c r="B1109" s="371"/>
      <c r="C1109" s="189" t="b">
        <v>0</v>
      </c>
      <c r="D1109" s="54" t="str">
        <f ca="1">道具!$C$74</f>
        <v>增强回避的坚果（特大）</v>
      </c>
      <c r="E1109" s="371"/>
      <c r="F1109" s="371"/>
      <c r="G1109" s="371"/>
      <c r="H1109" s="371"/>
      <c r="I1109" s="371"/>
      <c r="J1109" s="371"/>
      <c r="K1109" s="371"/>
      <c r="L1109" s="371"/>
      <c r="M1109" s="371"/>
      <c r="N1109" s="371"/>
      <c r="O1109" s="371"/>
      <c r="P1109" s="371"/>
      <c r="Q1109" s="371"/>
      <c r="R1109" s="52"/>
      <c r="S1109" s="52" t="str">
        <f ca="1">Summon!$I$40</f>
        <v>乱挥</v>
      </c>
      <c r="T1109" s="371"/>
      <c r="U1109" s="371"/>
      <c r="V1109" s="371"/>
      <c r="W1109" s="189"/>
    </row>
    <row r="1110" spans="1:23" ht="12.75" x14ac:dyDescent="0.2">
      <c r="A1110" s="189"/>
      <c r="B1110" s="590"/>
      <c r="C1110" s="191" t="b">
        <v>0</v>
      </c>
      <c r="D1110" s="192" t="str">
        <f ca="1">道具!$C$77</f>
        <v>增强会心的坚果（特大）</v>
      </c>
      <c r="E1110" s="590"/>
      <c r="F1110" s="590"/>
      <c r="G1110" s="590"/>
      <c r="H1110" s="590"/>
      <c r="I1110" s="590"/>
      <c r="J1110" s="590"/>
      <c r="K1110" s="590"/>
      <c r="L1110" s="590"/>
      <c r="M1110" s="590"/>
      <c r="N1110" s="590"/>
      <c r="O1110" s="590"/>
      <c r="P1110" s="590"/>
      <c r="Q1110" s="590"/>
      <c r="R1110" s="193"/>
      <c r="S1110" s="193" t="str">
        <f ca="1">Summon!$I$4</f>
        <v>战斗</v>
      </c>
      <c r="T1110" s="590"/>
      <c r="U1110" s="590"/>
      <c r="V1110" s="590"/>
      <c r="W1110" s="189"/>
    </row>
    <row r="1111" spans="1:23" ht="12.75" x14ac:dyDescent="0.2">
      <c r="A1111" s="189"/>
      <c r="B1111" s="479" t="str">
        <f ca="1">语言!$A$2114</f>
        <v>剧场向导</v>
      </c>
      <c r="C1111" s="189" t="b">
        <v>0</v>
      </c>
      <c r="D1111" s="54" t="str">
        <f ca="1">道具!$C$31</f>
        <v>火之精灵石（大）</v>
      </c>
      <c r="E1111" s="589" t="b">
        <v>0</v>
      </c>
      <c r="F1111" s="464" t="str">
        <f ca="1">语言!$A$33&amp;"
"&amp;道具!$C$16</f>
        <v>隐藏道具的资讯
复活的橄榄（大）</v>
      </c>
      <c r="G1111" s="589" t="b">
        <v>0</v>
      </c>
      <c r="H1111" s="591" t="s">
        <v>50</v>
      </c>
      <c r="I1111" s="464">
        <v>4</v>
      </c>
      <c r="J1111" s="464"/>
      <c r="K1111" s="464"/>
      <c r="L1111" s="464"/>
      <c r="M1111" s="464"/>
      <c r="N1111" s="464"/>
      <c r="O1111" s="464" t="str">
        <f ca="1">道具!$C$32</f>
        <v>火之精灵石（特大）</v>
      </c>
      <c r="P1111" s="589"/>
      <c r="Q1111" s="591" t="s">
        <v>50</v>
      </c>
      <c r="R1111" s="52"/>
      <c r="S1111" s="52" t="str">
        <f ca="1">Summon!$I$40</f>
        <v>乱挥</v>
      </c>
      <c r="T1111" s="591">
        <v>7</v>
      </c>
      <c r="U1111" s="589"/>
      <c r="V1111" s="464"/>
      <c r="W1111" s="189"/>
    </row>
    <row r="1112" spans="1:23" ht="12.75" x14ac:dyDescent="0.2">
      <c r="A1112" s="189"/>
      <c r="B1112" s="371"/>
      <c r="C1112" s="189" t="b">
        <v>0</v>
      </c>
      <c r="D1112" s="54" t="str">
        <f ca="1">道具!$C$31</f>
        <v>火之精灵石（大）</v>
      </c>
      <c r="E1112" s="371"/>
      <c r="F1112" s="371"/>
      <c r="G1112" s="371"/>
      <c r="H1112" s="371"/>
      <c r="I1112" s="371"/>
      <c r="J1112" s="371"/>
      <c r="K1112" s="371"/>
      <c r="L1112" s="371"/>
      <c r="M1112" s="371"/>
      <c r="N1112" s="371"/>
      <c r="O1112" s="371"/>
      <c r="P1112" s="371"/>
      <c r="Q1112" s="371"/>
      <c r="R1112" s="52"/>
      <c r="S1112" s="52" t="str">
        <f ca="1">Summon!$I$34</f>
        <v>无双突刺</v>
      </c>
      <c r="T1112" s="371"/>
      <c r="U1112" s="371"/>
      <c r="V1112" s="371"/>
      <c r="W1112" s="189"/>
    </row>
    <row r="1113" spans="1:23" ht="12.75" x14ac:dyDescent="0.2">
      <c r="A1113" s="189"/>
      <c r="B1113" s="371"/>
      <c r="C1113" s="189" t="b">
        <v>0</v>
      </c>
      <c r="D1113" s="54" t="str">
        <f ca="1">道具!$C$32</f>
        <v>火之精灵石（特大）</v>
      </c>
      <c r="E1113" s="371"/>
      <c r="F1113" s="371"/>
      <c r="G1113" s="371"/>
      <c r="H1113" s="371"/>
      <c r="I1113" s="371"/>
      <c r="J1113" s="371"/>
      <c r="K1113" s="371"/>
      <c r="L1113" s="371"/>
      <c r="M1113" s="371"/>
      <c r="N1113" s="371"/>
      <c r="O1113" s="371"/>
      <c r="P1113" s="371"/>
      <c r="Q1113" s="371"/>
      <c r="R1113" s="52"/>
      <c r="S1113" s="52" t="str">
        <f ca="1">Summon!$I$4</f>
        <v>战斗</v>
      </c>
      <c r="T1113" s="371"/>
      <c r="U1113" s="371"/>
      <c r="V1113" s="371"/>
      <c r="W1113" s="189"/>
    </row>
    <row r="1114" spans="1:23" ht="12.75" x14ac:dyDescent="0.2">
      <c r="A1114" s="189"/>
      <c r="B1114" s="588" t="str">
        <f ca="1">语言!$A$405</f>
        <v>艾巴霍多 -大剧场-</v>
      </c>
      <c r="C1114" s="371"/>
      <c r="D1114" s="371"/>
      <c r="E1114" s="371"/>
      <c r="F1114" s="371"/>
      <c r="G1114" s="371"/>
      <c r="H1114" s="371"/>
      <c r="I1114" s="371"/>
      <c r="J1114" s="371"/>
      <c r="K1114" s="371"/>
      <c r="L1114" s="371"/>
      <c r="M1114" s="371"/>
      <c r="N1114" s="371"/>
      <c r="O1114" s="371"/>
      <c r="P1114" s="371"/>
      <c r="Q1114" s="371"/>
      <c r="R1114" s="371"/>
      <c r="S1114" s="371"/>
      <c r="T1114" s="371"/>
      <c r="U1114" s="371"/>
      <c r="V1114" s="371"/>
      <c r="W1114" s="189"/>
    </row>
    <row r="1115" spans="1:23" ht="12.75" x14ac:dyDescent="0.2">
      <c r="A1115" s="189"/>
      <c r="B1115" s="479" t="str">
        <f ca="1">语言!$A$2114</f>
        <v>剧场向导</v>
      </c>
      <c r="C1115" s="189" t="b">
        <v>0</v>
      </c>
      <c r="D1115" s="54" t="str">
        <f ca="1">道具!$C$40</f>
        <v>风之精灵石（大）</v>
      </c>
      <c r="E1115" s="589" t="b">
        <v>0</v>
      </c>
      <c r="F1115" s="464" t="str">
        <f ca="1">语言!$A$33&amp;"
"&amp;道具!$C$26</f>
        <v>隐藏道具的资讯
暗黑瓶</v>
      </c>
      <c r="G1115" s="589" t="b">
        <v>0</v>
      </c>
      <c r="H1115" s="591" t="s">
        <v>50</v>
      </c>
      <c r="I1115" s="464">
        <v>4</v>
      </c>
      <c r="J1115" s="464"/>
      <c r="K1115" s="464"/>
      <c r="L1115" s="464"/>
      <c r="M1115" s="464"/>
      <c r="N1115" s="464"/>
      <c r="O1115" s="464" t="str">
        <f ca="1">道具!$C$42</f>
        <v>风之精灵石（特大）</v>
      </c>
      <c r="P1115" s="589"/>
      <c r="Q1115" s="591" t="s">
        <v>50</v>
      </c>
      <c r="R1115" s="52"/>
      <c r="S1115" s="52" t="str">
        <f ca="1">Summon!$I$162</f>
        <v>速度下降</v>
      </c>
      <c r="T1115" s="591">
        <v>7</v>
      </c>
      <c r="U1115" s="589"/>
      <c r="V1115" s="464" t="str">
        <f ca="1">"NPC available upon starting "&amp;语言!$A$39&amp;" chapter 4"</f>
        <v>NPC available upon starting 普里姆萝洁 chapter 4</v>
      </c>
      <c r="W1115" s="189"/>
    </row>
    <row r="1116" spans="1:23" ht="12.75" x14ac:dyDescent="0.2">
      <c r="A1116" s="189"/>
      <c r="B1116" s="371"/>
      <c r="C1116" s="189" t="b">
        <v>0</v>
      </c>
      <c r="D1116" s="54" t="str">
        <f ca="1">道具!$C$40</f>
        <v>风之精灵石（大）</v>
      </c>
      <c r="E1116" s="371"/>
      <c r="F1116" s="371"/>
      <c r="G1116" s="371"/>
      <c r="H1116" s="371"/>
      <c r="I1116" s="371"/>
      <c r="J1116" s="371"/>
      <c r="K1116" s="371"/>
      <c r="L1116" s="371"/>
      <c r="M1116" s="371"/>
      <c r="N1116" s="371"/>
      <c r="O1116" s="371"/>
      <c r="P1116" s="371"/>
      <c r="Q1116" s="371"/>
      <c r="R1116" s="52"/>
      <c r="S1116" s="52" t="str">
        <f ca="1">Summon!$I$31</f>
        <v>要害突刺</v>
      </c>
      <c r="T1116" s="371"/>
      <c r="U1116" s="371"/>
      <c r="V1116" s="371"/>
      <c r="W1116" s="189"/>
    </row>
    <row r="1117" spans="1:23" ht="12.75" x14ac:dyDescent="0.2">
      <c r="A1117" s="189"/>
      <c r="B1117" s="590"/>
      <c r="C1117" s="191" t="b">
        <v>0</v>
      </c>
      <c r="D1117" s="192" t="str">
        <f ca="1">道具!$C$42</f>
        <v>风之精灵石（特大）</v>
      </c>
      <c r="E1117" s="590"/>
      <c r="F1117" s="590"/>
      <c r="G1117" s="590"/>
      <c r="H1117" s="590"/>
      <c r="I1117" s="590"/>
      <c r="J1117" s="590"/>
      <c r="K1117" s="590"/>
      <c r="L1117" s="590"/>
      <c r="M1117" s="590"/>
      <c r="N1117" s="590"/>
      <c r="O1117" s="590"/>
      <c r="P1117" s="590"/>
      <c r="Q1117" s="590"/>
      <c r="R1117" s="193"/>
      <c r="S1117" s="193" t="str">
        <f ca="1">Summon!$I$4</f>
        <v>战斗</v>
      </c>
      <c r="T1117" s="590"/>
      <c r="U1117" s="590"/>
      <c r="V1117" s="590"/>
      <c r="W1117" s="189"/>
    </row>
    <row r="1118" spans="1:23" ht="12.75" x14ac:dyDescent="0.2">
      <c r="A1118" s="189"/>
      <c r="B1118" s="479" t="str">
        <f ca="1">语言!$A$2114</f>
        <v>剧场向导</v>
      </c>
      <c r="C1118" s="189" t="b">
        <v>0</v>
      </c>
      <c r="D1118" s="54" t="str">
        <f ca="1">道具!$C$37</f>
        <v>雷之精灵石（大）</v>
      </c>
      <c r="E1118" s="589" t="b">
        <v>0</v>
      </c>
      <c r="F1118" s="464" t="str">
        <f ca="1">语言!$A$33&amp;"
"&amp;道具!$C$5</f>
        <v>隐藏道具的资讯
ＨＰ全体恢复的葡萄</v>
      </c>
      <c r="G1118" s="589" t="b">
        <v>0</v>
      </c>
      <c r="H1118" s="591" t="s">
        <v>50</v>
      </c>
      <c r="I1118" s="464">
        <v>4</v>
      </c>
      <c r="J1118" s="464"/>
      <c r="K1118" s="464"/>
      <c r="L1118" s="464"/>
      <c r="M1118" s="464"/>
      <c r="N1118" s="464"/>
      <c r="O1118" s="464" t="str">
        <f ca="1">道具!$C$20</f>
        <v>黑暗治疗药草</v>
      </c>
      <c r="P1118" s="589"/>
      <c r="Q1118" s="591" t="s">
        <v>50</v>
      </c>
      <c r="R1118" s="52"/>
      <c r="S1118" s="52" t="str">
        <f ca="1">Summon!$I$45</f>
        <v>失明猛击</v>
      </c>
      <c r="T1118" s="591">
        <v>7</v>
      </c>
      <c r="U1118" s="589"/>
      <c r="V1118" s="464" t="str">
        <f ca="1">"NPC available upon starting "&amp;语言!$A$39&amp;" chapter 4"</f>
        <v>NPC available upon starting 普里姆萝洁 chapter 4</v>
      </c>
      <c r="W1118" s="189"/>
    </row>
    <row r="1119" spans="1:23" ht="12.75" x14ac:dyDescent="0.2">
      <c r="A1119" s="189"/>
      <c r="B1119" s="371"/>
      <c r="C1119" s="189" t="b">
        <v>0</v>
      </c>
      <c r="D1119" s="54" t="str">
        <f ca="1">道具!$C$37</f>
        <v>雷之精灵石（大）</v>
      </c>
      <c r="E1119" s="371"/>
      <c r="F1119" s="371"/>
      <c r="G1119" s="371"/>
      <c r="H1119" s="371"/>
      <c r="I1119" s="371"/>
      <c r="J1119" s="371"/>
      <c r="K1119" s="371"/>
      <c r="L1119" s="371"/>
      <c r="M1119" s="371"/>
      <c r="N1119" s="371"/>
      <c r="O1119" s="371"/>
      <c r="P1119" s="371"/>
      <c r="Q1119" s="371"/>
      <c r="R1119" s="52"/>
      <c r="S1119" s="52" t="str">
        <f ca="1">Summon!$I$42</f>
        <v>猛击</v>
      </c>
      <c r="T1119" s="371"/>
      <c r="U1119" s="371"/>
      <c r="V1119" s="371"/>
      <c r="W1119" s="189"/>
    </row>
    <row r="1120" spans="1:23" ht="12.75" x14ac:dyDescent="0.2">
      <c r="A1120" s="189"/>
      <c r="B1120" s="590"/>
      <c r="C1120" s="191" t="b">
        <v>0</v>
      </c>
      <c r="D1120" s="192" t="str">
        <f ca="1">道具!$C$38</f>
        <v>雷之精灵石（特大）</v>
      </c>
      <c r="E1120" s="590"/>
      <c r="F1120" s="590"/>
      <c r="G1120" s="590"/>
      <c r="H1120" s="590"/>
      <c r="I1120" s="590"/>
      <c r="J1120" s="590"/>
      <c r="K1120" s="590"/>
      <c r="L1120" s="590"/>
      <c r="M1120" s="590"/>
      <c r="N1120" s="590"/>
      <c r="O1120" s="590"/>
      <c r="P1120" s="590"/>
      <c r="Q1120" s="590"/>
      <c r="R1120" s="193"/>
      <c r="S1120" s="193" t="str">
        <f ca="1">Summon!$I$4</f>
        <v>战斗</v>
      </c>
      <c r="T1120" s="590"/>
      <c r="U1120" s="590"/>
      <c r="V1120" s="590"/>
      <c r="W1120" s="189"/>
    </row>
    <row r="1121" spans="1:23" ht="12.75" x14ac:dyDescent="0.2">
      <c r="A1121" s="189"/>
      <c r="B1121" s="479" t="str">
        <f ca="1">语言!$A$2093&amp;" (1)"</f>
        <v>剧场管理人 (1)</v>
      </c>
      <c r="C1121" s="189" t="b">
        <v>0</v>
      </c>
      <c r="D1121" s="54" t="str">
        <f ca="1">道具!$C$8</f>
        <v>ＳＰ全体恢复的李子</v>
      </c>
      <c r="E1121" s="589" t="b">
        <v>0</v>
      </c>
      <c r="F1121" s="464" t="str">
        <f ca="1">语言!$A$23</f>
        <v>无</v>
      </c>
      <c r="G1121" s="589" t="b">
        <v>0</v>
      </c>
      <c r="H1121" s="591" t="s">
        <v>48</v>
      </c>
      <c r="I1121" s="464">
        <v>2</v>
      </c>
      <c r="J1121" s="464"/>
      <c r="K1121" s="464"/>
      <c r="L1121" s="464"/>
      <c r="M1121" s="464"/>
      <c r="N1121" s="464"/>
      <c r="O1121" s="464" t="str">
        <f ca="1">道具!$C$18</f>
        <v>毒治疗药草</v>
      </c>
      <c r="P1121" s="589"/>
      <c r="Q1121" s="591" t="s">
        <v>48</v>
      </c>
      <c r="R1121" s="52"/>
      <c r="S1121" s="52" t="str">
        <f ca="1">Summon!$I$72</f>
        <v>殴打</v>
      </c>
      <c r="T1121" s="591">
        <v>9</v>
      </c>
      <c r="U1121" s="589"/>
      <c r="V1121" s="464" t="str">
        <f ca="1">"NPC available upon starting quest: "&amp;支线!$C$91&amp;"
Moves to "&amp;语言!$A$429&amp;" after quest: "&amp;支线!$C$91</f>
        <v>NPC available upon starting quest: 克林姆王，在那之后
Moves to 马尔沙利姆 -王宫- after quest: 克林姆王，在那之后</v>
      </c>
      <c r="W1121" s="189"/>
    </row>
    <row r="1122" spans="1:23" ht="12.75" x14ac:dyDescent="0.2">
      <c r="A1122" s="189"/>
      <c r="B1122" s="371"/>
      <c r="C1122" s="189" t="b">
        <v>0</v>
      </c>
      <c r="D1122" s="54" t="str">
        <f ca="1">道具!$C$18</f>
        <v>毒治疗药草</v>
      </c>
      <c r="E1122" s="371"/>
      <c r="F1122" s="371"/>
      <c r="G1122" s="371"/>
      <c r="H1122" s="371"/>
      <c r="I1122" s="371"/>
      <c r="J1122" s="371"/>
      <c r="K1122" s="371"/>
      <c r="L1122" s="371"/>
      <c r="M1122" s="371"/>
      <c r="N1122" s="371"/>
      <c r="O1122" s="371"/>
      <c r="P1122" s="371"/>
      <c r="Q1122" s="371"/>
      <c r="R1122" s="52"/>
      <c r="S1122" s="52" t="str">
        <f ca="1">Summon!$I$4</f>
        <v>战斗</v>
      </c>
      <c r="T1122" s="371"/>
      <c r="U1122" s="371"/>
      <c r="V1122" s="371"/>
      <c r="W1122" s="189"/>
    </row>
    <row r="1123" spans="1:23" ht="12.75" x14ac:dyDescent="0.2">
      <c r="A1123" s="189"/>
      <c r="B1123" s="371"/>
      <c r="C1123" s="189" t="b">
        <v>0</v>
      </c>
      <c r="D1123" s="54" t="str">
        <f ca="1">道具!$C$473</f>
        <v>体力项链</v>
      </c>
      <c r="E1123" s="371"/>
      <c r="F1123" s="371"/>
      <c r="G1123" s="371"/>
      <c r="H1123" s="371"/>
      <c r="I1123" s="371"/>
      <c r="J1123" s="371"/>
      <c r="K1123" s="371"/>
      <c r="L1123" s="371"/>
      <c r="M1123" s="371"/>
      <c r="N1123" s="371"/>
      <c r="O1123" s="371"/>
      <c r="P1123" s="371"/>
      <c r="Q1123" s="371"/>
      <c r="R1123" s="52"/>
      <c r="S1123" s="52"/>
      <c r="T1123" s="371"/>
      <c r="U1123" s="371"/>
      <c r="V1123" s="371"/>
      <c r="W1123" s="189"/>
    </row>
    <row r="1124" spans="1:23" ht="12.75" x14ac:dyDescent="0.2">
      <c r="A1124" s="189"/>
      <c r="B1124" s="588" t="str">
        <f ca="1">语言!$A$405</f>
        <v>艾巴霍多 -大剧场-</v>
      </c>
      <c r="C1124" s="371"/>
      <c r="D1124" s="371"/>
      <c r="E1124" s="371"/>
      <c r="F1124" s="371"/>
      <c r="G1124" s="371"/>
      <c r="H1124" s="371"/>
      <c r="I1124" s="371"/>
      <c r="J1124" s="371"/>
      <c r="K1124" s="371"/>
      <c r="L1124" s="371"/>
      <c r="M1124" s="371"/>
      <c r="N1124" s="371"/>
      <c r="O1124" s="371"/>
      <c r="P1124" s="371"/>
      <c r="Q1124" s="371"/>
      <c r="R1124" s="371"/>
      <c r="S1124" s="371"/>
      <c r="T1124" s="371"/>
      <c r="U1124" s="371"/>
      <c r="V1124" s="371"/>
      <c r="W1124" s="189"/>
    </row>
    <row r="1125" spans="1:23" ht="12.75" x14ac:dyDescent="0.2">
      <c r="A1125" s="189"/>
      <c r="B1125" s="479" t="str">
        <f ca="1">语言!$A$2114</f>
        <v>剧场向导</v>
      </c>
      <c r="C1125" s="189" t="b">
        <v>0</v>
      </c>
      <c r="D1125" s="54" t="str">
        <f ca="1">道具!$C$34</f>
        <v>冰之精灵石（大）</v>
      </c>
      <c r="E1125" s="589" t="b">
        <v>0</v>
      </c>
      <c r="F1125" s="464" t="str">
        <f ca="1">语言!$A$30</f>
        <v>「诱惑」成功机率ＵＰ资讯</v>
      </c>
      <c r="G1125" s="589" t="b">
        <v>0</v>
      </c>
      <c r="H1125" s="591" t="s">
        <v>47</v>
      </c>
      <c r="I1125" s="464">
        <v>4</v>
      </c>
      <c r="J1125" s="464"/>
      <c r="K1125" s="464"/>
      <c r="L1125" s="464"/>
      <c r="M1125" s="464"/>
      <c r="N1125" s="464"/>
      <c r="O1125" s="464" t="str">
        <f ca="1">道具!$C$35</f>
        <v>冰之精灵石（特大）</v>
      </c>
      <c r="P1125" s="589"/>
      <c r="Q1125" s="591" t="s">
        <v>47</v>
      </c>
      <c r="R1125" s="52"/>
      <c r="S1125" s="52" t="str">
        <f ca="1">Summon!$I$174</f>
        <v>防御力提升</v>
      </c>
      <c r="T1125" s="591">
        <v>6</v>
      </c>
      <c r="U1125" s="589"/>
      <c r="V1125" s="464" t="str">
        <f ca="1">"NPC available upon starting "&amp;语言!$A$39&amp;" chapter 4"</f>
        <v>NPC available upon starting 普里姆萝洁 chapter 4</v>
      </c>
      <c r="W1125" s="189"/>
    </row>
    <row r="1126" spans="1:23" ht="12.75" x14ac:dyDescent="0.2">
      <c r="A1126" s="189"/>
      <c r="B1126" s="371"/>
      <c r="C1126" s="189" t="b">
        <v>0</v>
      </c>
      <c r="D1126" s="54" t="str">
        <f ca="1">道具!$C$34</f>
        <v>冰之精灵石（大）</v>
      </c>
      <c r="E1126" s="371"/>
      <c r="F1126" s="371"/>
      <c r="G1126" s="371"/>
      <c r="H1126" s="371"/>
      <c r="I1126" s="371"/>
      <c r="J1126" s="371"/>
      <c r="K1126" s="371"/>
      <c r="L1126" s="371"/>
      <c r="M1126" s="371"/>
      <c r="N1126" s="371"/>
      <c r="O1126" s="371"/>
      <c r="P1126" s="371"/>
      <c r="Q1126" s="371"/>
      <c r="R1126" s="52"/>
      <c r="S1126" s="52" t="str">
        <f ca="1">Summon!$I$53</f>
        <v>脑天击</v>
      </c>
      <c r="T1126" s="371"/>
      <c r="U1126" s="371"/>
      <c r="V1126" s="371"/>
      <c r="W1126" s="189"/>
    </row>
    <row r="1127" spans="1:23" ht="12.75" x14ac:dyDescent="0.2">
      <c r="A1127" s="189"/>
      <c r="B1127" s="590"/>
      <c r="C1127" s="191" t="b">
        <v>0</v>
      </c>
      <c r="D1127" s="192" t="str">
        <f ca="1">道具!$C$35</f>
        <v>冰之精灵石（特大）</v>
      </c>
      <c r="E1127" s="590"/>
      <c r="F1127" s="590"/>
      <c r="G1127" s="590"/>
      <c r="H1127" s="590"/>
      <c r="I1127" s="590"/>
      <c r="J1127" s="590"/>
      <c r="K1127" s="590"/>
      <c r="L1127" s="590"/>
      <c r="M1127" s="590"/>
      <c r="N1127" s="590"/>
      <c r="O1127" s="590"/>
      <c r="P1127" s="590"/>
      <c r="Q1127" s="590"/>
      <c r="R1127" s="193"/>
      <c r="S1127" s="193" t="str">
        <f ca="1">Summon!$I$4</f>
        <v>战斗</v>
      </c>
      <c r="T1127" s="590"/>
      <c r="U1127" s="590"/>
      <c r="V1127" s="590"/>
      <c r="W1127" s="189"/>
    </row>
    <row r="1128" spans="1:23" ht="12.75" x14ac:dyDescent="0.2">
      <c r="A1128" s="189"/>
      <c r="B1128" s="479" t="str">
        <f ca="1">语言!$A$2114</f>
        <v>剧场向导</v>
      </c>
      <c r="C1128" s="189" t="b">
        <v>0</v>
      </c>
      <c r="D1128" s="54" t="str">
        <f ca="1">道具!$C$44</f>
        <v>光之精灵石（大）</v>
      </c>
      <c r="E1128" s="589" t="b">
        <v>0</v>
      </c>
      <c r="F1128" s="464" t="str">
        <f ca="1">语言!$A$26</f>
        <v>「偷取」成功机率ＵＰ资讯</v>
      </c>
      <c r="G1128" s="589" t="b">
        <v>0</v>
      </c>
      <c r="H1128" s="591" t="s">
        <v>47</v>
      </c>
      <c r="I1128" s="464">
        <v>5</v>
      </c>
      <c r="J1128" s="464"/>
      <c r="K1128" s="464"/>
      <c r="L1128" s="464"/>
      <c r="M1128" s="464"/>
      <c r="N1128" s="464"/>
      <c r="O1128" s="464" t="str">
        <f ca="1">道具!$C$312</f>
        <v>陨石杖</v>
      </c>
      <c r="P1128" s="589"/>
      <c r="Q1128" s="591" t="s">
        <v>47</v>
      </c>
      <c r="R1128" s="52"/>
      <c r="S1128" s="52" t="str">
        <f ca="1">Summon!$I$160</f>
        <v>精神下降</v>
      </c>
      <c r="T1128" s="591">
        <v>6</v>
      </c>
      <c r="U1128" s="589"/>
      <c r="V1128" s="464" t="str">
        <f ca="1">"NPC available upon starting "&amp;语言!$A$39&amp;" chapter 4"</f>
        <v>NPC available upon starting 普里姆萝洁 chapter 4</v>
      </c>
      <c r="W1128" s="189"/>
    </row>
    <row r="1129" spans="1:23" ht="12.75" x14ac:dyDescent="0.2">
      <c r="A1129" s="189"/>
      <c r="B1129" s="371"/>
      <c r="C1129" s="189" t="b">
        <v>0</v>
      </c>
      <c r="D1129" s="54" t="str">
        <f ca="1">道具!$C$44</f>
        <v>光之精灵石（大）</v>
      </c>
      <c r="E1129" s="371"/>
      <c r="F1129" s="371"/>
      <c r="G1129" s="371"/>
      <c r="H1129" s="371"/>
      <c r="I1129" s="371"/>
      <c r="J1129" s="371"/>
      <c r="K1129" s="371"/>
      <c r="L1129" s="371"/>
      <c r="M1129" s="371"/>
      <c r="N1129" s="371"/>
      <c r="O1129" s="371"/>
      <c r="P1129" s="371"/>
      <c r="Q1129" s="371"/>
      <c r="R1129" s="52"/>
      <c r="S1129" s="52" t="str">
        <f ca="1">Summon!$I$87</f>
        <v>大冰冻魔法</v>
      </c>
      <c r="T1129" s="371"/>
      <c r="U1129" s="371"/>
      <c r="V1129" s="371"/>
      <c r="W1129" s="189"/>
    </row>
    <row r="1130" spans="1:23" ht="12.75" x14ac:dyDescent="0.2">
      <c r="A1130" s="189"/>
      <c r="B1130" s="371"/>
      <c r="C1130" s="189" t="b">
        <v>0</v>
      </c>
      <c r="D1130" s="54" t="str">
        <f ca="1">道具!$C$45</f>
        <v>光之精灵石（特大）</v>
      </c>
      <c r="E1130" s="371"/>
      <c r="F1130" s="371"/>
      <c r="G1130" s="371"/>
      <c r="H1130" s="371"/>
      <c r="I1130" s="371"/>
      <c r="J1130" s="371"/>
      <c r="K1130" s="371"/>
      <c r="L1130" s="371"/>
      <c r="M1130" s="371"/>
      <c r="N1130" s="371"/>
      <c r="O1130" s="371"/>
      <c r="P1130" s="371"/>
      <c r="Q1130" s="371"/>
      <c r="R1130" s="52"/>
      <c r="S1130" s="52" t="str">
        <f ca="1">Summon!$I$4</f>
        <v>战斗</v>
      </c>
      <c r="T1130" s="371"/>
      <c r="U1130" s="371"/>
      <c r="V1130" s="371"/>
      <c r="W1130" s="189"/>
    </row>
    <row r="1131" spans="1:23" ht="12.75" x14ac:dyDescent="0.2">
      <c r="A1131" s="189"/>
      <c r="B1131" s="205"/>
      <c r="C1131" s="189"/>
      <c r="D1131" s="205"/>
      <c r="E1131" s="189"/>
      <c r="F1131" s="189"/>
      <c r="G1131" s="189"/>
      <c r="H1131" s="206"/>
      <c r="I1131" s="189"/>
      <c r="J1131" s="189"/>
      <c r="K1131" s="189"/>
      <c r="L1131" s="189"/>
      <c r="M1131" s="189"/>
      <c r="N1131" s="189"/>
      <c r="O1131" s="189"/>
      <c r="P1131" s="189"/>
      <c r="Q1131" s="206"/>
      <c r="R1131" s="189"/>
      <c r="S1131" s="189"/>
      <c r="T1131" s="206"/>
      <c r="U1131" s="189"/>
      <c r="V1131" s="189"/>
      <c r="W1131" s="189"/>
    </row>
    <row r="1132" spans="1:23" ht="23.25" x14ac:dyDescent="0.2">
      <c r="A1132" s="600" t="str">
        <f ca="1">语言!$A$413</f>
        <v>桑兰多地区</v>
      </c>
      <c r="B1132" s="371"/>
      <c r="C1132" s="599"/>
      <c r="D1132" s="371"/>
      <c r="E1132" s="371"/>
      <c r="F1132" s="371"/>
      <c r="G1132" s="371"/>
      <c r="H1132" s="371"/>
      <c r="I1132" s="371"/>
      <c r="J1132" s="371"/>
      <c r="K1132" s="371"/>
      <c r="L1132" s="371"/>
      <c r="M1132" s="371"/>
      <c r="N1132" s="371"/>
      <c r="O1132" s="371"/>
      <c r="P1132" s="371"/>
      <c r="Q1132" s="371"/>
      <c r="R1132" s="371"/>
      <c r="S1132" s="371"/>
      <c r="T1132" s="371"/>
      <c r="U1132" s="371"/>
      <c r="V1132" s="371"/>
      <c r="W1132" s="371"/>
    </row>
    <row r="1133" spans="1:23" ht="18" x14ac:dyDescent="0.2">
      <c r="A1133" s="207"/>
      <c r="B1133" s="572" t="str">
        <f ca="1">语言!$A$323&amp;" 1"</f>
        <v>Tier 1</v>
      </c>
      <c r="C1133" s="371"/>
      <c r="D1133" s="371"/>
      <c r="E1133" s="371"/>
      <c r="F1133" s="371"/>
      <c r="G1133" s="371"/>
      <c r="H1133" s="371"/>
      <c r="I1133" s="371"/>
      <c r="J1133" s="371"/>
      <c r="K1133" s="371"/>
      <c r="L1133" s="371"/>
      <c r="M1133" s="371"/>
      <c r="N1133" s="371"/>
      <c r="O1133" s="371"/>
      <c r="P1133" s="371"/>
      <c r="Q1133" s="371"/>
      <c r="R1133" s="371"/>
      <c r="S1133" s="371"/>
      <c r="T1133" s="371"/>
      <c r="U1133" s="371"/>
      <c r="V1133" s="371"/>
      <c r="W1133" s="207"/>
    </row>
    <row r="1134" spans="1:23" ht="12.75" x14ac:dyDescent="0.2">
      <c r="A1134" s="208"/>
      <c r="B1134" s="571" t="str">
        <f ca="1">语言!$A$414</f>
        <v>桑谢德</v>
      </c>
      <c r="C1134" s="371"/>
      <c r="D1134" s="371"/>
      <c r="E1134" s="371"/>
      <c r="F1134" s="371"/>
      <c r="G1134" s="371"/>
      <c r="H1134" s="371"/>
      <c r="I1134" s="371"/>
      <c r="J1134" s="371"/>
      <c r="K1134" s="371"/>
      <c r="L1134" s="371"/>
      <c r="M1134" s="371"/>
      <c r="N1134" s="371"/>
      <c r="O1134" s="371"/>
      <c r="P1134" s="371"/>
      <c r="Q1134" s="371"/>
      <c r="R1134" s="371"/>
      <c r="S1134" s="371"/>
      <c r="T1134" s="371"/>
      <c r="U1134" s="371"/>
      <c r="V1134" s="371"/>
      <c r="W1134" s="208"/>
    </row>
    <row r="1135" spans="1:23" ht="12.75" x14ac:dyDescent="0.2">
      <c r="A1135" s="208"/>
      <c r="B1135" s="400" t="str">
        <f ca="1">语言!$A$2014</f>
        <v>老人</v>
      </c>
      <c r="C1135" s="567" t="b">
        <v>0</v>
      </c>
      <c r="D1135" s="400" t="str">
        <f ca="1">道具!$C$500</f>
        <v>察知耳环</v>
      </c>
      <c r="E1135" s="567" t="b">
        <v>0</v>
      </c>
      <c r="F1135" s="395" t="str">
        <f ca="1">语言!$A$23</f>
        <v>无</v>
      </c>
      <c r="G1135" s="567" t="b">
        <v>0</v>
      </c>
      <c r="H1135" s="569" t="s">
        <v>48</v>
      </c>
      <c r="I1135" s="395">
        <v>2</v>
      </c>
      <c r="J1135" s="395"/>
      <c r="K1135" s="395"/>
      <c r="L1135" s="395"/>
      <c r="M1135" s="395"/>
      <c r="N1135" s="395"/>
      <c r="O1135" s="395" t="str">
        <f ca="1">道具!$C$26</f>
        <v>暗黑瓶</v>
      </c>
      <c r="P1135" s="567"/>
      <c r="Q1135" s="569" t="s">
        <v>48</v>
      </c>
      <c r="R1135" s="58"/>
      <c r="S1135" s="58" t="str">
        <f ca="1">Summon!$I$40</f>
        <v>乱挥</v>
      </c>
      <c r="T1135" s="569">
        <v>9</v>
      </c>
      <c r="U1135" s="567"/>
      <c r="V1135" s="395"/>
      <c r="W1135" s="208"/>
    </row>
    <row r="1136" spans="1:23" ht="12.75" x14ac:dyDescent="0.2">
      <c r="A1136" s="208"/>
      <c r="B1136" s="371"/>
      <c r="C1136" s="371"/>
      <c r="D1136" s="371"/>
      <c r="E1136" s="371"/>
      <c r="F1136" s="371"/>
      <c r="G1136" s="371"/>
      <c r="H1136" s="371"/>
      <c r="I1136" s="371"/>
      <c r="J1136" s="371"/>
      <c r="K1136" s="371"/>
      <c r="L1136" s="371"/>
      <c r="M1136" s="371"/>
      <c r="N1136" s="371"/>
      <c r="O1136" s="371"/>
      <c r="P1136" s="371"/>
      <c r="Q1136" s="371"/>
      <c r="R1136" s="58"/>
      <c r="S1136" s="58" t="str">
        <f ca="1">Summon!$I$34</f>
        <v>无双突刺</v>
      </c>
      <c r="T1136" s="371"/>
      <c r="U1136" s="371"/>
      <c r="V1136" s="371"/>
      <c r="W1136" s="208"/>
    </row>
    <row r="1137" spans="1:23" ht="12.75" x14ac:dyDescent="0.2">
      <c r="A1137" s="208"/>
      <c r="B1137" s="568"/>
      <c r="C1137" s="568"/>
      <c r="D1137" s="568"/>
      <c r="E1137" s="568"/>
      <c r="F1137" s="568"/>
      <c r="G1137" s="568"/>
      <c r="H1137" s="568"/>
      <c r="I1137" s="568"/>
      <c r="J1137" s="568"/>
      <c r="K1137" s="568"/>
      <c r="L1137" s="568"/>
      <c r="M1137" s="568"/>
      <c r="N1137" s="568"/>
      <c r="O1137" s="568"/>
      <c r="P1137" s="568"/>
      <c r="Q1137" s="568"/>
      <c r="R1137" s="209"/>
      <c r="S1137" s="209" t="str">
        <f ca="1">Summon!$I$4</f>
        <v>战斗</v>
      </c>
      <c r="T1137" s="568"/>
      <c r="U1137" s="568"/>
      <c r="V1137" s="568"/>
      <c r="W1137" s="208"/>
    </row>
    <row r="1138" spans="1:23" ht="12.75" x14ac:dyDescent="0.2">
      <c r="A1138" s="208"/>
      <c r="B1138" s="400" t="str">
        <f ca="1">语言!$A$1924</f>
        <v>干劲十足的主妇</v>
      </c>
      <c r="C1138" s="208" t="b">
        <v>0</v>
      </c>
      <c r="D1138" s="59" t="str">
        <f ca="1">道具!$C$21</f>
        <v>混乱治疗药草</v>
      </c>
      <c r="E1138" s="567" t="b">
        <v>0</v>
      </c>
      <c r="F1138" s="395" t="str">
        <f ca="1">语言!$A$23</f>
        <v>无</v>
      </c>
      <c r="G1138" s="567" t="b">
        <v>0</v>
      </c>
      <c r="H1138" s="569" t="s">
        <v>45</v>
      </c>
      <c r="I1138" s="395">
        <v>2</v>
      </c>
      <c r="J1138" s="395"/>
      <c r="K1138" s="395"/>
      <c r="L1138" s="395"/>
      <c r="M1138" s="395"/>
      <c r="N1138" s="395"/>
      <c r="O1138" s="395" t="str">
        <f ca="1">道具!$C$39</f>
        <v>风之精灵石</v>
      </c>
      <c r="P1138" s="567"/>
      <c r="Q1138" s="569" t="s">
        <v>45</v>
      </c>
      <c r="R1138" s="395"/>
      <c r="S1138" s="395" t="str">
        <f ca="1">Summon!$I$47</f>
        <v>恐慌猛击</v>
      </c>
      <c r="T1138" s="569">
        <v>9</v>
      </c>
      <c r="U1138" s="567"/>
      <c r="V1138" s="395" t="str">
        <f ca="1">"NPC available after "&amp;语言!$A$39&amp;" chapter 1"</f>
        <v>NPC available after 普里姆萝洁 chapter 1</v>
      </c>
      <c r="W1138" s="208"/>
    </row>
    <row r="1139" spans="1:23" ht="12.75" x14ac:dyDescent="0.2">
      <c r="A1139" s="208"/>
      <c r="B1139" s="371"/>
      <c r="C1139" s="208" t="b">
        <v>0</v>
      </c>
      <c r="D1139" s="59" t="str">
        <f ca="1">道具!$C$22</f>
        <v>睡眠治疗药草</v>
      </c>
      <c r="E1139" s="371"/>
      <c r="F1139" s="371"/>
      <c r="G1139" s="371"/>
      <c r="H1139" s="371"/>
      <c r="I1139" s="371"/>
      <c r="J1139" s="371"/>
      <c r="K1139" s="371"/>
      <c r="L1139" s="371"/>
      <c r="M1139" s="371"/>
      <c r="N1139" s="371"/>
      <c r="O1139" s="371"/>
      <c r="P1139" s="371"/>
      <c r="Q1139" s="371"/>
      <c r="R1139" s="371"/>
      <c r="S1139" s="371"/>
      <c r="T1139" s="371"/>
      <c r="U1139" s="371"/>
      <c r="V1139" s="371"/>
      <c r="W1139" s="208"/>
    </row>
    <row r="1140" spans="1:23" ht="12.75" x14ac:dyDescent="0.2">
      <c r="A1140" s="208"/>
      <c r="B1140" s="371"/>
      <c r="C1140" s="208" t="b">
        <v>0</v>
      </c>
      <c r="D1140" s="59" t="str">
        <f ca="1">道具!$C$23</f>
        <v>恐怖治疗药草</v>
      </c>
      <c r="E1140" s="371"/>
      <c r="F1140" s="371"/>
      <c r="G1140" s="371"/>
      <c r="H1140" s="371"/>
      <c r="I1140" s="371"/>
      <c r="J1140" s="371"/>
      <c r="K1140" s="371"/>
      <c r="L1140" s="371"/>
      <c r="M1140" s="371"/>
      <c r="N1140" s="371"/>
      <c r="O1140" s="371"/>
      <c r="P1140" s="371"/>
      <c r="Q1140" s="371"/>
      <c r="R1140" s="395"/>
      <c r="S1140" s="395" t="str">
        <f ca="1">Summon!$I$4</f>
        <v>战斗</v>
      </c>
      <c r="T1140" s="371"/>
      <c r="U1140" s="371"/>
      <c r="V1140" s="371"/>
      <c r="W1140" s="208"/>
    </row>
    <row r="1141" spans="1:23" ht="12.75" x14ac:dyDescent="0.2">
      <c r="A1141" s="208"/>
      <c r="B1141" s="568"/>
      <c r="C1141" s="210" t="b">
        <v>0</v>
      </c>
      <c r="D1141" s="211" t="str">
        <f ca="1">道具!$C$24</f>
        <v>昏迷治疗药草</v>
      </c>
      <c r="E1141" s="568"/>
      <c r="F1141" s="568"/>
      <c r="G1141" s="568"/>
      <c r="H1141" s="568"/>
      <c r="I1141" s="568"/>
      <c r="J1141" s="568"/>
      <c r="K1141" s="568"/>
      <c r="L1141" s="568"/>
      <c r="M1141" s="568"/>
      <c r="N1141" s="568"/>
      <c r="O1141" s="568"/>
      <c r="P1141" s="568"/>
      <c r="Q1141" s="568"/>
      <c r="R1141" s="568"/>
      <c r="S1141" s="568"/>
      <c r="T1141" s="568"/>
      <c r="U1141" s="568"/>
      <c r="V1141" s="568"/>
      <c r="W1141" s="208"/>
    </row>
    <row r="1142" spans="1:23" ht="12.75" x14ac:dyDescent="0.2">
      <c r="A1142" s="208"/>
      <c r="B1142" s="400" t="str">
        <f ca="1">语言!$A$2102</f>
        <v>市民</v>
      </c>
      <c r="C1142" s="208" t="b">
        <v>0</v>
      </c>
      <c r="D1142" s="59" t="str">
        <f ca="1">道具!$C$6</f>
        <v>ＳＰ恢复的李子</v>
      </c>
      <c r="E1142" s="567" t="b">
        <v>0</v>
      </c>
      <c r="F1142" s="395" t="str">
        <f ca="1">语言!$A$28</f>
        <v>武器店商品追加资讯</v>
      </c>
      <c r="G1142" s="567" t="b">
        <v>0</v>
      </c>
      <c r="H1142" s="569" t="s">
        <v>45</v>
      </c>
      <c r="I1142" s="395">
        <v>2</v>
      </c>
      <c r="J1142" s="395"/>
      <c r="K1142" s="395"/>
      <c r="L1142" s="395"/>
      <c r="M1142" s="395"/>
      <c r="N1142" s="395"/>
      <c r="O1142" s="395" t="str">
        <f ca="1">道具!$C$6</f>
        <v>ＳＰ恢复的李子</v>
      </c>
      <c r="P1142" s="567"/>
      <c r="Q1142" s="570" t="s">
        <v>119</v>
      </c>
      <c r="R1142" s="570" t="s">
        <v>119</v>
      </c>
      <c r="S1142" s="570" t="s">
        <v>119</v>
      </c>
      <c r="T1142" s="570" t="s">
        <v>119</v>
      </c>
      <c r="U1142" s="567"/>
      <c r="V1142" s="395"/>
      <c r="W1142" s="208"/>
    </row>
    <row r="1143" spans="1:23" ht="12.75" x14ac:dyDescent="0.2">
      <c r="A1143" s="208"/>
      <c r="B1143" s="568"/>
      <c r="C1143" s="210" t="b">
        <v>0</v>
      </c>
      <c r="D1143" s="211" t="str">
        <f ca="1">道具!$C$393</f>
        <v>铁制头盔</v>
      </c>
      <c r="E1143" s="568"/>
      <c r="F1143" s="568"/>
      <c r="G1143" s="568"/>
      <c r="H1143" s="568"/>
      <c r="I1143" s="568"/>
      <c r="J1143" s="568"/>
      <c r="K1143" s="568"/>
      <c r="L1143" s="568"/>
      <c r="M1143" s="568"/>
      <c r="N1143" s="568"/>
      <c r="O1143" s="568"/>
      <c r="P1143" s="568"/>
      <c r="Q1143" s="568"/>
      <c r="R1143" s="568"/>
      <c r="S1143" s="568"/>
      <c r="T1143" s="568"/>
      <c r="U1143" s="568"/>
      <c r="V1143" s="568"/>
      <c r="W1143" s="208"/>
    </row>
    <row r="1144" spans="1:23" ht="12.75" x14ac:dyDescent="0.2">
      <c r="A1144" s="208"/>
      <c r="B1144" s="400" t="str">
        <f ca="1">语言!$A$2065</f>
        <v>体弱多病的少女</v>
      </c>
      <c r="C1144" s="208" t="b">
        <v>0</v>
      </c>
      <c r="D1144" s="59" t="str">
        <f ca="1">道具!$C$86</f>
        <v>手帕</v>
      </c>
      <c r="E1144" s="567" t="b">
        <v>0</v>
      </c>
      <c r="F1144" s="395" t="str">
        <f ca="1">语言!$A$23</f>
        <v>无</v>
      </c>
      <c r="G1144" s="567"/>
      <c r="H1144" s="570" t="s">
        <v>119</v>
      </c>
      <c r="I1144" s="570" t="s">
        <v>119</v>
      </c>
      <c r="J1144" s="570" t="s">
        <v>119</v>
      </c>
      <c r="K1144" s="570" t="s">
        <v>119</v>
      </c>
      <c r="L1144" s="570" t="s">
        <v>119</v>
      </c>
      <c r="M1144" s="570" t="s">
        <v>119</v>
      </c>
      <c r="N1144" s="570" t="s">
        <v>119</v>
      </c>
      <c r="O1144" s="570" t="s">
        <v>119</v>
      </c>
      <c r="P1144" s="567"/>
      <c r="Q1144" s="570" t="s">
        <v>119</v>
      </c>
      <c r="R1144" s="570" t="s">
        <v>119</v>
      </c>
      <c r="S1144" s="570" t="s">
        <v>119</v>
      </c>
      <c r="T1144" s="570" t="s">
        <v>119</v>
      </c>
      <c r="U1144" s="567"/>
      <c r="V1144" s="395" t="str">
        <f ca="1">"NPC available after "&amp;语言!$A$39&amp;" chapter 1"</f>
        <v>NPC available after 普里姆萝洁 chapter 1</v>
      </c>
      <c r="W1144" s="208"/>
    </row>
    <row r="1145" spans="1:23" ht="12.75" x14ac:dyDescent="0.2">
      <c r="A1145" s="208"/>
      <c r="B1145" s="568"/>
      <c r="C1145" s="210" t="b">
        <v>0</v>
      </c>
      <c r="D1145" s="211" t="str">
        <f ca="1">道具!$C$84</f>
        <v>糖果</v>
      </c>
      <c r="E1145" s="568"/>
      <c r="F1145" s="568"/>
      <c r="G1145" s="568"/>
      <c r="H1145" s="568"/>
      <c r="I1145" s="568"/>
      <c r="J1145" s="568"/>
      <c r="K1145" s="568"/>
      <c r="L1145" s="568"/>
      <c r="M1145" s="568"/>
      <c r="N1145" s="568"/>
      <c r="O1145" s="568"/>
      <c r="P1145" s="568"/>
      <c r="Q1145" s="568"/>
      <c r="R1145" s="568"/>
      <c r="S1145" s="568"/>
      <c r="T1145" s="568"/>
      <c r="U1145" s="568"/>
      <c r="V1145" s="568"/>
      <c r="W1145" s="208"/>
    </row>
    <row r="1146" spans="1:23" ht="12.75" x14ac:dyDescent="0.2">
      <c r="A1146" s="208"/>
      <c r="B1146" s="400" t="str">
        <f ca="1">语言!$A$2033</f>
        <v>体弱多病少女的母亲</v>
      </c>
      <c r="C1146" s="208" t="b">
        <v>0</v>
      </c>
      <c r="D1146" s="59" t="str">
        <f ca="1">道具!$C$528</f>
        <v>药的素材</v>
      </c>
      <c r="E1146" s="567" t="b">
        <v>0</v>
      </c>
      <c r="F1146" s="395" t="str">
        <f ca="1">语言!$A$23</f>
        <v>无</v>
      </c>
      <c r="G1146" s="567" t="b">
        <v>0</v>
      </c>
      <c r="H1146" s="569" t="s">
        <v>45</v>
      </c>
      <c r="I1146" s="395">
        <v>2</v>
      </c>
      <c r="J1146" s="395"/>
      <c r="K1146" s="395"/>
      <c r="L1146" s="395"/>
      <c r="M1146" s="395"/>
      <c r="N1146" s="395"/>
      <c r="O1146" s="395" t="str">
        <f ca="1">道具!$C$6</f>
        <v>ＳＰ恢复的李子</v>
      </c>
      <c r="P1146" s="567"/>
      <c r="Q1146" s="569" t="s">
        <v>45</v>
      </c>
      <c r="R1146" s="58"/>
      <c r="S1146" s="58" t="str">
        <f ca="1">Summon!$I$40</f>
        <v>乱挥</v>
      </c>
      <c r="T1146" s="569">
        <v>9</v>
      </c>
      <c r="U1146" s="567"/>
      <c r="V1146" s="395" t="str">
        <f ca="1">"NPC available after "&amp;语言!$A$39&amp;" chapter 1"</f>
        <v>NPC available after 普里姆萝洁 chapter 1</v>
      </c>
      <c r="W1146" s="208"/>
    </row>
    <row r="1147" spans="1:23" ht="12.75" x14ac:dyDescent="0.2">
      <c r="A1147" s="208"/>
      <c r="B1147" s="371"/>
      <c r="C1147" s="208" t="b">
        <v>0</v>
      </c>
      <c r="D1147" s="59" t="str">
        <f ca="1">道具!$C$529</f>
        <v>药的素材（扩散）</v>
      </c>
      <c r="E1147" s="371"/>
      <c r="F1147" s="371"/>
      <c r="G1147" s="371"/>
      <c r="H1147" s="371"/>
      <c r="I1147" s="371"/>
      <c r="J1147" s="371"/>
      <c r="K1147" s="371"/>
      <c r="L1147" s="371"/>
      <c r="M1147" s="371"/>
      <c r="N1147" s="371"/>
      <c r="O1147" s="371"/>
      <c r="P1147" s="371"/>
      <c r="Q1147" s="371"/>
      <c r="R1147" s="58"/>
      <c r="S1147" s="58" t="str">
        <f ca="1">Summon!$I$4</f>
        <v>战斗</v>
      </c>
      <c r="T1147" s="371"/>
      <c r="U1147" s="371"/>
      <c r="V1147" s="371"/>
      <c r="W1147" s="208"/>
    </row>
    <row r="1148" spans="1:23" ht="12.75" x14ac:dyDescent="0.2">
      <c r="A1148" s="208"/>
      <c r="B1148" s="568"/>
      <c r="C1148" s="210" t="b">
        <v>0</v>
      </c>
      <c r="D1148" s="211" t="str">
        <f ca="1">道具!$C$538</f>
        <v>睡眠花之叶</v>
      </c>
      <c r="E1148" s="568"/>
      <c r="F1148" s="568"/>
      <c r="G1148" s="568"/>
      <c r="H1148" s="568"/>
      <c r="I1148" s="568"/>
      <c r="J1148" s="568"/>
      <c r="K1148" s="568"/>
      <c r="L1148" s="568"/>
      <c r="M1148" s="568"/>
      <c r="N1148" s="568"/>
      <c r="O1148" s="568"/>
      <c r="P1148" s="568"/>
      <c r="Q1148" s="568"/>
      <c r="R1148" s="209"/>
      <c r="S1148" s="209"/>
      <c r="T1148" s="568"/>
      <c r="U1148" s="568"/>
      <c r="V1148" s="568"/>
      <c r="W1148" s="208"/>
    </row>
    <row r="1149" spans="1:23" ht="12.75" x14ac:dyDescent="0.2">
      <c r="A1149" s="208"/>
      <c r="B1149" s="211" t="str">
        <f ca="1">语言!$A$1915</f>
        <v>海莲娜</v>
      </c>
      <c r="C1149" s="210" t="b">
        <v>0</v>
      </c>
      <c r="D1149" s="211" t="str">
        <f ca="1">道具!$C$55</f>
        <v>增强ＳＰ的坚果（特大）</v>
      </c>
      <c r="E1149" s="210" t="b">
        <v>0</v>
      </c>
      <c r="F1149" s="209" t="str">
        <f ca="1">语言!$A$23</f>
        <v>无</v>
      </c>
      <c r="G1149" s="210"/>
      <c r="H1149" s="213" t="s">
        <v>119</v>
      </c>
      <c r="I1149" s="213" t="s">
        <v>119</v>
      </c>
      <c r="J1149" s="213" t="s">
        <v>119</v>
      </c>
      <c r="K1149" s="213" t="s">
        <v>119</v>
      </c>
      <c r="L1149" s="213" t="s">
        <v>119</v>
      </c>
      <c r="M1149" s="213" t="s">
        <v>119</v>
      </c>
      <c r="N1149" s="213" t="s">
        <v>119</v>
      </c>
      <c r="O1149" s="213" t="s">
        <v>119</v>
      </c>
      <c r="P1149" s="210"/>
      <c r="Q1149" s="213" t="s">
        <v>119</v>
      </c>
      <c r="R1149" s="213" t="s">
        <v>119</v>
      </c>
      <c r="S1149" s="213" t="s">
        <v>119</v>
      </c>
      <c r="T1149" s="213" t="s">
        <v>119</v>
      </c>
      <c r="U1149" s="210"/>
      <c r="V1149" s="209" t="str">
        <f ca="1">"NPC available after "&amp;语言!$A$39&amp;" chapter 4"</f>
        <v>NPC available after 普里姆萝洁 chapter 4</v>
      </c>
      <c r="W1149" s="208"/>
    </row>
    <row r="1150" spans="1:23" ht="12.75" x14ac:dyDescent="0.2">
      <c r="A1150" s="208"/>
      <c r="B1150" s="400" t="str">
        <f ca="1">语言!$A$1971</f>
        <v>管理人的手下</v>
      </c>
      <c r="C1150" s="208" t="b">
        <v>0</v>
      </c>
      <c r="D1150" s="59" t="str">
        <f ca="1">道具!$C$30</f>
        <v>火之精灵石</v>
      </c>
      <c r="E1150" s="567" t="b">
        <v>0</v>
      </c>
      <c r="F1150" s="395" t="str">
        <f ca="1">语言!$A$33&amp;"
"&amp;道具!$C$120</f>
        <v>隐藏道具的资讯
放了银块的皮袋</v>
      </c>
      <c r="G1150" s="567" t="b">
        <v>0</v>
      </c>
      <c r="H1150" s="569" t="s">
        <v>45</v>
      </c>
      <c r="I1150" s="395">
        <v>2</v>
      </c>
      <c r="J1150" s="395"/>
      <c r="K1150" s="395"/>
      <c r="L1150" s="395"/>
      <c r="M1150" s="395"/>
      <c r="N1150" s="395"/>
      <c r="O1150" s="395" t="str">
        <f ca="1">道具!$C$29</f>
        <v>睡眠瓶</v>
      </c>
      <c r="P1150" s="567"/>
      <c r="Q1150" s="569" t="s">
        <v>45</v>
      </c>
      <c r="R1150" s="58"/>
      <c r="S1150" s="58" t="str">
        <f ca="1">Summon!$I$143</f>
        <v>暗暗药</v>
      </c>
      <c r="T1150" s="569">
        <v>9</v>
      </c>
      <c r="U1150" s="567"/>
      <c r="V1150" s="395"/>
      <c r="W1150" s="208"/>
    </row>
    <row r="1151" spans="1:23" ht="12.75" x14ac:dyDescent="0.2">
      <c r="A1151" s="208"/>
      <c r="B1151" s="371"/>
      <c r="C1151" s="208" t="b">
        <v>0</v>
      </c>
      <c r="D1151" s="59" t="str">
        <f ca="1">道具!$C$497</f>
        <v>精神耳环</v>
      </c>
      <c r="E1151" s="371"/>
      <c r="F1151" s="371"/>
      <c r="G1151" s="371"/>
      <c r="H1151" s="371"/>
      <c r="I1151" s="371"/>
      <c r="J1151" s="371"/>
      <c r="K1151" s="371"/>
      <c r="L1151" s="371"/>
      <c r="M1151" s="371"/>
      <c r="N1151" s="371"/>
      <c r="O1151" s="371"/>
      <c r="P1151" s="371"/>
      <c r="Q1151" s="371"/>
      <c r="R1151" s="58"/>
      <c r="S1151" s="58" t="str">
        <f ca="1">Summon!$I$9</f>
        <v>高速推进</v>
      </c>
      <c r="T1151" s="371"/>
      <c r="U1151" s="371"/>
      <c r="V1151" s="371"/>
      <c r="W1151" s="208"/>
    </row>
    <row r="1152" spans="1:23" ht="12.75" x14ac:dyDescent="0.2">
      <c r="A1152" s="208"/>
      <c r="B1152" s="568"/>
      <c r="C1152" s="210" t="b">
        <v>0</v>
      </c>
      <c r="D1152" s="211" t="str">
        <f ca="1">道具!$C$227</f>
        <v>猎鹰匕首</v>
      </c>
      <c r="E1152" s="568"/>
      <c r="F1152" s="568"/>
      <c r="G1152" s="568"/>
      <c r="H1152" s="568"/>
      <c r="I1152" s="568"/>
      <c r="J1152" s="568"/>
      <c r="K1152" s="568"/>
      <c r="L1152" s="568"/>
      <c r="M1152" s="568"/>
      <c r="N1152" s="568"/>
      <c r="O1152" s="568"/>
      <c r="P1152" s="568"/>
      <c r="Q1152" s="568"/>
      <c r="R1152" s="209"/>
      <c r="S1152" s="209" t="str">
        <f ca="1">Summon!$I$4</f>
        <v>战斗</v>
      </c>
      <c r="T1152" s="568"/>
      <c r="U1152" s="568"/>
      <c r="V1152" s="568"/>
      <c r="W1152" s="208"/>
    </row>
    <row r="1153" spans="1:23" ht="12.75" x14ac:dyDescent="0.2">
      <c r="A1153" s="208"/>
      <c r="B1153" s="400" t="str">
        <f ca="1">语言!$A$2054</f>
        <v>隐身沙中的男子</v>
      </c>
      <c r="C1153" s="567" t="b">
        <v>0</v>
      </c>
      <c r="D1153" s="400" t="str">
        <f ca="1">道具!$C$36</f>
        <v>雷之精灵石</v>
      </c>
      <c r="E1153" s="567" t="b">
        <v>0</v>
      </c>
      <c r="F1153" s="395" t="str">
        <f ca="1">语言!$A$23</f>
        <v>无</v>
      </c>
      <c r="G1153" s="567" t="b">
        <v>0</v>
      </c>
      <c r="H1153" s="569" t="s">
        <v>45</v>
      </c>
      <c r="I1153" s="395">
        <v>2</v>
      </c>
      <c r="J1153" s="395"/>
      <c r="K1153" s="395"/>
      <c r="L1153" s="395"/>
      <c r="M1153" s="395"/>
      <c r="N1153" s="395"/>
      <c r="O1153" s="395" t="str">
        <f ca="1">道具!$C$122</f>
        <v>阿里的面包</v>
      </c>
      <c r="P1153" s="567"/>
      <c r="Q1153" s="569" t="s">
        <v>45</v>
      </c>
      <c r="R1153" s="58"/>
      <c r="S1153" s="58" t="str">
        <f ca="1">Summon!$I$119</f>
        <v>阿里的面包</v>
      </c>
      <c r="T1153" s="569">
        <v>9</v>
      </c>
      <c r="U1153" s="567"/>
      <c r="V1153" s="395" t="str">
        <f ca="1">"NPC available upon starting quest: "&amp;支线!$C$81</f>
        <v>NPC available upon starting quest: 商人阿里，在那之后</v>
      </c>
      <c r="W1153" s="208"/>
    </row>
    <row r="1154" spans="1:23" ht="12.75" x14ac:dyDescent="0.2">
      <c r="A1154" s="208"/>
      <c r="B1154" s="568"/>
      <c r="C1154" s="568"/>
      <c r="D1154" s="568"/>
      <c r="E1154" s="568"/>
      <c r="F1154" s="568"/>
      <c r="G1154" s="568"/>
      <c r="H1154" s="568"/>
      <c r="I1154" s="568"/>
      <c r="J1154" s="568"/>
      <c r="K1154" s="568"/>
      <c r="L1154" s="568"/>
      <c r="M1154" s="568"/>
      <c r="N1154" s="568"/>
      <c r="O1154" s="568"/>
      <c r="P1154" s="568"/>
      <c r="Q1154" s="568"/>
      <c r="R1154" s="209"/>
      <c r="S1154" s="209" t="str">
        <f ca="1">Summon!$I$4</f>
        <v>战斗</v>
      </c>
      <c r="T1154" s="568"/>
      <c r="U1154" s="568"/>
      <c r="V1154" s="568"/>
      <c r="W1154" s="208"/>
    </row>
    <row r="1155" spans="1:23" ht="12.75" x14ac:dyDescent="0.2">
      <c r="A1155" s="208"/>
      <c r="B1155" s="400" t="str">
        <f ca="1">语言!$A$1807</f>
        <v>蓝色舞娘</v>
      </c>
      <c r="C1155" s="208" t="b">
        <v>0</v>
      </c>
      <c r="D1155" s="59" t="str">
        <f ca="1">道具!$C$7</f>
        <v>ＳＰ恢复的李子（大）</v>
      </c>
      <c r="E1155" s="567" t="b">
        <v>0</v>
      </c>
      <c r="F1155" s="395" t="str">
        <f ca="1">语言!$A$23</f>
        <v>无</v>
      </c>
      <c r="G1155" s="567" t="b">
        <v>0</v>
      </c>
      <c r="H1155" s="569" t="s">
        <v>57</v>
      </c>
      <c r="I1155" s="395">
        <v>3</v>
      </c>
      <c r="J1155" s="395"/>
      <c r="K1155" s="395"/>
      <c r="L1155" s="395"/>
      <c r="M1155" s="395"/>
      <c r="N1155" s="395"/>
      <c r="O1155" s="395" t="str">
        <f ca="1">道具!$C$33</f>
        <v>冰之精灵石</v>
      </c>
      <c r="P1155" s="567"/>
      <c r="Q1155" s="569" t="s">
        <v>57</v>
      </c>
      <c r="R1155" s="58"/>
      <c r="S1155" s="58" t="str">
        <f ca="1">Summon!$I$47</f>
        <v>恐慌猛击</v>
      </c>
      <c r="T1155" s="569">
        <v>8</v>
      </c>
      <c r="U1155" s="567"/>
      <c r="V1155" s="395" t="str">
        <f ca="1">"NPC available after "&amp;语言!$A$39&amp;" chapter 1"</f>
        <v>NPC available after 普里姆萝洁 chapter 1</v>
      </c>
      <c r="W1155" s="208"/>
    </row>
    <row r="1156" spans="1:23" ht="12.75" x14ac:dyDescent="0.2">
      <c r="A1156" s="208"/>
      <c r="B1156" s="568"/>
      <c r="C1156" s="210" t="b">
        <v>0</v>
      </c>
      <c r="D1156" s="211" t="str">
        <f ca="1">道具!$C$33</f>
        <v>冰之精灵石</v>
      </c>
      <c r="E1156" s="568"/>
      <c r="F1156" s="568"/>
      <c r="G1156" s="568"/>
      <c r="H1156" s="568"/>
      <c r="I1156" s="568"/>
      <c r="J1156" s="568"/>
      <c r="K1156" s="568"/>
      <c r="L1156" s="568"/>
      <c r="M1156" s="568"/>
      <c r="N1156" s="568"/>
      <c r="O1156" s="568"/>
      <c r="P1156" s="568"/>
      <c r="Q1156" s="568"/>
      <c r="R1156" s="209"/>
      <c r="S1156" s="209" t="str">
        <f ca="1">Summon!$I$4</f>
        <v>战斗</v>
      </c>
      <c r="T1156" s="568"/>
      <c r="U1156" s="568"/>
      <c r="V1156" s="568"/>
      <c r="W1156" s="208"/>
    </row>
    <row r="1157" spans="1:23" ht="12.75" x14ac:dyDescent="0.2">
      <c r="A1157" s="208"/>
      <c r="B1157" s="400" t="str">
        <f ca="1">语言!$A$1815&amp;" (2)"</f>
        <v>布莱恩 (2)</v>
      </c>
      <c r="C1157" s="208" t="b">
        <v>0</v>
      </c>
      <c r="D1157" s="59" t="str">
        <f ca="1">道具!$C$40</f>
        <v>风之精灵石（大）</v>
      </c>
      <c r="E1157" s="567" t="b">
        <v>0</v>
      </c>
      <c r="F1157" s="395" t="str">
        <f ca="1">语言!$A$23</f>
        <v>无</v>
      </c>
      <c r="G1157" s="567" t="b">
        <v>0</v>
      </c>
      <c r="H1157" s="569" t="s">
        <v>46</v>
      </c>
      <c r="I1157" s="395">
        <v>3</v>
      </c>
      <c r="J1157" s="395"/>
      <c r="K1157" s="395"/>
      <c r="L1157" s="395"/>
      <c r="M1157" s="395"/>
      <c r="N1157" s="395"/>
      <c r="O1157" s="395" t="str">
        <f ca="1">道具!$C$7</f>
        <v>ＳＰ恢复的李子（大）</v>
      </c>
      <c r="P1157" s="567"/>
      <c r="Q1157" s="569" t="s">
        <v>46</v>
      </c>
      <c r="R1157" s="58"/>
      <c r="S1157" s="58" t="str">
        <f ca="1">Summon!$I$80</f>
        <v>大火焰魔法</v>
      </c>
      <c r="T1157" s="569">
        <v>8</v>
      </c>
      <c r="U1157" s="567"/>
      <c r="V1157" s="395" t="str">
        <f ca="1">"NPC at this location after quest: "&amp;支线!$C$38&amp;"
("&amp;语言!$A$47&amp;" / "&amp;语言!$A$51&amp;" solution only)"</f>
        <v>NPC at this location after quest: 村里的风车
(比试 / 唆使 solution only)</v>
      </c>
      <c r="W1157" s="208"/>
    </row>
    <row r="1158" spans="1:23" ht="12.75" x14ac:dyDescent="0.2">
      <c r="A1158" s="208"/>
      <c r="B1158" s="371"/>
      <c r="C1158" s="208" t="b">
        <v>0</v>
      </c>
      <c r="D1158" s="59" t="str">
        <f ca="1">道具!$C$47</f>
        <v>暗之精灵石（大）</v>
      </c>
      <c r="E1158" s="371"/>
      <c r="F1158" s="371"/>
      <c r="G1158" s="371"/>
      <c r="H1158" s="371"/>
      <c r="I1158" s="371"/>
      <c r="J1158" s="371"/>
      <c r="K1158" s="371"/>
      <c r="L1158" s="371"/>
      <c r="M1158" s="371"/>
      <c r="N1158" s="371"/>
      <c r="O1158" s="371"/>
      <c r="P1158" s="371"/>
      <c r="Q1158" s="371"/>
      <c r="R1158" s="58"/>
      <c r="S1158" s="58" t="str">
        <f ca="1">Summon!$I$57</f>
        <v>粉碎</v>
      </c>
      <c r="T1158" s="371"/>
      <c r="U1158" s="371"/>
      <c r="V1158" s="371"/>
      <c r="W1158" s="208"/>
    </row>
    <row r="1159" spans="1:23" ht="12.75" x14ac:dyDescent="0.2">
      <c r="A1159" s="208"/>
      <c r="B1159" s="568"/>
      <c r="C1159" s="210"/>
      <c r="D1159" s="211"/>
      <c r="E1159" s="568"/>
      <c r="F1159" s="568"/>
      <c r="G1159" s="568"/>
      <c r="H1159" s="568"/>
      <c r="I1159" s="568"/>
      <c r="J1159" s="568"/>
      <c r="K1159" s="568"/>
      <c r="L1159" s="568"/>
      <c r="M1159" s="568"/>
      <c r="N1159" s="568"/>
      <c r="O1159" s="568"/>
      <c r="P1159" s="568"/>
      <c r="Q1159" s="568"/>
      <c r="R1159" s="209"/>
      <c r="S1159" s="209" t="str">
        <f ca="1">Summon!$I$4</f>
        <v>战斗</v>
      </c>
      <c r="T1159" s="568"/>
      <c r="U1159" s="568"/>
      <c r="V1159" s="568"/>
      <c r="W1159" s="208"/>
    </row>
    <row r="1160" spans="1:23" ht="22.5" customHeight="1" x14ac:dyDescent="0.2">
      <c r="A1160" s="208"/>
      <c r="B1160" s="400" t="str">
        <f ca="1">语言!$A$1768&amp;" (1)"</f>
        <v>失忆的女孩 /
莱雅 (1)</v>
      </c>
      <c r="C1160" s="208" t="b">
        <v>0</v>
      </c>
      <c r="D1160" s="59" t="str">
        <f ca="1">道具!$C$498</f>
        <v>守护耳环</v>
      </c>
      <c r="E1160" s="567" t="b">
        <v>0</v>
      </c>
      <c r="F1160" s="395" t="str">
        <f ca="1">语言!$A$23</f>
        <v>无</v>
      </c>
      <c r="G1160" s="567" t="b">
        <v>0</v>
      </c>
      <c r="H1160" s="569" t="s">
        <v>45</v>
      </c>
      <c r="I1160" s="395">
        <v>2</v>
      </c>
      <c r="J1160" s="395"/>
      <c r="K1160" s="395"/>
      <c r="L1160" s="395"/>
      <c r="M1160" s="395"/>
      <c r="N1160" s="395"/>
      <c r="O1160" s="395" t="str">
        <f ca="1">道具!$C$39</f>
        <v>风之精灵石</v>
      </c>
      <c r="P1160" s="567"/>
      <c r="Q1160" s="569" t="s">
        <v>48</v>
      </c>
      <c r="R1160" s="58"/>
      <c r="S1160" s="58" t="str">
        <f ca="1">Summon!$I$42</f>
        <v>猛击</v>
      </c>
      <c r="T1160" s="569">
        <v>9</v>
      </c>
      <c r="U1160" s="567"/>
      <c r="V1160" s="395" t="str">
        <f ca="1">"NPC available after "&amp;语言!$A$39&amp;" chapter 1
Moves to "&amp;语言!$A$396&amp;" after quest: "&amp;支线!$C$65&amp;"
("&amp;语言!$A$44&amp;" / "&amp;语言!$A$48&amp;" solution only) "</f>
        <v xml:space="preserve">NPC available after 普里姆萝洁 chapter 1
Moves to 斯托冈德 -下街- after quest: 无赖
(引导 / 诱惑 solution only) </v>
      </c>
      <c r="W1160" s="208"/>
    </row>
    <row r="1161" spans="1:23" ht="22.5" customHeight="1" x14ac:dyDescent="0.2">
      <c r="A1161" s="208"/>
      <c r="B1161" s="568"/>
      <c r="C1161" s="210" t="b">
        <v>0</v>
      </c>
      <c r="D1161" s="211" t="str">
        <f ca="1">道具!$C$515</f>
        <v>风之避邪符</v>
      </c>
      <c r="E1161" s="568"/>
      <c r="F1161" s="568"/>
      <c r="G1161" s="568"/>
      <c r="H1161" s="568"/>
      <c r="I1161" s="568"/>
      <c r="J1161" s="568"/>
      <c r="K1161" s="568"/>
      <c r="L1161" s="568"/>
      <c r="M1161" s="568"/>
      <c r="N1161" s="568"/>
      <c r="O1161" s="568"/>
      <c r="P1161" s="568"/>
      <c r="Q1161" s="568"/>
      <c r="R1161" s="209"/>
      <c r="S1161" s="209" t="str">
        <f ca="1">Summon!$I$4</f>
        <v>战斗</v>
      </c>
      <c r="T1161" s="568"/>
      <c r="U1161" s="568"/>
      <c r="V1161" s="568"/>
      <c r="W1161" s="208"/>
    </row>
    <row r="1162" spans="1:23" ht="12.75" x14ac:dyDescent="0.2">
      <c r="A1162" s="208"/>
      <c r="B1162" s="400" t="str">
        <f ca="1">语言!$A$1854</f>
        <v>老婆婆</v>
      </c>
      <c r="C1162" s="567" t="b">
        <v>0</v>
      </c>
      <c r="D1162" s="400" t="str">
        <f ca="1">道具!$C$523</f>
        <v>暗暗耐性石</v>
      </c>
      <c r="E1162" s="567" t="b">
        <v>0</v>
      </c>
      <c r="F1162" s="395" t="str">
        <f ca="1">语言!$A$23</f>
        <v>无</v>
      </c>
      <c r="G1162" s="567" t="b">
        <v>0</v>
      </c>
      <c r="H1162" s="569" t="s">
        <v>45</v>
      </c>
      <c r="I1162" s="395">
        <v>2</v>
      </c>
      <c r="J1162" s="395"/>
      <c r="K1162" s="395"/>
      <c r="L1162" s="395"/>
      <c r="M1162" s="395"/>
      <c r="N1162" s="395"/>
      <c r="O1162" s="395" t="str">
        <f ca="1">道具!$C$33</f>
        <v>冰之精灵石</v>
      </c>
      <c r="P1162" s="567"/>
      <c r="Q1162" s="569" t="s">
        <v>45</v>
      </c>
      <c r="R1162" s="58"/>
      <c r="S1162" s="58" t="str">
        <f ca="1">Summon!$I$64</f>
        <v>精准射击</v>
      </c>
      <c r="T1162" s="569">
        <v>9</v>
      </c>
      <c r="U1162" s="567"/>
      <c r="V1162" s="395"/>
      <c r="W1162" s="208"/>
    </row>
    <row r="1163" spans="1:23" ht="12.75" x14ac:dyDescent="0.2">
      <c r="A1163" s="208"/>
      <c r="B1163" s="371"/>
      <c r="C1163" s="371"/>
      <c r="D1163" s="371"/>
      <c r="E1163" s="371"/>
      <c r="F1163" s="371"/>
      <c r="G1163" s="371"/>
      <c r="H1163" s="371"/>
      <c r="I1163" s="371"/>
      <c r="J1163" s="371"/>
      <c r="K1163" s="371"/>
      <c r="L1163" s="371"/>
      <c r="M1163" s="371"/>
      <c r="N1163" s="371"/>
      <c r="O1163" s="371"/>
      <c r="P1163" s="371"/>
      <c r="Q1163" s="371"/>
      <c r="R1163" s="58"/>
      <c r="S1163" s="58" t="str">
        <f ca="1">Summon!$I$70</f>
        <v>乱射</v>
      </c>
      <c r="T1163" s="371"/>
      <c r="U1163" s="371"/>
      <c r="V1163" s="371"/>
      <c r="W1163" s="208"/>
    </row>
    <row r="1164" spans="1:23" ht="12.75" x14ac:dyDescent="0.2">
      <c r="A1164" s="208"/>
      <c r="B1164" s="568"/>
      <c r="C1164" s="568"/>
      <c r="D1164" s="568"/>
      <c r="E1164" s="568"/>
      <c r="F1164" s="568"/>
      <c r="G1164" s="568"/>
      <c r="H1164" s="568"/>
      <c r="I1164" s="568"/>
      <c r="J1164" s="568"/>
      <c r="K1164" s="568"/>
      <c r="L1164" s="568"/>
      <c r="M1164" s="568"/>
      <c r="N1164" s="568"/>
      <c r="O1164" s="568"/>
      <c r="P1164" s="568"/>
      <c r="Q1164" s="568"/>
      <c r="R1164" s="209"/>
      <c r="S1164" s="209" t="str">
        <f ca="1">Summon!$I$4</f>
        <v>战斗</v>
      </c>
      <c r="T1164" s="568"/>
      <c r="U1164" s="568"/>
      <c r="V1164" s="568"/>
      <c r="W1164" s="208"/>
    </row>
    <row r="1165" spans="1:23" ht="12.75" x14ac:dyDescent="0.2">
      <c r="A1165" s="208"/>
      <c r="B1165" s="400" t="str">
        <f ca="1">语言!$A$2036</f>
        <v>魁伟的行商人</v>
      </c>
      <c r="C1165" s="567" t="b">
        <v>0</v>
      </c>
      <c r="D1165" s="400" t="str">
        <f ca="1">"* "&amp;道具!$F$76</f>
        <v>* 四轴花</v>
      </c>
      <c r="E1165" s="567" t="b">
        <v>0</v>
      </c>
      <c r="F1165" s="395" t="str">
        <f ca="1">语言!$A$23</f>
        <v>无</v>
      </c>
      <c r="G1165" s="567" t="b">
        <v>0</v>
      </c>
      <c r="H1165" s="569" t="s">
        <v>45</v>
      </c>
      <c r="I1165" s="395">
        <v>2</v>
      </c>
      <c r="J1165" s="395"/>
      <c r="K1165" s="395"/>
      <c r="L1165" s="395"/>
      <c r="M1165" s="395"/>
      <c r="N1165" s="395"/>
      <c r="O1165" s="395" t="str">
        <f ca="1">道具!$C$530</f>
        <v>秘药的素材</v>
      </c>
      <c r="P1165" s="567"/>
      <c r="Q1165" s="569" t="s">
        <v>45</v>
      </c>
      <c r="R1165" s="58"/>
      <c r="S1165" s="58" t="str">
        <f ca="1">Summon!$I$131</f>
        <v>南国的调味料</v>
      </c>
      <c r="T1165" s="569">
        <v>9</v>
      </c>
      <c r="U1165" s="567"/>
      <c r="V1165" s="395" t="str">
        <f ca="1">"NPC available after "&amp;语言!$A$39&amp;" chapter 1"</f>
        <v>NPC available after 普里姆萝洁 chapter 1</v>
      </c>
      <c r="W1165" s="208"/>
    </row>
    <row r="1166" spans="1:23" ht="12.75" x14ac:dyDescent="0.2">
      <c r="A1166" s="208"/>
      <c r="B1166" s="568"/>
      <c r="C1166" s="568"/>
      <c r="D1166" s="568"/>
      <c r="E1166" s="568"/>
      <c r="F1166" s="568"/>
      <c r="G1166" s="568"/>
      <c r="H1166" s="568"/>
      <c r="I1166" s="568"/>
      <c r="J1166" s="568"/>
      <c r="K1166" s="568"/>
      <c r="L1166" s="568"/>
      <c r="M1166" s="568"/>
      <c r="N1166" s="568"/>
      <c r="O1166" s="568"/>
      <c r="P1166" s="568"/>
      <c r="Q1166" s="568"/>
      <c r="R1166" s="209"/>
      <c r="S1166" s="209" t="str">
        <f ca="1">Summon!$I$4</f>
        <v>战斗</v>
      </c>
      <c r="T1166" s="568"/>
      <c r="U1166" s="568"/>
      <c r="V1166" s="568"/>
      <c r="W1166" s="208"/>
    </row>
    <row r="1167" spans="1:23" ht="12.75" x14ac:dyDescent="0.2">
      <c r="A1167" s="208"/>
      <c r="B1167" s="400" t="str">
        <f ca="1">语言!$A$2075</f>
        <v>明星舞娘</v>
      </c>
      <c r="C1167" s="567" t="b">
        <v>0</v>
      </c>
      <c r="D1167" s="400" t="str">
        <f ca="1">"* "&amp;道具!$F$41</f>
        <v>* 明星的礼服</v>
      </c>
      <c r="E1167" s="567" t="b">
        <v>0</v>
      </c>
      <c r="F1167" s="395" t="str">
        <f ca="1">语言!$A$33&amp;"
"&amp;道具!$C$16</f>
        <v>隐藏道具的资讯
复活的橄榄（大）</v>
      </c>
      <c r="G1167" s="567" t="b">
        <v>0</v>
      </c>
      <c r="H1167" s="569" t="s">
        <v>49</v>
      </c>
      <c r="I1167" s="395">
        <v>4</v>
      </c>
      <c r="J1167" s="395"/>
      <c r="K1167" s="395"/>
      <c r="L1167" s="395"/>
      <c r="M1167" s="395"/>
      <c r="N1167" s="395"/>
      <c r="O1167" s="395" t="str">
        <f ca="1">道具!$C$83</f>
        <v>绒毛娃娃</v>
      </c>
      <c r="P1167" s="567"/>
      <c r="Q1167" s="569" t="s">
        <v>49</v>
      </c>
      <c r="R1167" s="58"/>
      <c r="S1167" s="58" t="str">
        <f ca="1">Summon!$I$169</f>
        <v>活力之舞</v>
      </c>
      <c r="T1167" s="569">
        <v>7</v>
      </c>
      <c r="U1167" s="567"/>
      <c r="V1167" s="395" t="str">
        <f ca="1">"NPC available after "&amp;语言!$A$39&amp;" chapter 1
Hidden item in other part of town"</f>
        <v>NPC available after 普里姆萝洁 chapter 1
Hidden item in other part of town</v>
      </c>
      <c r="W1167" s="208"/>
    </row>
    <row r="1168" spans="1:23" ht="12.75" x14ac:dyDescent="0.2">
      <c r="A1168" s="208"/>
      <c r="B1168" s="371"/>
      <c r="C1168" s="371"/>
      <c r="D1168" s="371"/>
      <c r="E1168" s="371"/>
      <c r="F1168" s="371"/>
      <c r="G1168" s="371"/>
      <c r="H1168" s="371"/>
      <c r="I1168" s="371"/>
      <c r="J1168" s="371"/>
      <c r="K1168" s="371"/>
      <c r="L1168" s="371"/>
      <c r="M1168" s="371"/>
      <c r="N1168" s="371"/>
      <c r="O1168" s="371"/>
      <c r="P1168" s="371"/>
      <c r="Q1168" s="371"/>
      <c r="R1168" s="58"/>
      <c r="S1168" s="58" t="str">
        <f ca="1">Summon!$I$48</f>
        <v>连掷短剑</v>
      </c>
      <c r="T1168" s="371"/>
      <c r="U1168" s="371"/>
      <c r="V1168" s="371"/>
      <c r="W1168" s="208"/>
    </row>
    <row r="1169" spans="1:23" ht="12.75" x14ac:dyDescent="0.2">
      <c r="A1169" s="208"/>
      <c r="B1169" s="568"/>
      <c r="C1169" s="568"/>
      <c r="D1169" s="568"/>
      <c r="E1169" s="568"/>
      <c r="F1169" s="568"/>
      <c r="G1169" s="568"/>
      <c r="H1169" s="568"/>
      <c r="I1169" s="568"/>
      <c r="J1169" s="568"/>
      <c r="K1169" s="568"/>
      <c r="L1169" s="568"/>
      <c r="M1169" s="568"/>
      <c r="N1169" s="568"/>
      <c r="O1169" s="568"/>
      <c r="P1169" s="568"/>
      <c r="Q1169" s="568"/>
      <c r="R1169" s="209"/>
      <c r="S1169" s="209" t="str">
        <f ca="1">Summon!$I$4</f>
        <v>战斗</v>
      </c>
      <c r="T1169" s="568"/>
      <c r="U1169" s="568"/>
      <c r="V1169" s="568"/>
      <c r="W1169" s="208"/>
    </row>
    <row r="1170" spans="1:23" ht="22.5" customHeight="1" x14ac:dyDescent="0.2">
      <c r="A1170" s="208"/>
      <c r="B1170" s="400" t="str">
        <f ca="1">语言!$A$2124&amp;" (1)"</f>
        <v>四处游历的少女 /
莉亚 /
葛罗莉亚 (1)</v>
      </c>
      <c r="C1170" s="208" t="b">
        <v>0</v>
      </c>
      <c r="D1170" s="59" t="str">
        <f ca="1">道具!$C$488</f>
        <v>体力戒指</v>
      </c>
      <c r="E1170" s="567" t="b">
        <v>0</v>
      </c>
      <c r="F1170" s="395" t="str">
        <f ca="1">语言!$A$23</f>
        <v>无</v>
      </c>
      <c r="G1170" s="567" t="b">
        <v>0</v>
      </c>
      <c r="H1170" s="569" t="s">
        <v>48</v>
      </c>
      <c r="I1170" s="395">
        <v>2</v>
      </c>
      <c r="J1170" s="395"/>
      <c r="K1170" s="395"/>
      <c r="L1170" s="395"/>
      <c r="M1170" s="395"/>
      <c r="N1170" s="395"/>
      <c r="O1170" s="395" t="str">
        <f ca="1">道具!$C$7</f>
        <v>ＳＰ恢复的李子（大）</v>
      </c>
      <c r="P1170" s="567"/>
      <c r="Q1170" s="570" t="s">
        <v>119</v>
      </c>
      <c r="R1170" s="570" t="s">
        <v>119</v>
      </c>
      <c r="S1170" s="570" t="s">
        <v>119</v>
      </c>
      <c r="T1170" s="570" t="s">
        <v>119</v>
      </c>
      <c r="U1170" s="567"/>
      <c r="V1170" s="395" t="str">
        <f ca="1">"NPC available after "&amp;语言!$A$39&amp;" chapter 1
Moves to "&amp;语言!$A$420&amp;" after quest: "&amp;支线!$C$78&amp;"
"&amp;语言!$A$46&amp;" / "&amp;语言!$A$50&amp;" inventory gets reset in "&amp;语言!$A$420</f>
        <v>NPC available after 普里姆萝洁 chapter 1
Moves to 威尔斯宾克 after quest: 巡游少女莉亚（１）
购买 / 偷取 inventory gets reset in 威尔斯宾克</v>
      </c>
      <c r="W1170" s="208"/>
    </row>
    <row r="1171" spans="1:23" ht="22.5" customHeight="1" x14ac:dyDescent="0.2">
      <c r="A1171" s="208"/>
      <c r="B1171" s="568"/>
      <c r="C1171" s="210" t="b">
        <v>0</v>
      </c>
      <c r="D1171" s="214" t="str">
        <f ca="1">道具!$C$506</f>
        <v>火焰避邪符</v>
      </c>
      <c r="E1171" s="568"/>
      <c r="F1171" s="568"/>
      <c r="G1171" s="568"/>
      <c r="H1171" s="568"/>
      <c r="I1171" s="568"/>
      <c r="J1171" s="568"/>
      <c r="K1171" s="568"/>
      <c r="L1171" s="568"/>
      <c r="M1171" s="568"/>
      <c r="N1171" s="568"/>
      <c r="O1171" s="568"/>
      <c r="P1171" s="568"/>
      <c r="Q1171" s="568"/>
      <c r="R1171" s="568"/>
      <c r="S1171" s="568"/>
      <c r="T1171" s="568"/>
      <c r="U1171" s="568"/>
      <c r="V1171" s="568"/>
      <c r="W1171" s="208"/>
    </row>
    <row r="1172" spans="1:23" ht="12.75" x14ac:dyDescent="0.2">
      <c r="A1172" s="208"/>
      <c r="B1172" s="400" t="str">
        <f ca="1">语言!$A$1999</f>
        <v>缠人的坏蛋</v>
      </c>
      <c r="C1172" s="567" t="b">
        <v>0</v>
      </c>
      <c r="D1172" s="400" t="str">
        <f ca="1">道具!$C$94</f>
        <v>空空的钱包</v>
      </c>
      <c r="E1172" s="567" t="b">
        <v>0</v>
      </c>
      <c r="F1172" s="395" t="str">
        <f ca="1">语言!$A$23</f>
        <v>无</v>
      </c>
      <c r="G1172" s="567" t="b">
        <v>0</v>
      </c>
      <c r="H1172" s="569" t="s">
        <v>46</v>
      </c>
      <c r="I1172" s="395">
        <v>3</v>
      </c>
      <c r="J1172" s="395"/>
      <c r="K1172" s="395"/>
      <c r="L1172" s="395"/>
      <c r="M1172" s="395"/>
      <c r="N1172" s="395"/>
      <c r="O1172" s="395" t="str">
        <f ca="1">道具!$C$44</f>
        <v>光之精灵石（大）</v>
      </c>
      <c r="P1172" s="567"/>
      <c r="Q1172" s="569" t="s">
        <v>46</v>
      </c>
      <c r="R1172" s="58"/>
      <c r="S1172" s="58" t="str">
        <f ca="1">Summon!$I$144</f>
        <v>睡眠药</v>
      </c>
      <c r="T1172" s="569">
        <v>8</v>
      </c>
      <c r="U1172" s="567"/>
      <c r="V1172" s="395" t="str">
        <f ca="1">"NPC available after "&amp;语言!$A$39&amp;" chapter 1
"&amp;语言!$A$44&amp;" / "&amp;语言!$A$48&amp;" available after quest: "&amp;支线!$C$78</f>
        <v>NPC available after 普里姆萝洁 chapter 1
引导 / 诱惑 available after quest: 巡游少女莉亚（１）</v>
      </c>
      <c r="W1172" s="208"/>
    </row>
    <row r="1173" spans="1:23" ht="12.75" x14ac:dyDescent="0.2">
      <c r="A1173" s="208"/>
      <c r="B1173" s="568"/>
      <c r="C1173" s="568"/>
      <c r="D1173" s="568"/>
      <c r="E1173" s="568"/>
      <c r="F1173" s="568"/>
      <c r="G1173" s="568"/>
      <c r="H1173" s="568"/>
      <c r="I1173" s="568"/>
      <c r="J1173" s="568"/>
      <c r="K1173" s="568"/>
      <c r="L1173" s="568"/>
      <c r="M1173" s="568"/>
      <c r="N1173" s="568"/>
      <c r="O1173" s="568"/>
      <c r="P1173" s="568"/>
      <c r="Q1173" s="568"/>
      <c r="R1173" s="209"/>
      <c r="S1173" s="209" t="str">
        <f ca="1">Summon!$I$4</f>
        <v>战斗</v>
      </c>
      <c r="T1173" s="568"/>
      <c r="U1173" s="568"/>
      <c r="V1173" s="568"/>
      <c r="W1173" s="208"/>
    </row>
    <row r="1174" spans="1:23" ht="12.75" x14ac:dyDescent="0.2">
      <c r="A1174" s="208"/>
      <c r="B1174" s="400" t="str">
        <f ca="1">语言!$A$1765&amp;" (1)"</f>
        <v>商人阿里 (1)</v>
      </c>
      <c r="C1174" s="208" t="b">
        <v>0</v>
      </c>
      <c r="D1174" s="59" t="str">
        <f ca="1">道具!$C$88</f>
        <v>种子</v>
      </c>
      <c r="E1174" s="567" t="b">
        <v>0</v>
      </c>
      <c r="F1174" s="395" t="str">
        <f ca="1">语言!$A$23</f>
        <v>无</v>
      </c>
      <c r="G1174" s="567" t="b">
        <v>0</v>
      </c>
      <c r="H1174" s="569" t="s">
        <v>49</v>
      </c>
      <c r="I1174" s="395">
        <v>4</v>
      </c>
      <c r="J1174" s="395"/>
      <c r="K1174" s="395"/>
      <c r="L1174" s="395"/>
      <c r="M1174" s="395"/>
      <c r="N1174" s="395"/>
      <c r="O1174" s="395" t="str">
        <f ca="1">道具!$C$100</f>
        <v>看起来像金矿石的东西</v>
      </c>
      <c r="P1174" s="567"/>
      <c r="Q1174" s="570" t="s">
        <v>119</v>
      </c>
      <c r="R1174" s="570" t="s">
        <v>119</v>
      </c>
      <c r="S1174" s="570" t="s">
        <v>119</v>
      </c>
      <c r="T1174" s="570" t="s">
        <v>119</v>
      </c>
      <c r="U1174" s="567"/>
      <c r="V1174" s="395" t="str">
        <f ca="1">"NPC available after "&amp;语言!$A$37&amp;" chapter 4
Moves to "&amp;语言!$A$428&amp;" after quest: "&amp;支线!$C$81</f>
        <v>NPC available after 特蕾莎 chapter 4
Moves to 马尔沙利姆 after quest: 商人阿里，在那之后</v>
      </c>
      <c r="W1174" s="208"/>
    </row>
    <row r="1175" spans="1:23" ht="12.75" x14ac:dyDescent="0.2">
      <c r="A1175" s="208"/>
      <c r="B1175" s="568"/>
      <c r="C1175" s="210" t="b">
        <v>0</v>
      </c>
      <c r="D1175" s="211" t="str">
        <f ca="1">道具!$C$90</f>
        <v>原石</v>
      </c>
      <c r="E1175" s="568"/>
      <c r="F1175" s="568"/>
      <c r="G1175" s="568"/>
      <c r="H1175" s="568"/>
      <c r="I1175" s="568"/>
      <c r="J1175" s="568"/>
      <c r="K1175" s="568"/>
      <c r="L1175" s="568"/>
      <c r="M1175" s="568"/>
      <c r="N1175" s="568"/>
      <c r="O1175" s="568"/>
      <c r="P1175" s="568"/>
      <c r="Q1175" s="568"/>
      <c r="R1175" s="568"/>
      <c r="S1175" s="568"/>
      <c r="T1175" s="568"/>
      <c r="U1175" s="568"/>
      <c r="V1175" s="568"/>
      <c r="W1175" s="208"/>
    </row>
    <row r="1176" spans="1:23" ht="12.75" x14ac:dyDescent="0.2">
      <c r="A1176" s="208"/>
      <c r="B1176" s="400" t="str">
        <f ca="1">语言!$A$1850</f>
        <v>烂醉的保镳 /
强壮的保镳</v>
      </c>
      <c r="C1176" s="567" t="b">
        <v>0</v>
      </c>
      <c r="D1176" s="400" t="str">
        <f ca="1">道具!$C$14</f>
        <v>复活的橄榄</v>
      </c>
      <c r="E1176" s="567" t="b">
        <v>0</v>
      </c>
      <c r="F1176" s="395" t="str">
        <f ca="1">语言!$A$23</f>
        <v>无</v>
      </c>
      <c r="G1176" s="567" t="b">
        <v>0</v>
      </c>
      <c r="H1176" s="569" t="s">
        <v>49</v>
      </c>
      <c r="I1176" s="395">
        <v>4</v>
      </c>
      <c r="J1176" s="395"/>
      <c r="K1176" s="395"/>
      <c r="L1176" s="395"/>
      <c r="M1176" s="395"/>
      <c r="N1176" s="395"/>
      <c r="O1176" s="395" t="str">
        <f ca="1">道具!$C$350</f>
        <v>板盾</v>
      </c>
      <c r="P1176" s="567"/>
      <c r="Q1176" s="569" t="s">
        <v>49</v>
      </c>
      <c r="R1176" s="58"/>
      <c r="S1176" s="58" t="str">
        <f ca="1">Summon!$I$52</f>
        <v>重拳</v>
      </c>
      <c r="T1176" s="569">
        <v>7</v>
      </c>
      <c r="U1176" s="567"/>
      <c r="V1176" s="395" t="str">
        <f ca="1">"NPC available after "&amp;语言!$A$39&amp;" chapter 1"</f>
        <v>NPC available after 普里姆萝洁 chapter 1</v>
      </c>
      <c r="W1176" s="208"/>
    </row>
    <row r="1177" spans="1:23" ht="12.75" x14ac:dyDescent="0.2">
      <c r="A1177" s="208"/>
      <c r="B1177" s="568"/>
      <c r="C1177" s="568"/>
      <c r="D1177" s="568"/>
      <c r="E1177" s="568"/>
      <c r="F1177" s="568"/>
      <c r="G1177" s="568"/>
      <c r="H1177" s="568"/>
      <c r="I1177" s="568"/>
      <c r="J1177" s="568"/>
      <c r="K1177" s="568"/>
      <c r="L1177" s="568"/>
      <c r="M1177" s="568"/>
      <c r="N1177" s="568"/>
      <c r="O1177" s="568"/>
      <c r="P1177" s="568"/>
      <c r="Q1177" s="568"/>
      <c r="R1177" s="209"/>
      <c r="S1177" s="209" t="str">
        <f ca="1">Summon!$I$4</f>
        <v>战斗</v>
      </c>
      <c r="T1177" s="568"/>
      <c r="U1177" s="568"/>
      <c r="V1177" s="568"/>
      <c r="W1177" s="208"/>
    </row>
    <row r="1178" spans="1:23" ht="12.75" x14ac:dyDescent="0.2">
      <c r="A1178" s="208"/>
      <c r="B1178" s="400" t="str">
        <f ca="1">语言!$A$1971</f>
        <v>管理人的手下</v>
      </c>
      <c r="C1178" s="567" t="b">
        <v>0</v>
      </c>
      <c r="D1178" s="400" t="str">
        <f ca="1">道具!$C$114</f>
        <v>带吻痕的肖像画</v>
      </c>
      <c r="E1178" s="567" t="b">
        <v>0</v>
      </c>
      <c r="F1178" s="395" t="str">
        <f ca="1">语言!$A$33&amp;"
"&amp;道具!$C$4</f>
        <v>隐藏道具的资讯
ＨＰ恢复的葡萄（大）</v>
      </c>
      <c r="G1178" s="567" t="b">
        <v>0</v>
      </c>
      <c r="H1178" s="569" t="s">
        <v>45</v>
      </c>
      <c r="I1178" s="395">
        <v>2</v>
      </c>
      <c r="J1178" s="395"/>
      <c r="K1178" s="395"/>
      <c r="L1178" s="395"/>
      <c r="M1178" s="395"/>
      <c r="N1178" s="395"/>
      <c r="O1178" s="395" t="str">
        <f ca="1">道具!$C$4</f>
        <v>ＨＰ恢复的葡萄（大）</v>
      </c>
      <c r="P1178" s="567"/>
      <c r="Q1178" s="569" t="s">
        <v>45</v>
      </c>
      <c r="R1178" s="58"/>
      <c r="S1178" s="58" t="str">
        <f ca="1">Summon!$I$140</f>
        <v>毒药</v>
      </c>
      <c r="T1178" s="569">
        <v>9</v>
      </c>
      <c r="U1178" s="567"/>
      <c r="V1178" s="395"/>
      <c r="W1178" s="208"/>
    </row>
    <row r="1179" spans="1:23" ht="12.75" x14ac:dyDescent="0.2">
      <c r="A1179" s="208"/>
      <c r="B1179" s="371"/>
      <c r="C1179" s="371"/>
      <c r="D1179" s="371"/>
      <c r="E1179" s="371"/>
      <c r="F1179" s="371"/>
      <c r="G1179" s="371"/>
      <c r="H1179" s="371"/>
      <c r="I1179" s="371"/>
      <c r="J1179" s="371"/>
      <c r="K1179" s="371"/>
      <c r="L1179" s="371"/>
      <c r="M1179" s="371"/>
      <c r="N1179" s="371"/>
      <c r="O1179" s="371"/>
      <c r="P1179" s="371"/>
      <c r="Q1179" s="371"/>
      <c r="R1179" s="58"/>
      <c r="S1179" s="58" t="str">
        <f ca="1">Summon!$I$20</f>
        <v>横扫</v>
      </c>
      <c r="T1179" s="371"/>
      <c r="U1179" s="371"/>
      <c r="V1179" s="371"/>
      <c r="W1179" s="208"/>
    </row>
    <row r="1180" spans="1:23" ht="12.75" x14ac:dyDescent="0.2">
      <c r="A1180" s="208"/>
      <c r="B1180" s="371"/>
      <c r="C1180" s="371"/>
      <c r="D1180" s="371"/>
      <c r="E1180" s="371"/>
      <c r="F1180" s="371"/>
      <c r="G1180" s="371"/>
      <c r="H1180" s="371"/>
      <c r="I1180" s="371"/>
      <c r="J1180" s="371"/>
      <c r="K1180" s="371"/>
      <c r="L1180" s="371"/>
      <c r="M1180" s="371"/>
      <c r="N1180" s="371"/>
      <c r="O1180" s="371"/>
      <c r="P1180" s="371"/>
      <c r="Q1180" s="371"/>
      <c r="R1180" s="58"/>
      <c r="S1180" s="58" t="str">
        <f ca="1">Summon!$I$4</f>
        <v>战斗</v>
      </c>
      <c r="T1180" s="371"/>
      <c r="U1180" s="371"/>
      <c r="V1180" s="371"/>
      <c r="W1180" s="208"/>
    </row>
    <row r="1181" spans="1:23" ht="12.75" x14ac:dyDescent="0.2">
      <c r="A1181" s="208"/>
      <c r="B1181" s="571" t="str">
        <f ca="1">语言!$A$415</f>
        <v>桑谢德 -酒馆-</v>
      </c>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208"/>
    </row>
    <row r="1182" spans="1:23" ht="12.75" x14ac:dyDescent="0.2">
      <c r="A1182" s="208"/>
      <c r="B1182" s="400" t="str">
        <f ca="1">语言!$A$1917</f>
        <v>酒馆的受雇店长</v>
      </c>
      <c r="C1182" s="208" t="b">
        <v>0</v>
      </c>
      <c r="D1182" s="59" t="str">
        <f ca="1">道具!$C$3</f>
        <v>ＨＰ恢复的葡萄</v>
      </c>
      <c r="E1182" s="567" t="b">
        <v>0</v>
      </c>
      <c r="F1182" s="395" t="str">
        <f ca="1">语言!$A$23</f>
        <v>无</v>
      </c>
      <c r="G1182" s="567" t="b">
        <v>0</v>
      </c>
      <c r="H1182" s="569" t="s">
        <v>45</v>
      </c>
      <c r="I1182" s="395">
        <v>2</v>
      </c>
      <c r="J1182" s="395"/>
      <c r="K1182" s="395"/>
      <c r="L1182" s="395"/>
      <c r="M1182" s="395"/>
      <c r="N1182" s="395"/>
      <c r="O1182" s="395" t="str">
        <f ca="1">道具!$C$6</f>
        <v>ＳＰ恢复的李子</v>
      </c>
      <c r="P1182" s="567"/>
      <c r="Q1182" s="569" t="s">
        <v>45</v>
      </c>
      <c r="R1182" s="395"/>
      <c r="S1182" s="395" t="str">
        <f ca="1">Summon!$I$42</f>
        <v>猛击</v>
      </c>
      <c r="T1182" s="569">
        <v>9</v>
      </c>
      <c r="U1182" s="567"/>
      <c r="V1182" s="395" t="str">
        <f ca="1">"NPC available after "&amp;语言!$A$39&amp;" chapter 1"</f>
        <v>NPC available after 普里姆萝洁 chapter 1</v>
      </c>
      <c r="W1182" s="208"/>
    </row>
    <row r="1183" spans="1:23" ht="12.75" x14ac:dyDescent="0.2">
      <c r="A1183" s="208"/>
      <c r="B1183" s="371"/>
      <c r="C1183" s="208" t="b">
        <v>0</v>
      </c>
      <c r="D1183" s="59" t="str">
        <f ca="1">道具!$C$4</f>
        <v>ＨＰ恢复的葡萄（大）</v>
      </c>
      <c r="E1183" s="371"/>
      <c r="F1183" s="371"/>
      <c r="G1183" s="371"/>
      <c r="H1183" s="371"/>
      <c r="I1183" s="371"/>
      <c r="J1183" s="371"/>
      <c r="K1183" s="371"/>
      <c r="L1183" s="371"/>
      <c r="M1183" s="371"/>
      <c r="N1183" s="371"/>
      <c r="O1183" s="371"/>
      <c r="P1183" s="371"/>
      <c r="Q1183" s="371"/>
      <c r="R1183" s="371"/>
      <c r="S1183" s="371"/>
      <c r="T1183" s="371"/>
      <c r="U1183" s="371"/>
      <c r="V1183" s="371"/>
      <c r="W1183" s="208"/>
    </row>
    <row r="1184" spans="1:23" ht="12.75" x14ac:dyDescent="0.2">
      <c r="A1184" s="208"/>
      <c r="B1184" s="371"/>
      <c r="C1184" s="208" t="b">
        <v>0</v>
      </c>
      <c r="D1184" s="59" t="str">
        <f ca="1">道具!$C$5</f>
        <v>ＨＰ全体恢复的葡萄</v>
      </c>
      <c r="E1184" s="371"/>
      <c r="F1184" s="371"/>
      <c r="G1184" s="371"/>
      <c r="H1184" s="371"/>
      <c r="I1184" s="371"/>
      <c r="J1184" s="371"/>
      <c r="K1184" s="371"/>
      <c r="L1184" s="371"/>
      <c r="M1184" s="371"/>
      <c r="N1184" s="371"/>
      <c r="O1184" s="371"/>
      <c r="P1184" s="371"/>
      <c r="Q1184" s="371"/>
      <c r="R1184" s="395"/>
      <c r="S1184" s="395" t="str">
        <f ca="1">Summon!$I$4</f>
        <v>战斗</v>
      </c>
      <c r="T1184" s="371"/>
      <c r="U1184" s="371"/>
      <c r="V1184" s="371"/>
      <c r="W1184" s="208"/>
    </row>
    <row r="1185" spans="1:23" ht="12.75" x14ac:dyDescent="0.2">
      <c r="A1185" s="208"/>
      <c r="B1185" s="568"/>
      <c r="C1185" s="210" t="b">
        <v>0</v>
      </c>
      <c r="D1185" s="211" t="str">
        <f ca="1">道具!$C$540</f>
        <v>葡萄树液</v>
      </c>
      <c r="E1185" s="568"/>
      <c r="F1185" s="568"/>
      <c r="G1185" s="568"/>
      <c r="H1185" s="568"/>
      <c r="I1185" s="568"/>
      <c r="J1185" s="568"/>
      <c r="K1185" s="568"/>
      <c r="L1185" s="568"/>
      <c r="M1185" s="568"/>
      <c r="N1185" s="568"/>
      <c r="O1185" s="568"/>
      <c r="P1185" s="568"/>
      <c r="Q1185" s="568"/>
      <c r="R1185" s="568"/>
      <c r="S1185" s="568"/>
      <c r="T1185" s="568"/>
      <c r="U1185" s="568"/>
      <c r="V1185" s="568"/>
      <c r="W1185" s="208"/>
    </row>
    <row r="1186" spans="1:23" ht="12.75" x14ac:dyDescent="0.2">
      <c r="A1186" s="208"/>
      <c r="B1186" s="400" t="str">
        <f ca="1">语言!$A$2088</f>
        <v>酒馆的客人 /
酒馆的老板</v>
      </c>
      <c r="C1186" s="208" t="b">
        <v>0</v>
      </c>
      <c r="D1186" s="59" t="str">
        <f ca="1">道具!$C$12</f>
        <v>ＨＰ／ＳＰ恢复的果酱</v>
      </c>
      <c r="E1186" s="567" t="b">
        <v>0</v>
      </c>
      <c r="F1186" s="395" t="str">
        <f ca="1">语言!$A$33&amp;"
"&amp;道具!$C$49</f>
        <v>隐藏道具的资讯
增强ＨＰ的坚果</v>
      </c>
      <c r="G1186" s="567" t="b">
        <v>0</v>
      </c>
      <c r="H1186" s="569" t="s">
        <v>45</v>
      </c>
      <c r="I1186" s="395">
        <v>2</v>
      </c>
      <c r="J1186" s="395"/>
      <c r="K1186" s="395"/>
      <c r="L1186" s="395"/>
      <c r="M1186" s="395"/>
      <c r="N1186" s="395"/>
      <c r="O1186" s="395" t="str">
        <f ca="1">道具!$C$3</f>
        <v>ＨＰ恢复的葡萄</v>
      </c>
      <c r="P1186" s="567"/>
      <c r="Q1186" s="569" t="s">
        <v>45</v>
      </c>
      <c r="R1186" s="58"/>
      <c r="S1186" s="58" t="str">
        <f ca="1">Summon!$I$176</f>
        <v>精神提升</v>
      </c>
      <c r="T1186" s="569">
        <v>9</v>
      </c>
      <c r="U1186" s="567"/>
      <c r="V1186" s="395" t="str">
        <f ca="1">"Change name after "&amp;语言!$A$39&amp;" chapter 1"</f>
        <v>Change name after 普里姆萝洁 chapter 1</v>
      </c>
      <c r="W1186" s="208"/>
    </row>
    <row r="1187" spans="1:23" ht="12.75" x14ac:dyDescent="0.2">
      <c r="A1187" s="208"/>
      <c r="B1187" s="371"/>
      <c r="C1187" s="208" t="b">
        <v>0</v>
      </c>
      <c r="D1187" s="59" t="str">
        <f ca="1">道具!$C$13</f>
        <v>ＨＰ／ＳＰ／ＢＰ恢复的果酱</v>
      </c>
      <c r="E1187" s="371"/>
      <c r="F1187" s="371"/>
      <c r="G1187" s="371"/>
      <c r="H1187" s="371"/>
      <c r="I1187" s="371"/>
      <c r="J1187" s="371"/>
      <c r="K1187" s="371"/>
      <c r="L1187" s="371"/>
      <c r="M1187" s="371"/>
      <c r="N1187" s="371"/>
      <c r="O1187" s="371"/>
      <c r="P1187" s="371"/>
      <c r="Q1187" s="371"/>
      <c r="R1187" s="58"/>
      <c r="S1187" s="58" t="str">
        <f ca="1">Summon!$I$101</f>
        <v>暗黑魔法</v>
      </c>
      <c r="T1187" s="371"/>
      <c r="U1187" s="371"/>
      <c r="V1187" s="371"/>
      <c r="W1187" s="208"/>
    </row>
    <row r="1188" spans="1:23" ht="12.75" x14ac:dyDescent="0.2">
      <c r="A1188" s="208"/>
      <c r="B1188" s="568"/>
      <c r="C1188" s="210" t="b">
        <v>0</v>
      </c>
      <c r="D1188" s="211" t="str">
        <f ca="1">道具!$C$16</f>
        <v>复活的橄榄（大）</v>
      </c>
      <c r="E1188" s="568"/>
      <c r="F1188" s="568"/>
      <c r="G1188" s="568"/>
      <c r="H1188" s="568"/>
      <c r="I1188" s="568"/>
      <c r="J1188" s="568"/>
      <c r="K1188" s="568"/>
      <c r="L1188" s="568"/>
      <c r="M1188" s="568"/>
      <c r="N1188" s="568"/>
      <c r="O1188" s="568"/>
      <c r="P1188" s="568"/>
      <c r="Q1188" s="568"/>
      <c r="R1188" s="58"/>
      <c r="S1188" s="209" t="str">
        <f ca="1">Summon!$I$4</f>
        <v>战斗</v>
      </c>
      <c r="T1188" s="568"/>
      <c r="U1188" s="568"/>
      <c r="V1188" s="568"/>
      <c r="W1188" s="208"/>
    </row>
    <row r="1189" spans="1:23" ht="12.75" x14ac:dyDescent="0.2">
      <c r="A1189" s="208"/>
      <c r="B1189" s="400" t="str">
        <f ca="1">语言!$A$2087</f>
        <v>酒馆的客人</v>
      </c>
      <c r="C1189" s="208" t="b">
        <v>0</v>
      </c>
      <c r="D1189" s="59" t="str">
        <f ca="1">道具!$C$69</f>
        <v>增强命中的坚果</v>
      </c>
      <c r="E1189" s="567" t="b">
        <v>0</v>
      </c>
      <c r="F1189" s="395" t="str">
        <f ca="1">语言!$A$23</f>
        <v>无</v>
      </c>
      <c r="G1189" s="567" t="b">
        <v>0</v>
      </c>
      <c r="H1189" s="569" t="s">
        <v>45</v>
      </c>
      <c r="I1189" s="395">
        <v>2</v>
      </c>
      <c r="J1189" s="395"/>
      <c r="K1189" s="395"/>
      <c r="L1189" s="395"/>
      <c r="M1189" s="395"/>
      <c r="N1189" s="395"/>
      <c r="O1189" s="395" t="str">
        <f ca="1">道具!$C$36</f>
        <v>雷之精灵石</v>
      </c>
      <c r="P1189" s="567"/>
      <c r="Q1189" s="569" t="s">
        <v>45</v>
      </c>
      <c r="R1189" s="58"/>
      <c r="S1189" s="58" t="str">
        <f ca="1">Summon!$I$40</f>
        <v>乱挥</v>
      </c>
      <c r="T1189" s="569">
        <v>9</v>
      </c>
      <c r="U1189" s="567"/>
      <c r="V1189" s="395"/>
      <c r="W1189" s="208"/>
    </row>
    <row r="1190" spans="1:23" ht="12.75" x14ac:dyDescent="0.2">
      <c r="A1190" s="208"/>
      <c r="B1190" s="568"/>
      <c r="C1190" s="210" t="b">
        <v>0</v>
      </c>
      <c r="D1190" s="211" t="str">
        <f ca="1">道具!$C$72</f>
        <v>增强回避的坚果</v>
      </c>
      <c r="E1190" s="568"/>
      <c r="F1190" s="568"/>
      <c r="G1190" s="568"/>
      <c r="H1190" s="568"/>
      <c r="I1190" s="568"/>
      <c r="J1190" s="568"/>
      <c r="K1190" s="568"/>
      <c r="L1190" s="568"/>
      <c r="M1190" s="568"/>
      <c r="N1190" s="568"/>
      <c r="O1190" s="568"/>
      <c r="P1190" s="568"/>
      <c r="Q1190" s="568"/>
      <c r="R1190" s="58"/>
      <c r="S1190" s="209" t="str">
        <f ca="1">Summon!$I$4</f>
        <v>战斗</v>
      </c>
      <c r="T1190" s="568"/>
      <c r="U1190" s="568"/>
      <c r="V1190" s="568"/>
      <c r="W1190" s="208"/>
    </row>
    <row r="1191" spans="1:23" ht="12.75" x14ac:dyDescent="0.2">
      <c r="A1191" s="208"/>
      <c r="B1191" s="400" t="str">
        <f ca="1">语言!$A$2090</f>
        <v>招牌女招待</v>
      </c>
      <c r="C1191" s="567" t="b">
        <v>0</v>
      </c>
      <c r="D1191" s="400" t="str">
        <f ca="1">道具!$C$502</f>
        <v>会心耳环</v>
      </c>
      <c r="E1191" s="567" t="b">
        <v>0</v>
      </c>
      <c r="F1191" s="395" t="str">
        <f ca="1">语言!$A$33&amp;"
"&amp;道具!$C$196</f>
        <v>隐藏道具的资讯
魔咒长柄刀</v>
      </c>
      <c r="G1191" s="567" t="b">
        <v>0</v>
      </c>
      <c r="H1191" s="569" t="s">
        <v>48</v>
      </c>
      <c r="I1191" s="395">
        <v>2</v>
      </c>
      <c r="J1191" s="395"/>
      <c r="K1191" s="395"/>
      <c r="L1191" s="395"/>
      <c r="M1191" s="395"/>
      <c r="N1191" s="395"/>
      <c r="O1191" s="395" t="str">
        <f ca="1">道具!$C$298</f>
        <v>石弓</v>
      </c>
      <c r="P1191" s="567"/>
      <c r="Q1191" s="569" t="s">
        <v>48</v>
      </c>
      <c r="R1191" s="58"/>
      <c r="S1191" s="58" t="str">
        <f ca="1">Summon!$I$65</f>
        <v>剧毒之矢</v>
      </c>
      <c r="T1191" s="569">
        <v>9</v>
      </c>
      <c r="U1191" s="567"/>
      <c r="V1191" s="395"/>
      <c r="W1191" s="208"/>
    </row>
    <row r="1192" spans="1:23" ht="12.75" x14ac:dyDescent="0.2">
      <c r="A1192" s="208"/>
      <c r="B1192" s="371"/>
      <c r="C1192" s="371"/>
      <c r="D1192" s="371"/>
      <c r="E1192" s="371"/>
      <c r="F1192" s="371"/>
      <c r="G1192" s="371"/>
      <c r="H1192" s="371"/>
      <c r="I1192" s="371"/>
      <c r="J1192" s="371"/>
      <c r="K1192" s="371"/>
      <c r="L1192" s="371"/>
      <c r="M1192" s="371"/>
      <c r="N1192" s="371"/>
      <c r="O1192" s="371"/>
      <c r="P1192" s="371"/>
      <c r="Q1192" s="371"/>
      <c r="R1192" s="58"/>
      <c r="S1192" s="58" t="str">
        <f ca="1">Summon!$I$124</f>
        <v>恢复全体ＨＰ的大技能</v>
      </c>
      <c r="T1192" s="371"/>
      <c r="U1192" s="371"/>
      <c r="V1192" s="371"/>
      <c r="W1192" s="208"/>
    </row>
    <row r="1193" spans="1:23" ht="12.75" x14ac:dyDescent="0.2">
      <c r="A1193" s="208"/>
      <c r="B1193" s="568"/>
      <c r="C1193" s="568"/>
      <c r="D1193" s="568"/>
      <c r="E1193" s="568"/>
      <c r="F1193" s="568"/>
      <c r="G1193" s="568"/>
      <c r="H1193" s="568"/>
      <c r="I1193" s="568"/>
      <c r="J1193" s="568"/>
      <c r="K1193" s="568"/>
      <c r="L1193" s="568"/>
      <c r="M1193" s="568"/>
      <c r="N1193" s="568"/>
      <c r="O1193" s="568"/>
      <c r="P1193" s="568"/>
      <c r="Q1193" s="568"/>
      <c r="R1193" s="58"/>
      <c r="S1193" s="58" t="str">
        <f ca="1">Summon!$I$4</f>
        <v>战斗</v>
      </c>
      <c r="T1193" s="568"/>
      <c r="U1193" s="568"/>
      <c r="V1193" s="568"/>
      <c r="W1193" s="208"/>
    </row>
    <row r="1194" spans="1:23" ht="12.75" x14ac:dyDescent="0.2">
      <c r="A1194" s="208"/>
      <c r="B1194" s="400" t="str">
        <f ca="1">语言!$A$2087</f>
        <v>酒馆的客人</v>
      </c>
      <c r="C1194" s="567" t="b">
        <v>0</v>
      </c>
      <c r="D1194" s="400" t="str">
        <f ca="1">道具!$C$118</f>
        <v>纪念金币</v>
      </c>
      <c r="E1194" s="567" t="b">
        <v>0</v>
      </c>
      <c r="F1194" s="395" t="str">
        <f ca="1">语言!$A$23</f>
        <v>无</v>
      </c>
      <c r="G1194" s="567" t="b">
        <v>0</v>
      </c>
      <c r="H1194" s="569" t="s">
        <v>45</v>
      </c>
      <c r="I1194" s="395">
        <v>2</v>
      </c>
      <c r="J1194" s="395"/>
      <c r="K1194" s="395"/>
      <c r="L1194" s="395"/>
      <c r="M1194" s="395"/>
      <c r="N1194" s="395"/>
      <c r="O1194" s="395" t="str">
        <f ca="1">道具!$C$6</f>
        <v>ＳＰ恢复的李子</v>
      </c>
      <c r="P1194" s="567"/>
      <c r="Q1194" s="569" t="s">
        <v>45</v>
      </c>
      <c r="R1194" s="58"/>
      <c r="S1194" s="215" t="str">
        <f ca="1">Summon!$I$20</f>
        <v>横扫</v>
      </c>
      <c r="T1194" s="569">
        <v>9</v>
      </c>
      <c r="U1194" s="567"/>
      <c r="V1194" s="395" t="str">
        <f ca="1">道具!$C$118&amp;" Not for Sale"</f>
        <v>纪念金币 Not for Sale</v>
      </c>
      <c r="W1194" s="208"/>
    </row>
    <row r="1195" spans="1:23" ht="12.75" x14ac:dyDescent="0.2">
      <c r="A1195" s="208"/>
      <c r="B1195" s="371"/>
      <c r="C1195" s="371"/>
      <c r="D1195" s="371"/>
      <c r="E1195" s="371"/>
      <c r="F1195" s="371"/>
      <c r="G1195" s="371"/>
      <c r="H1195" s="371"/>
      <c r="I1195" s="371"/>
      <c r="J1195" s="371"/>
      <c r="K1195" s="371"/>
      <c r="L1195" s="371"/>
      <c r="M1195" s="371"/>
      <c r="N1195" s="371"/>
      <c r="O1195" s="371"/>
      <c r="P1195" s="371"/>
      <c r="Q1195" s="371"/>
      <c r="R1195" s="58"/>
      <c r="S1195" s="58" t="str">
        <f ca="1">Summon!$I$6</f>
        <v>斩击</v>
      </c>
      <c r="T1195" s="371"/>
      <c r="U1195" s="371"/>
      <c r="V1195" s="371"/>
      <c r="W1195" s="208"/>
    </row>
    <row r="1196" spans="1:23" ht="12.75" x14ac:dyDescent="0.2">
      <c r="A1196" s="208"/>
      <c r="B1196" s="568"/>
      <c r="C1196" s="568"/>
      <c r="D1196" s="568"/>
      <c r="E1196" s="568"/>
      <c r="F1196" s="568"/>
      <c r="G1196" s="568"/>
      <c r="H1196" s="568"/>
      <c r="I1196" s="568"/>
      <c r="J1196" s="568"/>
      <c r="K1196" s="568"/>
      <c r="L1196" s="568"/>
      <c r="M1196" s="568"/>
      <c r="N1196" s="568"/>
      <c r="O1196" s="568"/>
      <c r="P1196" s="568"/>
      <c r="Q1196" s="568"/>
      <c r="R1196" s="58"/>
      <c r="S1196" s="209" t="str">
        <f ca="1">Summon!$I$4</f>
        <v>战斗</v>
      </c>
      <c r="T1196" s="568"/>
      <c r="U1196" s="568"/>
      <c r="V1196" s="568"/>
      <c r="W1196" s="208"/>
    </row>
    <row r="1197" spans="1:23" ht="12.75" x14ac:dyDescent="0.2">
      <c r="A1197" s="208"/>
      <c r="B1197" s="400" t="str">
        <f ca="1">语言!$A$1815&amp;" (1)"</f>
        <v>布莱恩 (1)</v>
      </c>
      <c r="C1197" s="208" t="b">
        <v>0</v>
      </c>
      <c r="D1197" s="59" t="str">
        <f ca="1">道具!$C$40</f>
        <v>风之精灵石（大）</v>
      </c>
      <c r="E1197" s="567" t="b">
        <v>0</v>
      </c>
      <c r="F1197" s="395" t="str">
        <f ca="1">语言!$A$23</f>
        <v>无</v>
      </c>
      <c r="G1197" s="567" t="b">
        <v>0</v>
      </c>
      <c r="H1197" s="569" t="s">
        <v>46</v>
      </c>
      <c r="I1197" s="395">
        <v>3</v>
      </c>
      <c r="J1197" s="395"/>
      <c r="K1197" s="395"/>
      <c r="L1197" s="395"/>
      <c r="M1197" s="395"/>
      <c r="N1197" s="395"/>
      <c r="O1197" s="395" t="str">
        <f ca="1">道具!$C$7</f>
        <v>ＳＰ恢复的李子（大）</v>
      </c>
      <c r="P1197" s="567"/>
      <c r="Q1197" s="569" t="s">
        <v>46</v>
      </c>
      <c r="R1197" s="58"/>
      <c r="S1197" s="58" t="str">
        <f ca="1">Summon!$I$80</f>
        <v>大火焰魔法</v>
      </c>
      <c r="T1197" s="569">
        <v>8</v>
      </c>
      <c r="U1197" s="567"/>
      <c r="V1197" s="395" t="str">
        <f ca="1">"NPC available after "&amp;语言!$A$39&amp;" chapter 1
Moves to Sunshade after quest: "&amp;支线!$C$38&amp;"
("&amp;语言!$A$47&amp;" / "&amp;语言!$A$51&amp;" solution only)"</f>
        <v>NPC available after 普里姆萝洁 chapter 1
Moves to Sunshade after quest: 村里的风车
(比试 / 唆使 solution only)</v>
      </c>
      <c r="W1197" s="208"/>
    </row>
    <row r="1198" spans="1:23" ht="12.75" x14ac:dyDescent="0.2">
      <c r="A1198" s="208"/>
      <c r="B1198" s="371"/>
      <c r="C1198" s="208" t="b">
        <v>0</v>
      </c>
      <c r="D1198" s="59" t="str">
        <f ca="1">道具!$C$47</f>
        <v>暗之精灵石（大）</v>
      </c>
      <c r="E1198" s="371"/>
      <c r="F1198" s="371"/>
      <c r="G1198" s="371"/>
      <c r="H1198" s="371"/>
      <c r="I1198" s="371"/>
      <c r="J1198" s="371"/>
      <c r="K1198" s="371"/>
      <c r="L1198" s="371"/>
      <c r="M1198" s="371"/>
      <c r="N1198" s="371"/>
      <c r="O1198" s="371"/>
      <c r="P1198" s="371"/>
      <c r="Q1198" s="371"/>
      <c r="R1198" s="58"/>
      <c r="S1198" s="58" t="str">
        <f ca="1">Summon!$I$57</f>
        <v>粉碎</v>
      </c>
      <c r="T1198" s="371"/>
      <c r="U1198" s="371"/>
      <c r="V1198" s="371"/>
      <c r="W1198" s="208"/>
    </row>
    <row r="1199" spans="1:23" ht="12.75" x14ac:dyDescent="0.2">
      <c r="A1199" s="208"/>
      <c r="B1199" s="568"/>
      <c r="C1199" s="210"/>
      <c r="D1199" s="211"/>
      <c r="E1199" s="568"/>
      <c r="F1199" s="568"/>
      <c r="G1199" s="568"/>
      <c r="H1199" s="568"/>
      <c r="I1199" s="568"/>
      <c r="J1199" s="568"/>
      <c r="K1199" s="568"/>
      <c r="L1199" s="568"/>
      <c r="M1199" s="568"/>
      <c r="N1199" s="568"/>
      <c r="O1199" s="568"/>
      <c r="P1199" s="568"/>
      <c r="Q1199" s="568"/>
      <c r="R1199" s="209"/>
      <c r="S1199" s="209" t="str">
        <f ca="1">Summon!$I$4</f>
        <v>战斗</v>
      </c>
      <c r="T1199" s="568"/>
      <c r="U1199" s="568"/>
      <c r="V1199" s="568"/>
      <c r="W1199" s="208"/>
    </row>
    <row r="1200" spans="1:23" ht="12.75" x14ac:dyDescent="0.2">
      <c r="A1200" s="208"/>
      <c r="B1200" s="400" t="str">
        <f ca="1">语言!$A$2087</f>
        <v>酒馆的客人</v>
      </c>
      <c r="C1200" s="208" t="b">
        <v>0</v>
      </c>
      <c r="D1200" s="59" t="str">
        <f ca="1">道具!$C$498</f>
        <v>守护耳环</v>
      </c>
      <c r="E1200" s="567" t="b">
        <v>0</v>
      </c>
      <c r="F1200" s="395" t="str">
        <f ca="1">语言!$A$24</f>
        <v>旅店的折扣资讯</v>
      </c>
      <c r="G1200" s="567" t="b">
        <v>0</v>
      </c>
      <c r="H1200" s="569" t="s">
        <v>45</v>
      </c>
      <c r="I1200" s="395">
        <v>2</v>
      </c>
      <c r="J1200" s="395"/>
      <c r="K1200" s="395"/>
      <c r="L1200" s="395"/>
      <c r="M1200" s="395"/>
      <c r="N1200" s="395"/>
      <c r="O1200" s="395" t="str">
        <f ca="1">道具!$C$4</f>
        <v>ＨＰ恢复的葡萄（大）</v>
      </c>
      <c r="P1200" s="567"/>
      <c r="Q1200" s="569" t="s">
        <v>45</v>
      </c>
      <c r="R1200" s="58"/>
      <c r="S1200" s="58" t="str">
        <f ca="1">Summon!$I$122</f>
        <v>恢复ＨＰ的葡萄（大）</v>
      </c>
      <c r="T1200" s="569">
        <v>9</v>
      </c>
      <c r="U1200" s="567"/>
      <c r="V1200" s="395"/>
      <c r="W1200" s="208"/>
    </row>
    <row r="1201" spans="1:23" ht="12.75" x14ac:dyDescent="0.2">
      <c r="A1201" s="208"/>
      <c r="B1201" s="371"/>
      <c r="C1201" s="208" t="b">
        <v>0</v>
      </c>
      <c r="D1201" s="59" t="str">
        <f ca="1">道具!$C$94</f>
        <v>空空的钱包</v>
      </c>
      <c r="E1201" s="371"/>
      <c r="F1201" s="371"/>
      <c r="G1201" s="371"/>
      <c r="H1201" s="371"/>
      <c r="I1201" s="371"/>
      <c r="J1201" s="371"/>
      <c r="K1201" s="371"/>
      <c r="L1201" s="371"/>
      <c r="M1201" s="371"/>
      <c r="N1201" s="371"/>
      <c r="O1201" s="371"/>
      <c r="P1201" s="371"/>
      <c r="Q1201" s="371"/>
      <c r="R1201" s="58"/>
      <c r="S1201" s="58" t="str">
        <f ca="1">Summon!$I$52</f>
        <v>重拳</v>
      </c>
      <c r="T1201" s="371"/>
      <c r="U1201" s="371"/>
      <c r="V1201" s="371"/>
      <c r="W1201" s="208"/>
    </row>
    <row r="1202" spans="1:23" ht="12.75" x14ac:dyDescent="0.2">
      <c r="A1202" s="208"/>
      <c r="B1202" s="568"/>
      <c r="C1202" s="210"/>
      <c r="D1202" s="211"/>
      <c r="E1202" s="568"/>
      <c r="F1202" s="568"/>
      <c r="G1202" s="568"/>
      <c r="H1202" s="568"/>
      <c r="I1202" s="568"/>
      <c r="J1202" s="568"/>
      <c r="K1202" s="568"/>
      <c r="L1202" s="568"/>
      <c r="M1202" s="568"/>
      <c r="N1202" s="568"/>
      <c r="O1202" s="568"/>
      <c r="P1202" s="568"/>
      <c r="Q1202" s="568"/>
      <c r="R1202" s="209"/>
      <c r="S1202" s="209" t="str">
        <f ca="1">Summon!$I$4</f>
        <v>战斗</v>
      </c>
      <c r="T1202" s="568"/>
      <c r="U1202" s="568"/>
      <c r="V1202" s="568"/>
      <c r="W1202" s="208"/>
    </row>
    <row r="1203" spans="1:23" ht="12.75" x14ac:dyDescent="0.2">
      <c r="A1203" s="208"/>
      <c r="B1203" s="400" t="str">
        <f ca="1">语言!$A$2087</f>
        <v>酒馆的客人</v>
      </c>
      <c r="C1203" s="567" t="b">
        <v>0</v>
      </c>
      <c r="D1203" s="400" t="str">
        <f ca="1">道具!$C$117</f>
        <v>鼓胀的钱包</v>
      </c>
      <c r="E1203" s="567" t="b">
        <v>0</v>
      </c>
      <c r="F1203" s="395" t="str">
        <f ca="1">语言!$A$30</f>
        <v>「诱惑」成功机率ＵＰ资讯</v>
      </c>
      <c r="G1203" s="567" t="b">
        <v>0</v>
      </c>
      <c r="H1203" s="569" t="s">
        <v>45</v>
      </c>
      <c r="I1203" s="395">
        <v>2</v>
      </c>
      <c r="J1203" s="395"/>
      <c r="K1203" s="395"/>
      <c r="L1203" s="395"/>
      <c r="M1203" s="395"/>
      <c r="N1203" s="395"/>
      <c r="O1203" s="395" t="str">
        <f ca="1">道具!$C$46</f>
        <v>暗之精灵石</v>
      </c>
      <c r="P1203" s="567"/>
      <c r="Q1203" s="569" t="s">
        <v>45</v>
      </c>
      <c r="R1203" s="58"/>
      <c r="S1203" s="58" t="str">
        <f ca="1">Summon!$I$101</f>
        <v>暗黑魔法</v>
      </c>
      <c r="T1203" s="569">
        <v>9</v>
      </c>
      <c r="U1203" s="567"/>
      <c r="V1203" s="395"/>
      <c r="W1203" s="208"/>
    </row>
    <row r="1204" spans="1:23" ht="12.75" x14ac:dyDescent="0.2">
      <c r="A1204" s="208"/>
      <c r="B1204" s="371"/>
      <c r="C1204" s="371"/>
      <c r="D1204" s="371"/>
      <c r="E1204" s="371"/>
      <c r="F1204" s="371"/>
      <c r="G1204" s="371"/>
      <c r="H1204" s="371"/>
      <c r="I1204" s="371"/>
      <c r="J1204" s="371"/>
      <c r="K1204" s="371"/>
      <c r="L1204" s="371"/>
      <c r="M1204" s="371"/>
      <c r="N1204" s="371"/>
      <c r="O1204" s="371"/>
      <c r="P1204" s="371"/>
      <c r="Q1204" s="371"/>
      <c r="R1204" s="58"/>
      <c r="S1204" s="58" t="str">
        <f ca="1">Summon!$I$118</f>
        <v>恢复ＨＰ的葡萄</v>
      </c>
      <c r="T1204" s="371"/>
      <c r="U1204" s="371"/>
      <c r="V1204" s="371"/>
      <c r="W1204" s="208"/>
    </row>
    <row r="1205" spans="1:23" ht="12.75" x14ac:dyDescent="0.2">
      <c r="A1205" s="208"/>
      <c r="B1205" s="568"/>
      <c r="C1205" s="568"/>
      <c r="D1205" s="568"/>
      <c r="E1205" s="568"/>
      <c r="F1205" s="568"/>
      <c r="G1205" s="568"/>
      <c r="H1205" s="568"/>
      <c r="I1205" s="568"/>
      <c r="J1205" s="568"/>
      <c r="K1205" s="568"/>
      <c r="L1205" s="568"/>
      <c r="M1205" s="568"/>
      <c r="N1205" s="568"/>
      <c r="O1205" s="568"/>
      <c r="P1205" s="568"/>
      <c r="Q1205" s="568"/>
      <c r="R1205" s="209"/>
      <c r="S1205" s="209" t="str">
        <f ca="1">Summon!$I$4</f>
        <v>战斗</v>
      </c>
      <c r="T1205" s="568"/>
      <c r="U1205" s="568"/>
      <c r="V1205" s="568"/>
      <c r="W1205" s="208"/>
    </row>
    <row r="1206" spans="1:23" ht="22.5" customHeight="1" x14ac:dyDescent="0.2">
      <c r="A1206" s="208"/>
      <c r="B1206" s="400" t="str">
        <f ca="1">语言!$A$1872&amp;" (1)"</f>
        <v>没存在感的青年 /
新手盗贼 (1)</v>
      </c>
      <c r="C1206" s="567" t="b">
        <v>0</v>
      </c>
      <c r="D1206" s="400" t="str">
        <f ca="1">道具!$C$230</f>
        <v>刺击匕首</v>
      </c>
      <c r="E1206" s="567" t="b">
        <v>0</v>
      </c>
      <c r="F1206" s="395" t="str">
        <f ca="1">语言!$A$23</f>
        <v>无</v>
      </c>
      <c r="G1206" s="567" t="b">
        <v>0</v>
      </c>
      <c r="H1206" s="569" t="s">
        <v>48</v>
      </c>
      <c r="I1206" s="395">
        <v>2</v>
      </c>
      <c r="J1206" s="395"/>
      <c r="K1206" s="395"/>
      <c r="L1206" s="395"/>
      <c r="M1206" s="395"/>
      <c r="N1206" s="395"/>
      <c r="O1206" s="395" t="str">
        <f ca="1">道具!$C$352</f>
        <v>大盾</v>
      </c>
      <c r="P1206" s="567"/>
      <c r="Q1206" s="569" t="s">
        <v>48</v>
      </c>
      <c r="R1206" s="58"/>
      <c r="S1206" s="58" t="str">
        <f ca="1">Summon!$I$52</f>
        <v>重拳</v>
      </c>
      <c r="T1206" s="569">
        <v>9</v>
      </c>
      <c r="U1206" s="567"/>
      <c r="V1206" s="395" t="str">
        <f ca="1">"NPC available after "&amp;语言!$A$39&amp;" chapter 1
Moves to "&amp;语言!$A$458&amp;" after quest: "&amp;支线!$C$118&amp;"
("&amp;语言!$A$44&amp;" / "&amp;语言!$A$48&amp;" solution only)"</f>
        <v>NPC available after 普里姆萝洁 chapter 1
Moves to 柏达弗尔 -下层- after quest: 盗贼的规矩
(引导 / 诱惑 solution only)</v>
      </c>
      <c r="W1206" s="208"/>
    </row>
    <row r="1207" spans="1:23" ht="22.5" customHeight="1" x14ac:dyDescent="0.2">
      <c r="A1207" s="208"/>
      <c r="B1207" s="371"/>
      <c r="C1207" s="371"/>
      <c r="D1207" s="371"/>
      <c r="E1207" s="371"/>
      <c r="F1207" s="371"/>
      <c r="G1207" s="371"/>
      <c r="H1207" s="371"/>
      <c r="I1207" s="371"/>
      <c r="J1207" s="371"/>
      <c r="K1207" s="371"/>
      <c r="L1207" s="371"/>
      <c r="M1207" s="371"/>
      <c r="N1207" s="371"/>
      <c r="O1207" s="371"/>
      <c r="P1207" s="371"/>
      <c r="Q1207" s="371"/>
      <c r="R1207" s="58"/>
      <c r="S1207" s="58" t="str">
        <f ca="1">Summon!$I$4</f>
        <v>战斗</v>
      </c>
      <c r="T1207" s="371"/>
      <c r="U1207" s="371"/>
      <c r="V1207" s="371"/>
      <c r="W1207" s="208"/>
    </row>
    <row r="1208" spans="1:23" ht="12.75" x14ac:dyDescent="0.2">
      <c r="A1208" s="208"/>
      <c r="B1208" s="572" t="str">
        <f ca="1">语言!$A$323&amp;" 2"</f>
        <v>Tier 2</v>
      </c>
      <c r="C1208" s="371"/>
      <c r="D1208" s="371"/>
      <c r="E1208" s="371"/>
      <c r="F1208" s="371"/>
      <c r="G1208" s="371"/>
      <c r="H1208" s="371"/>
      <c r="I1208" s="371"/>
      <c r="J1208" s="371"/>
      <c r="K1208" s="371"/>
      <c r="L1208" s="371"/>
      <c r="M1208" s="371"/>
      <c r="N1208" s="371"/>
      <c r="O1208" s="371"/>
      <c r="P1208" s="371"/>
      <c r="Q1208" s="371"/>
      <c r="R1208" s="371"/>
      <c r="S1208" s="371"/>
      <c r="T1208" s="371"/>
      <c r="U1208" s="371"/>
      <c r="V1208" s="371"/>
      <c r="W1208" s="208"/>
    </row>
    <row r="1209" spans="1:23" ht="12.75" x14ac:dyDescent="0.2">
      <c r="A1209" s="208"/>
      <c r="B1209" s="571" t="str">
        <f ca="1">语言!$A$420</f>
        <v>威尔斯宾克</v>
      </c>
      <c r="C1209" s="371"/>
      <c r="D1209" s="371"/>
      <c r="E1209" s="371"/>
      <c r="F1209" s="371"/>
      <c r="G1209" s="371"/>
      <c r="H1209" s="371"/>
      <c r="I1209" s="371"/>
      <c r="J1209" s="371"/>
      <c r="K1209" s="371"/>
      <c r="L1209" s="371"/>
      <c r="M1209" s="371"/>
      <c r="N1209" s="371"/>
      <c r="O1209" s="371"/>
      <c r="P1209" s="371"/>
      <c r="Q1209" s="371"/>
      <c r="R1209" s="371"/>
      <c r="S1209" s="371"/>
      <c r="T1209" s="371"/>
      <c r="U1209" s="371"/>
      <c r="V1209" s="371"/>
      <c r="W1209" s="208"/>
    </row>
    <row r="1210" spans="1:23" ht="12.75" x14ac:dyDescent="0.2">
      <c r="A1210" s="208"/>
      <c r="B1210" s="400" t="str">
        <f ca="1">语言!$A$2102</f>
        <v>市民</v>
      </c>
      <c r="C1210" s="208" t="b">
        <v>0</v>
      </c>
      <c r="D1210" s="59" t="str">
        <f ca="1">道具!$C$4</f>
        <v>ＨＰ恢复的葡萄（大）</v>
      </c>
      <c r="E1210" s="567" t="b">
        <v>0</v>
      </c>
      <c r="F1210" s="395" t="str">
        <f ca="1">语言!$A$33&amp;"
"&amp;道具!$C$37</f>
        <v>隐藏道具的资讯
雷之精灵石（大）</v>
      </c>
      <c r="G1210" s="567" t="b">
        <v>0</v>
      </c>
      <c r="H1210" s="569" t="s">
        <v>46</v>
      </c>
      <c r="I1210" s="395">
        <v>3</v>
      </c>
      <c r="J1210" s="395"/>
      <c r="K1210" s="395"/>
      <c r="L1210" s="395"/>
      <c r="M1210" s="395"/>
      <c r="N1210" s="395"/>
      <c r="O1210" s="395" t="str">
        <f ca="1">道具!$C$4</f>
        <v>ＨＰ恢复的葡萄（大）</v>
      </c>
      <c r="P1210" s="567"/>
      <c r="Q1210" s="569" t="s">
        <v>46</v>
      </c>
      <c r="R1210" s="58"/>
      <c r="S1210" s="58" t="str">
        <f ca="1">Summon!$I$87</f>
        <v>大冰冻魔法</v>
      </c>
      <c r="T1210" s="569">
        <v>8</v>
      </c>
      <c r="U1210" s="567"/>
      <c r="V1210" s="395"/>
      <c r="W1210" s="208"/>
    </row>
    <row r="1211" spans="1:23" ht="12.75" x14ac:dyDescent="0.2">
      <c r="A1211" s="208"/>
      <c r="B1211" s="371"/>
      <c r="C1211" s="208" t="b">
        <v>0</v>
      </c>
      <c r="D1211" s="59" t="str">
        <f ca="1">道具!$C$370</f>
        <v>毛皮帽子</v>
      </c>
      <c r="E1211" s="371"/>
      <c r="F1211" s="371"/>
      <c r="G1211" s="371"/>
      <c r="H1211" s="371"/>
      <c r="I1211" s="371"/>
      <c r="J1211" s="371"/>
      <c r="K1211" s="371"/>
      <c r="L1211" s="371"/>
      <c r="M1211" s="371"/>
      <c r="N1211" s="371"/>
      <c r="O1211" s="371"/>
      <c r="P1211" s="371"/>
      <c r="Q1211" s="371"/>
      <c r="R1211" s="58"/>
      <c r="S1211" s="58" t="str">
        <f ca="1">Summon!$I$86</f>
        <v>冰冻魔法</v>
      </c>
      <c r="T1211" s="371"/>
      <c r="U1211" s="371"/>
      <c r="V1211" s="371"/>
      <c r="W1211" s="208"/>
    </row>
    <row r="1212" spans="1:23" ht="12.75" x14ac:dyDescent="0.2">
      <c r="A1212" s="208"/>
      <c r="B1212" s="568"/>
      <c r="C1212" s="210"/>
      <c r="D1212" s="211"/>
      <c r="E1212" s="568"/>
      <c r="F1212" s="568"/>
      <c r="G1212" s="568"/>
      <c r="H1212" s="568"/>
      <c r="I1212" s="568"/>
      <c r="J1212" s="568"/>
      <c r="K1212" s="568"/>
      <c r="L1212" s="568"/>
      <c r="M1212" s="568"/>
      <c r="N1212" s="568"/>
      <c r="O1212" s="568"/>
      <c r="P1212" s="568"/>
      <c r="Q1212" s="568"/>
      <c r="R1212" s="209"/>
      <c r="S1212" s="209" t="str">
        <f ca="1">Summon!$I$4</f>
        <v>战斗</v>
      </c>
      <c r="T1212" s="568"/>
      <c r="U1212" s="568"/>
      <c r="V1212" s="568"/>
      <c r="W1212" s="208"/>
    </row>
    <row r="1213" spans="1:23" ht="12.75" x14ac:dyDescent="0.2">
      <c r="A1213" s="208"/>
      <c r="B1213" s="400" t="str">
        <f ca="1">语言!$A$2087</f>
        <v>酒馆的客人</v>
      </c>
      <c r="C1213" s="208" t="b">
        <v>0</v>
      </c>
      <c r="D1213" s="59" t="str">
        <f ca="1">"* "&amp;道具!$F$9</f>
        <v>* 葡萄酒</v>
      </c>
      <c r="E1213" s="567" t="b">
        <v>0</v>
      </c>
      <c r="F1213" s="395" t="str">
        <f ca="1">语言!$A$33&amp;"
"&amp;道具!$C$5</f>
        <v>隐藏道具的资讯
ＨＰ全体恢复的葡萄</v>
      </c>
      <c r="G1213" s="567" t="b">
        <v>0</v>
      </c>
      <c r="H1213" s="569" t="s">
        <v>46</v>
      </c>
      <c r="I1213" s="395">
        <v>3</v>
      </c>
      <c r="J1213" s="395"/>
      <c r="K1213" s="395"/>
      <c r="L1213" s="395"/>
      <c r="M1213" s="395"/>
      <c r="N1213" s="395"/>
      <c r="O1213" s="395" t="str">
        <f ca="1">道具!$C$14</f>
        <v>复活的橄榄</v>
      </c>
      <c r="P1213" s="567"/>
      <c r="Q1213" s="569" t="s">
        <v>46</v>
      </c>
      <c r="R1213" s="58"/>
      <c r="S1213" s="58" t="str">
        <f ca="1">Summon!$I$180</f>
        <v>暴击提升</v>
      </c>
      <c r="T1213" s="569">
        <v>8</v>
      </c>
      <c r="U1213" s="567"/>
      <c r="V1213" s="395" t="str">
        <f ca="1">"NPC available upon starting "&amp;语言!$A$41&amp;" chapter 3"</f>
        <v>NPC available upon starting 泰里翁 chapter 3</v>
      </c>
      <c r="W1213" s="208"/>
    </row>
    <row r="1214" spans="1:23" ht="12.75" x14ac:dyDescent="0.2">
      <c r="A1214" s="208"/>
      <c r="B1214" s="371"/>
      <c r="C1214" s="208" t="b">
        <v>0</v>
      </c>
      <c r="D1214" s="59" t="str">
        <f ca="1">道具!$C$94</f>
        <v>空空的钱包</v>
      </c>
      <c r="E1214" s="371"/>
      <c r="F1214" s="371"/>
      <c r="G1214" s="371"/>
      <c r="H1214" s="371"/>
      <c r="I1214" s="371"/>
      <c r="J1214" s="371"/>
      <c r="K1214" s="371"/>
      <c r="L1214" s="371"/>
      <c r="M1214" s="371"/>
      <c r="N1214" s="371"/>
      <c r="O1214" s="371"/>
      <c r="P1214" s="371"/>
      <c r="Q1214" s="371"/>
      <c r="R1214" s="58"/>
      <c r="S1214" s="58" t="str">
        <f ca="1">Summon!$I$52</f>
        <v>重拳</v>
      </c>
      <c r="T1214" s="371"/>
      <c r="U1214" s="371"/>
      <c r="V1214" s="371"/>
      <c r="W1214" s="208"/>
    </row>
    <row r="1215" spans="1:23" ht="12.75" x14ac:dyDescent="0.2">
      <c r="A1215" s="208"/>
      <c r="B1215" s="568"/>
      <c r="C1215" s="210"/>
      <c r="D1215" s="211"/>
      <c r="E1215" s="568"/>
      <c r="F1215" s="568"/>
      <c r="G1215" s="568"/>
      <c r="H1215" s="568"/>
      <c r="I1215" s="568"/>
      <c r="J1215" s="568"/>
      <c r="K1215" s="568"/>
      <c r="L1215" s="568"/>
      <c r="M1215" s="568"/>
      <c r="N1215" s="568"/>
      <c r="O1215" s="568"/>
      <c r="P1215" s="568"/>
      <c r="Q1215" s="568"/>
      <c r="R1215" s="209"/>
      <c r="S1215" s="209" t="str">
        <f ca="1">Summon!$I$4</f>
        <v>战斗</v>
      </c>
      <c r="T1215" s="568"/>
      <c r="U1215" s="568"/>
      <c r="V1215" s="568"/>
      <c r="W1215" s="208"/>
    </row>
    <row r="1216" spans="1:23" ht="12.75" x14ac:dyDescent="0.2">
      <c r="A1216" s="208"/>
      <c r="B1216" s="211" t="str">
        <f ca="1">语言!$A$2086</f>
        <v>酒保</v>
      </c>
      <c r="C1216" s="210" t="b">
        <v>0</v>
      </c>
      <c r="D1216" s="211" t="str">
        <f ca="1">"* "&amp;道具!$F$25</f>
        <v>* 黑市商品清单</v>
      </c>
      <c r="E1216" s="210"/>
      <c r="F1216" s="213" t="s">
        <v>119</v>
      </c>
      <c r="G1216" s="210"/>
      <c r="H1216" s="213" t="s">
        <v>119</v>
      </c>
      <c r="I1216" s="213" t="s">
        <v>119</v>
      </c>
      <c r="J1216" s="213" t="s">
        <v>119</v>
      </c>
      <c r="K1216" s="213" t="s">
        <v>119</v>
      </c>
      <c r="L1216" s="213" t="s">
        <v>119</v>
      </c>
      <c r="M1216" s="213" t="s">
        <v>119</v>
      </c>
      <c r="N1216" s="213" t="s">
        <v>119</v>
      </c>
      <c r="O1216" s="213" t="s">
        <v>119</v>
      </c>
      <c r="P1216" s="210"/>
      <c r="Q1216" s="213" t="s">
        <v>119</v>
      </c>
      <c r="R1216" s="213" t="s">
        <v>119</v>
      </c>
      <c r="S1216" s="213" t="s">
        <v>119</v>
      </c>
      <c r="T1216" s="213" t="s">
        <v>119</v>
      </c>
      <c r="U1216" s="210"/>
      <c r="V1216" s="209" t="str">
        <f ca="1">道具!$F$25&amp;" available during "&amp;语言!$A$41&amp;" chapter 3 only"</f>
        <v>黑市商品清单 available during 泰里翁 chapter 3 only</v>
      </c>
      <c r="W1216" s="208"/>
    </row>
    <row r="1217" spans="1:23" ht="12.75" x14ac:dyDescent="0.2">
      <c r="A1217" s="208"/>
      <c r="B1217" s="400" t="str">
        <f ca="1">语言!$A$2102</f>
        <v>市民</v>
      </c>
      <c r="C1217" s="208" t="b">
        <v>0</v>
      </c>
      <c r="D1217" s="59" t="str">
        <f ca="1">道具!$C$5</f>
        <v>ＨＰ全体恢复的葡萄</v>
      </c>
      <c r="E1217" s="567" t="b">
        <v>0</v>
      </c>
      <c r="F1217" s="395" t="str">
        <f ca="1">语言!$A$24</f>
        <v>旅店的折扣资讯</v>
      </c>
      <c r="G1217" s="567" t="b">
        <v>0</v>
      </c>
      <c r="H1217" s="569" t="s">
        <v>48</v>
      </c>
      <c r="I1217" s="395">
        <v>2</v>
      </c>
      <c r="J1217" s="395"/>
      <c r="K1217" s="395"/>
      <c r="L1217" s="395"/>
      <c r="M1217" s="395"/>
      <c r="N1217" s="395"/>
      <c r="O1217" s="395" t="str">
        <f ca="1">道具!$C$7</f>
        <v>ＳＰ恢复的李子（大）</v>
      </c>
      <c r="P1217" s="567"/>
      <c r="Q1217" s="569" t="s">
        <v>48</v>
      </c>
      <c r="R1217" s="58"/>
      <c r="S1217" s="58" t="str">
        <f ca="1">Summon!$I$174</f>
        <v>防御力提升</v>
      </c>
      <c r="T1217" s="569">
        <v>9</v>
      </c>
      <c r="U1217" s="567"/>
      <c r="V1217" s="395" t="str">
        <f ca="1">语言!$A$44&amp;" / "&amp;语言!$A$48&amp;" available upon starting "&amp;语言!$A$38&amp;" chapter 3"</f>
        <v>引导 / 诱惑 available upon starting 欧尔贝克 chapter 3</v>
      </c>
      <c r="W1217" s="208"/>
    </row>
    <row r="1218" spans="1:23" ht="12.75" x14ac:dyDescent="0.2">
      <c r="A1218" s="208"/>
      <c r="B1218" s="371"/>
      <c r="C1218" s="208" t="b">
        <v>0</v>
      </c>
      <c r="D1218" s="59" t="str">
        <f ca="1">道具!$C$5</f>
        <v>ＨＰ全体恢复的葡萄</v>
      </c>
      <c r="E1218" s="371"/>
      <c r="F1218" s="371"/>
      <c r="G1218" s="371"/>
      <c r="H1218" s="371"/>
      <c r="I1218" s="371"/>
      <c r="J1218" s="371"/>
      <c r="K1218" s="371"/>
      <c r="L1218" s="371"/>
      <c r="M1218" s="371"/>
      <c r="N1218" s="371"/>
      <c r="O1218" s="371"/>
      <c r="P1218" s="371"/>
      <c r="Q1218" s="371"/>
      <c r="R1218" s="58"/>
      <c r="S1218" s="58" t="str">
        <f ca="1">Summon!$I$40</f>
        <v>乱挥</v>
      </c>
      <c r="T1218" s="371"/>
      <c r="U1218" s="371"/>
      <c r="V1218" s="371"/>
      <c r="W1218" s="208"/>
    </row>
    <row r="1219" spans="1:23" ht="12.75" x14ac:dyDescent="0.2">
      <c r="A1219" s="208"/>
      <c r="B1219" s="371"/>
      <c r="C1219" s="208" t="b">
        <v>0</v>
      </c>
      <c r="D1219" s="59" t="str">
        <f ca="1">道具!$C$8</f>
        <v>ＳＰ全体恢复的李子</v>
      </c>
      <c r="E1219" s="371"/>
      <c r="F1219" s="371"/>
      <c r="G1219" s="371"/>
      <c r="H1219" s="371"/>
      <c r="I1219" s="371"/>
      <c r="J1219" s="371"/>
      <c r="K1219" s="371"/>
      <c r="L1219" s="371"/>
      <c r="M1219" s="371"/>
      <c r="N1219" s="371"/>
      <c r="O1219" s="371"/>
      <c r="P1219" s="371"/>
      <c r="Q1219" s="371"/>
      <c r="R1219" s="58"/>
      <c r="S1219" s="58" t="str">
        <f ca="1">Summon!$I$4</f>
        <v>战斗</v>
      </c>
      <c r="T1219" s="371"/>
      <c r="U1219" s="371"/>
      <c r="V1219" s="371"/>
      <c r="W1219" s="208"/>
    </row>
    <row r="1220" spans="1:23" ht="12.75" x14ac:dyDescent="0.2">
      <c r="A1220" s="208"/>
      <c r="B1220" s="568"/>
      <c r="C1220" s="210" t="b">
        <v>0</v>
      </c>
      <c r="D1220" s="211" t="str">
        <f ca="1">道具!$C$8</f>
        <v>ＳＰ全体恢复的李子</v>
      </c>
      <c r="E1220" s="568"/>
      <c r="F1220" s="568"/>
      <c r="G1220" s="568"/>
      <c r="H1220" s="568"/>
      <c r="I1220" s="568"/>
      <c r="J1220" s="568"/>
      <c r="K1220" s="568"/>
      <c r="L1220" s="568"/>
      <c r="M1220" s="568"/>
      <c r="N1220" s="568"/>
      <c r="O1220" s="568"/>
      <c r="P1220" s="568"/>
      <c r="Q1220" s="568"/>
      <c r="R1220" s="209"/>
      <c r="S1220" s="209"/>
      <c r="T1220" s="568"/>
      <c r="U1220" s="568"/>
      <c r="V1220" s="568"/>
      <c r="W1220" s="208"/>
    </row>
    <row r="1221" spans="1:23" ht="12.75" x14ac:dyDescent="0.2">
      <c r="A1221" s="208"/>
      <c r="B1221" s="400" t="str">
        <f ca="1">语言!$A$1903</f>
        <v>卫兵</v>
      </c>
      <c r="C1221" s="208" t="b">
        <v>0</v>
      </c>
      <c r="D1221" s="59" t="str">
        <f ca="1">道具!$C$4</f>
        <v>ＨＰ恢复的葡萄（大）</v>
      </c>
      <c r="E1221" s="567" t="b">
        <v>0</v>
      </c>
      <c r="F1221" s="395" t="str">
        <f ca="1">语言!$A$23</f>
        <v>无</v>
      </c>
      <c r="G1221" s="567" t="b">
        <v>0</v>
      </c>
      <c r="H1221" s="569" t="s">
        <v>44</v>
      </c>
      <c r="I1221" s="395">
        <v>6</v>
      </c>
      <c r="J1221" s="395"/>
      <c r="K1221" s="395"/>
      <c r="L1221" s="395"/>
      <c r="M1221" s="395"/>
      <c r="N1221" s="395"/>
      <c r="O1221" s="395" t="str">
        <f ca="1">道具!$C$5</f>
        <v>ＨＰ全体恢复的葡萄</v>
      </c>
      <c r="P1221" s="567"/>
      <c r="Q1221" s="570" t="s">
        <v>119</v>
      </c>
      <c r="R1221" s="570" t="s">
        <v>119</v>
      </c>
      <c r="S1221" s="570" t="s">
        <v>119</v>
      </c>
      <c r="T1221" s="570" t="s">
        <v>119</v>
      </c>
      <c r="U1221" s="567"/>
      <c r="V1221" s="395"/>
      <c r="W1221" s="208"/>
    </row>
    <row r="1222" spans="1:23" ht="12.75" x14ac:dyDescent="0.2">
      <c r="A1222" s="208"/>
      <c r="B1222" s="371"/>
      <c r="C1222" s="208" t="b">
        <v>0</v>
      </c>
      <c r="D1222" s="59" t="str">
        <f ca="1">道具!$C$26</f>
        <v>暗黑瓶</v>
      </c>
      <c r="E1222" s="371"/>
      <c r="F1222" s="371"/>
      <c r="G1222" s="371"/>
      <c r="H1222" s="371"/>
      <c r="I1222" s="371"/>
      <c r="J1222" s="371"/>
      <c r="K1222" s="371"/>
      <c r="L1222" s="371"/>
      <c r="M1222" s="371"/>
      <c r="N1222" s="371"/>
      <c r="O1222" s="371"/>
      <c r="P1222" s="371"/>
      <c r="Q1222" s="371"/>
      <c r="R1222" s="371"/>
      <c r="S1222" s="371"/>
      <c r="T1222" s="371"/>
      <c r="U1222" s="371"/>
      <c r="V1222" s="371"/>
      <c r="W1222" s="208"/>
    </row>
    <row r="1223" spans="1:23" ht="12.75" x14ac:dyDescent="0.2">
      <c r="A1223" s="208"/>
      <c r="B1223" s="568"/>
      <c r="C1223" s="210" t="b">
        <v>0</v>
      </c>
      <c r="D1223" s="211" t="str">
        <f ca="1">道具!$C$126</f>
        <v>旧硬币</v>
      </c>
      <c r="E1223" s="568"/>
      <c r="F1223" s="568"/>
      <c r="G1223" s="568"/>
      <c r="H1223" s="568"/>
      <c r="I1223" s="568"/>
      <c r="J1223" s="568"/>
      <c r="K1223" s="568"/>
      <c r="L1223" s="568"/>
      <c r="M1223" s="568"/>
      <c r="N1223" s="568"/>
      <c r="O1223" s="568"/>
      <c r="P1223" s="568"/>
      <c r="Q1223" s="568"/>
      <c r="R1223" s="568"/>
      <c r="S1223" s="568"/>
      <c r="T1223" s="568"/>
      <c r="U1223" s="568"/>
      <c r="V1223" s="568"/>
      <c r="W1223" s="208"/>
    </row>
    <row r="1224" spans="1:23" ht="12.75" x14ac:dyDescent="0.2">
      <c r="A1224" s="208"/>
      <c r="B1224" s="400" t="str">
        <f ca="1">语言!$A$1975</f>
        <v>商人</v>
      </c>
      <c r="C1224" s="567" t="b">
        <v>0</v>
      </c>
      <c r="D1224" s="400" t="str">
        <f ca="1">道具!$C$280</f>
        <v>强化弓・隼</v>
      </c>
      <c r="E1224" s="567" t="b">
        <v>0</v>
      </c>
      <c r="F1224" s="395" t="str">
        <f ca="1">语言!$A$23</f>
        <v>无</v>
      </c>
      <c r="G1224" s="567" t="b">
        <v>0</v>
      </c>
      <c r="H1224" s="569" t="s">
        <v>49</v>
      </c>
      <c r="I1224" s="395">
        <v>4</v>
      </c>
      <c r="J1224" s="395"/>
      <c r="K1224" s="395"/>
      <c r="L1224" s="395"/>
      <c r="M1224" s="395"/>
      <c r="N1224" s="395"/>
      <c r="O1224" s="395" t="str">
        <f ca="1">道具!$C$286</f>
        <v>元素弓</v>
      </c>
      <c r="P1224" s="567"/>
      <c r="Q1224" s="569" t="s">
        <v>49</v>
      </c>
      <c r="R1224" s="58"/>
      <c r="S1224" s="58" t="str">
        <f ca="1">Summon!$I$67</f>
        <v>睡眠之矢</v>
      </c>
      <c r="T1224" s="569">
        <v>7</v>
      </c>
      <c r="U1224" s="567"/>
      <c r="V1224" s="395" t="str">
        <f ca="1">"Behind other NPC ("&amp;语言!$A$47&amp;" / "&amp;语言!$A$51&amp;")"</f>
        <v>Behind other NPC (比试 / 唆使)</v>
      </c>
      <c r="W1224" s="208"/>
    </row>
    <row r="1225" spans="1:23" ht="12.75" x14ac:dyDescent="0.2">
      <c r="A1225" s="208"/>
      <c r="B1225" s="371"/>
      <c r="C1225" s="371"/>
      <c r="D1225" s="371"/>
      <c r="E1225" s="371"/>
      <c r="F1225" s="371"/>
      <c r="G1225" s="371"/>
      <c r="H1225" s="371"/>
      <c r="I1225" s="371"/>
      <c r="J1225" s="371"/>
      <c r="K1225" s="371"/>
      <c r="L1225" s="371"/>
      <c r="M1225" s="371"/>
      <c r="N1225" s="371"/>
      <c r="O1225" s="371"/>
      <c r="P1225" s="371"/>
      <c r="Q1225" s="371"/>
      <c r="R1225" s="58"/>
      <c r="S1225" s="58" t="str">
        <f ca="1">Summon!$I$64</f>
        <v>精准射击</v>
      </c>
      <c r="T1225" s="371"/>
      <c r="U1225" s="371"/>
      <c r="V1225" s="371"/>
      <c r="W1225" s="208"/>
    </row>
    <row r="1226" spans="1:23" ht="12.75" x14ac:dyDescent="0.2">
      <c r="A1226" s="208"/>
      <c r="B1226" s="568"/>
      <c r="C1226" s="568"/>
      <c r="D1226" s="568"/>
      <c r="E1226" s="568"/>
      <c r="F1226" s="568"/>
      <c r="G1226" s="568"/>
      <c r="H1226" s="568"/>
      <c r="I1226" s="568"/>
      <c r="J1226" s="568"/>
      <c r="K1226" s="568"/>
      <c r="L1226" s="568"/>
      <c r="M1226" s="568"/>
      <c r="N1226" s="568"/>
      <c r="O1226" s="568"/>
      <c r="P1226" s="568"/>
      <c r="Q1226" s="568"/>
      <c r="R1226" s="209"/>
      <c r="S1226" s="209" t="str">
        <f ca="1">Summon!$I$4</f>
        <v>战斗</v>
      </c>
      <c r="T1226" s="568"/>
      <c r="U1226" s="568"/>
      <c r="V1226" s="568"/>
      <c r="W1226" s="208"/>
    </row>
    <row r="1227" spans="1:23" ht="12.75" x14ac:dyDescent="0.2">
      <c r="A1227" s="208"/>
      <c r="B1227" s="400" t="str">
        <f ca="1">语言!$A$1975</f>
        <v>商人</v>
      </c>
      <c r="C1227" s="567" t="b">
        <v>0</v>
      </c>
      <c r="D1227" s="400" t="str">
        <f ca="1">"* "&amp;道具!$F$67</f>
        <v>* 传家之宝的项链</v>
      </c>
      <c r="E1227" s="567" t="b">
        <v>0</v>
      </c>
      <c r="F1227" s="395" t="str">
        <f ca="1">语言!$A$33&amp;"
"&amp;道具!$C$127</f>
        <v>隐藏道具的资讯
放了铜块的麻袋</v>
      </c>
      <c r="G1227" s="567" t="b">
        <v>0</v>
      </c>
      <c r="H1227" s="569" t="s">
        <v>46</v>
      </c>
      <c r="I1227" s="395">
        <v>3</v>
      </c>
      <c r="J1227" s="395"/>
      <c r="K1227" s="395"/>
      <c r="L1227" s="395"/>
      <c r="M1227" s="395"/>
      <c r="N1227" s="395"/>
      <c r="O1227" s="395" t="str">
        <f ca="1">道具!$C$7</f>
        <v>ＳＰ恢复的李子（大）</v>
      </c>
      <c r="P1227" s="567"/>
      <c r="Q1227" s="569" t="s">
        <v>46</v>
      </c>
      <c r="R1227" s="58"/>
      <c r="S1227" s="58" t="str">
        <f ca="1">Summon!$I$162</f>
        <v>速度下降</v>
      </c>
      <c r="T1227" s="569">
        <v>8</v>
      </c>
      <c r="U1227" s="567"/>
      <c r="V1227" s="395" t="str">
        <f ca="1">"Behind other NPC ("&amp;语言!$A$47&amp;" / "&amp;语言!$A$51&amp;")"</f>
        <v>Behind other NPC (比试 / 唆使)</v>
      </c>
      <c r="W1227" s="208"/>
    </row>
    <row r="1228" spans="1:23" ht="12.75" x14ac:dyDescent="0.2">
      <c r="A1228" s="208"/>
      <c r="B1228" s="371"/>
      <c r="C1228" s="371"/>
      <c r="D1228" s="371"/>
      <c r="E1228" s="371"/>
      <c r="F1228" s="371"/>
      <c r="G1228" s="371"/>
      <c r="H1228" s="371"/>
      <c r="I1228" s="371"/>
      <c r="J1228" s="371"/>
      <c r="K1228" s="371"/>
      <c r="L1228" s="371"/>
      <c r="M1228" s="371"/>
      <c r="N1228" s="371"/>
      <c r="O1228" s="371"/>
      <c r="P1228" s="371"/>
      <c r="Q1228" s="371"/>
      <c r="R1228" s="58"/>
      <c r="S1228" s="58" t="str">
        <f ca="1">Summon!$I$20</f>
        <v>横扫</v>
      </c>
      <c r="T1228" s="371"/>
      <c r="U1228" s="371"/>
      <c r="V1228" s="371"/>
      <c r="W1228" s="208"/>
    </row>
    <row r="1229" spans="1:23" ht="12.75" x14ac:dyDescent="0.2">
      <c r="A1229" s="208"/>
      <c r="B1229" s="568"/>
      <c r="C1229" s="568"/>
      <c r="D1229" s="568"/>
      <c r="E1229" s="568"/>
      <c r="F1229" s="568"/>
      <c r="G1229" s="568"/>
      <c r="H1229" s="568"/>
      <c r="I1229" s="568"/>
      <c r="J1229" s="568"/>
      <c r="K1229" s="568"/>
      <c r="L1229" s="568"/>
      <c r="M1229" s="568"/>
      <c r="N1229" s="568"/>
      <c r="O1229" s="568"/>
      <c r="P1229" s="568"/>
      <c r="Q1229" s="568"/>
      <c r="R1229" s="209"/>
      <c r="S1229" s="209" t="str">
        <f ca="1">Summon!$I$4</f>
        <v>战斗</v>
      </c>
      <c r="T1229" s="568"/>
      <c r="U1229" s="568"/>
      <c r="V1229" s="568"/>
      <c r="W1229" s="208"/>
    </row>
    <row r="1230" spans="1:23" ht="12.75" x14ac:dyDescent="0.2">
      <c r="A1230" s="208"/>
      <c r="B1230" s="400" t="str">
        <f ca="1">语言!$A$1975</f>
        <v>商人</v>
      </c>
      <c r="C1230" s="567" t="b">
        <v>0</v>
      </c>
      <c r="D1230" s="400" t="str">
        <f ca="1">道具!$C$238</f>
        <v>禁忌之斧</v>
      </c>
      <c r="E1230" s="567" t="b">
        <v>0</v>
      </c>
      <c r="F1230" s="395" t="str">
        <f ca="1">语言!$A$26</f>
        <v>「偷取」成功机率ＵＰ资讯</v>
      </c>
      <c r="G1230" s="567" t="b">
        <v>0</v>
      </c>
      <c r="H1230" s="569" t="s">
        <v>48</v>
      </c>
      <c r="I1230" s="395">
        <v>2</v>
      </c>
      <c r="J1230" s="395"/>
      <c r="K1230" s="395"/>
      <c r="L1230" s="395"/>
      <c r="M1230" s="395"/>
      <c r="N1230" s="395"/>
      <c r="O1230" s="395" t="str">
        <f ca="1">道具!$C$14</f>
        <v>复活的橄榄</v>
      </c>
      <c r="P1230" s="567"/>
      <c r="Q1230" s="569" t="s">
        <v>48</v>
      </c>
      <c r="R1230" s="58"/>
      <c r="S1230" s="58" t="str">
        <f ca="1">Summon!$I$121</f>
        <v>ＨＰ疗愈</v>
      </c>
      <c r="T1230" s="569">
        <v>9</v>
      </c>
      <c r="U1230" s="567"/>
      <c r="V1230" s="395" t="str">
        <f ca="1">"Behind other NPC ("&amp;语言!$A$47&amp;" / "&amp;语言!$A$51&amp;")
Can't "&amp;语言!$A$50&amp;" "&amp;道具!$C$238&amp;", only "&amp;语言!$A$46</f>
        <v>Behind other NPC (比试 / 唆使)
Can't 偷取 禁忌之斧, only 购买</v>
      </c>
      <c r="W1230" s="208"/>
    </row>
    <row r="1231" spans="1:23" ht="12.75" x14ac:dyDescent="0.2">
      <c r="A1231" s="208"/>
      <c r="B1231" s="568"/>
      <c r="C1231" s="568"/>
      <c r="D1231" s="568"/>
      <c r="E1231" s="568"/>
      <c r="F1231" s="568"/>
      <c r="G1231" s="568"/>
      <c r="H1231" s="568"/>
      <c r="I1231" s="568"/>
      <c r="J1231" s="568"/>
      <c r="K1231" s="568"/>
      <c r="L1231" s="568"/>
      <c r="M1231" s="568"/>
      <c r="N1231" s="568"/>
      <c r="O1231" s="568"/>
      <c r="P1231" s="568"/>
      <c r="Q1231" s="568"/>
      <c r="R1231" s="209"/>
      <c r="S1231" s="209" t="str">
        <f ca="1">Summon!$I$4</f>
        <v>战斗</v>
      </c>
      <c r="T1231" s="568"/>
      <c r="U1231" s="568"/>
      <c r="V1231" s="568"/>
      <c r="W1231" s="208"/>
    </row>
    <row r="1232" spans="1:23" ht="12.75" x14ac:dyDescent="0.2">
      <c r="A1232" s="208"/>
      <c r="B1232" s="400" t="str">
        <f ca="1">语言!$A$2102</f>
        <v>市民</v>
      </c>
      <c r="C1232" s="208" t="b">
        <v>0</v>
      </c>
      <c r="D1232" s="59" t="str">
        <f ca="1">道具!$C$117</f>
        <v>鼓胀的钱包</v>
      </c>
      <c r="E1232" s="567" t="b">
        <v>0</v>
      </c>
      <c r="F1232" s="395" t="str">
        <f ca="1">语言!$A$23</f>
        <v>无</v>
      </c>
      <c r="G1232" s="567" t="b">
        <v>0</v>
      </c>
      <c r="H1232" s="569" t="s">
        <v>46</v>
      </c>
      <c r="I1232" s="395">
        <v>3</v>
      </c>
      <c r="J1232" s="395"/>
      <c r="K1232" s="395"/>
      <c r="L1232" s="395"/>
      <c r="M1232" s="395"/>
      <c r="N1232" s="395"/>
      <c r="O1232" s="395" t="str">
        <f ca="1">道具!$C$4</f>
        <v>ＨＰ恢复的葡萄（大）</v>
      </c>
      <c r="P1232" s="567"/>
      <c r="Q1232" s="570" t="s">
        <v>119</v>
      </c>
      <c r="R1232" s="570" t="s">
        <v>119</v>
      </c>
      <c r="S1232" s="570" t="s">
        <v>119</v>
      </c>
      <c r="T1232" s="570" t="s">
        <v>119</v>
      </c>
      <c r="U1232" s="567"/>
      <c r="V1232" s="395"/>
      <c r="W1232" s="208"/>
    </row>
    <row r="1233" spans="1:23" ht="12.75" x14ac:dyDescent="0.2">
      <c r="A1233" s="208"/>
      <c r="B1233" s="568"/>
      <c r="C1233" s="210" t="b">
        <v>0</v>
      </c>
      <c r="D1233" s="211" t="str">
        <f ca="1">道具!$C$127</f>
        <v>放了铜块的麻袋</v>
      </c>
      <c r="E1233" s="568"/>
      <c r="F1233" s="568"/>
      <c r="G1233" s="568"/>
      <c r="H1233" s="568"/>
      <c r="I1233" s="568"/>
      <c r="J1233" s="568"/>
      <c r="K1233" s="568"/>
      <c r="L1233" s="568"/>
      <c r="M1233" s="568"/>
      <c r="N1233" s="568"/>
      <c r="O1233" s="568"/>
      <c r="P1233" s="568"/>
      <c r="Q1233" s="568"/>
      <c r="R1233" s="568"/>
      <c r="S1233" s="568"/>
      <c r="T1233" s="568"/>
      <c r="U1233" s="568"/>
      <c r="V1233" s="568"/>
      <c r="W1233" s="208"/>
    </row>
    <row r="1234" spans="1:23" ht="12.75" x14ac:dyDescent="0.2">
      <c r="A1234" s="208"/>
      <c r="B1234" s="400" t="str">
        <f ca="1">语言!$A$2108</f>
        <v>流动商人</v>
      </c>
      <c r="C1234" s="567" t="b">
        <v>0</v>
      </c>
      <c r="D1234" s="400" t="str">
        <f ca="1">"* "&amp;道具!$F$63</f>
        <v>* 密封的信件</v>
      </c>
      <c r="E1234" s="567" t="b">
        <v>0</v>
      </c>
      <c r="F1234" s="395" t="str">
        <f ca="1">语言!$A$23</f>
        <v>无</v>
      </c>
      <c r="G1234" s="567" t="b">
        <v>0</v>
      </c>
      <c r="H1234" s="569" t="s">
        <v>57</v>
      </c>
      <c r="I1234" s="395">
        <v>3</v>
      </c>
      <c r="J1234" s="395"/>
      <c r="K1234" s="395"/>
      <c r="L1234" s="395"/>
      <c r="M1234" s="395"/>
      <c r="N1234" s="395"/>
      <c r="O1234" s="395" t="str">
        <f ca="1">道具!$C$7</f>
        <v>ＳＰ恢复的李子（大）</v>
      </c>
      <c r="P1234" s="567"/>
      <c r="Q1234" s="569" t="s">
        <v>57</v>
      </c>
      <c r="R1234" s="58"/>
      <c r="S1234" s="58" t="str">
        <f ca="1">Summon!$I$145</f>
        <v>可疑的什么东西</v>
      </c>
      <c r="T1234" s="569">
        <v>8</v>
      </c>
      <c r="U1234" s="567"/>
      <c r="V1234" s="395" t="str">
        <f ca="1">"NPC available after quest: "&amp;支线!$C$78</f>
        <v>NPC available after quest: 巡游少女莉亚（１）</v>
      </c>
      <c r="W1234" s="208"/>
    </row>
    <row r="1235" spans="1:23" ht="12.75" x14ac:dyDescent="0.2">
      <c r="A1235" s="208"/>
      <c r="B1235" s="371"/>
      <c r="C1235" s="371"/>
      <c r="D1235" s="371"/>
      <c r="E1235" s="371"/>
      <c r="F1235" s="371"/>
      <c r="G1235" s="371"/>
      <c r="H1235" s="371"/>
      <c r="I1235" s="371"/>
      <c r="J1235" s="371"/>
      <c r="K1235" s="371"/>
      <c r="L1235" s="371"/>
      <c r="M1235" s="371"/>
      <c r="N1235" s="371"/>
      <c r="O1235" s="371"/>
      <c r="P1235" s="371"/>
      <c r="Q1235" s="371"/>
      <c r="R1235" s="58"/>
      <c r="S1235" s="58" t="str">
        <f ca="1">Summon!$I$42</f>
        <v>猛击</v>
      </c>
      <c r="T1235" s="371"/>
      <c r="U1235" s="371"/>
      <c r="V1235" s="371"/>
      <c r="W1235" s="208"/>
    </row>
    <row r="1236" spans="1:23" ht="12.75" x14ac:dyDescent="0.2">
      <c r="A1236" s="208"/>
      <c r="B1236" s="568"/>
      <c r="C1236" s="568"/>
      <c r="D1236" s="568"/>
      <c r="E1236" s="568"/>
      <c r="F1236" s="568"/>
      <c r="G1236" s="568"/>
      <c r="H1236" s="568"/>
      <c r="I1236" s="568"/>
      <c r="J1236" s="568"/>
      <c r="K1236" s="568"/>
      <c r="L1236" s="568"/>
      <c r="M1236" s="568"/>
      <c r="N1236" s="568"/>
      <c r="O1236" s="568"/>
      <c r="P1236" s="568"/>
      <c r="Q1236" s="568"/>
      <c r="R1236" s="209"/>
      <c r="S1236" s="209" t="str">
        <f ca="1">Summon!$I$4</f>
        <v>战斗</v>
      </c>
      <c r="T1236" s="568"/>
      <c r="U1236" s="568"/>
      <c r="V1236" s="568"/>
      <c r="W1236" s="208"/>
    </row>
    <row r="1237" spans="1:23" ht="12.75" x14ac:dyDescent="0.2">
      <c r="A1237" s="208"/>
      <c r="B1237" s="400" t="str">
        <f ca="1">语言!$A$2014</f>
        <v>老人</v>
      </c>
      <c r="C1237" s="567" t="b">
        <v>0</v>
      </c>
      <c r="D1237" s="400" t="str">
        <f ca="1">道具!$C$422</f>
        <v>古老长袍</v>
      </c>
      <c r="E1237" s="567" t="b">
        <v>0</v>
      </c>
      <c r="F1237" s="395" t="str">
        <f ca="1">语言!$A$27</f>
        <v>杂货店商品追加资讯</v>
      </c>
      <c r="G1237" s="567" t="b">
        <v>0</v>
      </c>
      <c r="H1237" s="569" t="s">
        <v>57</v>
      </c>
      <c r="I1237" s="395">
        <v>3</v>
      </c>
      <c r="J1237" s="395"/>
      <c r="K1237" s="395"/>
      <c r="L1237" s="395"/>
      <c r="M1237" s="395"/>
      <c r="N1237" s="395"/>
      <c r="O1237" s="395" t="str">
        <f ca="1">道具!$C$4</f>
        <v>ＨＰ恢复的葡萄（大）</v>
      </c>
      <c r="P1237" s="567"/>
      <c r="Q1237" s="569" t="s">
        <v>57</v>
      </c>
      <c r="R1237" s="58"/>
      <c r="S1237" s="58" t="str">
        <f ca="1">Summon!$I$87</f>
        <v>大冰冻魔法</v>
      </c>
      <c r="T1237" s="569">
        <v>8</v>
      </c>
      <c r="U1237" s="567"/>
      <c r="V1237" s="395" t="str">
        <f ca="1">语言!$A$44&amp;" / "&amp;语言!$A$48&amp;" available upon starting "&amp;语言!$A$38&amp;" chapter 3"</f>
        <v>引导 / 诱惑 available upon starting 欧尔贝克 chapter 3</v>
      </c>
      <c r="W1237" s="208"/>
    </row>
    <row r="1238" spans="1:23" ht="12.75" x14ac:dyDescent="0.2">
      <c r="A1238" s="208"/>
      <c r="B1238" s="371"/>
      <c r="C1238" s="371"/>
      <c r="D1238" s="371"/>
      <c r="E1238" s="371"/>
      <c r="F1238" s="371"/>
      <c r="G1238" s="371"/>
      <c r="H1238" s="371"/>
      <c r="I1238" s="371"/>
      <c r="J1238" s="371"/>
      <c r="K1238" s="371"/>
      <c r="L1238" s="371"/>
      <c r="M1238" s="371"/>
      <c r="N1238" s="371"/>
      <c r="O1238" s="371"/>
      <c r="P1238" s="371"/>
      <c r="Q1238" s="371"/>
      <c r="R1238" s="58"/>
      <c r="S1238" s="58" t="str">
        <f ca="1">Summon!$I$86</f>
        <v>冰冻魔法</v>
      </c>
      <c r="T1238" s="371"/>
      <c r="U1238" s="371"/>
      <c r="V1238" s="371"/>
      <c r="W1238" s="208"/>
    </row>
    <row r="1239" spans="1:23" ht="12.75" x14ac:dyDescent="0.2">
      <c r="A1239" s="208"/>
      <c r="B1239" s="568"/>
      <c r="C1239" s="568"/>
      <c r="D1239" s="568"/>
      <c r="E1239" s="568"/>
      <c r="F1239" s="568"/>
      <c r="G1239" s="568"/>
      <c r="H1239" s="568"/>
      <c r="I1239" s="568"/>
      <c r="J1239" s="568"/>
      <c r="K1239" s="568"/>
      <c r="L1239" s="568"/>
      <c r="M1239" s="568"/>
      <c r="N1239" s="568"/>
      <c r="O1239" s="568"/>
      <c r="P1239" s="568"/>
      <c r="Q1239" s="568"/>
      <c r="R1239" s="209"/>
      <c r="S1239" s="209" t="str">
        <f ca="1">Summon!$I$4</f>
        <v>战斗</v>
      </c>
      <c r="T1239" s="568"/>
      <c r="U1239" s="568"/>
      <c r="V1239" s="568"/>
      <c r="W1239" s="208"/>
    </row>
    <row r="1240" spans="1:23" ht="12.75" x14ac:dyDescent="0.2">
      <c r="A1240" s="208"/>
      <c r="B1240" s="400" t="str">
        <f ca="1">语言!$A$1903</f>
        <v>卫兵</v>
      </c>
      <c r="C1240" s="567" t="b">
        <v>0</v>
      </c>
      <c r="D1240" s="400" t="str">
        <f ca="1">道具!$C$160</f>
        <v>重刃</v>
      </c>
      <c r="E1240" s="567" t="b">
        <v>0</v>
      </c>
      <c r="F1240" s="395" t="str">
        <f ca="1">语言!$A$31</f>
        <v>「比试」必须等级降低资讯</v>
      </c>
      <c r="G1240" s="567" t="b">
        <v>0</v>
      </c>
      <c r="H1240" s="569" t="s">
        <v>46</v>
      </c>
      <c r="I1240" s="395">
        <v>3</v>
      </c>
      <c r="J1240" s="395"/>
      <c r="K1240" s="395"/>
      <c r="L1240" s="395"/>
      <c r="M1240" s="395"/>
      <c r="N1240" s="395"/>
      <c r="O1240" s="395" t="str">
        <f ca="1">道具!$C$7</f>
        <v>ＳＰ恢复的李子（大）</v>
      </c>
      <c r="P1240" s="567"/>
      <c r="Q1240" s="569" t="s">
        <v>46</v>
      </c>
      <c r="R1240" s="58"/>
      <c r="S1240" s="58" t="str">
        <f ca="1">Summon!$I$52</f>
        <v>重拳</v>
      </c>
      <c r="T1240" s="569">
        <v>8</v>
      </c>
      <c r="U1240" s="567"/>
      <c r="V1240" s="395"/>
      <c r="W1240" s="208"/>
    </row>
    <row r="1241" spans="1:23" ht="12.75" x14ac:dyDescent="0.2">
      <c r="A1241" s="208"/>
      <c r="B1241" s="371"/>
      <c r="C1241" s="371"/>
      <c r="D1241" s="371"/>
      <c r="E1241" s="371"/>
      <c r="F1241" s="371"/>
      <c r="G1241" s="371"/>
      <c r="H1241" s="371"/>
      <c r="I1241" s="371"/>
      <c r="J1241" s="371"/>
      <c r="K1241" s="371"/>
      <c r="L1241" s="371"/>
      <c r="M1241" s="371"/>
      <c r="N1241" s="371"/>
      <c r="O1241" s="371"/>
      <c r="P1241" s="371"/>
      <c r="Q1241" s="371"/>
      <c r="R1241" s="58"/>
      <c r="S1241" s="58" t="str">
        <f ca="1">Summon!$I$61</f>
        <v>全力斩击</v>
      </c>
      <c r="T1241" s="371"/>
      <c r="U1241" s="371"/>
      <c r="V1241" s="371"/>
      <c r="W1241" s="208"/>
    </row>
    <row r="1242" spans="1:23" ht="12.75" x14ac:dyDescent="0.2">
      <c r="A1242" s="208"/>
      <c r="B1242" s="568"/>
      <c r="C1242" s="568"/>
      <c r="D1242" s="568"/>
      <c r="E1242" s="568"/>
      <c r="F1242" s="568"/>
      <c r="G1242" s="568"/>
      <c r="H1242" s="568"/>
      <c r="I1242" s="568"/>
      <c r="J1242" s="568"/>
      <c r="K1242" s="568"/>
      <c r="L1242" s="568"/>
      <c r="M1242" s="568"/>
      <c r="N1242" s="568"/>
      <c r="O1242" s="568"/>
      <c r="P1242" s="568"/>
      <c r="Q1242" s="568"/>
      <c r="R1242" s="209"/>
      <c r="S1242" s="209" t="str">
        <f ca="1">Summon!$I$4</f>
        <v>战斗</v>
      </c>
      <c r="T1242" s="568"/>
      <c r="U1242" s="568"/>
      <c r="V1242" s="568"/>
      <c r="W1242" s="208"/>
    </row>
    <row r="1243" spans="1:23" ht="12.75" x14ac:dyDescent="0.2">
      <c r="A1243" s="208"/>
      <c r="B1243" s="400" t="str">
        <f ca="1">语言!$A$1903</f>
        <v>卫兵</v>
      </c>
      <c r="C1243" s="567" t="b">
        <v>0</v>
      </c>
      <c r="D1243" s="400" t="str">
        <f ca="1">道具!$C$189</f>
        <v>豹骑枪</v>
      </c>
      <c r="E1243" s="567" t="b">
        <v>0</v>
      </c>
      <c r="F1243" s="395" t="str">
        <f ca="1">语言!$A$23</f>
        <v>无</v>
      </c>
      <c r="G1243" s="567" t="b">
        <v>0</v>
      </c>
      <c r="H1243" s="569" t="s">
        <v>49</v>
      </c>
      <c r="I1243" s="395">
        <v>4</v>
      </c>
      <c r="J1243" s="395"/>
      <c r="K1243" s="395"/>
      <c r="L1243" s="395"/>
      <c r="M1243" s="395"/>
      <c r="N1243" s="395"/>
      <c r="O1243" s="395" t="str">
        <f ca="1">道具!$C$189</f>
        <v>豹骑枪</v>
      </c>
      <c r="P1243" s="567"/>
      <c r="Q1243" s="569" t="s">
        <v>49</v>
      </c>
      <c r="R1243" s="58"/>
      <c r="S1243" s="58" t="str">
        <f ca="1">Summon!$I$158</f>
        <v>防御力下降</v>
      </c>
      <c r="T1243" s="569">
        <v>7</v>
      </c>
      <c r="U1243" s="567"/>
      <c r="V1243" s="395"/>
      <c r="W1243" s="208"/>
    </row>
    <row r="1244" spans="1:23" ht="12.75" x14ac:dyDescent="0.2">
      <c r="A1244" s="208"/>
      <c r="B1244" s="371"/>
      <c r="C1244" s="371"/>
      <c r="D1244" s="371"/>
      <c r="E1244" s="371"/>
      <c r="F1244" s="371"/>
      <c r="G1244" s="371"/>
      <c r="H1244" s="371"/>
      <c r="I1244" s="371"/>
      <c r="J1244" s="371"/>
      <c r="K1244" s="371"/>
      <c r="L1244" s="371"/>
      <c r="M1244" s="371"/>
      <c r="N1244" s="371"/>
      <c r="O1244" s="371"/>
      <c r="P1244" s="371"/>
      <c r="Q1244" s="371"/>
      <c r="R1244" s="58"/>
      <c r="S1244" s="58" t="str">
        <f ca="1">Summon!$I$40</f>
        <v>乱挥</v>
      </c>
      <c r="T1244" s="371"/>
      <c r="U1244" s="371"/>
      <c r="V1244" s="371"/>
      <c r="W1244" s="208"/>
    </row>
    <row r="1245" spans="1:23" ht="12.75" x14ac:dyDescent="0.2">
      <c r="A1245" s="208"/>
      <c r="B1245" s="568"/>
      <c r="C1245" s="568"/>
      <c r="D1245" s="568"/>
      <c r="E1245" s="568"/>
      <c r="F1245" s="568"/>
      <c r="G1245" s="568"/>
      <c r="H1245" s="568"/>
      <c r="I1245" s="568"/>
      <c r="J1245" s="568"/>
      <c r="K1245" s="568"/>
      <c r="L1245" s="568"/>
      <c r="M1245" s="568"/>
      <c r="N1245" s="568"/>
      <c r="O1245" s="568"/>
      <c r="P1245" s="568"/>
      <c r="Q1245" s="568"/>
      <c r="R1245" s="209"/>
      <c r="S1245" s="209" t="str">
        <f ca="1">Summon!$I$34</f>
        <v>无双突刺</v>
      </c>
      <c r="T1245" s="568"/>
      <c r="U1245" s="568"/>
      <c r="V1245" s="568"/>
      <c r="W1245" s="208"/>
    </row>
    <row r="1246" spans="1:23" ht="12.75" x14ac:dyDescent="0.2">
      <c r="A1246" s="208"/>
      <c r="B1246" s="400" t="str">
        <f ca="1">语言!$A$1904</f>
        <v>警卫</v>
      </c>
      <c r="C1246" s="567" t="b">
        <v>0</v>
      </c>
      <c r="D1246" s="400" t="str">
        <f ca="1">道具!$C$492</f>
        <v>察知戒指</v>
      </c>
      <c r="E1246" s="567" t="b">
        <v>0</v>
      </c>
      <c r="F1246" s="395" t="str">
        <f ca="1">语言!$A$33&amp;"
"&amp;道具!$C$7</f>
        <v>隐藏道具的资讯
ＳＰ恢复的李子（大）</v>
      </c>
      <c r="G1246" s="567" t="b">
        <v>0</v>
      </c>
      <c r="H1246" s="569" t="s">
        <v>46</v>
      </c>
      <c r="I1246" s="395">
        <v>3</v>
      </c>
      <c r="J1246" s="395"/>
      <c r="K1246" s="395"/>
      <c r="L1246" s="395"/>
      <c r="M1246" s="395"/>
      <c r="N1246" s="395"/>
      <c r="O1246" s="395" t="str">
        <f ca="1">道具!$C$4</f>
        <v>ＨＰ恢复的葡萄（大）</v>
      </c>
      <c r="P1246" s="567"/>
      <c r="Q1246" s="569" t="s">
        <v>46</v>
      </c>
      <c r="R1246" s="58"/>
      <c r="S1246" s="58" t="str">
        <f ca="1">Summon!$I$9</f>
        <v>高速推进</v>
      </c>
      <c r="T1246" s="569">
        <v>8</v>
      </c>
      <c r="U1246" s="567"/>
      <c r="V1246" s="395" t="str">
        <f ca="1">"NPC available after both "&amp;语言!$A$35&amp;" &amp; "&amp;语言!$A$38&amp;" chapter 4"</f>
        <v>NPC available after both 欧菲莉亚 &amp; 欧尔贝克 chapter 4</v>
      </c>
      <c r="W1246" s="208"/>
    </row>
    <row r="1247" spans="1:23" ht="12.75" x14ac:dyDescent="0.2">
      <c r="A1247" s="208"/>
      <c r="B1247" s="371"/>
      <c r="C1247" s="371"/>
      <c r="D1247" s="371"/>
      <c r="E1247" s="371"/>
      <c r="F1247" s="371"/>
      <c r="G1247" s="371"/>
      <c r="H1247" s="371"/>
      <c r="I1247" s="371"/>
      <c r="J1247" s="371"/>
      <c r="K1247" s="371"/>
      <c r="L1247" s="371"/>
      <c r="M1247" s="371"/>
      <c r="N1247" s="371"/>
      <c r="O1247" s="371"/>
      <c r="P1247" s="371"/>
      <c r="Q1247" s="371"/>
      <c r="R1247" s="58"/>
      <c r="S1247" s="58" t="str">
        <f ca="1">Summon!$I$6</f>
        <v>斩击</v>
      </c>
      <c r="T1247" s="371"/>
      <c r="U1247" s="371"/>
      <c r="V1247" s="371"/>
      <c r="W1247" s="208"/>
    </row>
    <row r="1248" spans="1:23" ht="12.75" x14ac:dyDescent="0.2">
      <c r="A1248" s="208"/>
      <c r="B1248" s="568"/>
      <c r="C1248" s="568"/>
      <c r="D1248" s="568"/>
      <c r="E1248" s="568"/>
      <c r="F1248" s="568"/>
      <c r="G1248" s="568"/>
      <c r="H1248" s="568"/>
      <c r="I1248" s="568"/>
      <c r="J1248" s="568"/>
      <c r="K1248" s="568"/>
      <c r="L1248" s="568"/>
      <c r="M1248" s="568"/>
      <c r="N1248" s="568"/>
      <c r="O1248" s="568"/>
      <c r="P1248" s="568"/>
      <c r="Q1248" s="568"/>
      <c r="R1248" s="209"/>
      <c r="S1248" s="209" t="str">
        <f ca="1">Summon!$I$4</f>
        <v>战斗</v>
      </c>
      <c r="T1248" s="568"/>
      <c r="U1248" s="568"/>
      <c r="V1248" s="568"/>
      <c r="W1248" s="208"/>
    </row>
    <row r="1249" spans="1:23" ht="12.75" x14ac:dyDescent="0.2">
      <c r="A1249" s="208"/>
      <c r="B1249" s="400" t="str">
        <f ca="1">语言!$A$1864</f>
        <v>烈剑骑士艾尔哈特</v>
      </c>
      <c r="C1249" s="208" t="b">
        <v>0</v>
      </c>
      <c r="D1249" s="59" t="str">
        <f ca="1">道具!$C$135</f>
        <v>历战之剑</v>
      </c>
      <c r="E1249" s="567" t="b">
        <v>0</v>
      </c>
      <c r="F1249" s="395" t="str">
        <f ca="1">语言!$A$23</f>
        <v>无</v>
      </c>
      <c r="G1249" s="567" t="b">
        <v>0</v>
      </c>
      <c r="H1249" s="569" t="s">
        <v>51</v>
      </c>
      <c r="I1249" s="395">
        <v>6</v>
      </c>
      <c r="J1249" s="395"/>
      <c r="K1249" s="395"/>
      <c r="L1249" s="395"/>
      <c r="M1249" s="395"/>
      <c r="N1249" s="395"/>
      <c r="O1249" s="395" t="str">
        <f ca="1">道具!$C$13</f>
        <v>ＨＰ／ＳＰ／ＢＰ恢复的果酱</v>
      </c>
      <c r="P1249" s="567"/>
      <c r="Q1249" s="569" t="s">
        <v>51</v>
      </c>
      <c r="R1249" s="58"/>
      <c r="S1249" s="58" t="str">
        <f ca="1">Summon!$I$11</f>
        <v>十字斩</v>
      </c>
      <c r="T1249" s="569">
        <v>6</v>
      </c>
      <c r="U1249" s="567"/>
      <c r="V1249" s="395" t="str">
        <f ca="1">"NPC available after "&amp;语言!$A$38&amp;" chapter 4
Can't "&amp;语言!$A$50&amp;" "&amp;道具!$C$135&amp;", only "&amp;语言!$A$46</f>
        <v>NPC available after 欧尔贝克 chapter 4
Can't 偷取 历战之剑, only 购买</v>
      </c>
      <c r="W1249" s="208"/>
    </row>
    <row r="1250" spans="1:23" ht="12.75" x14ac:dyDescent="0.2">
      <c r="A1250" s="208"/>
      <c r="B1250" s="371"/>
      <c r="C1250" s="208" t="b">
        <v>0</v>
      </c>
      <c r="D1250" s="59" t="str">
        <f ca="1">道具!$C$120</f>
        <v>放了银块的皮袋</v>
      </c>
      <c r="E1250" s="371"/>
      <c r="F1250" s="371"/>
      <c r="G1250" s="371"/>
      <c r="H1250" s="371"/>
      <c r="I1250" s="371"/>
      <c r="J1250" s="371"/>
      <c r="K1250" s="371"/>
      <c r="L1250" s="371"/>
      <c r="M1250" s="371"/>
      <c r="N1250" s="371"/>
      <c r="O1250" s="371"/>
      <c r="P1250" s="371"/>
      <c r="Q1250" s="371"/>
      <c r="R1250" s="58"/>
      <c r="S1250" s="58" t="str">
        <f ca="1">Summon!$I$19</f>
        <v>３连斩</v>
      </c>
      <c r="T1250" s="371"/>
      <c r="U1250" s="371"/>
      <c r="V1250" s="371"/>
      <c r="W1250" s="208"/>
    </row>
    <row r="1251" spans="1:23" ht="12.75" x14ac:dyDescent="0.2">
      <c r="A1251" s="208"/>
      <c r="B1251" s="568"/>
      <c r="C1251" s="210"/>
      <c r="D1251" s="211"/>
      <c r="E1251" s="568"/>
      <c r="F1251" s="568"/>
      <c r="G1251" s="568"/>
      <c r="H1251" s="568"/>
      <c r="I1251" s="568"/>
      <c r="J1251" s="568"/>
      <c r="K1251" s="568"/>
      <c r="L1251" s="568"/>
      <c r="M1251" s="568"/>
      <c r="N1251" s="568"/>
      <c r="O1251" s="568"/>
      <c r="P1251" s="568"/>
      <c r="Q1251" s="568"/>
      <c r="R1251" s="209"/>
      <c r="S1251" s="209" t="str">
        <f ca="1">Summon!$I$4</f>
        <v>战斗</v>
      </c>
      <c r="T1251" s="568"/>
      <c r="U1251" s="568"/>
      <c r="V1251" s="568"/>
      <c r="W1251" s="208"/>
    </row>
    <row r="1252" spans="1:23" ht="12.75" x14ac:dyDescent="0.2">
      <c r="A1252" s="208"/>
      <c r="B1252" s="400" t="str">
        <f ca="1">语言!$A$1793&amp;" (1)"</f>
        <v>贝尔队长 (1)</v>
      </c>
      <c r="C1252" s="208" t="b">
        <v>0</v>
      </c>
      <c r="D1252" s="59" t="str">
        <f ca="1">道具!$C$79</f>
        <v>增强速度的坚果（大）</v>
      </c>
      <c r="E1252" s="567" t="b">
        <v>0</v>
      </c>
      <c r="F1252" s="401" t="str">
        <f ca="1">语言!$A$33&amp;"
"&amp;道具!$C$117</f>
        <v>隐藏道具的资讯
鼓胀的钱包</v>
      </c>
      <c r="G1252" s="567" t="b">
        <v>0</v>
      </c>
      <c r="H1252" s="569" t="s">
        <v>44</v>
      </c>
      <c r="I1252" s="395">
        <v>6</v>
      </c>
      <c r="J1252" s="395"/>
      <c r="K1252" s="395"/>
      <c r="L1252" s="395"/>
      <c r="M1252" s="395"/>
      <c r="N1252" s="395"/>
      <c r="O1252" s="395" t="str">
        <f ca="1">道具!$C$8</f>
        <v>ＳＰ全体恢复的李子</v>
      </c>
      <c r="P1252" s="567"/>
      <c r="Q1252" s="569" t="s">
        <v>44</v>
      </c>
      <c r="R1252" s="58"/>
      <c r="S1252" s="58" t="str">
        <f ca="1">Summon!$I$61</f>
        <v>全力斩击</v>
      </c>
      <c r="T1252" s="569">
        <v>5</v>
      </c>
      <c r="U1252" s="567"/>
      <c r="V1252" s="395" t="str">
        <f ca="1">"NPC available after "&amp;语言!$A$38&amp;" chapter 3
Disapear after "&amp;语言!$A$38&amp;" chapter 4
Hidden Item no longer available after "&amp;语言!$A$38&amp;" chapter 4"</f>
        <v>NPC available after 欧尔贝克 chapter 3
Disapear after 欧尔贝克 chapter 4
Hidden Item no longer available after 欧尔贝克 chapter 4</v>
      </c>
      <c r="W1252" s="208"/>
    </row>
    <row r="1253" spans="1:23" ht="12.75" x14ac:dyDescent="0.2">
      <c r="A1253" s="208"/>
      <c r="B1253" s="371"/>
      <c r="C1253" s="208" t="b">
        <v>0</v>
      </c>
      <c r="D1253" s="59" t="str">
        <f ca="1">道具!$C$70</f>
        <v>增强命中的坚果（大）</v>
      </c>
      <c r="E1253" s="371"/>
      <c r="F1253" s="371"/>
      <c r="G1253" s="371"/>
      <c r="H1253" s="371"/>
      <c r="I1253" s="371"/>
      <c r="J1253" s="371"/>
      <c r="K1253" s="371"/>
      <c r="L1253" s="371"/>
      <c r="M1253" s="371"/>
      <c r="N1253" s="371"/>
      <c r="O1253" s="371"/>
      <c r="P1253" s="371"/>
      <c r="Q1253" s="371"/>
      <c r="R1253" s="58"/>
      <c r="S1253" s="58" t="str">
        <f ca="1">Summon!$I$57</f>
        <v>粉碎</v>
      </c>
      <c r="T1253" s="371"/>
      <c r="U1253" s="371"/>
      <c r="V1253" s="371"/>
      <c r="W1253" s="208"/>
    </row>
    <row r="1254" spans="1:23" ht="12.75" x14ac:dyDescent="0.2">
      <c r="A1254" s="208"/>
      <c r="B1254" s="568"/>
      <c r="C1254" s="210" t="b">
        <v>0</v>
      </c>
      <c r="D1254" s="211" t="str">
        <f ca="1">道具!$C$60</f>
        <v>增强物防的坚果（大）</v>
      </c>
      <c r="E1254" s="568"/>
      <c r="F1254" s="568"/>
      <c r="G1254" s="568"/>
      <c r="H1254" s="568"/>
      <c r="I1254" s="568"/>
      <c r="J1254" s="568"/>
      <c r="K1254" s="568"/>
      <c r="L1254" s="568"/>
      <c r="M1254" s="568"/>
      <c r="N1254" s="568"/>
      <c r="O1254" s="568"/>
      <c r="P1254" s="568"/>
      <c r="Q1254" s="568"/>
      <c r="R1254" s="209"/>
      <c r="S1254" s="209" t="str">
        <f ca="1">Summon!$I$4</f>
        <v>战斗</v>
      </c>
      <c r="T1254" s="568"/>
      <c r="U1254" s="568"/>
      <c r="V1254" s="568"/>
      <c r="W1254" s="208"/>
    </row>
    <row r="1255" spans="1:23" ht="12.75" x14ac:dyDescent="0.2">
      <c r="A1255" s="208"/>
      <c r="B1255" s="400" t="str">
        <f ca="1">语言!$A$1793&amp;" (2)"</f>
        <v>贝尔队长 (2)</v>
      </c>
      <c r="C1255" s="208" t="b">
        <v>0</v>
      </c>
      <c r="D1255" s="59" t="str">
        <f ca="1">道具!$C$79</f>
        <v>增强速度的坚果（大）</v>
      </c>
      <c r="E1255" s="567" t="b">
        <v>0</v>
      </c>
      <c r="F1255" s="395" t="str">
        <f ca="1">语言!$A$23</f>
        <v>无</v>
      </c>
      <c r="G1255" s="567" t="b">
        <v>0</v>
      </c>
      <c r="H1255" s="569" t="s">
        <v>44</v>
      </c>
      <c r="I1255" s="395">
        <v>6</v>
      </c>
      <c r="J1255" s="395"/>
      <c r="K1255" s="395"/>
      <c r="L1255" s="395"/>
      <c r="M1255" s="395"/>
      <c r="N1255" s="395"/>
      <c r="O1255" s="395" t="str">
        <f ca="1">道具!$C$8</f>
        <v>ＳＰ全体恢复的李子</v>
      </c>
      <c r="P1255" s="567"/>
      <c r="Q1255" s="569" t="s">
        <v>51</v>
      </c>
      <c r="R1255" s="58"/>
      <c r="S1255" s="58" t="str">
        <f ca="1">Summon!$I$61</f>
        <v>全力斩击</v>
      </c>
      <c r="T1255" s="569">
        <v>6</v>
      </c>
      <c r="U1255" s="567"/>
      <c r="V1255" s="395" t="str">
        <f ca="1">"NPC available after both "&amp;语言!$A$38&amp;" &amp; "&amp;语言!$A$35&amp;" chapter 4"</f>
        <v>NPC available after both 欧尔贝克 &amp; 欧菲莉亚 chapter 4</v>
      </c>
      <c r="W1255" s="208"/>
    </row>
    <row r="1256" spans="1:23" ht="12.75" x14ac:dyDescent="0.2">
      <c r="A1256" s="208"/>
      <c r="B1256" s="371"/>
      <c r="C1256" s="208" t="b">
        <v>0</v>
      </c>
      <c r="D1256" s="59" t="str">
        <f ca="1">道具!$C$70</f>
        <v>增强命中的坚果（大）</v>
      </c>
      <c r="E1256" s="371"/>
      <c r="F1256" s="371"/>
      <c r="G1256" s="371"/>
      <c r="H1256" s="371"/>
      <c r="I1256" s="371"/>
      <c r="J1256" s="371"/>
      <c r="K1256" s="371"/>
      <c r="L1256" s="371"/>
      <c r="M1256" s="371"/>
      <c r="N1256" s="371"/>
      <c r="O1256" s="371"/>
      <c r="P1256" s="371"/>
      <c r="Q1256" s="371"/>
      <c r="R1256" s="58"/>
      <c r="S1256" s="58" t="str">
        <f ca="1">Summon!$I$57</f>
        <v>粉碎</v>
      </c>
      <c r="T1256" s="371"/>
      <c r="U1256" s="371"/>
      <c r="V1256" s="371"/>
      <c r="W1256" s="208"/>
    </row>
    <row r="1257" spans="1:23" ht="12.75" x14ac:dyDescent="0.2">
      <c r="A1257" s="208"/>
      <c r="B1257" s="371"/>
      <c r="C1257" s="208" t="b">
        <v>0</v>
      </c>
      <c r="D1257" s="59" t="str">
        <f ca="1">道具!$C$60</f>
        <v>增强物防的坚果（大）</v>
      </c>
      <c r="E1257" s="371"/>
      <c r="F1257" s="371"/>
      <c r="G1257" s="371"/>
      <c r="H1257" s="371"/>
      <c r="I1257" s="371"/>
      <c r="J1257" s="371"/>
      <c r="K1257" s="371"/>
      <c r="L1257" s="371"/>
      <c r="M1257" s="371"/>
      <c r="N1257" s="371"/>
      <c r="O1257" s="371"/>
      <c r="P1257" s="371"/>
      <c r="Q1257" s="371"/>
      <c r="R1257" s="58"/>
      <c r="S1257" s="58" t="str">
        <f ca="1">Summon!$I$4</f>
        <v>战斗</v>
      </c>
      <c r="T1257" s="371"/>
      <c r="U1257" s="371"/>
      <c r="V1257" s="371"/>
      <c r="W1257" s="208"/>
    </row>
    <row r="1258" spans="1:23" ht="12.75" x14ac:dyDescent="0.2">
      <c r="A1258" s="208"/>
      <c r="B1258" s="568"/>
      <c r="C1258" s="210" t="b">
        <v>0</v>
      </c>
      <c r="D1258" s="211" t="str">
        <f ca="1">道具!$C$404</f>
        <v>龙之盔甲</v>
      </c>
      <c r="E1258" s="568"/>
      <c r="F1258" s="568"/>
      <c r="G1258" s="568"/>
      <c r="H1258" s="568"/>
      <c r="I1258" s="568"/>
      <c r="J1258" s="568"/>
      <c r="K1258" s="568"/>
      <c r="L1258" s="568"/>
      <c r="M1258" s="568"/>
      <c r="N1258" s="568"/>
      <c r="O1258" s="568"/>
      <c r="P1258" s="568"/>
      <c r="Q1258" s="568"/>
      <c r="R1258" s="209"/>
      <c r="S1258" s="209"/>
      <c r="T1258" s="568"/>
      <c r="U1258" s="568"/>
      <c r="V1258" s="568"/>
      <c r="W1258" s="208"/>
    </row>
    <row r="1259" spans="1:23" ht="12.75" x14ac:dyDescent="0.2">
      <c r="A1259" s="208"/>
      <c r="B1259" s="400" t="str">
        <f ca="1">语言!$A$1903</f>
        <v>卫兵</v>
      </c>
      <c r="C1259" s="208" t="b">
        <v>0</v>
      </c>
      <c r="D1259" s="59" t="str">
        <f ca="1">道具!$C$484</f>
        <v>狙击手环</v>
      </c>
      <c r="E1259" s="567" t="b">
        <v>0</v>
      </c>
      <c r="F1259" s="395" t="str">
        <f ca="1">语言!$A$33&amp;"
"&amp;道具!$C$117</f>
        <v>隐藏道具的资讯
鼓胀的钱包</v>
      </c>
      <c r="G1259" s="567" t="b">
        <v>0</v>
      </c>
      <c r="H1259" s="569" t="s">
        <v>50</v>
      </c>
      <c r="I1259" s="395">
        <v>4</v>
      </c>
      <c r="J1259" s="395"/>
      <c r="K1259" s="395"/>
      <c r="L1259" s="395"/>
      <c r="M1259" s="395"/>
      <c r="N1259" s="395"/>
      <c r="O1259" s="395" t="str">
        <f ca="1">道具!$C$4</f>
        <v>ＨＰ恢复的葡萄（大）</v>
      </c>
      <c r="P1259" s="567"/>
      <c r="Q1259" s="569" t="s">
        <v>50</v>
      </c>
      <c r="R1259" s="58"/>
      <c r="S1259" s="58" t="str">
        <f ca="1">Summon!$I$173</f>
        <v>攻击力提升</v>
      </c>
      <c r="T1259" s="569">
        <v>7</v>
      </c>
      <c r="U1259" s="567"/>
      <c r="V1259" s="395" t="str">
        <f ca="1">"NPC available upon starting "&amp;语言!$A$38&amp;" chapter 3"</f>
        <v>NPC available upon starting 欧尔贝克 chapter 3</v>
      </c>
      <c r="W1259" s="208"/>
    </row>
    <row r="1260" spans="1:23" ht="12.75" x14ac:dyDescent="0.2">
      <c r="A1260" s="208"/>
      <c r="B1260" s="371"/>
      <c r="C1260" s="208" t="b">
        <v>0</v>
      </c>
      <c r="D1260" s="59" t="str">
        <f ca="1">道具!$C$69</f>
        <v>增强命中的坚果</v>
      </c>
      <c r="E1260" s="371"/>
      <c r="F1260" s="371"/>
      <c r="G1260" s="371"/>
      <c r="H1260" s="371"/>
      <c r="I1260" s="371"/>
      <c r="J1260" s="371"/>
      <c r="K1260" s="371"/>
      <c r="L1260" s="371"/>
      <c r="M1260" s="371"/>
      <c r="N1260" s="371"/>
      <c r="O1260" s="371"/>
      <c r="P1260" s="371"/>
      <c r="Q1260" s="371"/>
      <c r="R1260" s="58"/>
      <c r="S1260" s="58" t="str">
        <f ca="1">Summon!$I$6</f>
        <v>斩击</v>
      </c>
      <c r="T1260" s="371"/>
      <c r="U1260" s="371"/>
      <c r="V1260" s="371"/>
      <c r="W1260" s="208"/>
    </row>
    <row r="1261" spans="1:23" ht="12.75" x14ac:dyDescent="0.2">
      <c r="A1261" s="208"/>
      <c r="B1261" s="568"/>
      <c r="C1261" s="210"/>
      <c r="D1261" s="211"/>
      <c r="E1261" s="568"/>
      <c r="F1261" s="568"/>
      <c r="G1261" s="568"/>
      <c r="H1261" s="568"/>
      <c r="I1261" s="568"/>
      <c r="J1261" s="568"/>
      <c r="K1261" s="568"/>
      <c r="L1261" s="568"/>
      <c r="M1261" s="568"/>
      <c r="N1261" s="568"/>
      <c r="O1261" s="568"/>
      <c r="P1261" s="568"/>
      <c r="Q1261" s="568"/>
      <c r="R1261" s="209"/>
      <c r="S1261" s="209" t="str">
        <f ca="1">Summon!$I$4</f>
        <v>战斗</v>
      </c>
      <c r="T1261" s="568"/>
      <c r="U1261" s="568"/>
      <c r="V1261" s="568"/>
      <c r="W1261" s="208"/>
    </row>
    <row r="1262" spans="1:23" ht="12.75" x14ac:dyDescent="0.2">
      <c r="A1262" s="208"/>
      <c r="B1262" s="400" t="str">
        <f ca="1">语言!$A$2055</f>
        <v>满足的商人</v>
      </c>
      <c r="C1262" s="567" t="b">
        <v>0</v>
      </c>
      <c r="D1262" s="400" t="str">
        <f ca="1">"* "&amp;道具!$F$74</f>
        <v>* 想写在日记上的绝品</v>
      </c>
      <c r="E1262" s="567" t="b">
        <v>0</v>
      </c>
      <c r="F1262" s="395" t="str">
        <f ca="1">语言!$A$23</f>
        <v>无</v>
      </c>
      <c r="G1262" s="567" t="b">
        <v>0</v>
      </c>
      <c r="H1262" s="569" t="s">
        <v>46</v>
      </c>
      <c r="I1262" s="395">
        <v>3</v>
      </c>
      <c r="J1262" s="395"/>
      <c r="K1262" s="395"/>
      <c r="L1262" s="395"/>
      <c r="M1262" s="395"/>
      <c r="N1262" s="395"/>
      <c r="O1262" s="395" t="str">
        <f ca="1">道具!$C$4</f>
        <v>ＨＰ恢复的葡萄（大）</v>
      </c>
      <c r="P1262" s="567"/>
      <c r="Q1262" s="569" t="s">
        <v>46</v>
      </c>
      <c r="R1262" s="58"/>
      <c r="S1262" s="58" t="str">
        <f ca="1">Summon!$I$166</f>
        <v>盛满的什么东西</v>
      </c>
      <c r="T1262" s="569">
        <v>8</v>
      </c>
      <c r="U1262" s="567"/>
      <c r="V1262" s="395" t="str">
        <f ca="1">"NPC available after "&amp;语言!$A$37&amp;" chapter 4"</f>
        <v>NPC available after 特蕾莎 chapter 4</v>
      </c>
      <c r="W1262" s="208"/>
    </row>
    <row r="1263" spans="1:23" ht="12.75" x14ac:dyDescent="0.2">
      <c r="A1263" s="208"/>
      <c r="B1263" s="371"/>
      <c r="C1263" s="371"/>
      <c r="D1263" s="371"/>
      <c r="E1263" s="371"/>
      <c r="F1263" s="371"/>
      <c r="G1263" s="371"/>
      <c r="H1263" s="371"/>
      <c r="I1263" s="371"/>
      <c r="J1263" s="371"/>
      <c r="K1263" s="371"/>
      <c r="L1263" s="371"/>
      <c r="M1263" s="371"/>
      <c r="N1263" s="371"/>
      <c r="O1263" s="371"/>
      <c r="P1263" s="371"/>
      <c r="Q1263" s="371"/>
      <c r="R1263" s="58"/>
      <c r="S1263" s="58" t="str">
        <f ca="1">Summon!$I$31</f>
        <v>要害突刺</v>
      </c>
      <c r="T1263" s="371"/>
      <c r="U1263" s="371"/>
      <c r="V1263" s="371"/>
      <c r="W1263" s="208"/>
    </row>
    <row r="1264" spans="1:23" ht="12.75" x14ac:dyDescent="0.2">
      <c r="A1264" s="208"/>
      <c r="B1264" s="568"/>
      <c r="C1264" s="568"/>
      <c r="D1264" s="568"/>
      <c r="E1264" s="568"/>
      <c r="F1264" s="568"/>
      <c r="G1264" s="568"/>
      <c r="H1264" s="568"/>
      <c r="I1264" s="568"/>
      <c r="J1264" s="568"/>
      <c r="K1264" s="568"/>
      <c r="L1264" s="568"/>
      <c r="M1264" s="568"/>
      <c r="N1264" s="568"/>
      <c r="O1264" s="568"/>
      <c r="P1264" s="568"/>
      <c r="Q1264" s="568"/>
      <c r="R1264" s="209"/>
      <c r="S1264" s="209" t="str">
        <f ca="1">Summon!$I$4</f>
        <v>战斗</v>
      </c>
      <c r="T1264" s="568"/>
      <c r="U1264" s="568"/>
      <c r="V1264" s="568"/>
      <c r="W1264" s="208"/>
    </row>
    <row r="1265" spans="1:23" ht="12.75" x14ac:dyDescent="0.2">
      <c r="A1265" s="208"/>
      <c r="B1265" s="400" t="str">
        <f ca="1">语言!$A$2124&amp;" (2)"</f>
        <v>四处游历的少女 /
莉亚 /
葛罗莉亚 (2)</v>
      </c>
      <c r="C1265" s="208" t="b">
        <v>0</v>
      </c>
      <c r="D1265" s="59" t="str">
        <f ca="1">道具!$C$488</f>
        <v>体力戒指</v>
      </c>
      <c r="E1265" s="567" t="b">
        <v>0</v>
      </c>
      <c r="F1265" s="395" t="str">
        <f ca="1">语言!$A$23</f>
        <v>无</v>
      </c>
      <c r="G1265" s="567" t="b">
        <v>0</v>
      </c>
      <c r="H1265" s="569" t="s">
        <v>48</v>
      </c>
      <c r="I1265" s="395">
        <v>2</v>
      </c>
      <c r="J1265" s="395"/>
      <c r="K1265" s="395"/>
      <c r="L1265" s="395"/>
      <c r="M1265" s="395"/>
      <c r="N1265" s="395"/>
      <c r="O1265" s="395" t="str">
        <f ca="1">道具!$C$7</f>
        <v>ＳＰ恢复的李子（大）</v>
      </c>
      <c r="P1265" s="567"/>
      <c r="Q1265" s="570" t="s">
        <v>119</v>
      </c>
      <c r="R1265" s="570" t="s">
        <v>119</v>
      </c>
      <c r="S1265" s="570" t="s">
        <v>119</v>
      </c>
      <c r="T1265" s="570" t="s">
        <v>119</v>
      </c>
      <c r="U1265" s="567"/>
      <c r="V1265" s="395" t="str">
        <f ca="1">"NPC at this location after quest: "&amp;支线!$C$78&amp;"
Moves to "&amp;语言!$A$428&amp;" after quest: "&amp;支线!$C$83</f>
        <v>NPC at this location after quest: 巡游少女莉亚（１）
Moves to 马尔沙利姆 after quest: 巡游少女莉亚（２）</v>
      </c>
      <c r="W1265" s="208"/>
    </row>
    <row r="1266" spans="1:23" ht="12.75" x14ac:dyDescent="0.2">
      <c r="A1266" s="208"/>
      <c r="B1266" s="371"/>
      <c r="C1266" s="208" t="b">
        <v>0</v>
      </c>
      <c r="D1266" s="59" t="str">
        <f ca="1">道具!$C$506</f>
        <v>火焰避邪符</v>
      </c>
      <c r="E1266" s="371"/>
      <c r="F1266" s="371"/>
      <c r="G1266" s="371"/>
      <c r="H1266" s="371"/>
      <c r="I1266" s="371"/>
      <c r="J1266" s="371"/>
      <c r="K1266" s="371"/>
      <c r="L1266" s="371"/>
      <c r="M1266" s="371"/>
      <c r="N1266" s="371"/>
      <c r="O1266" s="371"/>
      <c r="P1266" s="371"/>
      <c r="Q1266" s="371"/>
      <c r="R1266" s="371"/>
      <c r="S1266" s="371"/>
      <c r="T1266" s="371"/>
      <c r="U1266" s="371"/>
      <c r="V1266" s="371"/>
      <c r="W1266" s="208"/>
    </row>
    <row r="1267" spans="1:23" ht="12.75" x14ac:dyDescent="0.2">
      <c r="A1267" s="208"/>
      <c r="B1267" s="568"/>
      <c r="C1267" s="210" t="b">
        <v>0</v>
      </c>
      <c r="D1267" s="211" t="str">
        <f ca="1">道具!$C$4</f>
        <v>ＨＰ恢复的葡萄（大）</v>
      </c>
      <c r="E1267" s="568"/>
      <c r="F1267" s="568"/>
      <c r="G1267" s="568"/>
      <c r="H1267" s="568"/>
      <c r="I1267" s="568"/>
      <c r="J1267" s="568"/>
      <c r="K1267" s="568"/>
      <c r="L1267" s="568"/>
      <c r="M1267" s="568"/>
      <c r="N1267" s="568"/>
      <c r="O1267" s="568"/>
      <c r="P1267" s="568"/>
      <c r="Q1267" s="568"/>
      <c r="R1267" s="568"/>
      <c r="S1267" s="568"/>
      <c r="T1267" s="568"/>
      <c r="U1267" s="568"/>
      <c r="V1267" s="568"/>
      <c r="W1267" s="208"/>
    </row>
    <row r="1268" spans="1:23" ht="12.75" x14ac:dyDescent="0.2">
      <c r="A1268" s="208"/>
      <c r="B1268" s="400" t="str">
        <f ca="1">语言!$A$2084</f>
        <v>嗜甜如命的人</v>
      </c>
      <c r="C1268" s="208" t="b">
        <v>0</v>
      </c>
      <c r="D1268" s="59" t="str">
        <f ca="1">道具!$C$4</f>
        <v>ＨＰ恢复的葡萄（大）</v>
      </c>
      <c r="E1268" s="567" t="b">
        <v>0</v>
      </c>
      <c r="F1268" s="395" t="str">
        <f ca="1">语言!$A$23</f>
        <v>无</v>
      </c>
      <c r="G1268" s="567" t="b">
        <v>0</v>
      </c>
      <c r="H1268" s="569" t="s">
        <v>47</v>
      </c>
      <c r="I1268" s="395">
        <v>4</v>
      </c>
      <c r="J1268" s="395"/>
      <c r="K1268" s="395"/>
      <c r="L1268" s="395"/>
      <c r="M1268" s="395"/>
      <c r="N1268" s="395"/>
      <c r="O1268" s="395" t="str">
        <f ca="1">道具!$C$372</f>
        <v>元素帽</v>
      </c>
      <c r="P1268" s="567"/>
      <c r="Q1268" s="569" t="s">
        <v>47</v>
      </c>
      <c r="R1268" s="58"/>
      <c r="S1268" s="58" t="str">
        <f ca="1">Summon!$I$47</f>
        <v>恐慌猛击</v>
      </c>
      <c r="T1268" s="569">
        <v>6</v>
      </c>
      <c r="U1268" s="567"/>
      <c r="V1268" s="395"/>
      <c r="W1268" s="208"/>
    </row>
    <row r="1269" spans="1:23" ht="12.75" x14ac:dyDescent="0.2">
      <c r="A1269" s="208"/>
      <c r="B1269" s="371"/>
      <c r="C1269" s="208" t="b">
        <v>0</v>
      </c>
      <c r="D1269" s="59" t="str">
        <f ca="1">道具!$C$7</f>
        <v>ＳＰ恢复的李子（大）</v>
      </c>
      <c r="E1269" s="371"/>
      <c r="F1269" s="371"/>
      <c r="G1269" s="371"/>
      <c r="H1269" s="371"/>
      <c r="I1269" s="371"/>
      <c r="J1269" s="371"/>
      <c r="K1269" s="371"/>
      <c r="L1269" s="371"/>
      <c r="M1269" s="371"/>
      <c r="N1269" s="371"/>
      <c r="O1269" s="371"/>
      <c r="P1269" s="371"/>
      <c r="Q1269" s="371"/>
      <c r="R1269" s="58"/>
      <c r="S1269" s="58" t="str">
        <f ca="1">Summon!$I$48</f>
        <v>连掷短剑</v>
      </c>
      <c r="T1269" s="371"/>
      <c r="U1269" s="371"/>
      <c r="V1269" s="371"/>
      <c r="W1269" s="208"/>
    </row>
    <row r="1270" spans="1:23" ht="25.5" x14ac:dyDescent="0.2">
      <c r="A1270" s="208"/>
      <c r="B1270" s="568"/>
      <c r="C1270" s="210" t="b">
        <v>0</v>
      </c>
      <c r="D1270" s="211" t="str">
        <f ca="1">道具!$C$11</f>
        <v>ＢＰ恢复的石榴（特大）</v>
      </c>
      <c r="E1270" s="568"/>
      <c r="F1270" s="568"/>
      <c r="G1270" s="568"/>
      <c r="H1270" s="568"/>
      <c r="I1270" s="568"/>
      <c r="J1270" s="568"/>
      <c r="K1270" s="568"/>
      <c r="L1270" s="568"/>
      <c r="M1270" s="568"/>
      <c r="N1270" s="568"/>
      <c r="O1270" s="568"/>
      <c r="P1270" s="568"/>
      <c r="Q1270" s="568"/>
      <c r="R1270" s="209"/>
      <c r="S1270" s="209" t="str">
        <f ca="1">Summon!$I$4</f>
        <v>战斗</v>
      </c>
      <c r="T1270" s="568"/>
      <c r="U1270" s="568"/>
      <c r="V1270" s="568"/>
      <c r="W1270" s="208"/>
    </row>
    <row r="1271" spans="1:23" ht="12.75" x14ac:dyDescent="0.2">
      <c r="A1271" s="208"/>
      <c r="B1271" s="400" t="str">
        <f ca="1">语言!$A$2074</f>
        <v>死心眼儿的士兵</v>
      </c>
      <c r="C1271" s="208" t="b">
        <v>0</v>
      </c>
      <c r="D1271" s="59" t="str">
        <f ca="1">道具!$C$538</f>
        <v>睡眠花之叶</v>
      </c>
      <c r="E1271" s="567" t="b">
        <v>0</v>
      </c>
      <c r="F1271" s="395" t="str">
        <f ca="1">语言!$A$23</f>
        <v>无</v>
      </c>
      <c r="G1271" s="567" t="b">
        <v>0</v>
      </c>
      <c r="H1271" s="569" t="s">
        <v>46</v>
      </c>
      <c r="I1271" s="395">
        <v>3</v>
      </c>
      <c r="J1271" s="395"/>
      <c r="K1271" s="395"/>
      <c r="L1271" s="395"/>
      <c r="M1271" s="395"/>
      <c r="N1271" s="395"/>
      <c r="O1271" s="395" t="str">
        <f ca="1">道具!$C$4</f>
        <v>ＨＰ恢复的葡萄（大）</v>
      </c>
      <c r="P1271" s="567"/>
      <c r="Q1271" s="569" t="s">
        <v>46</v>
      </c>
      <c r="R1271" s="58"/>
      <c r="S1271" s="58" t="str">
        <f ca="1">Summon!$I$36</f>
        <v>连环突刺</v>
      </c>
      <c r="T1271" s="569">
        <v>8</v>
      </c>
      <c r="U1271" s="567"/>
      <c r="V1271" s="395" t="str">
        <f ca="1">语言!$A$44&amp;" / "&amp;语言!$A$48&amp;" available after quest: "&amp;支线!$C$85</f>
        <v>引导 / 诱惑 available after quest: 潜伏在沙漠中的身影</v>
      </c>
      <c r="W1271" s="208"/>
    </row>
    <row r="1272" spans="1:23" ht="12.75" x14ac:dyDescent="0.2">
      <c r="A1272" s="208"/>
      <c r="B1272" s="371"/>
      <c r="C1272" s="208" t="b">
        <v>0</v>
      </c>
      <c r="D1272" s="59" t="str">
        <f ca="1">道具!$C$539</f>
        <v>混乱多之叶</v>
      </c>
      <c r="E1272" s="371"/>
      <c r="F1272" s="371"/>
      <c r="G1272" s="371"/>
      <c r="H1272" s="371"/>
      <c r="I1272" s="371"/>
      <c r="J1272" s="371"/>
      <c r="K1272" s="371"/>
      <c r="L1272" s="371"/>
      <c r="M1272" s="371"/>
      <c r="N1272" s="371"/>
      <c r="O1272" s="371"/>
      <c r="P1272" s="371"/>
      <c r="Q1272" s="371"/>
      <c r="R1272" s="58"/>
      <c r="S1272" s="58" t="str">
        <f ca="1">Summon!$I$30</f>
        <v>突刺</v>
      </c>
      <c r="T1272" s="371"/>
      <c r="U1272" s="371"/>
      <c r="V1272" s="371"/>
      <c r="W1272" s="208"/>
    </row>
    <row r="1273" spans="1:23" ht="12.75" x14ac:dyDescent="0.2">
      <c r="A1273" s="208"/>
      <c r="B1273" s="568"/>
      <c r="C1273" s="210" t="b">
        <v>0</v>
      </c>
      <c r="D1273" s="211" t="str">
        <f ca="1">道具!$C$544</f>
        <v>神秘之花</v>
      </c>
      <c r="E1273" s="568"/>
      <c r="F1273" s="568"/>
      <c r="G1273" s="568"/>
      <c r="H1273" s="568"/>
      <c r="I1273" s="568"/>
      <c r="J1273" s="568"/>
      <c r="K1273" s="568"/>
      <c r="L1273" s="568"/>
      <c r="M1273" s="568"/>
      <c r="N1273" s="568"/>
      <c r="O1273" s="568"/>
      <c r="P1273" s="568"/>
      <c r="Q1273" s="568"/>
      <c r="R1273" s="209"/>
      <c r="S1273" s="209" t="str">
        <f ca="1">Summon!$I$4</f>
        <v>战斗</v>
      </c>
      <c r="T1273" s="568"/>
      <c r="U1273" s="568"/>
      <c r="V1273" s="568"/>
      <c r="W1273" s="208"/>
    </row>
    <row r="1274" spans="1:23" ht="12.75" x14ac:dyDescent="0.2">
      <c r="A1274" s="208"/>
      <c r="B1274" s="400" t="str">
        <f ca="1">语言!$A$1928&amp;" (2)"</f>
        <v>受伤的侦查兵 (2)</v>
      </c>
      <c r="C1274" s="208" t="b">
        <v>0</v>
      </c>
      <c r="D1274" s="59" t="str">
        <f ca="1">道具!$C$6</f>
        <v>ＳＰ恢复的李子</v>
      </c>
      <c r="E1274" s="567" t="b">
        <v>0</v>
      </c>
      <c r="F1274" s="395" t="str">
        <f ca="1">道具!$I$48</f>
        <v>驱使大蛇的男子</v>
      </c>
      <c r="G1274" s="567" t="b">
        <v>0</v>
      </c>
      <c r="H1274" s="569" t="s">
        <v>45</v>
      </c>
      <c r="I1274" s="395">
        <v>2</v>
      </c>
      <c r="J1274" s="395"/>
      <c r="K1274" s="395"/>
      <c r="L1274" s="395"/>
      <c r="M1274" s="395"/>
      <c r="N1274" s="395"/>
      <c r="O1274" s="395" t="str">
        <f ca="1">道具!$C$6</f>
        <v>ＳＰ恢复的李子</v>
      </c>
      <c r="P1274" s="567"/>
      <c r="Q1274" s="569" t="s">
        <v>45</v>
      </c>
      <c r="R1274" s="395"/>
      <c r="S1274" s="395" t="str">
        <f ca="1">Summon!$I$182</f>
        <v>因为受伤无法动弹。</v>
      </c>
      <c r="T1274" s="569">
        <v>9</v>
      </c>
      <c r="U1274" s="567"/>
      <c r="V1274" s="395" t="str">
        <f ca="1">"NPC at this location after quest: "&amp;支线!$C$85</f>
        <v>NPC at this location after quest: 潜伏在沙漠中的身影</v>
      </c>
      <c r="W1274" s="208"/>
    </row>
    <row r="1275" spans="1:23" ht="12.75" x14ac:dyDescent="0.2">
      <c r="A1275" s="208"/>
      <c r="B1275" s="568"/>
      <c r="C1275" s="210" t="b">
        <v>0</v>
      </c>
      <c r="D1275" s="211" t="str">
        <f ca="1">道具!$C$490</f>
        <v>守护戒指</v>
      </c>
      <c r="E1275" s="568"/>
      <c r="F1275" s="568"/>
      <c r="G1275" s="568"/>
      <c r="H1275" s="568"/>
      <c r="I1275" s="568"/>
      <c r="J1275" s="568"/>
      <c r="K1275" s="568"/>
      <c r="L1275" s="568"/>
      <c r="M1275" s="568"/>
      <c r="N1275" s="568"/>
      <c r="O1275" s="568"/>
      <c r="P1275" s="568"/>
      <c r="Q1275" s="568"/>
      <c r="R1275" s="568"/>
      <c r="S1275" s="568"/>
      <c r="T1275" s="568"/>
      <c r="U1275" s="568"/>
      <c r="V1275" s="568"/>
      <c r="W1275" s="208"/>
    </row>
    <row r="1276" spans="1:23" ht="12.75" x14ac:dyDescent="0.2">
      <c r="A1276" s="208"/>
      <c r="B1276" s="59" t="str">
        <f ca="1">语言!$A$2030</f>
        <v>贫民</v>
      </c>
      <c r="C1276" s="208"/>
      <c r="D1276" s="216" t="s">
        <v>119</v>
      </c>
      <c r="E1276" s="208"/>
      <c r="F1276" s="212" t="s">
        <v>119</v>
      </c>
      <c r="G1276" s="208"/>
      <c r="H1276" s="212" t="s">
        <v>119</v>
      </c>
      <c r="I1276" s="212" t="s">
        <v>119</v>
      </c>
      <c r="J1276" s="212" t="s">
        <v>119</v>
      </c>
      <c r="K1276" s="212" t="s">
        <v>119</v>
      </c>
      <c r="L1276" s="212" t="s">
        <v>119</v>
      </c>
      <c r="M1276" s="212" t="s">
        <v>119</v>
      </c>
      <c r="N1276" s="212" t="s">
        <v>119</v>
      </c>
      <c r="O1276" s="212" t="s">
        <v>119</v>
      </c>
      <c r="P1276" s="208"/>
      <c r="Q1276" s="212" t="s">
        <v>119</v>
      </c>
      <c r="R1276" s="212" t="s">
        <v>119</v>
      </c>
      <c r="S1276" s="212" t="s">
        <v>119</v>
      </c>
      <c r="T1276" s="212" t="s">
        <v>119</v>
      </c>
      <c r="U1276" s="208"/>
      <c r="V1276" s="58" t="str">
        <f ca="1">"NPC available only during "&amp;语言!$A$41&amp;" chapter 3"</f>
        <v>NPC available only during 泰里翁 chapter 3</v>
      </c>
      <c r="W1276" s="208"/>
    </row>
    <row r="1277" spans="1:23" ht="12.75" x14ac:dyDescent="0.2">
      <c r="A1277" s="208"/>
      <c r="B1277" s="571" t="str">
        <f ca="1">语言!$A$421</f>
        <v>北威尔斯宾克沙道</v>
      </c>
      <c r="C1277" s="371"/>
      <c r="D1277" s="371"/>
      <c r="E1277" s="371"/>
      <c r="F1277" s="371"/>
      <c r="G1277" s="371"/>
      <c r="H1277" s="371"/>
      <c r="I1277" s="371"/>
      <c r="J1277" s="371"/>
      <c r="K1277" s="371"/>
      <c r="L1277" s="371"/>
      <c r="M1277" s="371"/>
      <c r="N1277" s="371"/>
      <c r="O1277" s="371"/>
      <c r="P1277" s="371"/>
      <c r="Q1277" s="371"/>
      <c r="R1277" s="371"/>
      <c r="S1277" s="371"/>
      <c r="T1277" s="371"/>
      <c r="U1277" s="371"/>
      <c r="V1277" s="371"/>
      <c r="W1277" s="208"/>
    </row>
    <row r="1278" spans="1:23" ht="12.75" x14ac:dyDescent="0.2">
      <c r="A1278" s="208"/>
      <c r="B1278" s="400" t="str">
        <f ca="1">语言!$A$1928&amp;" (1)"</f>
        <v>受伤的侦查兵 (1)</v>
      </c>
      <c r="C1278" s="208" t="b">
        <v>0</v>
      </c>
      <c r="D1278" s="59" t="str">
        <f ca="1">道具!$C$6</f>
        <v>ＳＰ恢复的李子</v>
      </c>
      <c r="E1278" s="567" t="b">
        <v>0</v>
      </c>
      <c r="F1278" s="395" t="str">
        <f ca="1">道具!$I$48</f>
        <v>驱使大蛇的男子</v>
      </c>
      <c r="G1278" s="567" t="b">
        <v>0</v>
      </c>
      <c r="H1278" s="569" t="s">
        <v>45</v>
      </c>
      <c r="I1278" s="395">
        <v>2</v>
      </c>
      <c r="J1278" s="395"/>
      <c r="K1278" s="395"/>
      <c r="L1278" s="395"/>
      <c r="M1278" s="395"/>
      <c r="N1278" s="395"/>
      <c r="O1278" s="395" t="str">
        <f ca="1">道具!$C$6</f>
        <v>ＳＰ恢复的李子</v>
      </c>
      <c r="P1278" s="567"/>
      <c r="Q1278" s="570" t="s">
        <v>119</v>
      </c>
      <c r="R1278" s="570" t="s">
        <v>119</v>
      </c>
      <c r="S1278" s="570" t="s">
        <v>119</v>
      </c>
      <c r="T1278" s="570" t="s">
        <v>119</v>
      </c>
      <c r="U1278" s="567"/>
      <c r="V1278" s="395" t="str">
        <f ca="1">"Moves to "&amp;语言!$A$420&amp;" after quest: "&amp;支线!$C$85</f>
        <v>Moves to 威尔斯宾克 after quest: 潜伏在沙漠中的身影</v>
      </c>
      <c r="W1278" s="208"/>
    </row>
    <row r="1279" spans="1:23" ht="12.75" x14ac:dyDescent="0.2">
      <c r="A1279" s="208"/>
      <c r="B1279" s="371"/>
      <c r="C1279" s="208" t="b">
        <v>0</v>
      </c>
      <c r="D1279" s="59" t="str">
        <f ca="1">道具!$C$490</f>
        <v>守护戒指</v>
      </c>
      <c r="E1279" s="371"/>
      <c r="F1279" s="371"/>
      <c r="G1279" s="371"/>
      <c r="H1279" s="371"/>
      <c r="I1279" s="371"/>
      <c r="J1279" s="371"/>
      <c r="K1279" s="371"/>
      <c r="L1279" s="371"/>
      <c r="M1279" s="371"/>
      <c r="N1279" s="371"/>
      <c r="O1279" s="371"/>
      <c r="P1279" s="371"/>
      <c r="Q1279" s="371"/>
      <c r="R1279" s="371"/>
      <c r="S1279" s="371"/>
      <c r="T1279" s="371"/>
      <c r="U1279" s="371"/>
      <c r="V1279" s="371"/>
      <c r="W1279" s="208"/>
    </row>
    <row r="1280" spans="1:23" ht="12.75" x14ac:dyDescent="0.2">
      <c r="A1280" s="208"/>
      <c r="B1280" s="571" t="str">
        <f ca="1">语言!$A$424</f>
        <v>南威尔斯宾克废道</v>
      </c>
      <c r="C1280" s="371"/>
      <c r="D1280" s="371"/>
      <c r="E1280" s="371"/>
      <c r="F1280" s="371"/>
      <c r="G1280" s="371"/>
      <c r="H1280" s="371"/>
      <c r="I1280" s="371"/>
      <c r="J1280" s="371"/>
      <c r="K1280" s="371"/>
      <c r="L1280" s="371"/>
      <c r="M1280" s="371"/>
      <c r="N1280" s="371"/>
      <c r="O1280" s="371"/>
      <c r="P1280" s="371"/>
      <c r="Q1280" s="371"/>
      <c r="R1280" s="371"/>
      <c r="S1280" s="371"/>
      <c r="T1280" s="371"/>
      <c r="U1280" s="371"/>
      <c r="V1280" s="371"/>
      <c r="W1280" s="208"/>
    </row>
    <row r="1281" spans="1:23" ht="12.75" x14ac:dyDescent="0.2">
      <c r="A1281" s="208"/>
      <c r="B1281" s="400" t="str">
        <f ca="1">语言!$A$1859</f>
        <v>工作人员</v>
      </c>
      <c r="C1281" s="208" t="b">
        <v>0</v>
      </c>
      <c r="D1281" s="59" t="str">
        <f ca="1">"* "&amp;道具!$F$23</f>
        <v>* 工作人员面具</v>
      </c>
      <c r="E1281" s="567"/>
      <c r="F1281" s="570" t="s">
        <v>119</v>
      </c>
      <c r="G1281" s="567"/>
      <c r="H1281" s="570" t="s">
        <v>119</v>
      </c>
      <c r="I1281" s="570" t="s">
        <v>119</v>
      </c>
      <c r="J1281" s="570" t="s">
        <v>119</v>
      </c>
      <c r="K1281" s="570" t="s">
        <v>119</v>
      </c>
      <c r="L1281" s="570" t="s">
        <v>119</v>
      </c>
      <c r="M1281" s="570" t="s">
        <v>119</v>
      </c>
      <c r="N1281" s="570" t="s">
        <v>119</v>
      </c>
      <c r="O1281" s="570" t="s">
        <v>119</v>
      </c>
      <c r="P1281" s="567"/>
      <c r="Q1281" s="570" t="s">
        <v>119</v>
      </c>
      <c r="R1281" s="570" t="s">
        <v>119</v>
      </c>
      <c r="S1281" s="570" t="s">
        <v>119</v>
      </c>
      <c r="T1281" s="570" t="s">
        <v>119</v>
      </c>
      <c r="U1281" s="567"/>
      <c r="V1281" s="395" t="str">
        <f ca="1">"NPC available during "&amp;语言!$A$41&amp;" chapter 3 only"</f>
        <v>NPC available during 泰里翁 chapter 3 only</v>
      </c>
      <c r="W1281" s="208"/>
    </row>
    <row r="1282" spans="1:23" ht="12.75" x14ac:dyDescent="0.2">
      <c r="A1282" s="208"/>
      <c r="B1282" s="371"/>
      <c r="C1282" s="208" t="b">
        <v>0</v>
      </c>
      <c r="D1282" s="59" t="str">
        <f ca="1">道具!$C$14</f>
        <v>复活的橄榄</v>
      </c>
      <c r="E1282" s="371"/>
      <c r="F1282" s="371"/>
      <c r="G1282" s="371"/>
      <c r="H1282" s="371"/>
      <c r="I1282" s="371"/>
      <c r="J1282" s="371"/>
      <c r="K1282" s="371"/>
      <c r="L1282" s="371"/>
      <c r="M1282" s="371"/>
      <c r="N1282" s="371"/>
      <c r="O1282" s="371"/>
      <c r="P1282" s="371"/>
      <c r="Q1282" s="371"/>
      <c r="R1282" s="371"/>
      <c r="S1282" s="371"/>
      <c r="T1282" s="371"/>
      <c r="U1282" s="371"/>
      <c r="V1282" s="371"/>
      <c r="W1282" s="208"/>
    </row>
    <row r="1283" spans="1:23" ht="12.75" x14ac:dyDescent="0.2">
      <c r="A1283" s="208"/>
      <c r="B1283" s="568"/>
      <c r="C1283" s="210" t="b">
        <v>0</v>
      </c>
      <c r="D1283" s="214" t="str">
        <f ca="1">道具!$C$120</f>
        <v>放了银块的皮袋</v>
      </c>
      <c r="E1283" s="568"/>
      <c r="F1283" s="568"/>
      <c r="G1283" s="568"/>
      <c r="H1283" s="568"/>
      <c r="I1283" s="568"/>
      <c r="J1283" s="568"/>
      <c r="K1283" s="568"/>
      <c r="L1283" s="568"/>
      <c r="M1283" s="568"/>
      <c r="N1283" s="568"/>
      <c r="O1283" s="568"/>
      <c r="P1283" s="568"/>
      <c r="Q1283" s="568"/>
      <c r="R1283" s="568"/>
      <c r="S1283" s="568"/>
      <c r="T1283" s="568"/>
      <c r="U1283" s="568"/>
      <c r="V1283" s="568"/>
      <c r="W1283" s="208"/>
    </row>
    <row r="1284" spans="1:23" ht="12.75" x14ac:dyDescent="0.2">
      <c r="A1284" s="208"/>
      <c r="B1284" s="400" t="str">
        <f ca="1">语言!$A$1780</f>
        <v>贵族</v>
      </c>
      <c r="C1284" s="208" t="b">
        <v>0</v>
      </c>
      <c r="D1284" s="59" t="str">
        <f ca="1">"* "&amp;道具!$F$24</f>
        <v>* 贵族面具</v>
      </c>
      <c r="E1284" s="567"/>
      <c r="F1284" s="570" t="s">
        <v>119</v>
      </c>
      <c r="G1284" s="567"/>
      <c r="H1284" s="570" t="s">
        <v>119</v>
      </c>
      <c r="I1284" s="570" t="s">
        <v>119</v>
      </c>
      <c r="J1284" s="570" t="s">
        <v>119</v>
      </c>
      <c r="K1284" s="570" t="s">
        <v>119</v>
      </c>
      <c r="L1284" s="570" t="s">
        <v>119</v>
      </c>
      <c r="M1284" s="570" t="s">
        <v>119</v>
      </c>
      <c r="N1284" s="570" t="s">
        <v>119</v>
      </c>
      <c r="O1284" s="570" t="s">
        <v>119</v>
      </c>
      <c r="P1284" s="567"/>
      <c r="Q1284" s="570" t="s">
        <v>119</v>
      </c>
      <c r="R1284" s="570" t="s">
        <v>119</v>
      </c>
      <c r="S1284" s="570" t="s">
        <v>119</v>
      </c>
      <c r="T1284" s="570" t="s">
        <v>119</v>
      </c>
      <c r="U1284" s="567"/>
      <c r="V1284" s="395" t="str">
        <f ca="1">"NPC available during "&amp;语言!$A$41&amp;" chapter 3 only"</f>
        <v>NPC available during 泰里翁 chapter 3 only</v>
      </c>
      <c r="W1284" s="208"/>
    </row>
    <row r="1285" spans="1:23" ht="12.75" x14ac:dyDescent="0.2">
      <c r="A1285" s="208"/>
      <c r="B1285" s="568"/>
      <c r="C1285" s="210" t="b">
        <v>0</v>
      </c>
      <c r="D1285" s="211" t="str">
        <f ca="1">道具!$C$4</f>
        <v>ＨＰ恢复的葡萄（大）</v>
      </c>
      <c r="E1285" s="568"/>
      <c r="F1285" s="568"/>
      <c r="G1285" s="568"/>
      <c r="H1285" s="568"/>
      <c r="I1285" s="568"/>
      <c r="J1285" s="568"/>
      <c r="K1285" s="568"/>
      <c r="L1285" s="568"/>
      <c r="M1285" s="568"/>
      <c r="N1285" s="568"/>
      <c r="O1285" s="568"/>
      <c r="P1285" s="568"/>
      <c r="Q1285" s="568"/>
      <c r="R1285" s="568"/>
      <c r="S1285" s="568"/>
      <c r="T1285" s="568"/>
      <c r="U1285" s="568"/>
      <c r="V1285" s="568"/>
      <c r="W1285" s="208"/>
    </row>
    <row r="1286" spans="1:23" ht="12.75" x14ac:dyDescent="0.2">
      <c r="A1286" s="208"/>
      <c r="B1286" s="400" t="str">
        <f ca="1">语言!$A$1780</f>
        <v>贵族</v>
      </c>
      <c r="C1286" s="208" t="b">
        <v>0</v>
      </c>
      <c r="D1286" s="59" t="str">
        <f ca="1">"* "&amp;道具!$F$24</f>
        <v>* 贵族面具</v>
      </c>
      <c r="E1286" s="567"/>
      <c r="F1286" s="570" t="s">
        <v>119</v>
      </c>
      <c r="G1286" s="567"/>
      <c r="H1286" s="570" t="s">
        <v>119</v>
      </c>
      <c r="I1286" s="570" t="s">
        <v>119</v>
      </c>
      <c r="J1286" s="570" t="s">
        <v>119</v>
      </c>
      <c r="K1286" s="570" t="s">
        <v>119</v>
      </c>
      <c r="L1286" s="570" t="s">
        <v>119</v>
      </c>
      <c r="M1286" s="570" t="s">
        <v>119</v>
      </c>
      <c r="N1286" s="570" t="s">
        <v>119</v>
      </c>
      <c r="O1286" s="570" t="s">
        <v>119</v>
      </c>
      <c r="P1286" s="567"/>
      <c r="Q1286" s="570" t="s">
        <v>119</v>
      </c>
      <c r="R1286" s="570" t="s">
        <v>119</v>
      </c>
      <c r="S1286" s="570" t="s">
        <v>119</v>
      </c>
      <c r="T1286" s="570" t="s">
        <v>119</v>
      </c>
      <c r="U1286" s="567"/>
      <c r="V1286" s="395" t="str">
        <f ca="1">"NPC available during "&amp;语言!$A$41&amp;" chapter 3 only"</f>
        <v>NPC available during 泰里翁 chapter 3 only</v>
      </c>
      <c r="W1286" s="208"/>
    </row>
    <row r="1287" spans="1:23" ht="12.75" x14ac:dyDescent="0.2">
      <c r="A1287" s="208"/>
      <c r="B1287" s="371"/>
      <c r="C1287" s="208" t="b">
        <v>0</v>
      </c>
      <c r="D1287" s="59" t="str">
        <f ca="1">道具!$C$7</f>
        <v>ＳＰ恢复的李子（大）</v>
      </c>
      <c r="E1287" s="371"/>
      <c r="F1287" s="371"/>
      <c r="G1287" s="371"/>
      <c r="H1287" s="371"/>
      <c r="I1287" s="371"/>
      <c r="J1287" s="371"/>
      <c r="K1287" s="371"/>
      <c r="L1287" s="371"/>
      <c r="M1287" s="371"/>
      <c r="N1287" s="371"/>
      <c r="O1287" s="371"/>
      <c r="P1287" s="371"/>
      <c r="Q1287" s="371"/>
      <c r="R1287" s="371"/>
      <c r="S1287" s="371"/>
      <c r="T1287" s="371"/>
      <c r="U1287" s="371"/>
      <c r="V1287" s="371"/>
      <c r="W1287" s="208"/>
    </row>
    <row r="1288" spans="1:23" ht="12.75" x14ac:dyDescent="0.2">
      <c r="A1288" s="208"/>
      <c r="B1288" s="371"/>
      <c r="C1288" s="208" t="b">
        <v>0</v>
      </c>
      <c r="D1288" s="59" t="str">
        <f ca="1">道具!$C$481</f>
        <v>精神手环</v>
      </c>
      <c r="E1288" s="371"/>
      <c r="F1288" s="371"/>
      <c r="G1288" s="371"/>
      <c r="H1288" s="371"/>
      <c r="I1288" s="371"/>
      <c r="J1288" s="371"/>
      <c r="K1288" s="371"/>
      <c r="L1288" s="371"/>
      <c r="M1288" s="371"/>
      <c r="N1288" s="371"/>
      <c r="O1288" s="371"/>
      <c r="P1288" s="371"/>
      <c r="Q1288" s="371"/>
      <c r="R1288" s="371"/>
      <c r="S1288" s="371"/>
      <c r="T1288" s="371"/>
      <c r="U1288" s="371"/>
      <c r="V1288" s="371"/>
      <c r="W1288" s="208"/>
    </row>
    <row r="1289" spans="1:23" ht="12.75" x14ac:dyDescent="0.2">
      <c r="A1289" s="208"/>
      <c r="B1289" s="572" t="str">
        <f ca="1">语言!$A$323&amp;" 3"</f>
        <v>Tier 3</v>
      </c>
      <c r="C1289" s="371"/>
      <c r="D1289" s="371"/>
      <c r="E1289" s="371"/>
      <c r="F1289" s="371"/>
      <c r="G1289" s="371"/>
      <c r="H1289" s="371"/>
      <c r="I1289" s="371"/>
      <c r="J1289" s="371"/>
      <c r="K1289" s="371"/>
      <c r="L1289" s="371"/>
      <c r="M1289" s="371"/>
      <c r="N1289" s="371"/>
      <c r="O1289" s="371"/>
      <c r="P1289" s="371"/>
      <c r="Q1289" s="371"/>
      <c r="R1289" s="371"/>
      <c r="S1289" s="371"/>
      <c r="T1289" s="371"/>
      <c r="U1289" s="371"/>
      <c r="V1289" s="371"/>
      <c r="W1289" s="208"/>
    </row>
    <row r="1290" spans="1:23" ht="12.75" x14ac:dyDescent="0.2">
      <c r="A1290" s="208"/>
      <c r="B1290" s="571" t="str">
        <f ca="1">语言!$A$428</f>
        <v>马尔沙利姆</v>
      </c>
      <c r="C1290" s="371"/>
      <c r="D1290" s="371"/>
      <c r="E1290" s="371"/>
      <c r="F1290" s="371"/>
      <c r="G1290" s="371"/>
      <c r="H1290" s="371"/>
      <c r="I1290" s="371"/>
      <c r="J1290" s="371"/>
      <c r="K1290" s="371"/>
      <c r="L1290" s="371"/>
      <c r="M1290" s="371"/>
      <c r="N1290" s="371"/>
      <c r="O1290" s="371"/>
      <c r="P1290" s="371"/>
      <c r="Q1290" s="371"/>
      <c r="R1290" s="371"/>
      <c r="S1290" s="371"/>
      <c r="T1290" s="371"/>
      <c r="U1290" s="371"/>
      <c r="V1290" s="371"/>
      <c r="W1290" s="208"/>
    </row>
    <row r="1291" spans="1:23" ht="12.75" x14ac:dyDescent="0.2">
      <c r="A1291" s="208"/>
      <c r="B1291" s="400" t="str">
        <f ca="1">语言!$A$2102</f>
        <v>市民</v>
      </c>
      <c r="C1291" s="208" t="b">
        <v>0</v>
      </c>
      <c r="D1291" s="59" t="str">
        <f ca="1">道具!$C$4</f>
        <v>ＨＰ恢复的葡萄（大）</v>
      </c>
      <c r="E1291" s="567" t="b">
        <v>0</v>
      </c>
      <c r="F1291" s="395" t="str">
        <f ca="1">语言!$A$26</f>
        <v>「偷取」成功机率ＵＰ资讯</v>
      </c>
      <c r="G1291" s="567" t="b">
        <v>0</v>
      </c>
      <c r="H1291" s="569" t="s">
        <v>45</v>
      </c>
      <c r="I1291" s="395">
        <v>2</v>
      </c>
      <c r="J1291" s="395"/>
      <c r="K1291" s="395"/>
      <c r="L1291" s="395"/>
      <c r="M1291" s="395"/>
      <c r="N1291" s="395"/>
      <c r="O1291" s="395" t="str">
        <f ca="1">道具!$C$12</f>
        <v>ＨＰ／ＳＰ恢复的果酱</v>
      </c>
      <c r="P1291" s="567"/>
      <c r="Q1291" s="569" t="s">
        <v>45</v>
      </c>
      <c r="R1291" s="58"/>
      <c r="S1291" s="58" t="str">
        <f ca="1">Summon!$I$6</f>
        <v>斩击</v>
      </c>
      <c r="T1291" s="569">
        <v>9</v>
      </c>
      <c r="U1291" s="567"/>
      <c r="V1291" s="395"/>
      <c r="W1291" s="208"/>
    </row>
    <row r="1292" spans="1:23" ht="12.75" x14ac:dyDescent="0.2">
      <c r="A1292" s="208"/>
      <c r="B1292" s="371"/>
      <c r="C1292" s="208" t="b">
        <v>0</v>
      </c>
      <c r="D1292" s="59" t="str">
        <f ca="1">道具!$C$4</f>
        <v>ＨＰ恢复的葡萄（大）</v>
      </c>
      <c r="E1292" s="371"/>
      <c r="F1292" s="371"/>
      <c r="G1292" s="371"/>
      <c r="H1292" s="371"/>
      <c r="I1292" s="371"/>
      <c r="J1292" s="371"/>
      <c r="K1292" s="371"/>
      <c r="L1292" s="371"/>
      <c r="M1292" s="371"/>
      <c r="N1292" s="371"/>
      <c r="O1292" s="371"/>
      <c r="P1292" s="371"/>
      <c r="Q1292" s="371"/>
      <c r="R1292" s="58"/>
      <c r="S1292" s="58" t="str">
        <f ca="1">Summon!$I$4</f>
        <v>战斗</v>
      </c>
      <c r="T1292" s="371"/>
      <c r="U1292" s="371"/>
      <c r="V1292" s="371"/>
      <c r="W1292" s="208"/>
    </row>
    <row r="1293" spans="1:23" ht="12.75" x14ac:dyDescent="0.2">
      <c r="A1293" s="208"/>
      <c r="B1293" s="568"/>
      <c r="C1293" s="210" t="b">
        <v>0</v>
      </c>
      <c r="D1293" s="211" t="str">
        <f ca="1">道具!$C$12</f>
        <v>ＨＰ／ＳＰ恢复的果酱</v>
      </c>
      <c r="E1293" s="568"/>
      <c r="F1293" s="568"/>
      <c r="G1293" s="568"/>
      <c r="H1293" s="568"/>
      <c r="I1293" s="568"/>
      <c r="J1293" s="568"/>
      <c r="K1293" s="568"/>
      <c r="L1293" s="568"/>
      <c r="M1293" s="568"/>
      <c r="N1293" s="568"/>
      <c r="O1293" s="568"/>
      <c r="P1293" s="568"/>
      <c r="Q1293" s="568"/>
      <c r="R1293" s="209"/>
      <c r="S1293" s="209"/>
      <c r="T1293" s="568"/>
      <c r="U1293" s="568"/>
      <c r="V1293" s="568"/>
      <c r="W1293" s="208"/>
    </row>
    <row r="1294" spans="1:23" ht="12.75" x14ac:dyDescent="0.2">
      <c r="A1294" s="208"/>
      <c r="B1294" s="400" t="str">
        <f ca="1">语言!$A$1944</f>
        <v>博学青年的父亲</v>
      </c>
      <c r="C1294" s="208" t="b">
        <v>0</v>
      </c>
      <c r="D1294" s="59" t="str">
        <f ca="1">道具!$C$53</f>
        <v>增强ＳＰ的坚果（大）</v>
      </c>
      <c r="E1294" s="567" t="b">
        <v>0</v>
      </c>
      <c r="F1294" s="395" t="str">
        <f ca="1">语言!$A$23</f>
        <v>无</v>
      </c>
      <c r="G1294" s="567" t="b">
        <v>0</v>
      </c>
      <c r="H1294" s="569" t="s">
        <v>48</v>
      </c>
      <c r="I1294" s="395">
        <v>2</v>
      </c>
      <c r="J1294" s="395"/>
      <c r="K1294" s="395"/>
      <c r="L1294" s="395"/>
      <c r="M1294" s="395"/>
      <c r="N1294" s="395"/>
      <c r="O1294" s="395" t="str">
        <f ca="1">道具!$C$16</f>
        <v>复活的橄榄（大）</v>
      </c>
      <c r="P1294" s="567"/>
      <c r="Q1294" s="569" t="s">
        <v>48</v>
      </c>
      <c r="R1294" s="58"/>
      <c r="S1294" s="58" t="str">
        <f ca="1">Summon!$I$48</f>
        <v>连掷短剑</v>
      </c>
      <c r="T1294" s="569">
        <v>9</v>
      </c>
      <c r="U1294" s="567"/>
      <c r="V1294" s="395"/>
      <c r="W1294" s="208"/>
    </row>
    <row r="1295" spans="1:23" ht="12.75" x14ac:dyDescent="0.2">
      <c r="A1295" s="208"/>
      <c r="B1295" s="371"/>
      <c r="C1295" s="208" t="b">
        <v>0</v>
      </c>
      <c r="D1295" s="59" t="str">
        <f ca="1">道具!$C$63</f>
        <v>增强属攻的坚果（大）</v>
      </c>
      <c r="E1295" s="371"/>
      <c r="F1295" s="371"/>
      <c r="G1295" s="371"/>
      <c r="H1295" s="371"/>
      <c r="I1295" s="371"/>
      <c r="J1295" s="371"/>
      <c r="K1295" s="371"/>
      <c r="L1295" s="371"/>
      <c r="M1295" s="371"/>
      <c r="N1295" s="371"/>
      <c r="O1295" s="371"/>
      <c r="P1295" s="371"/>
      <c r="Q1295" s="371"/>
      <c r="R1295" s="58"/>
      <c r="S1295" s="58" t="str">
        <f ca="1">Summon!$I$46</f>
        <v>睡眠猛击</v>
      </c>
      <c r="T1295" s="371"/>
      <c r="U1295" s="371"/>
      <c r="V1295" s="371"/>
      <c r="W1295" s="208"/>
    </row>
    <row r="1296" spans="1:23" ht="12.75" x14ac:dyDescent="0.2">
      <c r="A1296" s="208"/>
      <c r="B1296" s="568"/>
      <c r="C1296" s="210" t="b">
        <v>0</v>
      </c>
      <c r="D1296" s="211" t="str">
        <f ca="1">道具!$C$66</f>
        <v>增强属防的坚果（大）</v>
      </c>
      <c r="E1296" s="568"/>
      <c r="F1296" s="568"/>
      <c r="G1296" s="568"/>
      <c r="H1296" s="568"/>
      <c r="I1296" s="568"/>
      <c r="J1296" s="568"/>
      <c r="K1296" s="568"/>
      <c r="L1296" s="568"/>
      <c r="M1296" s="568"/>
      <c r="N1296" s="568"/>
      <c r="O1296" s="568"/>
      <c r="P1296" s="568"/>
      <c r="Q1296" s="568"/>
      <c r="R1296" s="209"/>
      <c r="S1296" s="209" t="str">
        <f ca="1">Summon!$I$4</f>
        <v>战斗</v>
      </c>
      <c r="T1296" s="568"/>
      <c r="U1296" s="568"/>
      <c r="V1296" s="568"/>
      <c r="W1296" s="208"/>
    </row>
    <row r="1297" spans="1:23" ht="25.5" x14ac:dyDescent="0.2">
      <c r="A1297" s="208"/>
      <c r="B1297" s="400" t="str">
        <f ca="1">语言!$A$2102</f>
        <v>市民</v>
      </c>
      <c r="C1297" s="208" t="b">
        <v>0</v>
      </c>
      <c r="D1297" s="59" t="str">
        <f ca="1">道具!$C$11</f>
        <v>ＢＰ恢复的石榴（特大）</v>
      </c>
      <c r="E1297" s="567" t="b">
        <v>0</v>
      </c>
      <c r="F1297" s="395" t="str">
        <f ca="1">语言!$A$33&amp;"
"&amp;道具!$C$8</f>
        <v>隐藏道具的资讯
ＳＰ全体恢复的李子</v>
      </c>
      <c r="G1297" s="567" t="b">
        <v>0</v>
      </c>
      <c r="H1297" s="569" t="s">
        <v>48</v>
      </c>
      <c r="I1297" s="395">
        <v>2</v>
      </c>
      <c r="J1297" s="395"/>
      <c r="K1297" s="395"/>
      <c r="L1297" s="395"/>
      <c r="M1297" s="395"/>
      <c r="N1297" s="395"/>
      <c r="O1297" s="395" t="str">
        <f ca="1">道具!$C$536</f>
        <v>超含毒的素材（扩散）</v>
      </c>
      <c r="P1297" s="567"/>
      <c r="Q1297" s="569" t="s">
        <v>48</v>
      </c>
      <c r="R1297" s="58"/>
      <c r="S1297" s="58" t="str">
        <f ca="1">Summon!$I$42</f>
        <v>猛击</v>
      </c>
      <c r="T1297" s="569">
        <v>9</v>
      </c>
      <c r="U1297" s="567"/>
      <c r="V1297" s="395"/>
      <c r="W1297" s="208"/>
    </row>
    <row r="1298" spans="1:23" ht="25.5" x14ac:dyDescent="0.2">
      <c r="A1298" s="208"/>
      <c r="B1298" s="568"/>
      <c r="C1298" s="210" t="b">
        <v>0</v>
      </c>
      <c r="D1298" s="211" t="str">
        <f ca="1">道具!$C$11</f>
        <v>ＢＰ恢复的石榴（特大）</v>
      </c>
      <c r="E1298" s="568"/>
      <c r="F1298" s="568"/>
      <c r="G1298" s="568"/>
      <c r="H1298" s="568"/>
      <c r="I1298" s="568"/>
      <c r="J1298" s="568"/>
      <c r="K1298" s="568"/>
      <c r="L1298" s="568"/>
      <c r="M1298" s="568"/>
      <c r="N1298" s="568"/>
      <c r="O1298" s="568"/>
      <c r="P1298" s="568"/>
      <c r="Q1298" s="568"/>
      <c r="R1298" s="209"/>
      <c r="S1298" s="209" t="str">
        <f ca="1">Summon!$I$4</f>
        <v>战斗</v>
      </c>
      <c r="T1298" s="568"/>
      <c r="U1298" s="568"/>
      <c r="V1298" s="568"/>
      <c r="W1298" s="208"/>
    </row>
    <row r="1299" spans="1:23" ht="63.75" x14ac:dyDescent="0.2">
      <c r="A1299" s="208"/>
      <c r="B1299" s="211" t="str">
        <f ca="1">语言!$A$1855&amp;" (1)"</f>
        <v>圣火骑士爱丽莎 (1)</v>
      </c>
      <c r="C1299" s="210" t="b">
        <v>0</v>
      </c>
      <c r="D1299" s="211" t="str">
        <f ca="1">道具!$C$140</f>
        <v>龙之军刀</v>
      </c>
      <c r="E1299" s="210" t="b">
        <v>0</v>
      </c>
      <c r="F1299" s="209" t="str">
        <f ca="1">语言!$A$23</f>
        <v>无</v>
      </c>
      <c r="G1299" s="210" t="b">
        <v>0</v>
      </c>
      <c r="H1299" s="217" t="s">
        <v>51</v>
      </c>
      <c r="I1299" s="209">
        <v>5</v>
      </c>
      <c r="J1299" s="209"/>
      <c r="K1299" s="209"/>
      <c r="L1299" s="209"/>
      <c r="M1299" s="209"/>
      <c r="N1299" s="209"/>
      <c r="O1299" s="209" t="str">
        <f ca="1">道具!$C$16</f>
        <v>复活的橄榄（大）</v>
      </c>
      <c r="P1299" s="210"/>
      <c r="Q1299" s="213" t="s">
        <v>119</v>
      </c>
      <c r="R1299" s="213" t="s">
        <v>119</v>
      </c>
      <c r="S1299" s="213" t="s">
        <v>119</v>
      </c>
      <c r="T1299" s="213" t="s">
        <v>119</v>
      </c>
      <c r="U1299" s="210"/>
      <c r="V1299" s="211" t="str">
        <f ca="1">"NPC available during "&amp;语言!$A$42&amp;" chapter 4
"&amp;道具!$C$140&amp;" available only for a short while, before the scene in the middle of town, it is available when she stand in the Knight Ardante house
Moves to "&amp;语言!$A$360&amp;" upon starting quest: "&amp;支线!$C$11</f>
        <v>NPC available during 海茵特 chapter 4
龙之军刀 available only for a short while, before the scene in the middle of town, it is available when she stand in the Knight Ardante house
Moves to 维斯帕米尔 upon starting quest: 莉安娜和爱丽莎，在那之后</v>
      </c>
      <c r="W1299" s="208"/>
    </row>
    <row r="1300" spans="1:23" ht="12.75" x14ac:dyDescent="0.2">
      <c r="A1300" s="208"/>
      <c r="B1300" s="400" t="str">
        <f ca="1">语言!$A$1941</f>
        <v>圣火骑士</v>
      </c>
      <c r="C1300" s="208" t="b">
        <v>0</v>
      </c>
      <c r="D1300" s="59" t="str">
        <f ca="1">道具!$C$474</f>
        <v>精神项链</v>
      </c>
      <c r="E1300" s="567" t="b">
        <v>0</v>
      </c>
      <c r="F1300" s="395" t="str">
        <f ca="1">语言!$A$32</f>
        <v>「唆使」先制化的资讯</v>
      </c>
      <c r="G1300" s="567" t="b">
        <v>0</v>
      </c>
      <c r="H1300" s="569" t="s">
        <v>47</v>
      </c>
      <c r="I1300" s="395">
        <v>4</v>
      </c>
      <c r="J1300" s="395"/>
      <c r="K1300" s="395"/>
      <c r="L1300" s="395"/>
      <c r="M1300" s="395"/>
      <c r="N1300" s="395"/>
      <c r="O1300" s="395" t="str">
        <f ca="1">道具!$C$23</f>
        <v>恐怖治疗药草</v>
      </c>
      <c r="P1300" s="567"/>
      <c r="Q1300" s="569" t="s">
        <v>47</v>
      </c>
      <c r="R1300" s="58"/>
      <c r="S1300" s="58" t="str">
        <f ca="1">Summon!$I$168</f>
        <v>攻击架式</v>
      </c>
      <c r="T1300" s="569">
        <v>6</v>
      </c>
      <c r="U1300" s="567"/>
      <c r="V1300" s="395"/>
      <c r="W1300" s="208"/>
    </row>
    <row r="1301" spans="1:23" ht="12.75" x14ac:dyDescent="0.2">
      <c r="A1301" s="208"/>
      <c r="B1301" s="371"/>
      <c r="C1301" s="208" t="b">
        <v>0</v>
      </c>
      <c r="D1301" s="59" t="str">
        <f ca="1">道具!$C$343</f>
        <v>骑士盾</v>
      </c>
      <c r="E1301" s="371"/>
      <c r="F1301" s="371"/>
      <c r="G1301" s="371"/>
      <c r="H1301" s="371"/>
      <c r="I1301" s="371"/>
      <c r="J1301" s="371"/>
      <c r="K1301" s="371"/>
      <c r="L1301" s="371"/>
      <c r="M1301" s="371"/>
      <c r="N1301" s="371"/>
      <c r="O1301" s="371"/>
      <c r="P1301" s="371"/>
      <c r="Q1301" s="371"/>
      <c r="R1301" s="58"/>
      <c r="S1301" s="58" t="str">
        <f ca="1">Summon!$I$56</f>
        <v>一刀两断</v>
      </c>
      <c r="T1301" s="371"/>
      <c r="U1301" s="371"/>
      <c r="V1301" s="371"/>
      <c r="W1301" s="208"/>
    </row>
    <row r="1302" spans="1:23" ht="12.75" x14ac:dyDescent="0.2">
      <c r="A1302" s="208"/>
      <c r="B1302" s="568"/>
      <c r="C1302" s="210"/>
      <c r="D1302" s="211"/>
      <c r="E1302" s="568"/>
      <c r="F1302" s="568"/>
      <c r="G1302" s="568"/>
      <c r="H1302" s="568"/>
      <c r="I1302" s="568"/>
      <c r="J1302" s="568"/>
      <c r="K1302" s="568"/>
      <c r="L1302" s="568"/>
      <c r="M1302" s="568"/>
      <c r="N1302" s="568"/>
      <c r="O1302" s="568"/>
      <c r="P1302" s="568"/>
      <c r="Q1302" s="568"/>
      <c r="R1302" s="209"/>
      <c r="S1302" s="209" t="str">
        <f ca="1">Summon!$I$4</f>
        <v>战斗</v>
      </c>
      <c r="T1302" s="568"/>
      <c r="U1302" s="568"/>
      <c r="V1302" s="568"/>
      <c r="W1302" s="208"/>
    </row>
    <row r="1303" spans="1:23" ht="12.75" x14ac:dyDescent="0.2">
      <c r="A1303" s="208"/>
      <c r="B1303" s="400" t="str">
        <f ca="1">语言!$A$2058</f>
        <v>博学青年</v>
      </c>
      <c r="C1303" s="208" t="b">
        <v>0</v>
      </c>
      <c r="D1303" s="59" t="str">
        <f ca="1">道具!$C$7</f>
        <v>ＳＰ恢复的李子（大）</v>
      </c>
      <c r="E1303" s="567" t="b">
        <v>0</v>
      </c>
      <c r="F1303" s="395" t="str">
        <f ca="1">道具!$I$10</f>
        <v>黄金都市的传说</v>
      </c>
      <c r="G1303" s="567" t="b">
        <v>0</v>
      </c>
      <c r="H1303" s="569" t="s">
        <v>48</v>
      </c>
      <c r="I1303" s="395">
        <v>2</v>
      </c>
      <c r="J1303" s="395"/>
      <c r="K1303" s="395"/>
      <c r="L1303" s="395"/>
      <c r="M1303" s="395"/>
      <c r="N1303" s="395"/>
      <c r="O1303" s="395" t="str">
        <f ca="1">道具!$C$16</f>
        <v>复活的橄榄（大）</v>
      </c>
      <c r="P1303" s="567"/>
      <c r="Q1303" s="569" t="s">
        <v>48</v>
      </c>
      <c r="R1303" s="58"/>
      <c r="S1303" s="58" t="str">
        <f ca="1">Summon!$I$86</f>
        <v>冰冻魔法</v>
      </c>
      <c r="T1303" s="569">
        <v>9</v>
      </c>
      <c r="U1303" s="567"/>
      <c r="V1303" s="395" t="str">
        <f ca="1">语言!$A$44&amp;" / "&amp;语言!$A$48&amp;" available after Quest: "&amp;支线!$C$28</f>
        <v>引导 / 诱惑 available after Quest: 黄金的世外桃源</v>
      </c>
      <c r="W1303" s="208"/>
    </row>
    <row r="1304" spans="1:23" ht="12.75" x14ac:dyDescent="0.2">
      <c r="A1304" s="208"/>
      <c r="B1304" s="568"/>
      <c r="C1304" s="210" t="b">
        <v>0</v>
      </c>
      <c r="D1304" s="211" t="str">
        <f ca="1">道具!$C$7</f>
        <v>ＳＰ恢复的李子（大）</v>
      </c>
      <c r="E1304" s="568"/>
      <c r="F1304" s="568"/>
      <c r="G1304" s="568"/>
      <c r="H1304" s="568"/>
      <c r="I1304" s="568"/>
      <c r="J1304" s="568"/>
      <c r="K1304" s="568"/>
      <c r="L1304" s="568"/>
      <c r="M1304" s="568"/>
      <c r="N1304" s="568"/>
      <c r="O1304" s="568"/>
      <c r="P1304" s="568"/>
      <c r="Q1304" s="568"/>
      <c r="R1304" s="209"/>
      <c r="S1304" s="209" t="str">
        <f ca="1">Summon!$I$4</f>
        <v>战斗</v>
      </c>
      <c r="T1304" s="568"/>
      <c r="U1304" s="568"/>
      <c r="V1304" s="568"/>
      <c r="W1304" s="208"/>
    </row>
    <row r="1305" spans="1:23" ht="12.75" x14ac:dyDescent="0.2">
      <c r="A1305" s="208"/>
      <c r="B1305" s="400" t="str">
        <f ca="1">语言!$A$1765&amp;" (2)"</f>
        <v>商人阿里 (2)</v>
      </c>
      <c r="C1305" s="208" t="b">
        <v>0</v>
      </c>
      <c r="D1305" s="59" t="str">
        <f ca="1">道具!$C$88</f>
        <v>种子</v>
      </c>
      <c r="E1305" s="567" t="b">
        <v>0</v>
      </c>
      <c r="F1305" s="395" t="str">
        <f ca="1">语言!$A$23</f>
        <v>无</v>
      </c>
      <c r="G1305" s="567" t="b">
        <v>0</v>
      </c>
      <c r="H1305" s="569" t="s">
        <v>49</v>
      </c>
      <c r="I1305" s="395">
        <v>4</v>
      </c>
      <c r="J1305" s="395"/>
      <c r="K1305" s="395"/>
      <c r="L1305" s="395"/>
      <c r="M1305" s="395"/>
      <c r="N1305" s="395"/>
      <c r="O1305" s="395" t="str">
        <f ca="1">道具!$C$100</f>
        <v>看起来像金矿石的东西</v>
      </c>
      <c r="P1305" s="567"/>
      <c r="Q1305" s="570" t="s">
        <v>119</v>
      </c>
      <c r="R1305" s="570" t="s">
        <v>119</v>
      </c>
      <c r="S1305" s="570" t="s">
        <v>119</v>
      </c>
      <c r="T1305" s="570" t="s">
        <v>119</v>
      </c>
      <c r="U1305" s="567"/>
      <c r="V1305" s="395" t="str">
        <f ca="1">"NPC at this location after quest: "&amp;支线!$C$81</f>
        <v>NPC at this location after quest: 商人阿里，在那之后</v>
      </c>
      <c r="W1305" s="208"/>
    </row>
    <row r="1306" spans="1:23" ht="12.75" x14ac:dyDescent="0.2">
      <c r="A1306" s="208"/>
      <c r="B1306" s="568"/>
      <c r="C1306" s="210" t="b">
        <v>0</v>
      </c>
      <c r="D1306" s="211" t="str">
        <f ca="1">道具!$C$90</f>
        <v>原石</v>
      </c>
      <c r="E1306" s="568"/>
      <c r="F1306" s="568"/>
      <c r="G1306" s="568"/>
      <c r="H1306" s="568"/>
      <c r="I1306" s="568"/>
      <c r="J1306" s="568"/>
      <c r="K1306" s="568"/>
      <c r="L1306" s="568"/>
      <c r="M1306" s="568"/>
      <c r="N1306" s="568"/>
      <c r="O1306" s="568"/>
      <c r="P1306" s="568"/>
      <c r="Q1306" s="568"/>
      <c r="R1306" s="568"/>
      <c r="S1306" s="568"/>
      <c r="T1306" s="568"/>
      <c r="U1306" s="568"/>
      <c r="V1306" s="568"/>
      <c r="W1306" s="208"/>
    </row>
    <row r="1307" spans="1:23" ht="12.75" x14ac:dyDescent="0.2">
      <c r="A1307" s="208"/>
      <c r="B1307" s="400" t="str">
        <f ca="1">语言!$A$1969</f>
        <v>马露夫</v>
      </c>
      <c r="C1307" s="567" t="b">
        <v>0</v>
      </c>
      <c r="D1307" s="400" t="str">
        <f ca="1">道具!$C$21</f>
        <v>混乱治疗药草</v>
      </c>
      <c r="E1307" s="567" t="b">
        <v>0</v>
      </c>
      <c r="F1307" s="395" t="str">
        <f ca="1">语言!$A$23</f>
        <v>无</v>
      </c>
      <c r="G1307" s="567" t="b">
        <v>0</v>
      </c>
      <c r="H1307" s="569" t="s">
        <v>47</v>
      </c>
      <c r="I1307" s="395">
        <v>4</v>
      </c>
      <c r="J1307" s="395"/>
      <c r="K1307" s="395"/>
      <c r="L1307" s="395"/>
      <c r="M1307" s="395"/>
      <c r="N1307" s="395"/>
      <c r="O1307" s="395" t="str">
        <f ca="1">道具!$C$21</f>
        <v>混乱治疗药草</v>
      </c>
      <c r="P1307" s="567"/>
      <c r="Q1307" s="569" t="s">
        <v>47</v>
      </c>
      <c r="R1307" s="58"/>
      <c r="S1307" s="58" t="str">
        <f ca="1">Summon!$I$161</f>
        <v>全部下降</v>
      </c>
      <c r="T1307" s="569">
        <v>6</v>
      </c>
      <c r="U1307" s="567"/>
      <c r="V1307" s="395" t="str">
        <f ca="1">"NPC available upon starting quest: "&amp;支线!$C$81</f>
        <v>NPC available upon starting quest: 商人阿里，在那之后</v>
      </c>
      <c r="W1307" s="208"/>
    </row>
    <row r="1308" spans="1:23" ht="12.75" x14ac:dyDescent="0.2">
      <c r="A1308" s="208"/>
      <c r="B1308" s="371"/>
      <c r="C1308" s="371"/>
      <c r="D1308" s="371"/>
      <c r="E1308" s="371"/>
      <c r="F1308" s="371"/>
      <c r="G1308" s="371"/>
      <c r="H1308" s="371"/>
      <c r="I1308" s="371"/>
      <c r="J1308" s="371"/>
      <c r="K1308" s="371"/>
      <c r="L1308" s="371"/>
      <c r="M1308" s="371"/>
      <c r="N1308" s="371"/>
      <c r="O1308" s="371"/>
      <c r="P1308" s="371"/>
      <c r="Q1308" s="371"/>
      <c r="R1308" s="58"/>
      <c r="S1308" s="58" t="str">
        <f ca="1">Summon!$I$40</f>
        <v>乱挥</v>
      </c>
      <c r="T1308" s="371"/>
      <c r="U1308" s="371"/>
      <c r="V1308" s="371"/>
      <c r="W1308" s="208"/>
    </row>
    <row r="1309" spans="1:23" ht="12.75" x14ac:dyDescent="0.2">
      <c r="A1309" s="208"/>
      <c r="B1309" s="568"/>
      <c r="C1309" s="568"/>
      <c r="D1309" s="568"/>
      <c r="E1309" s="568"/>
      <c r="F1309" s="568"/>
      <c r="G1309" s="568"/>
      <c r="H1309" s="568"/>
      <c r="I1309" s="568"/>
      <c r="J1309" s="568"/>
      <c r="K1309" s="568"/>
      <c r="L1309" s="568"/>
      <c r="M1309" s="568"/>
      <c r="N1309" s="568"/>
      <c r="O1309" s="568"/>
      <c r="P1309" s="568"/>
      <c r="Q1309" s="568"/>
      <c r="R1309" s="209"/>
      <c r="S1309" s="209" t="str">
        <f ca="1">Summon!$I$4</f>
        <v>战斗</v>
      </c>
      <c r="T1309" s="568"/>
      <c r="U1309" s="568"/>
      <c r="V1309" s="568"/>
      <c r="W1309" s="208"/>
    </row>
    <row r="1310" spans="1:23" ht="12.75" x14ac:dyDescent="0.2">
      <c r="A1310" s="208"/>
      <c r="B1310" s="400" t="str">
        <f ca="1">语言!$A$1902</f>
        <v>不碎者葛利格</v>
      </c>
      <c r="C1310" s="567" t="b">
        <v>0</v>
      </c>
      <c r="D1310" s="400" t="str">
        <f ca="1">道具!$C$336</f>
        <v>历战之盾</v>
      </c>
      <c r="E1310" s="567" t="b">
        <v>0</v>
      </c>
      <c r="F1310" s="395" t="str">
        <f ca="1">语言!$A$23</f>
        <v>无</v>
      </c>
      <c r="G1310" s="567" t="b">
        <v>0</v>
      </c>
      <c r="H1310" s="569" t="s">
        <v>49</v>
      </c>
      <c r="I1310" s="395">
        <v>9</v>
      </c>
      <c r="J1310" s="395"/>
      <c r="K1310" s="395"/>
      <c r="L1310" s="395"/>
      <c r="M1310" s="395"/>
      <c r="N1310" s="395"/>
      <c r="O1310" s="395" t="str">
        <f ca="1">道具!$C$7</f>
        <v>ＳＰ恢复的李子（大）</v>
      </c>
      <c r="P1310" s="567"/>
      <c r="Q1310" s="569" t="s">
        <v>49</v>
      </c>
      <c r="R1310" s="58"/>
      <c r="S1310" s="58" t="str">
        <f ca="1">Summon!$I$174</f>
        <v>防御力提升</v>
      </c>
      <c r="T1310" s="569">
        <v>7</v>
      </c>
      <c r="U1310" s="567"/>
      <c r="V1310" s="395" t="str">
        <f ca="1">"NPC available after "&amp;语言!$A$38&amp;" chapter 4"</f>
        <v>NPC available after 欧尔贝克 chapter 4</v>
      </c>
      <c r="W1310" s="208"/>
    </row>
    <row r="1311" spans="1:23" ht="12.75" x14ac:dyDescent="0.2">
      <c r="A1311" s="208"/>
      <c r="B1311" s="568"/>
      <c r="C1311" s="568"/>
      <c r="D1311" s="568"/>
      <c r="E1311" s="568"/>
      <c r="F1311" s="568"/>
      <c r="G1311" s="568"/>
      <c r="H1311" s="568"/>
      <c r="I1311" s="568"/>
      <c r="J1311" s="568"/>
      <c r="K1311" s="568"/>
      <c r="L1311" s="568"/>
      <c r="M1311" s="568"/>
      <c r="N1311" s="568"/>
      <c r="O1311" s="568"/>
      <c r="P1311" s="568"/>
      <c r="Q1311" s="568"/>
      <c r="R1311" s="209"/>
      <c r="S1311" s="209" t="str">
        <f ca="1">Summon!$I$4</f>
        <v>战斗</v>
      </c>
      <c r="T1311" s="568"/>
      <c r="U1311" s="568"/>
      <c r="V1311" s="568"/>
      <c r="W1311" s="208"/>
    </row>
    <row r="1312" spans="1:23" ht="12.75" x14ac:dyDescent="0.2">
      <c r="A1312" s="208"/>
      <c r="B1312" s="400" t="str">
        <f ca="1">语言!$A$2012</f>
        <v>高龄贵族</v>
      </c>
      <c r="C1312" s="208" t="b">
        <v>0</v>
      </c>
      <c r="D1312" s="59" t="str">
        <f ca="1">道具!$C$117</f>
        <v>鼓胀的钱包</v>
      </c>
      <c r="E1312" s="567" t="b">
        <v>0</v>
      </c>
      <c r="F1312" s="395" t="str">
        <f ca="1">语言!$A$23</f>
        <v>无</v>
      </c>
      <c r="G1312" s="567" t="b">
        <v>0</v>
      </c>
      <c r="H1312" s="569" t="s">
        <v>45</v>
      </c>
      <c r="I1312" s="395">
        <v>2</v>
      </c>
      <c r="J1312" s="395"/>
      <c r="K1312" s="395"/>
      <c r="L1312" s="395"/>
      <c r="M1312" s="395"/>
      <c r="N1312" s="395"/>
      <c r="O1312" s="395" t="str">
        <f ca="1">道具!$C$543</f>
        <v>橄榄花</v>
      </c>
      <c r="P1312" s="567"/>
      <c r="Q1312" s="569" t="s">
        <v>45</v>
      </c>
      <c r="R1312" s="58"/>
      <c r="S1312" s="58" t="str">
        <f ca="1">Summon!$I$72</f>
        <v>殴打</v>
      </c>
      <c r="T1312" s="569">
        <v>9</v>
      </c>
      <c r="U1312" s="567"/>
      <c r="V1312" s="395" t="str">
        <f ca="1">语言!$A$47&amp;" / "&amp;语言!$A$51&amp;" available after quest: "&amp;支线!$C$89</f>
        <v>比试 / 唆使 available after quest: 从未见过的东西</v>
      </c>
      <c r="W1312" s="208"/>
    </row>
    <row r="1313" spans="1:23" ht="12.75" x14ac:dyDescent="0.2">
      <c r="A1313" s="208"/>
      <c r="B1313" s="371"/>
      <c r="C1313" s="208" t="b">
        <v>0</v>
      </c>
      <c r="D1313" s="59" t="str">
        <f ca="1">道具!$C$124</f>
        <v>猫眼石</v>
      </c>
      <c r="E1313" s="371"/>
      <c r="F1313" s="371"/>
      <c r="G1313" s="371"/>
      <c r="H1313" s="371"/>
      <c r="I1313" s="371"/>
      <c r="J1313" s="371"/>
      <c r="K1313" s="371"/>
      <c r="L1313" s="371"/>
      <c r="M1313" s="371"/>
      <c r="N1313" s="371"/>
      <c r="O1313" s="371"/>
      <c r="P1313" s="371"/>
      <c r="Q1313" s="371"/>
      <c r="R1313" s="58"/>
      <c r="S1313" s="58" t="str">
        <f ca="1">Summon!$I$4</f>
        <v>战斗</v>
      </c>
      <c r="T1313" s="371"/>
      <c r="U1313" s="371"/>
      <c r="V1313" s="371"/>
      <c r="W1313" s="208"/>
    </row>
    <row r="1314" spans="1:23" ht="12.75" x14ac:dyDescent="0.2">
      <c r="A1314" s="208"/>
      <c r="B1314" s="568"/>
      <c r="C1314" s="210" t="b">
        <v>0</v>
      </c>
      <c r="D1314" s="211" t="str">
        <f ca="1">道具!$C$479</f>
        <v>会心项链</v>
      </c>
      <c r="E1314" s="568"/>
      <c r="F1314" s="568"/>
      <c r="G1314" s="568"/>
      <c r="H1314" s="568"/>
      <c r="I1314" s="568"/>
      <c r="J1314" s="568"/>
      <c r="K1314" s="568"/>
      <c r="L1314" s="568"/>
      <c r="M1314" s="568"/>
      <c r="N1314" s="568"/>
      <c r="O1314" s="568"/>
      <c r="P1314" s="568"/>
      <c r="Q1314" s="568"/>
      <c r="R1314" s="209"/>
      <c r="S1314" s="209"/>
      <c r="T1314" s="568"/>
      <c r="U1314" s="568"/>
      <c r="V1314" s="568"/>
      <c r="W1314" s="208"/>
    </row>
    <row r="1315" spans="1:23" ht="12.75" x14ac:dyDescent="0.2">
      <c r="A1315" s="208"/>
      <c r="B1315" s="400" t="str">
        <f ca="1">语言!$A$2085</f>
        <v>剑士尤里</v>
      </c>
      <c r="C1315" s="208" t="b">
        <v>0</v>
      </c>
      <c r="D1315" s="59" t="str">
        <f ca="1">道具!$C$140</f>
        <v>龙之军刀</v>
      </c>
      <c r="E1315" s="567" t="b">
        <v>0</v>
      </c>
      <c r="F1315" s="395" t="str">
        <f ca="1">语言!$A$23</f>
        <v>无</v>
      </c>
      <c r="G1315" s="567" t="b">
        <v>0</v>
      </c>
      <c r="H1315" s="569" t="s">
        <v>55</v>
      </c>
      <c r="I1315" s="395">
        <v>6</v>
      </c>
      <c r="J1315" s="395"/>
      <c r="K1315" s="395"/>
      <c r="L1315" s="395"/>
      <c r="M1315" s="395"/>
      <c r="N1315" s="395"/>
      <c r="O1315" s="395" t="str">
        <f ca="1">道具!$C$5</f>
        <v>ＨＰ全体恢复的葡萄</v>
      </c>
      <c r="P1315" s="567"/>
      <c r="Q1315" s="569" t="s">
        <v>55</v>
      </c>
      <c r="R1315" s="58"/>
      <c r="S1315" s="58" t="str">
        <f ca="1">Summon!$I$23</f>
        <v>一闪</v>
      </c>
      <c r="T1315" s="569">
        <v>4</v>
      </c>
      <c r="U1315" s="567"/>
      <c r="V1315" s="395"/>
      <c r="W1315" s="208"/>
    </row>
    <row r="1316" spans="1:23" ht="12.75" x14ac:dyDescent="0.2">
      <c r="A1316" s="208"/>
      <c r="B1316" s="371"/>
      <c r="C1316" s="208" t="b">
        <v>0</v>
      </c>
      <c r="D1316" s="59" t="str">
        <f ca="1">道具!$C$404</f>
        <v>龙之盔甲</v>
      </c>
      <c r="E1316" s="371"/>
      <c r="F1316" s="371"/>
      <c r="G1316" s="371"/>
      <c r="H1316" s="371"/>
      <c r="I1316" s="371"/>
      <c r="J1316" s="371"/>
      <c r="K1316" s="371"/>
      <c r="L1316" s="371"/>
      <c r="M1316" s="371"/>
      <c r="N1316" s="371"/>
      <c r="O1316" s="371"/>
      <c r="P1316" s="371"/>
      <c r="Q1316" s="371"/>
      <c r="R1316" s="58"/>
      <c r="S1316" s="58" t="str">
        <f ca="1">Summon!$I$177</f>
        <v>精神统一</v>
      </c>
      <c r="T1316" s="371"/>
      <c r="U1316" s="371"/>
      <c r="V1316" s="371"/>
      <c r="W1316" s="208"/>
    </row>
    <row r="1317" spans="1:23" ht="12.75" x14ac:dyDescent="0.2">
      <c r="A1317" s="208"/>
      <c r="B1317" s="568"/>
      <c r="C1317" s="210"/>
      <c r="D1317" s="211"/>
      <c r="E1317" s="568"/>
      <c r="F1317" s="568"/>
      <c r="G1317" s="568"/>
      <c r="H1317" s="568"/>
      <c r="I1317" s="568"/>
      <c r="J1317" s="568"/>
      <c r="K1317" s="568"/>
      <c r="L1317" s="568"/>
      <c r="M1317" s="568"/>
      <c r="N1317" s="568"/>
      <c r="O1317" s="568"/>
      <c r="P1317" s="568"/>
      <c r="Q1317" s="568"/>
      <c r="R1317" s="209"/>
      <c r="S1317" s="209" t="str">
        <f ca="1">Summon!$I$4</f>
        <v>战斗</v>
      </c>
      <c r="T1317" s="568"/>
      <c r="U1317" s="568"/>
      <c r="V1317" s="568"/>
      <c r="W1317" s="208"/>
    </row>
    <row r="1318" spans="1:23" ht="12.75" x14ac:dyDescent="0.2">
      <c r="A1318" s="208"/>
      <c r="B1318" s="480" t="str">
        <f ca="1">语言!$A$2132</f>
        <v>年轻的士兵</v>
      </c>
      <c r="C1318" s="208" t="b">
        <v>0</v>
      </c>
      <c r="D1318" s="59" t="str">
        <f ca="1">道具!$C$164</f>
        <v>巨剑</v>
      </c>
      <c r="E1318" s="567" t="b">
        <v>0</v>
      </c>
      <c r="F1318" s="395" t="str">
        <f ca="1">语言!$A$23</f>
        <v>无</v>
      </c>
      <c r="G1318" s="567" t="b">
        <v>0</v>
      </c>
      <c r="H1318" s="569" t="s">
        <v>50</v>
      </c>
      <c r="I1318" s="395">
        <v>4</v>
      </c>
      <c r="J1318" s="395"/>
      <c r="K1318" s="395"/>
      <c r="L1318" s="395"/>
      <c r="M1318" s="395"/>
      <c r="N1318" s="395"/>
      <c r="O1318" s="395" t="str">
        <f ca="1">道具!$C$16</f>
        <v>复活的橄榄（大）</v>
      </c>
      <c r="P1318" s="567"/>
      <c r="Q1318" s="569" t="s">
        <v>50</v>
      </c>
      <c r="R1318" s="58"/>
      <c r="S1318" s="58" t="str">
        <f ca="1">Summon!$I$40</f>
        <v>乱挥</v>
      </c>
      <c r="T1318" s="569">
        <v>7</v>
      </c>
      <c r="U1318" s="567"/>
      <c r="V1318" s="395" t="str">
        <f ca="1">"Disapear after quest: "&amp;支线!$C$89&amp;"
("&amp;语言!$A$47&amp;" / "&amp;语言!$A$51&amp;" solution only)"</f>
        <v>Disapear after quest: 从未见过的东西
(比试 / 唆使 solution only)</v>
      </c>
      <c r="W1318" s="208"/>
    </row>
    <row r="1319" spans="1:23" ht="12.75" x14ac:dyDescent="0.2">
      <c r="A1319" s="208"/>
      <c r="B1319" s="371"/>
      <c r="C1319" s="208" t="b">
        <v>0</v>
      </c>
      <c r="D1319" s="59" t="str">
        <f ca="1">道具!$C$350</f>
        <v>板盾</v>
      </c>
      <c r="E1319" s="371"/>
      <c r="F1319" s="371"/>
      <c r="G1319" s="371"/>
      <c r="H1319" s="371"/>
      <c r="I1319" s="371"/>
      <c r="J1319" s="371"/>
      <c r="K1319" s="371"/>
      <c r="L1319" s="371"/>
      <c r="M1319" s="371"/>
      <c r="N1319" s="371"/>
      <c r="O1319" s="371"/>
      <c r="P1319" s="371"/>
      <c r="Q1319" s="371"/>
      <c r="R1319" s="58"/>
      <c r="S1319" s="58" t="str">
        <f ca="1">Summon!$I$36</f>
        <v>连环突刺</v>
      </c>
      <c r="T1319" s="371"/>
      <c r="U1319" s="371"/>
      <c r="V1319" s="371"/>
      <c r="W1319" s="208"/>
    </row>
    <row r="1320" spans="1:23" ht="12.75" x14ac:dyDescent="0.2">
      <c r="A1320" s="208"/>
      <c r="B1320" s="568"/>
      <c r="C1320" s="210"/>
      <c r="D1320" s="211"/>
      <c r="E1320" s="568"/>
      <c r="F1320" s="568"/>
      <c r="G1320" s="568"/>
      <c r="H1320" s="568"/>
      <c r="I1320" s="568"/>
      <c r="J1320" s="568"/>
      <c r="K1320" s="568"/>
      <c r="L1320" s="568"/>
      <c r="M1320" s="568"/>
      <c r="N1320" s="568"/>
      <c r="O1320" s="568"/>
      <c r="P1320" s="568"/>
      <c r="Q1320" s="568"/>
      <c r="R1320" s="209"/>
      <c r="S1320" s="209" t="str">
        <f ca="1">Summon!$I$4</f>
        <v>战斗</v>
      </c>
      <c r="T1320" s="568"/>
      <c r="U1320" s="568"/>
      <c r="V1320" s="568"/>
      <c r="W1320" s="208"/>
    </row>
    <row r="1321" spans="1:23" ht="12.75" x14ac:dyDescent="0.2">
      <c r="A1321" s="208"/>
      <c r="B1321" s="400" t="str">
        <f ca="1">语言!$A$1942</f>
        <v>骑士的妻子</v>
      </c>
      <c r="C1321" s="208" t="b">
        <v>0</v>
      </c>
      <c r="D1321" s="59" t="str">
        <f ca="1">道具!$C$5</f>
        <v>ＨＰ全体恢复的葡萄</v>
      </c>
      <c r="E1321" s="567" t="b">
        <v>0</v>
      </c>
      <c r="F1321" s="395" t="str">
        <f ca="1">语言!$A$23</f>
        <v>无</v>
      </c>
      <c r="G1321" s="567" t="b">
        <v>0</v>
      </c>
      <c r="H1321" s="569" t="s">
        <v>48</v>
      </c>
      <c r="I1321" s="395">
        <v>2</v>
      </c>
      <c r="J1321" s="395"/>
      <c r="K1321" s="395"/>
      <c r="L1321" s="395"/>
      <c r="M1321" s="395"/>
      <c r="N1321" s="395"/>
      <c r="O1321" s="395" t="str">
        <f ca="1">道具!$C$5</f>
        <v>ＨＰ全体恢复的葡萄</v>
      </c>
      <c r="P1321" s="567"/>
      <c r="Q1321" s="569" t="s">
        <v>48</v>
      </c>
      <c r="R1321" s="58"/>
      <c r="S1321" s="58" t="str">
        <f ca="1">Summon!$I$42</f>
        <v>猛击</v>
      </c>
      <c r="T1321" s="569">
        <v>9</v>
      </c>
      <c r="U1321" s="567"/>
      <c r="V1321" s="395"/>
      <c r="W1321" s="208"/>
    </row>
    <row r="1322" spans="1:23" ht="12.75" x14ac:dyDescent="0.2">
      <c r="A1322" s="208"/>
      <c r="B1322" s="371"/>
      <c r="C1322" s="208" t="b">
        <v>0</v>
      </c>
      <c r="D1322" s="59" t="str">
        <f ca="1">道具!$C$8</f>
        <v>ＳＰ全体恢复的李子</v>
      </c>
      <c r="E1322" s="371"/>
      <c r="F1322" s="371"/>
      <c r="G1322" s="371"/>
      <c r="H1322" s="371"/>
      <c r="I1322" s="371"/>
      <c r="J1322" s="371"/>
      <c r="K1322" s="371"/>
      <c r="L1322" s="371"/>
      <c r="M1322" s="371"/>
      <c r="N1322" s="371"/>
      <c r="O1322" s="371"/>
      <c r="P1322" s="371"/>
      <c r="Q1322" s="371"/>
      <c r="R1322" s="58"/>
      <c r="S1322" s="58" t="str">
        <f ca="1">Summon!$I$4</f>
        <v>战斗</v>
      </c>
      <c r="T1322" s="371"/>
      <c r="U1322" s="371"/>
      <c r="V1322" s="371"/>
      <c r="W1322" s="208"/>
    </row>
    <row r="1323" spans="1:23" ht="12.75" x14ac:dyDescent="0.2">
      <c r="A1323" s="208"/>
      <c r="B1323" s="568"/>
      <c r="C1323" s="210" t="b">
        <v>0</v>
      </c>
      <c r="D1323" s="211" t="str">
        <f ca="1">道具!$C$17</f>
        <v>复活的橄榄（特大）</v>
      </c>
      <c r="E1323" s="568"/>
      <c r="F1323" s="568"/>
      <c r="G1323" s="568"/>
      <c r="H1323" s="568"/>
      <c r="I1323" s="568"/>
      <c r="J1323" s="568"/>
      <c r="K1323" s="568"/>
      <c r="L1323" s="568"/>
      <c r="M1323" s="568"/>
      <c r="N1323" s="568"/>
      <c r="O1323" s="568"/>
      <c r="P1323" s="568"/>
      <c r="Q1323" s="568"/>
      <c r="R1323" s="209"/>
      <c r="S1323" s="209"/>
      <c r="T1323" s="568"/>
      <c r="U1323" s="568"/>
      <c r="V1323" s="568"/>
      <c r="W1323" s="208"/>
    </row>
    <row r="1324" spans="1:23" ht="12.75" x14ac:dyDescent="0.2">
      <c r="A1324" s="208"/>
      <c r="B1324" s="400" t="str">
        <f ca="1">语言!$A$2124&amp;" (3)"</f>
        <v>四处游历的少女 /
莉亚 /
葛罗莉亚 (3)</v>
      </c>
      <c r="C1324" s="208" t="b">
        <v>0</v>
      </c>
      <c r="D1324" s="59" t="str">
        <f ca="1">道具!$C$488</f>
        <v>体力戒指</v>
      </c>
      <c r="E1324" s="567" t="b">
        <v>0</v>
      </c>
      <c r="F1324" s="395" t="str">
        <f ca="1">语言!$A$23</f>
        <v>无</v>
      </c>
      <c r="G1324" s="567" t="b">
        <v>0</v>
      </c>
      <c r="H1324" s="569" t="s">
        <v>48</v>
      </c>
      <c r="I1324" s="395">
        <v>2</v>
      </c>
      <c r="J1324" s="395"/>
      <c r="K1324" s="395"/>
      <c r="L1324" s="395"/>
      <c r="M1324" s="395"/>
      <c r="N1324" s="395"/>
      <c r="O1324" s="395" t="str">
        <f ca="1">道具!$C$7</f>
        <v>ＳＰ恢复的李子（大）</v>
      </c>
      <c r="P1324" s="567"/>
      <c r="Q1324" s="569" t="s">
        <v>48</v>
      </c>
      <c r="R1324" s="395"/>
      <c r="S1324" s="395" t="str">
        <f ca="1">Summon!$I$174</f>
        <v>防御力提升</v>
      </c>
      <c r="T1324" s="569">
        <v>9</v>
      </c>
      <c r="U1324" s="567"/>
      <c r="V1324" s="395" t="str">
        <f ca="1">IFERROR(__xludf.DUMMYFUNCTION("""NPC at this location after quest: ""&amp;Quests!$C$83&amp;""
Moves to ""&amp;Language!$A$429&amp;"" as ""&amp;TRIM(REGEXEXTRACT(Language!$A$2124,"".*$""))&amp;"" after quest: ""&amp;Quests!$C$88"),"NPC at this location after quest: Ria, Born to Roam (II)
Moves to Marsalim Palace as Gloria after quest: Ria, Born to Roam (III)")</f>
        <v>NPC at this location after quest: Ria, Born to Roam (II)
Moves to Marsalim Palace as Gloria after quest: Ria, Born to Roam (III)</v>
      </c>
      <c r="W1324" s="208"/>
    </row>
    <row r="1325" spans="1:23" ht="12.75" x14ac:dyDescent="0.2">
      <c r="A1325" s="208"/>
      <c r="B1325" s="371"/>
      <c r="C1325" s="208" t="b">
        <v>0</v>
      </c>
      <c r="D1325" s="59" t="str">
        <f ca="1">道具!$C$506</f>
        <v>火焰避邪符</v>
      </c>
      <c r="E1325" s="371"/>
      <c r="F1325" s="371"/>
      <c r="G1325" s="371"/>
      <c r="H1325" s="371"/>
      <c r="I1325" s="371"/>
      <c r="J1325" s="371"/>
      <c r="K1325" s="371"/>
      <c r="L1325" s="371"/>
      <c r="M1325" s="371"/>
      <c r="N1325" s="371"/>
      <c r="O1325" s="371"/>
      <c r="P1325" s="371"/>
      <c r="Q1325" s="371"/>
      <c r="R1325" s="371"/>
      <c r="S1325" s="371"/>
      <c r="T1325" s="371"/>
      <c r="U1325" s="371"/>
      <c r="V1325" s="371"/>
      <c r="W1325" s="208"/>
    </row>
    <row r="1326" spans="1:23" ht="12.75" x14ac:dyDescent="0.2">
      <c r="A1326" s="208"/>
      <c r="B1326" s="371"/>
      <c r="C1326" s="208" t="b">
        <v>0</v>
      </c>
      <c r="D1326" s="59" t="str">
        <f ca="1">道具!$C$4</f>
        <v>ＨＰ恢复的葡萄（大）</v>
      </c>
      <c r="E1326" s="371"/>
      <c r="F1326" s="371"/>
      <c r="G1326" s="371"/>
      <c r="H1326" s="371"/>
      <c r="I1326" s="371"/>
      <c r="J1326" s="371"/>
      <c r="K1326" s="371"/>
      <c r="L1326" s="371"/>
      <c r="M1326" s="371"/>
      <c r="N1326" s="371"/>
      <c r="O1326" s="371"/>
      <c r="P1326" s="371"/>
      <c r="Q1326" s="371"/>
      <c r="R1326" s="395"/>
      <c r="S1326" s="395" t="str">
        <f ca="1">Summon!$I$4</f>
        <v>战斗</v>
      </c>
      <c r="T1326" s="371"/>
      <c r="U1326" s="371"/>
      <c r="V1326" s="371"/>
      <c r="W1326" s="208"/>
    </row>
    <row r="1327" spans="1:23" ht="12.75" x14ac:dyDescent="0.2">
      <c r="A1327" s="208"/>
      <c r="B1327" s="371"/>
      <c r="C1327" s="208" t="b">
        <v>0</v>
      </c>
      <c r="D1327" s="59" t="str">
        <f ca="1">道具!$C$20</f>
        <v>黑暗治疗药草</v>
      </c>
      <c r="E1327" s="371"/>
      <c r="F1327" s="371"/>
      <c r="G1327" s="371"/>
      <c r="H1327" s="371"/>
      <c r="I1327" s="371"/>
      <c r="J1327" s="371"/>
      <c r="K1327" s="371"/>
      <c r="L1327" s="371"/>
      <c r="M1327" s="371"/>
      <c r="N1327" s="371"/>
      <c r="O1327" s="371"/>
      <c r="P1327" s="371"/>
      <c r="Q1327" s="371"/>
      <c r="R1327" s="371"/>
      <c r="S1327" s="371"/>
      <c r="T1327" s="371"/>
      <c r="U1327" s="371"/>
      <c r="V1327" s="371"/>
      <c r="W1327" s="208"/>
    </row>
    <row r="1328" spans="1:23" ht="12.75" x14ac:dyDescent="0.2">
      <c r="A1328" s="208"/>
      <c r="B1328" s="568"/>
      <c r="C1328" s="210" t="b">
        <v>0</v>
      </c>
      <c r="D1328" s="211" t="str">
        <f ca="1">道具!$C$16</f>
        <v>复活的橄榄（大）</v>
      </c>
      <c r="E1328" s="568"/>
      <c r="F1328" s="568"/>
      <c r="G1328" s="568"/>
      <c r="H1328" s="568"/>
      <c r="I1328" s="568"/>
      <c r="J1328" s="568"/>
      <c r="K1328" s="568"/>
      <c r="L1328" s="568"/>
      <c r="M1328" s="568"/>
      <c r="N1328" s="568"/>
      <c r="O1328" s="568"/>
      <c r="P1328" s="568"/>
      <c r="Q1328" s="568"/>
      <c r="R1328" s="209"/>
      <c r="S1328" s="209"/>
      <c r="T1328" s="568"/>
      <c r="U1328" s="568"/>
      <c r="V1328" s="568"/>
      <c r="W1328" s="208"/>
    </row>
    <row r="1329" spans="1:23" ht="12.75" x14ac:dyDescent="0.2">
      <c r="A1329" s="208"/>
      <c r="B1329" s="400" t="str">
        <f ca="1">语言!$A$1854</f>
        <v>老婆婆</v>
      </c>
      <c r="C1329" s="208" t="b">
        <v>0</v>
      </c>
      <c r="D1329" s="59" t="str">
        <f ca="1">道具!$C$530</f>
        <v>秘药的素材</v>
      </c>
      <c r="E1329" s="567" t="b">
        <v>0</v>
      </c>
      <c r="F1329" s="395" t="str">
        <f ca="1">语言!$A$33&amp;"
"&amp;道具!$C$127</f>
        <v>隐藏道具的资讯
放了铜块的麻袋</v>
      </c>
      <c r="G1329" s="567" t="b">
        <v>0</v>
      </c>
      <c r="H1329" s="569" t="s">
        <v>50</v>
      </c>
      <c r="I1329" s="395">
        <v>4</v>
      </c>
      <c r="J1329" s="395"/>
      <c r="K1329" s="395"/>
      <c r="L1329" s="395"/>
      <c r="M1329" s="395"/>
      <c r="N1329" s="395"/>
      <c r="O1329" s="395" t="str">
        <f ca="1">道具!$C$317</f>
        <v>巨锤</v>
      </c>
      <c r="P1329" s="567"/>
      <c r="Q1329" s="569" t="s">
        <v>50</v>
      </c>
      <c r="R1329" s="58"/>
      <c r="S1329" s="58" t="str">
        <f ca="1">Summon!$I$88</f>
        <v>特大冰冻魔法</v>
      </c>
      <c r="T1329" s="569">
        <v>7</v>
      </c>
      <c r="U1329" s="567"/>
      <c r="V1329" s="395"/>
      <c r="W1329" s="208"/>
    </row>
    <row r="1330" spans="1:23" ht="12.75" x14ac:dyDescent="0.2">
      <c r="A1330" s="208"/>
      <c r="B1330" s="371"/>
      <c r="C1330" s="208" t="b">
        <v>0</v>
      </c>
      <c r="D1330" s="59" t="str">
        <f ca="1">道具!$C$531</f>
        <v>秘药的素材（扩散）</v>
      </c>
      <c r="E1330" s="371"/>
      <c r="F1330" s="371"/>
      <c r="G1330" s="371"/>
      <c r="H1330" s="371"/>
      <c r="I1330" s="371"/>
      <c r="J1330" s="371"/>
      <c r="K1330" s="371"/>
      <c r="L1330" s="371"/>
      <c r="M1330" s="371"/>
      <c r="N1330" s="371"/>
      <c r="O1330" s="371"/>
      <c r="P1330" s="371"/>
      <c r="Q1330" s="371"/>
      <c r="R1330" s="58"/>
      <c r="S1330" s="58" t="str">
        <f ca="1">Summon!$I$87</f>
        <v>大冰冻魔法</v>
      </c>
      <c r="T1330" s="371"/>
      <c r="U1330" s="371"/>
      <c r="V1330" s="371"/>
      <c r="W1330" s="208"/>
    </row>
    <row r="1331" spans="1:23" ht="12.75" x14ac:dyDescent="0.2">
      <c r="A1331" s="208"/>
      <c r="B1331" s="568"/>
      <c r="C1331" s="210" t="b">
        <v>0</v>
      </c>
      <c r="D1331" s="211" t="str">
        <f ca="1">道具!$C$543</f>
        <v>橄榄花</v>
      </c>
      <c r="E1331" s="568"/>
      <c r="F1331" s="568"/>
      <c r="G1331" s="568"/>
      <c r="H1331" s="568"/>
      <c r="I1331" s="568"/>
      <c r="J1331" s="568"/>
      <c r="K1331" s="568"/>
      <c r="L1331" s="568"/>
      <c r="M1331" s="568"/>
      <c r="N1331" s="568"/>
      <c r="O1331" s="568"/>
      <c r="P1331" s="568"/>
      <c r="Q1331" s="568"/>
      <c r="R1331" s="209"/>
      <c r="S1331" s="209" t="str">
        <f ca="1">Summon!$I$4</f>
        <v>战斗</v>
      </c>
      <c r="T1331" s="568"/>
      <c r="U1331" s="568"/>
      <c r="V1331" s="568"/>
      <c r="W1331" s="208"/>
    </row>
    <row r="1332" spans="1:23" ht="12.75" x14ac:dyDescent="0.2">
      <c r="A1332" s="208"/>
      <c r="B1332" s="211" t="str">
        <f ca="1">语言!$A$2102</f>
        <v>市民</v>
      </c>
      <c r="C1332" s="210" t="b">
        <v>0</v>
      </c>
      <c r="D1332" s="211" t="str">
        <f ca="1">道具!$C$247</f>
        <v>地狱斧</v>
      </c>
      <c r="E1332" s="210" t="b">
        <v>0</v>
      </c>
      <c r="F1332" s="209" t="str">
        <f ca="1">语言!$A$23</f>
        <v>无</v>
      </c>
      <c r="G1332" s="210" t="b">
        <v>0</v>
      </c>
      <c r="H1332" s="217" t="s">
        <v>51</v>
      </c>
      <c r="I1332" s="209">
        <v>5</v>
      </c>
      <c r="J1332" s="209"/>
      <c r="K1332" s="209"/>
      <c r="L1332" s="209"/>
      <c r="M1332" s="209"/>
      <c r="N1332" s="209"/>
      <c r="O1332" s="209" t="str">
        <f ca="1">道具!$C$245</f>
        <v>精神手斧</v>
      </c>
      <c r="P1332" s="210"/>
      <c r="Q1332" s="213" t="s">
        <v>119</v>
      </c>
      <c r="R1332" s="213" t="s">
        <v>119</v>
      </c>
      <c r="S1332" s="213" t="s">
        <v>119</v>
      </c>
      <c r="T1332" s="213" t="s">
        <v>119</v>
      </c>
      <c r="U1332" s="210"/>
      <c r="V1332" s="209"/>
      <c r="W1332" s="208"/>
    </row>
    <row r="1333" spans="1:23" ht="25.5" x14ac:dyDescent="0.2">
      <c r="A1333" s="208"/>
      <c r="B1333" s="400" t="str">
        <f ca="1">语言!$A$2014</f>
        <v>老人</v>
      </c>
      <c r="C1333" s="208" t="b">
        <v>0</v>
      </c>
      <c r="D1333" s="59" t="str">
        <f ca="1">道具!$C$11</f>
        <v>ＢＰ恢复的石榴（特大）</v>
      </c>
      <c r="E1333" s="567" t="b">
        <v>0</v>
      </c>
      <c r="F1333" s="395" t="str">
        <f ca="1">语言!$A$28</f>
        <v>武器店商品追加资讯</v>
      </c>
      <c r="G1333" s="567" t="b">
        <v>0</v>
      </c>
      <c r="H1333" s="569" t="s">
        <v>50</v>
      </c>
      <c r="I1333" s="395">
        <v>4</v>
      </c>
      <c r="J1333" s="395"/>
      <c r="K1333" s="395"/>
      <c r="L1333" s="395"/>
      <c r="M1333" s="395"/>
      <c r="N1333" s="395"/>
      <c r="O1333" s="395" t="str">
        <f ca="1">道具!$C$544</f>
        <v>神秘之花</v>
      </c>
      <c r="P1333" s="567"/>
      <c r="Q1333" s="569" t="s">
        <v>50</v>
      </c>
      <c r="R1333" s="58"/>
      <c r="S1333" s="58" t="str">
        <f ca="1">Summon!$I$95</f>
        <v>特大疾风魔法</v>
      </c>
      <c r="T1333" s="569">
        <v>7</v>
      </c>
      <c r="U1333" s="567"/>
      <c r="V1333" s="395" t="str">
        <f ca="1">"Behind other NPC ("&amp;语言!$A$47&amp;" / "&amp;语言!$A$51&amp;")"</f>
        <v>Behind other NPC (比试 / 唆使)</v>
      </c>
      <c r="W1333" s="208"/>
    </row>
    <row r="1334" spans="1:23" ht="25.5" x14ac:dyDescent="0.2">
      <c r="A1334" s="208"/>
      <c r="B1334" s="371"/>
      <c r="C1334" s="208" t="b">
        <v>0</v>
      </c>
      <c r="D1334" s="59" t="str">
        <f ca="1">道具!$C$11</f>
        <v>ＢＰ恢复的石榴（特大）</v>
      </c>
      <c r="E1334" s="371"/>
      <c r="F1334" s="371"/>
      <c r="G1334" s="371"/>
      <c r="H1334" s="371"/>
      <c r="I1334" s="371"/>
      <c r="J1334" s="371"/>
      <c r="K1334" s="371"/>
      <c r="L1334" s="371"/>
      <c r="M1334" s="371"/>
      <c r="N1334" s="371"/>
      <c r="O1334" s="371"/>
      <c r="P1334" s="371"/>
      <c r="Q1334" s="371"/>
      <c r="R1334" s="58"/>
      <c r="S1334" s="58" t="str">
        <f ca="1">Summon!$I$80</f>
        <v>大火焰魔法</v>
      </c>
      <c r="T1334" s="371"/>
      <c r="U1334" s="371"/>
      <c r="V1334" s="371"/>
      <c r="W1334" s="208"/>
    </row>
    <row r="1335" spans="1:23" ht="25.5" x14ac:dyDescent="0.2">
      <c r="A1335" s="208"/>
      <c r="B1335" s="568"/>
      <c r="C1335" s="210" t="b">
        <v>0</v>
      </c>
      <c r="D1335" s="211" t="str">
        <f ca="1">道具!$C$11</f>
        <v>ＢＰ恢复的石榴（特大）</v>
      </c>
      <c r="E1335" s="568"/>
      <c r="F1335" s="568"/>
      <c r="G1335" s="568"/>
      <c r="H1335" s="568"/>
      <c r="I1335" s="568"/>
      <c r="J1335" s="568"/>
      <c r="K1335" s="568"/>
      <c r="L1335" s="568"/>
      <c r="M1335" s="568"/>
      <c r="N1335" s="568"/>
      <c r="O1335" s="568"/>
      <c r="P1335" s="568"/>
      <c r="Q1335" s="568"/>
      <c r="R1335" s="209"/>
      <c r="S1335" s="209" t="str">
        <f ca="1">Summon!$I$4</f>
        <v>战斗</v>
      </c>
      <c r="T1335" s="568"/>
      <c r="U1335" s="568"/>
      <c r="V1335" s="568"/>
      <c r="W1335" s="208"/>
    </row>
    <row r="1336" spans="1:23" ht="12.75" x14ac:dyDescent="0.2">
      <c r="A1336" s="208"/>
      <c r="B1336" s="400" t="str">
        <f ca="1">语言!$A$1812</f>
        <v>少年</v>
      </c>
      <c r="C1336" s="567" t="b">
        <v>0</v>
      </c>
      <c r="D1336" s="400" t="str">
        <f ca="1">道具!$C$506</f>
        <v>火焰避邪符</v>
      </c>
      <c r="E1336" s="567" t="b">
        <v>0</v>
      </c>
      <c r="F1336" s="395" t="str">
        <f ca="1">语言!$A$23</f>
        <v>无</v>
      </c>
      <c r="G1336" s="567"/>
      <c r="H1336" s="570" t="s">
        <v>119</v>
      </c>
      <c r="I1336" s="570" t="s">
        <v>119</v>
      </c>
      <c r="J1336" s="570" t="s">
        <v>119</v>
      </c>
      <c r="K1336" s="570" t="s">
        <v>119</v>
      </c>
      <c r="L1336" s="570" t="s">
        <v>119</v>
      </c>
      <c r="M1336" s="570" t="s">
        <v>119</v>
      </c>
      <c r="N1336" s="570" t="s">
        <v>119</v>
      </c>
      <c r="O1336" s="570" t="s">
        <v>119</v>
      </c>
      <c r="P1336" s="567"/>
      <c r="Q1336" s="570" t="s">
        <v>119</v>
      </c>
      <c r="R1336" s="570" t="s">
        <v>119</v>
      </c>
      <c r="S1336" s="570" t="s">
        <v>119</v>
      </c>
      <c r="T1336" s="570" t="s">
        <v>119</v>
      </c>
      <c r="U1336" s="567"/>
      <c r="V1336" s="395" t="str">
        <f ca="1">"Behind other NPC ("&amp;语言!$A$47&amp;" / "&amp;语言!$A$51&amp;")"</f>
        <v>Behind other NPC (比试 / 唆使)</v>
      </c>
      <c r="W1336" s="208"/>
    </row>
    <row r="1337" spans="1:23" ht="12.75" x14ac:dyDescent="0.2">
      <c r="A1337" s="208"/>
      <c r="B1337" s="568"/>
      <c r="C1337" s="568"/>
      <c r="D1337" s="568"/>
      <c r="E1337" s="568"/>
      <c r="F1337" s="568"/>
      <c r="G1337" s="568"/>
      <c r="H1337" s="568"/>
      <c r="I1337" s="568"/>
      <c r="J1337" s="568"/>
      <c r="K1337" s="568"/>
      <c r="L1337" s="568"/>
      <c r="M1337" s="568"/>
      <c r="N1337" s="568"/>
      <c r="O1337" s="568"/>
      <c r="P1337" s="568"/>
      <c r="Q1337" s="568"/>
      <c r="R1337" s="568"/>
      <c r="S1337" s="568"/>
      <c r="T1337" s="568"/>
      <c r="U1337" s="568"/>
      <c r="V1337" s="568"/>
      <c r="W1337" s="208"/>
    </row>
    <row r="1338" spans="1:23" ht="12.75" x14ac:dyDescent="0.2">
      <c r="A1338" s="208"/>
      <c r="B1338" s="400" t="str">
        <f ca="1">语言!$A$2102</f>
        <v>市民</v>
      </c>
      <c r="C1338" s="567" t="b">
        <v>0</v>
      </c>
      <c r="D1338" s="400" t="str">
        <f ca="1">道具!$C$284</f>
        <v>精神弓</v>
      </c>
      <c r="E1338" s="567" t="b">
        <v>0</v>
      </c>
      <c r="F1338" s="395" t="str">
        <f ca="1">语言!$A$24</f>
        <v>旅店的折扣资讯</v>
      </c>
      <c r="G1338" s="567" t="b">
        <v>0</v>
      </c>
      <c r="H1338" s="569" t="s">
        <v>44</v>
      </c>
      <c r="I1338" s="395">
        <v>6</v>
      </c>
      <c r="J1338" s="395"/>
      <c r="K1338" s="395"/>
      <c r="L1338" s="395"/>
      <c r="M1338" s="395"/>
      <c r="N1338" s="395"/>
      <c r="O1338" s="395" t="str">
        <f ca="1">道具!$C$536</f>
        <v>超含毒的素材（扩散）</v>
      </c>
      <c r="P1338" s="567"/>
      <c r="Q1338" s="569" t="s">
        <v>44</v>
      </c>
      <c r="R1338" s="58"/>
      <c r="S1338" s="58" t="str">
        <f ca="1">Summon!$I$175</f>
        <v>物理提升</v>
      </c>
      <c r="T1338" s="569">
        <v>5</v>
      </c>
      <c r="U1338" s="567"/>
      <c r="V1338" s="395" t="str">
        <f ca="1">"Behind other NPC ("&amp;语言!$A$47&amp;" / "&amp;语言!$A$51&amp;")"</f>
        <v>Behind other NPC (比试 / 唆使)</v>
      </c>
      <c r="W1338" s="208"/>
    </row>
    <row r="1339" spans="1:23" ht="12.75" x14ac:dyDescent="0.2">
      <c r="A1339" s="208"/>
      <c r="B1339" s="371"/>
      <c r="C1339" s="371"/>
      <c r="D1339" s="371"/>
      <c r="E1339" s="371"/>
      <c r="F1339" s="371"/>
      <c r="G1339" s="371"/>
      <c r="H1339" s="371"/>
      <c r="I1339" s="371"/>
      <c r="J1339" s="371"/>
      <c r="K1339" s="371"/>
      <c r="L1339" s="371"/>
      <c r="M1339" s="371"/>
      <c r="N1339" s="371"/>
      <c r="O1339" s="371"/>
      <c r="P1339" s="371"/>
      <c r="Q1339" s="371"/>
      <c r="R1339" s="58"/>
      <c r="S1339" s="58" t="str">
        <f ca="1">Summon!$I$70</f>
        <v>乱射</v>
      </c>
      <c r="T1339" s="371"/>
      <c r="U1339" s="371"/>
      <c r="V1339" s="371"/>
      <c r="W1339" s="208"/>
    </row>
    <row r="1340" spans="1:23" ht="12.75" x14ac:dyDescent="0.2">
      <c r="A1340" s="208"/>
      <c r="B1340" s="568"/>
      <c r="C1340" s="568"/>
      <c r="D1340" s="568"/>
      <c r="E1340" s="568"/>
      <c r="F1340" s="568"/>
      <c r="G1340" s="568"/>
      <c r="H1340" s="568"/>
      <c r="I1340" s="568"/>
      <c r="J1340" s="568"/>
      <c r="K1340" s="568"/>
      <c r="L1340" s="568"/>
      <c r="M1340" s="568"/>
      <c r="N1340" s="568"/>
      <c r="O1340" s="568"/>
      <c r="P1340" s="568"/>
      <c r="Q1340" s="568"/>
      <c r="R1340" s="209"/>
      <c r="S1340" s="209" t="str">
        <f ca="1">Summon!$I$4</f>
        <v>战斗</v>
      </c>
      <c r="T1340" s="568"/>
      <c r="U1340" s="568"/>
      <c r="V1340" s="568"/>
      <c r="W1340" s="208"/>
    </row>
    <row r="1341" spans="1:23" ht="12.75" x14ac:dyDescent="0.2">
      <c r="A1341" s="208"/>
      <c r="B1341" s="400" t="str">
        <f ca="1">语言!$A$1941</f>
        <v>圣火骑士</v>
      </c>
      <c r="C1341" s="208" t="b">
        <v>0</v>
      </c>
      <c r="D1341" s="59" t="str">
        <f ca="1">道具!$C$475</f>
        <v>守护项链</v>
      </c>
      <c r="E1341" s="567" t="b">
        <v>0</v>
      </c>
      <c r="F1341" s="395" t="str">
        <f ca="1">语言!$A$33&amp;"
"&amp;道具!$C$32</f>
        <v>隐藏道具的资讯
火之精灵石（特大）</v>
      </c>
      <c r="G1341" s="567" t="b">
        <v>0</v>
      </c>
      <c r="H1341" s="569" t="s">
        <v>50</v>
      </c>
      <c r="I1341" s="395">
        <v>4</v>
      </c>
      <c r="J1341" s="395"/>
      <c r="K1341" s="395"/>
      <c r="L1341" s="395"/>
      <c r="M1341" s="395"/>
      <c r="N1341" s="395"/>
      <c r="O1341" s="395" t="str">
        <f ca="1">道具!$C$17</f>
        <v>复活的橄榄（特大）</v>
      </c>
      <c r="P1341" s="567"/>
      <c r="Q1341" s="569" t="s">
        <v>50</v>
      </c>
      <c r="R1341" s="58"/>
      <c r="S1341" s="58" t="str">
        <f ca="1">Summon!$I$158</f>
        <v>防御力下降</v>
      </c>
      <c r="T1341" s="569">
        <v>7</v>
      </c>
      <c r="U1341" s="567"/>
      <c r="V1341" s="395" t="str">
        <f ca="1">"NPC available after "&amp;语言!$A$42&amp;" chapter 4"</f>
        <v>NPC available after 海茵特 chapter 4</v>
      </c>
      <c r="W1341" s="208"/>
    </row>
    <row r="1342" spans="1:23" ht="12.75" x14ac:dyDescent="0.2">
      <c r="A1342" s="208"/>
      <c r="B1342" s="371"/>
      <c r="C1342" s="208" t="b">
        <v>0</v>
      </c>
      <c r="D1342" s="59" t="str">
        <f ca="1">道具!$C$147</f>
        <v>勇气之刃</v>
      </c>
      <c r="E1342" s="371"/>
      <c r="F1342" s="371"/>
      <c r="G1342" s="371"/>
      <c r="H1342" s="371"/>
      <c r="I1342" s="371"/>
      <c r="J1342" s="371"/>
      <c r="K1342" s="371"/>
      <c r="L1342" s="371"/>
      <c r="M1342" s="371"/>
      <c r="N1342" s="371"/>
      <c r="O1342" s="371"/>
      <c r="P1342" s="371"/>
      <c r="Q1342" s="371"/>
      <c r="R1342" s="58"/>
      <c r="S1342" s="58" t="str">
        <f ca="1">Summon!$I$37</f>
        <v>疾风二连突刺</v>
      </c>
      <c r="T1342" s="371"/>
      <c r="U1342" s="371"/>
      <c r="V1342" s="371"/>
      <c r="W1342" s="208"/>
    </row>
    <row r="1343" spans="1:23" ht="12.75" x14ac:dyDescent="0.2">
      <c r="A1343" s="208"/>
      <c r="B1343" s="371"/>
      <c r="C1343" s="208"/>
      <c r="D1343" s="59"/>
      <c r="E1343" s="371"/>
      <c r="F1343" s="371"/>
      <c r="G1343" s="371"/>
      <c r="H1343" s="371"/>
      <c r="I1343" s="371"/>
      <c r="J1343" s="371"/>
      <c r="K1343" s="371"/>
      <c r="L1343" s="371"/>
      <c r="M1343" s="371"/>
      <c r="N1343" s="371"/>
      <c r="O1343" s="371"/>
      <c r="P1343" s="371"/>
      <c r="Q1343" s="371"/>
      <c r="R1343" s="58"/>
      <c r="S1343" s="58" t="str">
        <f ca="1">Summon!$I$4</f>
        <v>战斗</v>
      </c>
      <c r="T1343" s="371"/>
      <c r="U1343" s="371"/>
      <c r="V1343" s="371"/>
      <c r="W1343" s="208"/>
    </row>
    <row r="1344" spans="1:23" ht="12.75" x14ac:dyDescent="0.2">
      <c r="A1344" s="208"/>
      <c r="B1344" s="571" t="str">
        <f ca="1">语言!$A$429</f>
        <v>马尔沙利姆 -王宫-</v>
      </c>
      <c r="C1344" s="371"/>
      <c r="D1344" s="371"/>
      <c r="E1344" s="371"/>
      <c r="F1344" s="371"/>
      <c r="G1344" s="371"/>
      <c r="H1344" s="371"/>
      <c r="I1344" s="371"/>
      <c r="J1344" s="371"/>
      <c r="K1344" s="371"/>
      <c r="L1344" s="371"/>
      <c r="M1344" s="371"/>
      <c r="N1344" s="371"/>
      <c r="O1344" s="371"/>
      <c r="P1344" s="371"/>
      <c r="Q1344" s="371"/>
      <c r="R1344" s="371"/>
      <c r="S1344" s="371"/>
      <c r="T1344" s="371"/>
      <c r="U1344" s="371"/>
      <c r="V1344" s="371"/>
      <c r="W1344" s="208"/>
    </row>
    <row r="1345" spans="1:23" ht="12.75" x14ac:dyDescent="0.2">
      <c r="A1345" s="208"/>
      <c r="B1345" s="400" t="str">
        <f ca="1">语言!$A$1903</f>
        <v>卫兵</v>
      </c>
      <c r="C1345" s="567" t="b">
        <v>0</v>
      </c>
      <c r="D1345" s="400" t="str">
        <f ca="1">道具!$C$477</f>
        <v>察知项链</v>
      </c>
      <c r="E1345" s="567" t="b">
        <v>0</v>
      </c>
      <c r="F1345" s="395" t="str">
        <f ca="1">语言!$A$33&amp;"
"&amp;道具!$C$7</f>
        <v>隐藏道具的资讯
ＳＰ恢复的李子（大）</v>
      </c>
      <c r="G1345" s="567" t="b">
        <v>0</v>
      </c>
      <c r="H1345" s="569" t="s">
        <v>49</v>
      </c>
      <c r="I1345" s="395">
        <v>4</v>
      </c>
      <c r="J1345" s="395"/>
      <c r="K1345" s="395"/>
      <c r="L1345" s="395"/>
      <c r="M1345" s="395"/>
      <c r="N1345" s="395"/>
      <c r="O1345" s="395" t="str">
        <f ca="1">道具!$C$4</f>
        <v>ＨＰ恢复的葡萄（大）</v>
      </c>
      <c r="P1345" s="567"/>
      <c r="Q1345" s="569" t="s">
        <v>49</v>
      </c>
      <c r="R1345" s="58"/>
      <c r="S1345" s="58" t="str">
        <f ca="1">Summon!$I$170</f>
        <v>防御架式</v>
      </c>
      <c r="T1345" s="569">
        <v>7</v>
      </c>
      <c r="U1345" s="567"/>
      <c r="V1345" s="395"/>
      <c r="W1345" s="208"/>
    </row>
    <row r="1346" spans="1:23" ht="12.75" x14ac:dyDescent="0.2">
      <c r="A1346" s="208"/>
      <c r="B1346" s="371"/>
      <c r="C1346" s="371"/>
      <c r="D1346" s="371"/>
      <c r="E1346" s="371"/>
      <c r="F1346" s="371"/>
      <c r="G1346" s="371"/>
      <c r="H1346" s="371"/>
      <c r="I1346" s="371"/>
      <c r="J1346" s="371"/>
      <c r="K1346" s="371"/>
      <c r="L1346" s="371"/>
      <c r="M1346" s="371"/>
      <c r="N1346" s="371"/>
      <c r="O1346" s="371"/>
      <c r="P1346" s="371"/>
      <c r="Q1346" s="371"/>
      <c r="R1346" s="58"/>
      <c r="S1346" s="58" t="str">
        <f ca="1">Summon!$I$31</f>
        <v>要害突刺</v>
      </c>
      <c r="T1346" s="371"/>
      <c r="U1346" s="371"/>
      <c r="V1346" s="371"/>
      <c r="W1346" s="208"/>
    </row>
    <row r="1347" spans="1:23" ht="12.75" x14ac:dyDescent="0.2">
      <c r="A1347" s="208"/>
      <c r="B1347" s="568"/>
      <c r="C1347" s="568"/>
      <c r="D1347" s="568"/>
      <c r="E1347" s="568"/>
      <c r="F1347" s="568"/>
      <c r="G1347" s="568"/>
      <c r="H1347" s="568"/>
      <c r="I1347" s="568"/>
      <c r="J1347" s="568"/>
      <c r="K1347" s="568"/>
      <c r="L1347" s="568"/>
      <c r="M1347" s="568"/>
      <c r="N1347" s="568"/>
      <c r="O1347" s="568"/>
      <c r="P1347" s="568"/>
      <c r="Q1347" s="568"/>
      <c r="R1347" s="209"/>
      <c r="S1347" s="209" t="str">
        <f ca="1">Summon!$I$4</f>
        <v>战斗</v>
      </c>
      <c r="T1347" s="568"/>
      <c r="U1347" s="568"/>
      <c r="V1347" s="568"/>
      <c r="W1347" s="208"/>
    </row>
    <row r="1348" spans="1:23" ht="12.75" x14ac:dyDescent="0.2">
      <c r="A1348" s="208"/>
      <c r="B1348" s="400" t="str">
        <f ca="1">语言!$A$1903</f>
        <v>卫兵</v>
      </c>
      <c r="C1348" s="567" t="b">
        <v>0</v>
      </c>
      <c r="D1348" s="400" t="str">
        <f ca="1">道具!$C$242</f>
        <v>巨大斧</v>
      </c>
      <c r="E1348" s="567" t="b">
        <v>0</v>
      </c>
      <c r="F1348" s="395" t="str">
        <f ca="1">语言!$A$23</f>
        <v>无</v>
      </c>
      <c r="G1348" s="567" t="b">
        <v>0</v>
      </c>
      <c r="H1348" s="569" t="s">
        <v>47</v>
      </c>
      <c r="I1348" s="395">
        <v>4</v>
      </c>
      <c r="J1348" s="395"/>
      <c r="K1348" s="395"/>
      <c r="L1348" s="395"/>
      <c r="M1348" s="395"/>
      <c r="N1348" s="395"/>
      <c r="O1348" s="395" t="str">
        <f ca="1">道具!$C$178</f>
        <v>灵魂长柄刀</v>
      </c>
      <c r="P1348" s="567"/>
      <c r="Q1348" s="569" t="s">
        <v>47</v>
      </c>
      <c r="R1348" s="58"/>
      <c r="S1348" s="58" t="str">
        <f ca="1">Summon!$I$40</f>
        <v>乱挥</v>
      </c>
      <c r="T1348" s="569">
        <v>6</v>
      </c>
      <c r="U1348" s="567"/>
      <c r="V1348" s="395"/>
      <c r="W1348" s="208"/>
    </row>
    <row r="1349" spans="1:23" ht="12.75" x14ac:dyDescent="0.2">
      <c r="A1349" s="208"/>
      <c r="B1349" s="371"/>
      <c r="C1349" s="371"/>
      <c r="D1349" s="371"/>
      <c r="E1349" s="371"/>
      <c r="F1349" s="371"/>
      <c r="G1349" s="371"/>
      <c r="H1349" s="371"/>
      <c r="I1349" s="371"/>
      <c r="J1349" s="371"/>
      <c r="K1349" s="371"/>
      <c r="L1349" s="371"/>
      <c r="M1349" s="371"/>
      <c r="N1349" s="371"/>
      <c r="O1349" s="371"/>
      <c r="P1349" s="371"/>
      <c r="Q1349" s="371"/>
      <c r="R1349" s="58"/>
      <c r="S1349" s="58" t="str">
        <f ca="1">Summon!$I$31</f>
        <v>要害突刺</v>
      </c>
      <c r="T1349" s="371"/>
      <c r="U1349" s="371"/>
      <c r="V1349" s="371"/>
      <c r="W1349" s="208"/>
    </row>
    <row r="1350" spans="1:23" ht="12.75" x14ac:dyDescent="0.2">
      <c r="A1350" s="208"/>
      <c r="B1350" s="568"/>
      <c r="C1350" s="568"/>
      <c r="D1350" s="568"/>
      <c r="E1350" s="568"/>
      <c r="F1350" s="568"/>
      <c r="G1350" s="568"/>
      <c r="H1350" s="568"/>
      <c r="I1350" s="568"/>
      <c r="J1350" s="568"/>
      <c r="K1350" s="568"/>
      <c r="L1350" s="568"/>
      <c r="M1350" s="568"/>
      <c r="N1350" s="568"/>
      <c r="O1350" s="568"/>
      <c r="P1350" s="568"/>
      <c r="Q1350" s="568"/>
      <c r="R1350" s="209"/>
      <c r="S1350" s="209" t="str">
        <f ca="1">Summon!$I$4</f>
        <v>战斗</v>
      </c>
      <c r="T1350" s="568"/>
      <c r="U1350" s="568"/>
      <c r="V1350" s="568"/>
      <c r="W1350" s="208"/>
    </row>
    <row r="1351" spans="1:23" ht="12.75" x14ac:dyDescent="0.2">
      <c r="A1351" s="208"/>
      <c r="B1351" s="400" t="str">
        <f ca="1">语言!$A$2078</f>
        <v>表情严峻的骑士 /
表情平静的骑士</v>
      </c>
      <c r="C1351" s="208" t="b">
        <v>0</v>
      </c>
      <c r="D1351" s="59" t="str">
        <f ca="1">道具!$C$4</f>
        <v>ＨＰ恢复的葡萄（大）</v>
      </c>
      <c r="E1351" s="567" t="b">
        <v>0</v>
      </c>
      <c r="F1351" s="395" t="str">
        <f ca="1">语言!$A$23</f>
        <v>无</v>
      </c>
      <c r="G1351" s="567" t="b">
        <v>0</v>
      </c>
      <c r="H1351" s="569" t="s">
        <v>51</v>
      </c>
      <c r="I1351" s="395">
        <v>5</v>
      </c>
      <c r="J1351" s="395"/>
      <c r="K1351" s="395"/>
      <c r="L1351" s="395"/>
      <c r="M1351" s="395"/>
      <c r="N1351" s="395"/>
      <c r="O1351" s="395" t="str">
        <f ca="1">道具!$C$18</f>
        <v>毒治疗药草</v>
      </c>
      <c r="P1351" s="567"/>
      <c r="Q1351" s="569" t="s">
        <v>51</v>
      </c>
      <c r="R1351" s="58"/>
      <c r="S1351" s="58" t="str">
        <f ca="1">Summon!$I$168</f>
        <v>攻击架式</v>
      </c>
      <c r="T1351" s="569">
        <v>6</v>
      </c>
      <c r="U1351" s="567"/>
      <c r="V1351" s="395" t="str">
        <f ca="1">"Changes name after quest: "&amp;支线!$C$127</f>
        <v>Changes name after quest: 不成器的儿子</v>
      </c>
      <c r="W1351" s="208"/>
    </row>
    <row r="1352" spans="1:23" ht="12.75" x14ac:dyDescent="0.2">
      <c r="A1352" s="208"/>
      <c r="B1352" s="371"/>
      <c r="C1352" s="208" t="b">
        <v>0</v>
      </c>
      <c r="D1352" s="59" t="str">
        <f ca="1">道具!$C$7</f>
        <v>ＳＰ恢复的李子（大）</v>
      </c>
      <c r="E1352" s="371"/>
      <c r="F1352" s="371"/>
      <c r="G1352" s="371"/>
      <c r="H1352" s="371"/>
      <c r="I1352" s="371"/>
      <c r="J1352" s="371"/>
      <c r="K1352" s="371"/>
      <c r="L1352" s="371"/>
      <c r="M1352" s="371"/>
      <c r="N1352" s="371"/>
      <c r="O1352" s="371"/>
      <c r="P1352" s="371"/>
      <c r="Q1352" s="371"/>
      <c r="R1352" s="58"/>
      <c r="S1352" s="58" t="str">
        <f ca="1">Summon!$I$52</f>
        <v>重拳</v>
      </c>
      <c r="T1352" s="371"/>
      <c r="U1352" s="371"/>
      <c r="V1352" s="371"/>
      <c r="W1352" s="208"/>
    </row>
    <row r="1353" spans="1:23" ht="12.75" x14ac:dyDescent="0.2">
      <c r="A1353" s="208"/>
      <c r="B1353" s="568"/>
      <c r="C1353" s="210"/>
      <c r="D1353" s="211"/>
      <c r="E1353" s="568"/>
      <c r="F1353" s="568"/>
      <c r="G1353" s="568"/>
      <c r="H1353" s="568"/>
      <c r="I1353" s="568"/>
      <c r="J1353" s="568"/>
      <c r="K1353" s="568"/>
      <c r="L1353" s="568"/>
      <c r="M1353" s="568"/>
      <c r="N1353" s="568"/>
      <c r="O1353" s="568"/>
      <c r="P1353" s="568"/>
      <c r="Q1353" s="568"/>
      <c r="R1353" s="209"/>
      <c r="S1353" s="209" t="str">
        <f ca="1">Summon!$I$4</f>
        <v>战斗</v>
      </c>
      <c r="T1353" s="568"/>
      <c r="U1353" s="568"/>
      <c r="V1353" s="568"/>
      <c r="W1353" s="208"/>
    </row>
    <row r="1354" spans="1:23" ht="12.75" x14ac:dyDescent="0.2">
      <c r="A1354" s="208"/>
      <c r="B1354" s="211" t="str">
        <f ca="1">语言!$A$1935</f>
        <v>罪人凯文</v>
      </c>
      <c r="C1354" s="210"/>
      <c r="D1354" s="218" t="s">
        <v>119</v>
      </c>
      <c r="E1354" s="210" t="b">
        <v>0</v>
      </c>
      <c r="F1354" s="209" t="str">
        <f ca="1">语言!$A$23</f>
        <v>无</v>
      </c>
      <c r="G1354" s="210"/>
      <c r="H1354" s="213" t="s">
        <v>119</v>
      </c>
      <c r="I1354" s="213" t="s">
        <v>119</v>
      </c>
      <c r="J1354" s="213" t="s">
        <v>119</v>
      </c>
      <c r="K1354" s="213" t="s">
        <v>119</v>
      </c>
      <c r="L1354" s="213" t="s">
        <v>119</v>
      </c>
      <c r="M1354" s="213" t="s">
        <v>119</v>
      </c>
      <c r="N1354" s="213" t="s">
        <v>119</v>
      </c>
      <c r="O1354" s="213" t="s">
        <v>119</v>
      </c>
      <c r="P1354" s="210"/>
      <c r="Q1354" s="213" t="s">
        <v>119</v>
      </c>
      <c r="R1354" s="213" t="s">
        <v>119</v>
      </c>
      <c r="S1354" s="213" t="s">
        <v>119</v>
      </c>
      <c r="T1354" s="213" t="s">
        <v>119</v>
      </c>
      <c r="U1354" s="210"/>
      <c r="V1354" s="209" t="str">
        <f ca="1">"Disapear after quest: "&amp;支线!$C$90</f>
        <v>Disapear after quest: 罪人的愿望</v>
      </c>
      <c r="W1354" s="208"/>
    </row>
    <row r="1355" spans="1:23" ht="12.75" x14ac:dyDescent="0.2">
      <c r="A1355" s="208"/>
      <c r="B1355" s="400" t="str">
        <f ca="1">语言!$A$1822</f>
        <v>拉尔夫副长</v>
      </c>
      <c r="C1355" s="208" t="b">
        <v>0</v>
      </c>
      <c r="D1355" s="59" t="str">
        <f ca="1">道具!$C$12</f>
        <v>ＨＰ／ＳＰ恢复的果酱</v>
      </c>
      <c r="E1355" s="567" t="b">
        <v>0</v>
      </c>
      <c r="F1355" s="395" t="str">
        <f ca="1">语言!$A$23</f>
        <v>无</v>
      </c>
      <c r="G1355" s="567" t="b">
        <v>0</v>
      </c>
      <c r="H1355" s="569" t="s">
        <v>49</v>
      </c>
      <c r="I1355" s="395">
        <v>4</v>
      </c>
      <c r="J1355" s="395"/>
      <c r="K1355" s="395"/>
      <c r="L1355" s="395"/>
      <c r="M1355" s="395"/>
      <c r="N1355" s="395"/>
      <c r="O1355" s="395" t="str">
        <f ca="1">道具!$C$31</f>
        <v>火之精灵石（大）</v>
      </c>
      <c r="P1355" s="567"/>
      <c r="Q1355" s="569" t="s">
        <v>49</v>
      </c>
      <c r="R1355" s="58"/>
      <c r="S1355" s="58" t="str">
        <f ca="1">Summon!$I$39</f>
        <v>神风５连突刺</v>
      </c>
      <c r="T1355" s="569">
        <v>7</v>
      </c>
      <c r="U1355" s="567"/>
      <c r="V1355" s="395" t="str">
        <f ca="1">"NPC available after "&amp;语言!$A$42&amp;" chapter 4"</f>
        <v>NPC available after 海茵特 chapter 4</v>
      </c>
      <c r="W1355" s="208"/>
    </row>
    <row r="1356" spans="1:23" ht="12.75" x14ac:dyDescent="0.2">
      <c r="A1356" s="208"/>
      <c r="B1356" s="371"/>
      <c r="C1356" s="208" t="b">
        <v>0</v>
      </c>
      <c r="D1356" s="59" t="str">
        <f ca="1">道具!$C$368</f>
        <v>帝国头盔</v>
      </c>
      <c r="E1356" s="371"/>
      <c r="F1356" s="371"/>
      <c r="G1356" s="371"/>
      <c r="H1356" s="371"/>
      <c r="I1356" s="371"/>
      <c r="J1356" s="371"/>
      <c r="K1356" s="371"/>
      <c r="L1356" s="371"/>
      <c r="M1356" s="371"/>
      <c r="N1356" s="371"/>
      <c r="O1356" s="371"/>
      <c r="P1356" s="371"/>
      <c r="Q1356" s="371"/>
      <c r="R1356" s="58"/>
      <c r="S1356" s="58" t="str">
        <f ca="1">Summon!$I$158</f>
        <v>防御力下降</v>
      </c>
      <c r="T1356" s="371"/>
      <c r="U1356" s="371"/>
      <c r="V1356" s="371"/>
      <c r="W1356" s="208"/>
    </row>
    <row r="1357" spans="1:23" ht="12.75" x14ac:dyDescent="0.2">
      <c r="A1357" s="208"/>
      <c r="B1357" s="568"/>
      <c r="C1357" s="210" t="b">
        <v>0</v>
      </c>
      <c r="D1357" s="211" t="str">
        <f ca="1">道具!$C$426</f>
        <v>异国之服</v>
      </c>
      <c r="E1357" s="568"/>
      <c r="F1357" s="568"/>
      <c r="G1357" s="568"/>
      <c r="H1357" s="568"/>
      <c r="I1357" s="568"/>
      <c r="J1357" s="568"/>
      <c r="K1357" s="568"/>
      <c r="L1357" s="568"/>
      <c r="M1357" s="568"/>
      <c r="N1357" s="568"/>
      <c r="O1357" s="568"/>
      <c r="P1357" s="568"/>
      <c r="Q1357" s="568"/>
      <c r="R1357" s="209"/>
      <c r="S1357" s="209" t="str">
        <f ca="1">Summon!$I$4</f>
        <v>战斗</v>
      </c>
      <c r="T1357" s="568"/>
      <c r="U1357" s="568"/>
      <c r="V1357" s="568"/>
      <c r="W1357" s="208"/>
    </row>
    <row r="1358" spans="1:23" ht="12.75" x14ac:dyDescent="0.2">
      <c r="A1358" s="208"/>
      <c r="B1358" s="400" t="str">
        <f ca="1">语言!$A$1891</f>
        <v>雷纳德将军</v>
      </c>
      <c r="C1358" s="567" t="b">
        <v>0</v>
      </c>
      <c r="D1358" s="400" t="str">
        <f ca="1">道具!$C$403</f>
        <v>大圣火长袍</v>
      </c>
      <c r="E1358" s="567" t="b">
        <v>0</v>
      </c>
      <c r="F1358" s="395" t="str">
        <f ca="1">语言!$A$23</f>
        <v>无</v>
      </c>
      <c r="G1358" s="567" t="b">
        <v>0</v>
      </c>
      <c r="H1358" s="569" t="s">
        <v>51</v>
      </c>
      <c r="I1358" s="395">
        <v>5</v>
      </c>
      <c r="J1358" s="395"/>
      <c r="K1358" s="395"/>
      <c r="L1358" s="395"/>
      <c r="M1358" s="395"/>
      <c r="N1358" s="395"/>
      <c r="O1358" s="395" t="str">
        <f ca="1">道具!$C$32</f>
        <v>火之精灵石（特大）</v>
      </c>
      <c r="P1358" s="567"/>
      <c r="Q1358" s="569" t="s">
        <v>51</v>
      </c>
      <c r="R1358" s="58"/>
      <c r="S1358" s="58" t="str">
        <f ca="1">Summon!$I$26</f>
        <v>游戏内为空白</v>
      </c>
      <c r="T1358" s="569">
        <v>6</v>
      </c>
      <c r="U1358" s="567"/>
      <c r="V1358" s="395" t="str">
        <f ca="1">"NPC available after "&amp;语言!$A$42&amp;" chapter 4"</f>
        <v>NPC available after 海茵特 chapter 4</v>
      </c>
      <c r="W1358" s="208"/>
    </row>
    <row r="1359" spans="1:23" ht="12.75" x14ac:dyDescent="0.2">
      <c r="A1359" s="208"/>
      <c r="B1359" s="371"/>
      <c r="C1359" s="371"/>
      <c r="D1359" s="371"/>
      <c r="E1359" s="371"/>
      <c r="F1359" s="371"/>
      <c r="G1359" s="371"/>
      <c r="H1359" s="371"/>
      <c r="I1359" s="371"/>
      <c r="J1359" s="371"/>
      <c r="K1359" s="371"/>
      <c r="L1359" s="371"/>
      <c r="M1359" s="371"/>
      <c r="N1359" s="371"/>
      <c r="O1359" s="371"/>
      <c r="P1359" s="371"/>
      <c r="Q1359" s="371"/>
      <c r="R1359" s="58"/>
      <c r="S1359" s="58" t="str">
        <f ca="1">Summon!$I$180</f>
        <v>暴击提升</v>
      </c>
      <c r="T1359" s="371"/>
      <c r="U1359" s="371"/>
      <c r="V1359" s="371"/>
      <c r="W1359" s="208"/>
    </row>
    <row r="1360" spans="1:23" ht="12.75" x14ac:dyDescent="0.2">
      <c r="A1360" s="208"/>
      <c r="B1360" s="371"/>
      <c r="C1360" s="567" t="b">
        <v>0</v>
      </c>
      <c r="D1360" s="400" t="str">
        <f ca="1">道具!$C$141</f>
        <v>皇帝之刃</v>
      </c>
      <c r="E1360" s="371"/>
      <c r="F1360" s="371"/>
      <c r="G1360" s="371"/>
      <c r="H1360" s="371"/>
      <c r="I1360" s="371"/>
      <c r="J1360" s="371"/>
      <c r="K1360" s="371"/>
      <c r="L1360" s="371"/>
      <c r="M1360" s="371"/>
      <c r="N1360" s="371"/>
      <c r="O1360" s="371"/>
      <c r="P1360" s="371"/>
      <c r="Q1360" s="371"/>
      <c r="R1360" s="58"/>
      <c r="S1360" s="58" t="str">
        <f ca="1">Summon!$I$11</f>
        <v>十字斩</v>
      </c>
      <c r="T1360" s="371"/>
      <c r="U1360" s="371"/>
      <c r="V1360" s="371"/>
      <c r="W1360" s="208"/>
    </row>
    <row r="1361" spans="1:23" ht="12.75" x14ac:dyDescent="0.2">
      <c r="A1361" s="208"/>
      <c r="B1361" s="568"/>
      <c r="C1361" s="568"/>
      <c r="D1361" s="568"/>
      <c r="E1361" s="568"/>
      <c r="F1361" s="568"/>
      <c r="G1361" s="568"/>
      <c r="H1361" s="568"/>
      <c r="I1361" s="568"/>
      <c r="J1361" s="568"/>
      <c r="K1361" s="568"/>
      <c r="L1361" s="568"/>
      <c r="M1361" s="568"/>
      <c r="N1361" s="568"/>
      <c r="O1361" s="568"/>
      <c r="P1361" s="568"/>
      <c r="Q1361" s="568"/>
      <c r="R1361" s="209"/>
      <c r="S1361" s="209" t="str">
        <f ca="1">Summon!$I$4</f>
        <v>战斗</v>
      </c>
      <c r="T1361" s="568"/>
      <c r="U1361" s="568"/>
      <c r="V1361" s="568"/>
      <c r="W1361" s="208"/>
    </row>
    <row r="1362" spans="1:23" ht="12.75" x14ac:dyDescent="0.2">
      <c r="A1362" s="208"/>
      <c r="B1362" s="400" t="str">
        <f ca="1">语言!$A$2124&amp;" (4)"</f>
        <v>四处游历的少女 /
莉亚 /
葛罗莉亚 (4)</v>
      </c>
      <c r="C1362" s="208" t="b">
        <v>0</v>
      </c>
      <c r="D1362" s="59" t="str">
        <f ca="1">道具!$C$488</f>
        <v>体力戒指</v>
      </c>
      <c r="E1362" s="567" t="b">
        <v>0</v>
      </c>
      <c r="F1362" s="395" t="str">
        <f ca="1">语言!$A$23</f>
        <v>无</v>
      </c>
      <c r="G1362" s="567" t="b">
        <v>0</v>
      </c>
      <c r="H1362" s="569" t="s">
        <v>48</v>
      </c>
      <c r="I1362" s="395">
        <v>2</v>
      </c>
      <c r="J1362" s="395"/>
      <c r="K1362" s="395"/>
      <c r="L1362" s="395"/>
      <c r="M1362" s="395"/>
      <c r="N1362" s="395"/>
      <c r="O1362" s="395" t="str">
        <f ca="1">道具!$C$7</f>
        <v>ＳＰ恢复的李子（大）</v>
      </c>
      <c r="P1362" s="567"/>
      <c r="Q1362" s="569" t="s">
        <v>48</v>
      </c>
      <c r="R1362" s="395"/>
      <c r="S1362" s="395" t="str">
        <f ca="1">Summon!$I$174</f>
        <v>防御力提升</v>
      </c>
      <c r="T1362" s="569">
        <v>9</v>
      </c>
      <c r="U1362" s="567"/>
      <c r="V1362" s="395" t="str">
        <f ca="1">"NPC at this location after quest: "&amp;支线!$C$88</f>
        <v>NPC at this location after quest: 巡游少女莉亚（３）</v>
      </c>
      <c r="W1362" s="208"/>
    </row>
    <row r="1363" spans="1:23" ht="12.75" x14ac:dyDescent="0.2">
      <c r="A1363" s="208"/>
      <c r="B1363" s="371"/>
      <c r="C1363" s="208" t="b">
        <v>0</v>
      </c>
      <c r="D1363" s="59" t="str">
        <f ca="1">道具!$C$506</f>
        <v>火焰避邪符</v>
      </c>
      <c r="E1363" s="371"/>
      <c r="F1363" s="371"/>
      <c r="G1363" s="371"/>
      <c r="H1363" s="371"/>
      <c r="I1363" s="371"/>
      <c r="J1363" s="371"/>
      <c r="K1363" s="371"/>
      <c r="L1363" s="371"/>
      <c r="M1363" s="371"/>
      <c r="N1363" s="371"/>
      <c r="O1363" s="371"/>
      <c r="P1363" s="371"/>
      <c r="Q1363" s="371"/>
      <c r="R1363" s="371"/>
      <c r="S1363" s="371"/>
      <c r="T1363" s="371"/>
      <c r="U1363" s="371"/>
      <c r="V1363" s="371"/>
      <c r="W1363" s="208"/>
    </row>
    <row r="1364" spans="1:23" ht="12.75" x14ac:dyDescent="0.2">
      <c r="A1364" s="208"/>
      <c r="B1364" s="371"/>
      <c r="C1364" s="208" t="b">
        <v>0</v>
      </c>
      <c r="D1364" s="59" t="str">
        <f ca="1">道具!$C$4</f>
        <v>ＨＰ恢复的葡萄（大）</v>
      </c>
      <c r="E1364" s="371"/>
      <c r="F1364" s="371"/>
      <c r="G1364" s="371"/>
      <c r="H1364" s="371"/>
      <c r="I1364" s="371"/>
      <c r="J1364" s="371"/>
      <c r="K1364" s="371"/>
      <c r="L1364" s="371"/>
      <c r="M1364" s="371"/>
      <c r="N1364" s="371"/>
      <c r="O1364" s="371"/>
      <c r="P1364" s="371"/>
      <c r="Q1364" s="371"/>
      <c r="R1364" s="395"/>
      <c r="S1364" s="395" t="str">
        <f ca="1">Summon!$I$4</f>
        <v>战斗</v>
      </c>
      <c r="T1364" s="371"/>
      <c r="U1364" s="371"/>
      <c r="V1364" s="371"/>
      <c r="W1364" s="208"/>
    </row>
    <row r="1365" spans="1:23" ht="12.75" x14ac:dyDescent="0.2">
      <c r="A1365" s="208"/>
      <c r="B1365" s="371"/>
      <c r="C1365" s="208" t="b">
        <v>0</v>
      </c>
      <c r="D1365" s="59" t="str">
        <f ca="1">道具!$C$20</f>
        <v>黑暗治疗药草</v>
      </c>
      <c r="E1365" s="371"/>
      <c r="F1365" s="371"/>
      <c r="G1365" s="371"/>
      <c r="H1365" s="371"/>
      <c r="I1365" s="371"/>
      <c r="J1365" s="371"/>
      <c r="K1365" s="371"/>
      <c r="L1365" s="371"/>
      <c r="M1365" s="371"/>
      <c r="N1365" s="371"/>
      <c r="O1365" s="371"/>
      <c r="P1365" s="371"/>
      <c r="Q1365" s="371"/>
      <c r="R1365" s="371"/>
      <c r="S1365" s="371"/>
      <c r="T1365" s="371"/>
      <c r="U1365" s="371"/>
      <c r="V1365" s="371"/>
      <c r="W1365" s="208"/>
    </row>
    <row r="1366" spans="1:23" ht="12.75" x14ac:dyDescent="0.2">
      <c r="A1366" s="208"/>
      <c r="B1366" s="568"/>
      <c r="C1366" s="210" t="b">
        <v>0</v>
      </c>
      <c r="D1366" s="211" t="str">
        <f ca="1">道具!$C$16</f>
        <v>复活的橄榄（大）</v>
      </c>
      <c r="E1366" s="568"/>
      <c r="F1366" s="568"/>
      <c r="G1366" s="568"/>
      <c r="H1366" s="568"/>
      <c r="I1366" s="568"/>
      <c r="J1366" s="568"/>
      <c r="K1366" s="568"/>
      <c r="L1366" s="568"/>
      <c r="M1366" s="568"/>
      <c r="N1366" s="568"/>
      <c r="O1366" s="568"/>
      <c r="P1366" s="568"/>
      <c r="Q1366" s="568"/>
      <c r="R1366" s="209"/>
      <c r="S1366" s="209"/>
      <c r="T1366" s="568"/>
      <c r="U1366" s="568"/>
      <c r="V1366" s="568"/>
      <c r="W1366" s="208"/>
    </row>
    <row r="1367" spans="1:23" ht="12.75" x14ac:dyDescent="0.2">
      <c r="A1367" s="208"/>
      <c r="B1367" s="211" t="str">
        <f ca="1">语言!$A$1828</f>
        <v>部族长</v>
      </c>
      <c r="C1367" s="210" t="b">
        <v>0</v>
      </c>
      <c r="D1367" s="211" t="str">
        <f ca="1">道具!$C$19</f>
        <v>沉默治疗药草</v>
      </c>
      <c r="E1367" s="210" t="b">
        <v>0</v>
      </c>
      <c r="F1367" s="209" t="str">
        <f ca="1">道具!$I$9</f>
        <v>部族长的行程</v>
      </c>
      <c r="G1367" s="210" t="b">
        <v>0</v>
      </c>
      <c r="H1367" s="217" t="s">
        <v>46</v>
      </c>
      <c r="I1367" s="209">
        <v>3</v>
      </c>
      <c r="J1367" s="209"/>
      <c r="K1367" s="209"/>
      <c r="L1367" s="209"/>
      <c r="M1367" s="209"/>
      <c r="N1367" s="209"/>
      <c r="O1367" s="209" t="str">
        <f ca="1">道具!$C$19</f>
        <v>沉默治疗药草</v>
      </c>
      <c r="P1367" s="210"/>
      <c r="Q1367" s="213" t="s">
        <v>119</v>
      </c>
      <c r="R1367" s="213" t="s">
        <v>119</v>
      </c>
      <c r="S1367" s="213" t="s">
        <v>119</v>
      </c>
      <c r="T1367" s="213" t="s">
        <v>119</v>
      </c>
      <c r="U1367" s="210"/>
      <c r="V1367" s="209" t="str">
        <f ca="1">"NPC available only during Quest: "&amp;支线!$C$88</f>
        <v>NPC available only during Quest: 巡游少女莉亚（３）</v>
      </c>
      <c r="W1367" s="208"/>
    </row>
    <row r="1368" spans="1:23" ht="12.75" x14ac:dyDescent="0.2">
      <c r="A1368" s="208"/>
      <c r="B1368" s="400" t="str">
        <f ca="1">语言!$A$1903</f>
        <v>卫兵</v>
      </c>
      <c r="C1368" s="208" t="b">
        <v>0</v>
      </c>
      <c r="D1368" s="59" t="str">
        <f ca="1">道具!$C$487</f>
        <v>会心手环</v>
      </c>
      <c r="E1368" s="567" t="b">
        <v>0</v>
      </c>
      <c r="F1368" s="395" t="str">
        <f ca="1">语言!$A$33&amp;"
"&amp;道具!$C$96</f>
        <v>隐藏道具的资讯
装了破烂儿的小袋子</v>
      </c>
      <c r="G1368" s="567" t="b">
        <v>0</v>
      </c>
      <c r="H1368" s="569" t="s">
        <v>50</v>
      </c>
      <c r="I1368" s="395">
        <v>4</v>
      </c>
      <c r="J1368" s="395"/>
      <c r="K1368" s="395"/>
      <c r="L1368" s="395"/>
      <c r="M1368" s="395"/>
      <c r="N1368" s="395"/>
      <c r="O1368" s="395" t="str">
        <f ca="1">道具!$C$534</f>
        <v>超含毒的素材</v>
      </c>
      <c r="P1368" s="567"/>
      <c r="Q1368" s="569" t="s">
        <v>50</v>
      </c>
      <c r="R1368" s="58"/>
      <c r="S1368" s="58" t="str">
        <f ca="1">Summon!$I$157</f>
        <v>攻击力下降</v>
      </c>
      <c r="T1368" s="569">
        <v>7</v>
      </c>
      <c r="U1368" s="567"/>
      <c r="V1368" s="395"/>
      <c r="W1368" s="208"/>
    </row>
    <row r="1369" spans="1:23" ht="25.5" x14ac:dyDescent="0.2">
      <c r="A1369" s="208"/>
      <c r="B1369" s="371"/>
      <c r="C1369" s="208" t="b">
        <v>0</v>
      </c>
      <c r="D1369" s="59" t="str">
        <f ca="1">道具!$C$10</f>
        <v>ＢＰ恢复的石榴（大）</v>
      </c>
      <c r="E1369" s="371"/>
      <c r="F1369" s="371"/>
      <c r="G1369" s="371"/>
      <c r="H1369" s="371"/>
      <c r="I1369" s="371"/>
      <c r="J1369" s="371"/>
      <c r="K1369" s="371"/>
      <c r="L1369" s="371"/>
      <c r="M1369" s="371"/>
      <c r="N1369" s="371"/>
      <c r="O1369" s="371"/>
      <c r="P1369" s="371"/>
      <c r="Q1369" s="371"/>
      <c r="R1369" s="58"/>
      <c r="S1369" s="58" t="str">
        <f ca="1">Summon!$I$6</f>
        <v>斩击</v>
      </c>
      <c r="T1369" s="371"/>
      <c r="U1369" s="371"/>
      <c r="V1369" s="371"/>
      <c r="W1369" s="208"/>
    </row>
    <row r="1370" spans="1:23" ht="25.5" x14ac:dyDescent="0.2">
      <c r="A1370" s="208"/>
      <c r="B1370" s="568"/>
      <c r="C1370" s="210" t="b">
        <v>0</v>
      </c>
      <c r="D1370" s="211" t="str">
        <f ca="1">道具!$C$10</f>
        <v>ＢＰ恢复的石榴（大）</v>
      </c>
      <c r="E1370" s="568"/>
      <c r="F1370" s="568"/>
      <c r="G1370" s="568"/>
      <c r="H1370" s="568"/>
      <c r="I1370" s="568"/>
      <c r="J1370" s="568"/>
      <c r="K1370" s="568"/>
      <c r="L1370" s="568"/>
      <c r="M1370" s="568"/>
      <c r="N1370" s="568"/>
      <c r="O1370" s="568"/>
      <c r="P1370" s="568"/>
      <c r="Q1370" s="568"/>
      <c r="R1370" s="209"/>
      <c r="S1370" s="209" t="str">
        <f ca="1">Summon!$I$4</f>
        <v>战斗</v>
      </c>
      <c r="T1370" s="568"/>
      <c r="U1370" s="568"/>
      <c r="V1370" s="568"/>
      <c r="W1370" s="208"/>
    </row>
    <row r="1371" spans="1:23" ht="12.75" x14ac:dyDescent="0.2">
      <c r="A1371" s="208"/>
      <c r="B1371" s="400" t="str">
        <f ca="1">语言!$A$1903</f>
        <v>卫兵</v>
      </c>
      <c r="C1371" s="208" t="b">
        <v>0</v>
      </c>
      <c r="D1371" s="59" t="str">
        <f ca="1">道具!$C$32</f>
        <v>火之精灵石（特大）</v>
      </c>
      <c r="E1371" s="567" t="b">
        <v>0</v>
      </c>
      <c r="F1371" s="395" t="str">
        <f ca="1">语言!$A$33&amp;"
"&amp;道具!$C$32</f>
        <v>隐藏道具的资讯
火之精灵石（特大）</v>
      </c>
      <c r="G1371" s="567" t="b">
        <v>0</v>
      </c>
      <c r="H1371" s="569" t="s">
        <v>47</v>
      </c>
      <c r="I1371" s="395">
        <v>4</v>
      </c>
      <c r="J1371" s="395"/>
      <c r="K1371" s="395"/>
      <c r="L1371" s="395"/>
      <c r="M1371" s="395"/>
      <c r="N1371" s="395"/>
      <c r="O1371" s="395" t="str">
        <f ca="1">道具!$C$4</f>
        <v>ＨＰ恢复的葡萄（大）</v>
      </c>
      <c r="P1371" s="567"/>
      <c r="Q1371" s="569" t="s">
        <v>47</v>
      </c>
      <c r="R1371" s="58"/>
      <c r="S1371" s="58" t="str">
        <f ca="1">Summon!$I$53</f>
        <v>脑天击</v>
      </c>
      <c r="T1371" s="569">
        <v>6</v>
      </c>
      <c r="U1371" s="567"/>
      <c r="V1371" s="395"/>
      <c r="W1371" s="208"/>
    </row>
    <row r="1372" spans="1:23" ht="12.75" x14ac:dyDescent="0.2">
      <c r="A1372" s="208"/>
      <c r="B1372" s="371"/>
      <c r="C1372" s="208" t="b">
        <v>0</v>
      </c>
      <c r="D1372" s="59" t="str">
        <f ca="1">道具!$C$42</f>
        <v>风之精灵石（特大）</v>
      </c>
      <c r="E1372" s="371"/>
      <c r="F1372" s="371"/>
      <c r="G1372" s="371"/>
      <c r="H1372" s="371"/>
      <c r="I1372" s="371"/>
      <c r="J1372" s="371"/>
      <c r="K1372" s="371"/>
      <c r="L1372" s="371"/>
      <c r="M1372" s="371"/>
      <c r="N1372" s="371"/>
      <c r="O1372" s="371"/>
      <c r="P1372" s="371"/>
      <c r="Q1372" s="371"/>
      <c r="R1372" s="58"/>
      <c r="S1372" s="58" t="str">
        <f ca="1">Summon!$I$52</f>
        <v>重拳</v>
      </c>
      <c r="T1372" s="371"/>
      <c r="U1372" s="371"/>
      <c r="V1372" s="371"/>
      <c r="W1372" s="208"/>
    </row>
    <row r="1373" spans="1:23" ht="12.75" x14ac:dyDescent="0.2">
      <c r="A1373" s="208"/>
      <c r="B1373" s="568"/>
      <c r="C1373" s="210" t="b">
        <v>0</v>
      </c>
      <c r="D1373" s="211" t="str">
        <f ca="1">道具!$C$48</f>
        <v>暗之精灵石（特大）</v>
      </c>
      <c r="E1373" s="568"/>
      <c r="F1373" s="568"/>
      <c r="G1373" s="568"/>
      <c r="H1373" s="568"/>
      <c r="I1373" s="568"/>
      <c r="J1373" s="568"/>
      <c r="K1373" s="568"/>
      <c r="L1373" s="568"/>
      <c r="M1373" s="568"/>
      <c r="N1373" s="568"/>
      <c r="O1373" s="568"/>
      <c r="P1373" s="568"/>
      <c r="Q1373" s="568"/>
      <c r="R1373" s="209"/>
      <c r="S1373" s="209" t="str">
        <f ca="1">Summon!$I$4</f>
        <v>战斗</v>
      </c>
      <c r="T1373" s="568"/>
      <c r="U1373" s="568"/>
      <c r="V1373" s="568"/>
      <c r="W1373" s="208"/>
    </row>
    <row r="1374" spans="1:23" ht="12.75" x14ac:dyDescent="0.2">
      <c r="A1374" s="208"/>
      <c r="B1374" s="400" t="str">
        <f ca="1">语言!$A$2093&amp;" (2)"</f>
        <v>剧场管理人 (2)</v>
      </c>
      <c r="C1374" s="208" t="b">
        <v>0</v>
      </c>
      <c r="D1374" s="59" t="str">
        <f ca="1">道具!$C$8</f>
        <v>ＳＰ全体恢复的李子</v>
      </c>
      <c r="E1374" s="567" t="b">
        <v>0</v>
      </c>
      <c r="F1374" s="395" t="str">
        <f ca="1">语言!$A$23</f>
        <v>无</v>
      </c>
      <c r="G1374" s="567" t="b">
        <v>0</v>
      </c>
      <c r="H1374" s="569" t="s">
        <v>48</v>
      </c>
      <c r="I1374" s="395">
        <v>2</v>
      </c>
      <c r="J1374" s="395"/>
      <c r="K1374" s="395"/>
      <c r="L1374" s="395"/>
      <c r="M1374" s="395"/>
      <c r="N1374" s="395"/>
      <c r="O1374" s="395" t="str">
        <f ca="1">道具!$C$18</f>
        <v>毒治疗药草</v>
      </c>
      <c r="P1374" s="567"/>
      <c r="Q1374" s="569" t="s">
        <v>48</v>
      </c>
      <c r="R1374" s="58"/>
      <c r="S1374" s="58" t="str">
        <f ca="1">Summon!$I$72</f>
        <v>殴打</v>
      </c>
      <c r="T1374" s="569">
        <v>9</v>
      </c>
      <c r="U1374" s="567"/>
      <c r="V1374" s="395" t="str">
        <f ca="1">"NPC at this location after quest: "&amp;支线!$C$91</f>
        <v>NPC at this location after quest: 克林姆王，在那之后</v>
      </c>
      <c r="W1374" s="208"/>
    </row>
    <row r="1375" spans="1:23" ht="12.75" x14ac:dyDescent="0.2">
      <c r="A1375" s="208"/>
      <c r="B1375" s="371"/>
      <c r="C1375" s="208" t="b">
        <v>0</v>
      </c>
      <c r="D1375" s="59" t="str">
        <f ca="1">道具!$C$18</f>
        <v>毒治疗药草</v>
      </c>
      <c r="E1375" s="371"/>
      <c r="F1375" s="371"/>
      <c r="G1375" s="371"/>
      <c r="H1375" s="371"/>
      <c r="I1375" s="371"/>
      <c r="J1375" s="371"/>
      <c r="K1375" s="371"/>
      <c r="L1375" s="371"/>
      <c r="M1375" s="371"/>
      <c r="N1375" s="371"/>
      <c r="O1375" s="371"/>
      <c r="P1375" s="371"/>
      <c r="Q1375" s="371"/>
      <c r="R1375" s="58"/>
      <c r="S1375" s="58" t="str">
        <f ca="1">Summon!$I$4</f>
        <v>战斗</v>
      </c>
      <c r="T1375" s="371"/>
      <c r="U1375" s="371"/>
      <c r="V1375" s="371"/>
      <c r="W1375" s="208"/>
    </row>
    <row r="1376" spans="1:23" ht="12.75" x14ac:dyDescent="0.2">
      <c r="A1376" s="208"/>
      <c r="B1376" s="568"/>
      <c r="C1376" s="210" t="b">
        <v>0</v>
      </c>
      <c r="D1376" s="211" t="str">
        <f ca="1">道具!$C$473</f>
        <v>体力项链</v>
      </c>
      <c r="E1376" s="568"/>
      <c r="F1376" s="568"/>
      <c r="G1376" s="568"/>
      <c r="H1376" s="568"/>
      <c r="I1376" s="568"/>
      <c r="J1376" s="568"/>
      <c r="K1376" s="568"/>
      <c r="L1376" s="568"/>
      <c r="M1376" s="568"/>
      <c r="N1376" s="568"/>
      <c r="O1376" s="568"/>
      <c r="P1376" s="568"/>
      <c r="Q1376" s="568"/>
      <c r="R1376" s="209"/>
      <c r="S1376" s="209"/>
      <c r="T1376" s="568"/>
      <c r="U1376" s="568"/>
      <c r="V1376" s="568"/>
      <c r="W1376" s="208"/>
    </row>
    <row r="1377" spans="1:23" ht="12.75" x14ac:dyDescent="0.2">
      <c r="A1377" s="208"/>
      <c r="B1377" s="400" t="str">
        <f ca="1">语言!$A$1985</f>
        <v>大臣</v>
      </c>
      <c r="C1377" s="567" t="b">
        <v>0</v>
      </c>
      <c r="D1377" s="400" t="str">
        <f ca="1">道具!$C$12</f>
        <v>ＨＰ／ＳＰ恢复的果酱</v>
      </c>
      <c r="E1377" s="567" t="b">
        <v>0</v>
      </c>
      <c r="F1377" s="395" t="str">
        <f ca="1">语言!$A$23</f>
        <v>无</v>
      </c>
      <c r="G1377" s="567" t="b">
        <v>0</v>
      </c>
      <c r="H1377" s="569" t="s">
        <v>57</v>
      </c>
      <c r="I1377" s="395">
        <v>3</v>
      </c>
      <c r="J1377" s="395"/>
      <c r="K1377" s="395"/>
      <c r="L1377" s="395"/>
      <c r="M1377" s="395"/>
      <c r="N1377" s="395"/>
      <c r="O1377" s="395" t="str">
        <f ca="1">道具!$C$228</f>
        <v>迷惑短剑</v>
      </c>
      <c r="P1377" s="567"/>
      <c r="Q1377" s="569" t="s">
        <v>57</v>
      </c>
      <c r="R1377" s="58"/>
      <c r="S1377" s="58" t="str">
        <f ca="1">Summon!$I$160</f>
        <v>精神下降</v>
      </c>
      <c r="T1377" s="569">
        <v>8</v>
      </c>
      <c r="U1377" s="567"/>
      <c r="V1377" s="395" t="str">
        <f>"NPC available after all chapter 4"</f>
        <v>NPC available after all chapter 4</v>
      </c>
      <c r="W1377" s="208"/>
    </row>
    <row r="1378" spans="1:23" ht="12.75" x14ac:dyDescent="0.2">
      <c r="A1378" s="208"/>
      <c r="B1378" s="371"/>
      <c r="C1378" s="371"/>
      <c r="D1378" s="371"/>
      <c r="E1378" s="371"/>
      <c r="F1378" s="371"/>
      <c r="G1378" s="371"/>
      <c r="H1378" s="371"/>
      <c r="I1378" s="371"/>
      <c r="J1378" s="371"/>
      <c r="K1378" s="371"/>
      <c r="L1378" s="371"/>
      <c r="M1378" s="371"/>
      <c r="N1378" s="371"/>
      <c r="O1378" s="371"/>
      <c r="P1378" s="371"/>
      <c r="Q1378" s="371"/>
      <c r="R1378" s="58"/>
      <c r="S1378" s="58" t="str">
        <f ca="1">Summon!$I$48</f>
        <v>连掷短剑</v>
      </c>
      <c r="T1378" s="371"/>
      <c r="U1378" s="371"/>
      <c r="V1378" s="371"/>
      <c r="W1378" s="208"/>
    </row>
    <row r="1379" spans="1:23" ht="12.75" x14ac:dyDescent="0.2">
      <c r="A1379" s="208"/>
      <c r="B1379" s="568"/>
      <c r="C1379" s="568"/>
      <c r="D1379" s="568"/>
      <c r="E1379" s="568"/>
      <c r="F1379" s="568"/>
      <c r="G1379" s="568"/>
      <c r="H1379" s="568"/>
      <c r="I1379" s="568"/>
      <c r="J1379" s="568"/>
      <c r="K1379" s="568"/>
      <c r="L1379" s="568"/>
      <c r="M1379" s="568"/>
      <c r="N1379" s="568"/>
      <c r="O1379" s="568"/>
      <c r="P1379" s="568"/>
      <c r="Q1379" s="568"/>
      <c r="R1379" s="209"/>
      <c r="S1379" s="209" t="str">
        <f ca="1">Summon!$I$4</f>
        <v>战斗</v>
      </c>
      <c r="T1379" s="568"/>
      <c r="U1379" s="568"/>
      <c r="V1379" s="568"/>
      <c r="W1379" s="208"/>
    </row>
    <row r="1380" spans="1:23" ht="12.75" x14ac:dyDescent="0.2">
      <c r="A1380" s="208"/>
      <c r="B1380" s="400" t="str">
        <f ca="1">语言!$A$1939</f>
        <v>克林姆王</v>
      </c>
      <c r="C1380" s="567" t="b">
        <v>0</v>
      </c>
      <c r="D1380" s="400" t="str">
        <f ca="1">道具!$C$5</f>
        <v>ＨＰ全体恢复的葡萄</v>
      </c>
      <c r="E1380" s="567" t="b">
        <v>0</v>
      </c>
      <c r="F1380" s="395" t="str">
        <f ca="1">语言!$A$23</f>
        <v>无</v>
      </c>
      <c r="G1380" s="567" t="b">
        <v>0</v>
      </c>
      <c r="H1380" s="569" t="s">
        <v>49</v>
      </c>
      <c r="I1380" s="395">
        <v>4</v>
      </c>
      <c r="J1380" s="395"/>
      <c r="K1380" s="395"/>
      <c r="L1380" s="395"/>
      <c r="M1380" s="395"/>
      <c r="N1380" s="395"/>
      <c r="O1380" s="395" t="str">
        <f ca="1">道具!$C$5</f>
        <v>ＨＰ全体恢复的葡萄</v>
      </c>
      <c r="P1380" s="567"/>
      <c r="Q1380" s="569" t="s">
        <v>49</v>
      </c>
      <c r="R1380" s="58"/>
      <c r="S1380" s="58" t="str">
        <f ca="1">Summon!$I$176</f>
        <v>精神提升</v>
      </c>
      <c r="T1380" s="569">
        <v>7</v>
      </c>
      <c r="U1380" s="567"/>
      <c r="V1380" s="395" t="str">
        <f ca="1">"NPC available after all chapter 4
Can't "&amp;语言!$A$48&amp;", only "&amp;语言!$A$44</f>
        <v>NPC available after all chapter 4
Can't 诱惑, only 引导</v>
      </c>
      <c r="W1380" s="208"/>
    </row>
    <row r="1381" spans="1:23" ht="12.75" x14ac:dyDescent="0.2">
      <c r="A1381" s="208"/>
      <c r="B1381" s="371"/>
      <c r="C1381" s="371"/>
      <c r="D1381" s="371"/>
      <c r="E1381" s="371"/>
      <c r="F1381" s="371"/>
      <c r="G1381" s="371"/>
      <c r="H1381" s="371"/>
      <c r="I1381" s="371"/>
      <c r="J1381" s="371"/>
      <c r="K1381" s="371"/>
      <c r="L1381" s="371"/>
      <c r="M1381" s="371"/>
      <c r="N1381" s="371"/>
      <c r="O1381" s="371"/>
      <c r="P1381" s="371"/>
      <c r="Q1381" s="371"/>
      <c r="R1381" s="58"/>
      <c r="S1381" s="58" t="str">
        <f ca="1">Summon!$I$87</f>
        <v>大冰冻魔法</v>
      </c>
      <c r="T1381" s="371"/>
      <c r="U1381" s="371"/>
      <c r="V1381" s="371"/>
      <c r="W1381" s="208"/>
    </row>
    <row r="1382" spans="1:23" ht="12.75" x14ac:dyDescent="0.2">
      <c r="A1382" s="208"/>
      <c r="B1382" s="371"/>
      <c r="C1382" s="371"/>
      <c r="D1382" s="371"/>
      <c r="E1382" s="371"/>
      <c r="F1382" s="371"/>
      <c r="G1382" s="371"/>
      <c r="H1382" s="371"/>
      <c r="I1382" s="371"/>
      <c r="J1382" s="371"/>
      <c r="K1382" s="371"/>
      <c r="L1382" s="371"/>
      <c r="M1382" s="371"/>
      <c r="N1382" s="371"/>
      <c r="O1382" s="371"/>
      <c r="P1382" s="371"/>
      <c r="Q1382" s="371"/>
      <c r="R1382" s="58"/>
      <c r="S1382" s="58" t="str">
        <f ca="1">Summon!$I$4</f>
        <v>战斗</v>
      </c>
      <c r="T1382" s="371"/>
      <c r="U1382" s="371"/>
      <c r="V1382" s="371"/>
      <c r="W1382" s="208"/>
    </row>
    <row r="1383" spans="1:23" ht="12.75" x14ac:dyDescent="0.2">
      <c r="A1383" s="208"/>
      <c r="B1383" s="219"/>
      <c r="C1383" s="208"/>
      <c r="D1383" s="219"/>
      <c r="E1383" s="208"/>
      <c r="F1383" s="208"/>
      <c r="G1383" s="208"/>
      <c r="H1383" s="220"/>
      <c r="I1383" s="208"/>
      <c r="J1383" s="208"/>
      <c r="K1383" s="208"/>
      <c r="L1383" s="208"/>
      <c r="M1383" s="208"/>
      <c r="N1383" s="208"/>
      <c r="O1383" s="208"/>
      <c r="P1383" s="208"/>
      <c r="Q1383" s="220"/>
      <c r="R1383" s="208"/>
      <c r="S1383" s="208"/>
      <c r="T1383" s="220"/>
      <c r="U1383" s="208"/>
      <c r="V1383" s="208"/>
      <c r="W1383" s="208"/>
    </row>
    <row r="1384" spans="1:23" ht="23.25" x14ac:dyDescent="0.2">
      <c r="A1384" s="573" t="str">
        <f ca="1">语言!$A$434</f>
        <v>利维兰多地区</v>
      </c>
      <c r="B1384" s="371"/>
      <c r="C1384" s="527"/>
      <c r="D1384" s="371"/>
      <c r="E1384" s="371"/>
      <c r="F1384" s="371"/>
      <c r="G1384" s="371"/>
      <c r="H1384" s="371"/>
      <c r="I1384" s="371"/>
      <c r="J1384" s="371"/>
      <c r="K1384" s="371"/>
      <c r="L1384" s="371"/>
      <c r="M1384" s="371"/>
      <c r="N1384" s="371"/>
      <c r="O1384" s="371"/>
      <c r="P1384" s="371"/>
      <c r="Q1384" s="371"/>
      <c r="R1384" s="371"/>
      <c r="S1384" s="371"/>
      <c r="T1384" s="371"/>
      <c r="U1384" s="371"/>
      <c r="V1384" s="371"/>
      <c r="W1384" s="371"/>
    </row>
    <row r="1385" spans="1:23" ht="18" x14ac:dyDescent="0.2">
      <c r="A1385" s="119"/>
      <c r="B1385" s="574" t="str">
        <f ca="1">语言!$A$323&amp;" 1"</f>
        <v>Tier 1</v>
      </c>
      <c r="C1385" s="371"/>
      <c r="D1385" s="371"/>
      <c r="E1385" s="371"/>
      <c r="F1385" s="371"/>
      <c r="G1385" s="371"/>
      <c r="H1385" s="371"/>
      <c r="I1385" s="371"/>
      <c r="J1385" s="371"/>
      <c r="K1385" s="371"/>
      <c r="L1385" s="371"/>
      <c r="M1385" s="371"/>
      <c r="N1385" s="371"/>
      <c r="O1385" s="371"/>
      <c r="P1385" s="371"/>
      <c r="Q1385" s="371"/>
      <c r="R1385" s="371"/>
      <c r="S1385" s="371"/>
      <c r="T1385" s="371"/>
      <c r="U1385" s="371"/>
      <c r="V1385" s="371"/>
      <c r="W1385" s="119"/>
    </row>
    <row r="1386" spans="1:23" ht="12.75" x14ac:dyDescent="0.2">
      <c r="A1386" s="121"/>
      <c r="B1386" s="575" t="str">
        <f ca="1">语言!$A$435</f>
        <v>库利亚布鲁克</v>
      </c>
      <c r="C1386" s="371"/>
      <c r="D1386" s="371"/>
      <c r="E1386" s="371"/>
      <c r="F1386" s="371"/>
      <c r="G1386" s="371"/>
      <c r="H1386" s="371"/>
      <c r="I1386" s="371"/>
      <c r="J1386" s="371"/>
      <c r="K1386" s="371"/>
      <c r="L1386" s="371"/>
      <c r="M1386" s="371"/>
      <c r="N1386" s="371"/>
      <c r="O1386" s="371"/>
      <c r="P1386" s="371"/>
      <c r="Q1386" s="371"/>
      <c r="R1386" s="371"/>
      <c r="S1386" s="371"/>
      <c r="T1386" s="371"/>
      <c r="U1386" s="371"/>
      <c r="V1386" s="371"/>
      <c r="W1386" s="121"/>
    </row>
    <row r="1387" spans="1:23" ht="12.75" x14ac:dyDescent="0.2">
      <c r="A1387" s="128"/>
      <c r="B1387" s="402" t="str">
        <f ca="1">语言!$A$2103</f>
        <v>市民</v>
      </c>
      <c r="C1387" s="535" t="b">
        <v>0</v>
      </c>
      <c r="D1387" s="402" t="str">
        <f ca="1">道具!$C$259</f>
        <v>钢斧</v>
      </c>
      <c r="E1387" s="535" t="b">
        <v>0</v>
      </c>
      <c r="F1387" s="379" t="str">
        <f ca="1">语言!$A$24</f>
        <v>旅店的折扣资讯</v>
      </c>
      <c r="G1387" s="535" t="b">
        <v>0</v>
      </c>
      <c r="H1387" s="530" t="s">
        <v>48</v>
      </c>
      <c r="I1387" s="379">
        <v>2</v>
      </c>
      <c r="J1387" s="379"/>
      <c r="K1387" s="379"/>
      <c r="L1387" s="379"/>
      <c r="M1387" s="379"/>
      <c r="N1387" s="379"/>
      <c r="O1387" s="379" t="str">
        <f ca="1">道具!$C$532</f>
        <v>含毒的素材</v>
      </c>
      <c r="P1387" s="535"/>
      <c r="Q1387" s="530" t="s">
        <v>48</v>
      </c>
      <c r="R1387" s="17"/>
      <c r="S1387" s="17" t="str">
        <f ca="1">Summon!$I$52</f>
        <v>重拳</v>
      </c>
      <c r="T1387" s="530">
        <v>9</v>
      </c>
      <c r="U1387" s="535"/>
      <c r="V1387" s="379" t="str">
        <f ca="1">道具!$C$259&amp;" Not for Sale"</f>
        <v>钢斧 Not for Sale</v>
      </c>
      <c r="W1387" s="128"/>
    </row>
    <row r="1388" spans="1:23" ht="12.75" x14ac:dyDescent="0.2">
      <c r="A1388" s="128"/>
      <c r="B1388" s="531"/>
      <c r="C1388" s="531"/>
      <c r="D1388" s="531"/>
      <c r="E1388" s="531"/>
      <c r="F1388" s="531"/>
      <c r="G1388" s="531"/>
      <c r="H1388" s="531"/>
      <c r="I1388" s="531"/>
      <c r="J1388" s="531"/>
      <c r="K1388" s="531"/>
      <c r="L1388" s="531"/>
      <c r="M1388" s="531"/>
      <c r="N1388" s="531"/>
      <c r="O1388" s="531"/>
      <c r="P1388" s="531"/>
      <c r="Q1388" s="531"/>
      <c r="R1388" s="126"/>
      <c r="S1388" s="126" t="str">
        <f ca="1">Summon!$I$4</f>
        <v>战斗</v>
      </c>
      <c r="T1388" s="531"/>
      <c r="U1388" s="531"/>
      <c r="V1388" s="531"/>
      <c r="W1388" s="128"/>
    </row>
    <row r="1389" spans="1:23" ht="12.75" x14ac:dyDescent="0.2">
      <c r="A1389" s="128"/>
      <c r="B1389" s="402" t="str">
        <f ca="1">语言!$A$1974&amp;" (2)"</f>
        <v>图书馆员梅赛德斯 (2)</v>
      </c>
      <c r="C1389" s="128" t="b">
        <v>0</v>
      </c>
      <c r="D1389" s="19" t="str">
        <f ca="1">道具!$C$538</f>
        <v>睡眠花之叶</v>
      </c>
      <c r="E1389" s="535" t="b">
        <v>0</v>
      </c>
      <c r="F1389" s="379" t="str">
        <f ca="1">语言!$A$23</f>
        <v>无</v>
      </c>
      <c r="G1389" s="535" t="b">
        <v>0</v>
      </c>
      <c r="H1389" s="530" t="s">
        <v>57</v>
      </c>
      <c r="I1389" s="379">
        <v>3</v>
      </c>
      <c r="J1389" s="379"/>
      <c r="K1389" s="379"/>
      <c r="L1389" s="379"/>
      <c r="M1389" s="379"/>
      <c r="N1389" s="379"/>
      <c r="O1389" s="379" t="str">
        <f ca="1">道具!$C$540</f>
        <v>葡萄树液</v>
      </c>
      <c r="P1389" s="535"/>
      <c r="Q1389" s="530" t="s">
        <v>57</v>
      </c>
      <c r="R1389" s="17"/>
      <c r="S1389" s="17" t="str">
        <f ca="1">Summon!$I$176</f>
        <v>精神提升</v>
      </c>
      <c r="T1389" s="530">
        <v>8</v>
      </c>
      <c r="U1389" s="535"/>
      <c r="V1389" s="379" t="str">
        <f ca="1">"NPC at this location after quest: "&amp;支线!$C$99</f>
        <v>NPC at this location after quest: 药师杰夫，在那之后（２）</v>
      </c>
      <c r="W1389" s="128"/>
    </row>
    <row r="1390" spans="1:23" ht="12.75" x14ac:dyDescent="0.2">
      <c r="A1390" s="128"/>
      <c r="B1390" s="371"/>
      <c r="C1390" s="128" t="b">
        <v>0</v>
      </c>
      <c r="D1390" s="19" t="str">
        <f ca="1">道具!$C$539</f>
        <v>混乱多之叶</v>
      </c>
      <c r="E1390" s="371"/>
      <c r="F1390" s="371"/>
      <c r="G1390" s="371"/>
      <c r="H1390" s="371"/>
      <c r="I1390" s="371"/>
      <c r="J1390" s="371"/>
      <c r="K1390" s="371"/>
      <c r="L1390" s="371"/>
      <c r="M1390" s="371"/>
      <c r="N1390" s="371"/>
      <c r="O1390" s="371"/>
      <c r="P1390" s="371"/>
      <c r="Q1390" s="371"/>
      <c r="R1390" s="17"/>
      <c r="S1390" s="17" t="str">
        <f ca="1">Summon!$I$98</f>
        <v>光明魔法</v>
      </c>
      <c r="T1390" s="371"/>
      <c r="U1390" s="371"/>
      <c r="V1390" s="371"/>
      <c r="W1390" s="128"/>
    </row>
    <row r="1391" spans="1:23" ht="12.75" x14ac:dyDescent="0.2">
      <c r="A1391" s="128"/>
      <c r="B1391" s="531"/>
      <c r="C1391" s="130"/>
      <c r="D1391" s="125"/>
      <c r="E1391" s="531"/>
      <c r="F1391" s="531"/>
      <c r="G1391" s="531"/>
      <c r="H1391" s="531"/>
      <c r="I1391" s="531"/>
      <c r="J1391" s="531"/>
      <c r="K1391" s="531"/>
      <c r="L1391" s="531"/>
      <c r="M1391" s="531"/>
      <c r="N1391" s="531"/>
      <c r="O1391" s="531"/>
      <c r="P1391" s="531"/>
      <c r="Q1391" s="531"/>
      <c r="R1391" s="126"/>
      <c r="S1391" s="126" t="str">
        <f ca="1">Summon!$I$4</f>
        <v>战斗</v>
      </c>
      <c r="T1391" s="531"/>
      <c r="U1391" s="531"/>
      <c r="V1391" s="531"/>
      <c r="W1391" s="128"/>
    </row>
    <row r="1392" spans="1:23" ht="12.75" x14ac:dyDescent="0.2">
      <c r="A1392" s="128"/>
      <c r="B1392" s="402" t="str">
        <f ca="1">语言!$A$1770</f>
        <v>虹鲑鱼夫</v>
      </c>
      <c r="C1392" s="128" t="b">
        <v>0</v>
      </c>
      <c r="D1392" s="19" t="str">
        <f ca="1">道具!$C$538</f>
        <v>睡眠花之叶</v>
      </c>
      <c r="E1392" s="535" t="b">
        <v>0</v>
      </c>
      <c r="F1392" s="379" t="str">
        <f ca="1">语言!$A$33&amp;"
"&amp;道具!$C$542</f>
        <v>隐藏道具的资讯
石榴树液</v>
      </c>
      <c r="G1392" s="535" t="b">
        <v>0</v>
      </c>
      <c r="H1392" s="530" t="s">
        <v>49</v>
      </c>
      <c r="I1392" s="379">
        <v>4</v>
      </c>
      <c r="J1392" s="379"/>
      <c r="K1392" s="379"/>
      <c r="L1392" s="379"/>
      <c r="M1392" s="379"/>
      <c r="N1392" s="379"/>
      <c r="O1392" s="379" t="str">
        <f ca="1">道具!$C$190</f>
        <v>重骑枪</v>
      </c>
      <c r="P1392" s="535"/>
      <c r="Q1392" s="530" t="s">
        <v>49</v>
      </c>
      <c r="R1392" s="17"/>
      <c r="S1392" s="17" t="str">
        <f ca="1">Summon!$I$34</f>
        <v>无双突刺</v>
      </c>
      <c r="T1392" s="530">
        <v>7</v>
      </c>
      <c r="U1392" s="535"/>
      <c r="V1392" s="379" t="str">
        <f ca="1">"NPC available after "&amp;语言!$A$40&amp;" chapter 1"</f>
        <v>NPC available after 亚芬 chapter 1</v>
      </c>
      <c r="W1392" s="128"/>
    </row>
    <row r="1393" spans="1:23" ht="12.75" x14ac:dyDescent="0.2">
      <c r="A1393" s="128"/>
      <c r="B1393" s="371"/>
      <c r="C1393" s="128" t="b">
        <v>0</v>
      </c>
      <c r="D1393" s="19" t="str">
        <f ca="1">道具!$C$539</f>
        <v>混乱多之叶</v>
      </c>
      <c r="E1393" s="371"/>
      <c r="F1393" s="371"/>
      <c r="G1393" s="371"/>
      <c r="H1393" s="371"/>
      <c r="I1393" s="371"/>
      <c r="J1393" s="371"/>
      <c r="K1393" s="371"/>
      <c r="L1393" s="371"/>
      <c r="M1393" s="371"/>
      <c r="N1393" s="371"/>
      <c r="O1393" s="371"/>
      <c r="P1393" s="371"/>
      <c r="Q1393" s="371"/>
      <c r="R1393" s="17"/>
      <c r="S1393" s="17" t="str">
        <f ca="1">Summon!$I$30</f>
        <v>突刺</v>
      </c>
      <c r="T1393" s="371"/>
      <c r="U1393" s="371"/>
      <c r="V1393" s="371"/>
      <c r="W1393" s="128"/>
    </row>
    <row r="1394" spans="1:23" ht="12.75" x14ac:dyDescent="0.2">
      <c r="A1394" s="128"/>
      <c r="B1394" s="531"/>
      <c r="C1394" s="130"/>
      <c r="D1394" s="125"/>
      <c r="E1394" s="531"/>
      <c r="F1394" s="531"/>
      <c r="G1394" s="531"/>
      <c r="H1394" s="531"/>
      <c r="I1394" s="531"/>
      <c r="J1394" s="531"/>
      <c r="K1394" s="531"/>
      <c r="L1394" s="531"/>
      <c r="M1394" s="531"/>
      <c r="N1394" s="531"/>
      <c r="O1394" s="531"/>
      <c r="P1394" s="531"/>
      <c r="Q1394" s="531"/>
      <c r="R1394" s="126"/>
      <c r="S1394" s="126" t="str">
        <f ca="1">Summon!$I$4</f>
        <v>战斗</v>
      </c>
      <c r="T1394" s="531"/>
      <c r="U1394" s="531"/>
      <c r="V1394" s="531"/>
      <c r="W1394" s="128"/>
    </row>
    <row r="1395" spans="1:23" ht="12.75" x14ac:dyDescent="0.2">
      <c r="A1395" s="128"/>
      <c r="B1395" s="402" t="str">
        <f ca="1">语言!$A$1900</f>
        <v>孙女</v>
      </c>
      <c r="C1395" s="128" t="b">
        <v>0</v>
      </c>
      <c r="D1395" s="19" t="str">
        <f ca="1">道具!$C$394</f>
        <v>银发饰</v>
      </c>
      <c r="E1395" s="535" t="b">
        <v>0</v>
      </c>
      <c r="F1395" s="379" t="str">
        <f ca="1">语言!$A$33&amp;"
"&amp;道具!$C$264</f>
        <v>隐藏道具的资讯
银制斧</v>
      </c>
      <c r="G1395" s="535" t="b">
        <v>0</v>
      </c>
      <c r="H1395" s="530" t="s">
        <v>57</v>
      </c>
      <c r="I1395" s="379">
        <v>3</v>
      </c>
      <c r="J1395" s="379"/>
      <c r="K1395" s="379"/>
      <c r="L1395" s="379"/>
      <c r="M1395" s="379"/>
      <c r="N1395" s="379"/>
      <c r="O1395" s="379" t="str">
        <f ca="1">道具!$C$3</f>
        <v>ＨＰ恢复的葡萄</v>
      </c>
      <c r="P1395" s="535"/>
      <c r="Q1395" s="534" t="s">
        <v>119</v>
      </c>
      <c r="R1395" s="534" t="s">
        <v>119</v>
      </c>
      <c r="S1395" s="534" t="s">
        <v>119</v>
      </c>
      <c r="T1395" s="534" t="s">
        <v>119</v>
      </c>
      <c r="U1395" s="535"/>
      <c r="V1395" s="379"/>
      <c r="W1395" s="128"/>
    </row>
    <row r="1396" spans="1:23" ht="12.75" x14ac:dyDescent="0.2">
      <c r="A1396" s="128"/>
      <c r="B1396" s="531"/>
      <c r="C1396" s="130" t="b">
        <v>0</v>
      </c>
      <c r="D1396" s="125" t="str">
        <f ca="1">道具!$C$498</f>
        <v>守护耳环</v>
      </c>
      <c r="E1396" s="531"/>
      <c r="F1396" s="531"/>
      <c r="G1396" s="531"/>
      <c r="H1396" s="531"/>
      <c r="I1396" s="531"/>
      <c r="J1396" s="531"/>
      <c r="K1396" s="531"/>
      <c r="L1396" s="531"/>
      <c r="M1396" s="531"/>
      <c r="N1396" s="531"/>
      <c r="O1396" s="531"/>
      <c r="P1396" s="531"/>
      <c r="Q1396" s="531"/>
      <c r="R1396" s="531"/>
      <c r="S1396" s="531"/>
      <c r="T1396" s="531"/>
      <c r="U1396" s="531"/>
      <c r="V1396" s="531"/>
      <c r="W1396" s="128"/>
    </row>
    <row r="1397" spans="1:23" ht="12.75" x14ac:dyDescent="0.2">
      <c r="A1397" s="128"/>
      <c r="B1397" s="402" t="str">
        <f ca="1">语言!$A$2014</f>
        <v>老人</v>
      </c>
      <c r="C1397" s="128" t="b">
        <v>0</v>
      </c>
      <c r="D1397" s="19" t="str">
        <f ca="1">道具!$C$255</f>
        <v>银斧</v>
      </c>
      <c r="E1397" s="535" t="b">
        <v>0</v>
      </c>
      <c r="F1397" s="379" t="str">
        <f ca="1">语言!$A$23</f>
        <v>无</v>
      </c>
      <c r="G1397" s="535" t="b">
        <v>0</v>
      </c>
      <c r="H1397" s="530" t="s">
        <v>45</v>
      </c>
      <c r="I1397" s="379">
        <v>2</v>
      </c>
      <c r="J1397" s="379"/>
      <c r="K1397" s="379"/>
      <c r="L1397" s="379"/>
      <c r="M1397" s="379"/>
      <c r="N1397" s="379"/>
      <c r="O1397" s="379" t="str">
        <f ca="1">道具!$C$532</f>
        <v>含毒的素材</v>
      </c>
      <c r="P1397" s="535"/>
      <c r="Q1397" s="534" t="s">
        <v>119</v>
      </c>
      <c r="R1397" s="534" t="s">
        <v>119</v>
      </c>
      <c r="S1397" s="534" t="s">
        <v>119</v>
      </c>
      <c r="T1397" s="534" t="s">
        <v>119</v>
      </c>
      <c r="U1397" s="535"/>
      <c r="V1397" s="379" t="str">
        <f ca="1">"Behind other NPC ("&amp;语言!$A$47&amp;" / "&amp;语言!$A$51&amp;")
Cannot "&amp;语言!$A$46&amp;", only "&amp;语言!$A$50</f>
        <v>Behind other NPC (比试 / 唆使)
Cannot 购买, only 偷取</v>
      </c>
      <c r="W1397" s="128"/>
    </row>
    <row r="1398" spans="1:23" ht="12.75" x14ac:dyDescent="0.2">
      <c r="A1398" s="128"/>
      <c r="B1398" s="531"/>
      <c r="C1398" s="130" t="b">
        <v>0</v>
      </c>
      <c r="D1398" s="125" t="str">
        <f ca="1">道具!$C$241</f>
        <v>金斧</v>
      </c>
      <c r="E1398" s="531"/>
      <c r="F1398" s="531"/>
      <c r="G1398" s="531"/>
      <c r="H1398" s="531"/>
      <c r="I1398" s="531"/>
      <c r="J1398" s="531"/>
      <c r="K1398" s="531"/>
      <c r="L1398" s="531"/>
      <c r="M1398" s="531"/>
      <c r="N1398" s="531"/>
      <c r="O1398" s="531"/>
      <c r="P1398" s="531"/>
      <c r="Q1398" s="531"/>
      <c r="R1398" s="531"/>
      <c r="S1398" s="531"/>
      <c r="T1398" s="531"/>
      <c r="U1398" s="531"/>
      <c r="V1398" s="531"/>
      <c r="W1398" s="128"/>
    </row>
    <row r="1399" spans="1:23" ht="12.75" x14ac:dyDescent="0.2">
      <c r="A1399" s="128"/>
      <c r="B1399" s="402" t="str">
        <f ca="1">语言!$A$1979</f>
        <v>梅莉儿的父亲</v>
      </c>
      <c r="C1399" s="128" t="b">
        <v>0</v>
      </c>
      <c r="D1399" s="19" t="str">
        <f ca="1">道具!$C$543</f>
        <v>橄榄花</v>
      </c>
      <c r="E1399" s="535" t="b">
        <v>0</v>
      </c>
      <c r="F1399" s="379" t="str">
        <f ca="1">道具!$I$35</f>
        <v>梅莉儿的过去</v>
      </c>
      <c r="G1399" s="535" t="b">
        <v>0</v>
      </c>
      <c r="H1399" s="530" t="s">
        <v>57</v>
      </c>
      <c r="I1399" s="379">
        <v>3</v>
      </c>
      <c r="J1399" s="379"/>
      <c r="K1399" s="379"/>
      <c r="L1399" s="379"/>
      <c r="M1399" s="379"/>
      <c r="N1399" s="379"/>
      <c r="O1399" s="379" t="str">
        <f ca="1">道具!$C$538</f>
        <v>睡眠花之叶</v>
      </c>
      <c r="P1399" s="535"/>
      <c r="Q1399" s="530" t="s">
        <v>45</v>
      </c>
      <c r="R1399" s="17"/>
      <c r="S1399" s="17" t="str">
        <f ca="1">Summon!$I$20</f>
        <v>横扫</v>
      </c>
      <c r="T1399" s="530">
        <v>9</v>
      </c>
      <c r="U1399" s="535"/>
      <c r="V1399" s="379" t="str">
        <f ca="1">"NPC available after "&amp;语言!$A$40&amp;" chapter 1"</f>
        <v>NPC available after 亚芬 chapter 1</v>
      </c>
      <c r="W1399" s="128"/>
    </row>
    <row r="1400" spans="1:23" ht="12.75" x14ac:dyDescent="0.2">
      <c r="A1400" s="128"/>
      <c r="B1400" s="371"/>
      <c r="C1400" s="128" t="b">
        <v>0</v>
      </c>
      <c r="D1400" s="19" t="str">
        <f ca="1">道具!$C$544</f>
        <v>神秘之花</v>
      </c>
      <c r="E1400" s="371"/>
      <c r="F1400" s="371"/>
      <c r="G1400" s="371"/>
      <c r="H1400" s="371"/>
      <c r="I1400" s="371"/>
      <c r="J1400" s="371"/>
      <c r="K1400" s="371"/>
      <c r="L1400" s="371"/>
      <c r="M1400" s="371"/>
      <c r="N1400" s="371"/>
      <c r="O1400" s="371"/>
      <c r="P1400" s="371"/>
      <c r="Q1400" s="371"/>
      <c r="R1400" s="17"/>
      <c r="S1400" s="17" t="str">
        <f ca="1">Summon!$I$6</f>
        <v>斩击</v>
      </c>
      <c r="T1400" s="371"/>
      <c r="U1400" s="371"/>
      <c r="V1400" s="371"/>
      <c r="W1400" s="128"/>
    </row>
    <row r="1401" spans="1:23" ht="12.75" x14ac:dyDescent="0.2">
      <c r="A1401" s="128"/>
      <c r="B1401" s="531"/>
      <c r="C1401" s="130"/>
      <c r="D1401" s="125"/>
      <c r="E1401" s="531"/>
      <c r="F1401" s="531"/>
      <c r="G1401" s="531"/>
      <c r="H1401" s="531"/>
      <c r="I1401" s="531"/>
      <c r="J1401" s="531"/>
      <c r="K1401" s="531"/>
      <c r="L1401" s="531"/>
      <c r="M1401" s="531"/>
      <c r="N1401" s="531"/>
      <c r="O1401" s="531"/>
      <c r="P1401" s="531"/>
      <c r="Q1401" s="531"/>
      <c r="R1401" s="126"/>
      <c r="S1401" s="126" t="str">
        <f ca="1">Summon!$I$4</f>
        <v>战斗</v>
      </c>
      <c r="T1401" s="531"/>
      <c r="U1401" s="531"/>
      <c r="V1401" s="531"/>
      <c r="W1401" s="128"/>
    </row>
    <row r="1402" spans="1:23" ht="12.75" x14ac:dyDescent="0.2">
      <c r="A1402" s="128"/>
      <c r="B1402" s="402" t="str">
        <f ca="1">语言!$A$1876&amp;" (2)"</f>
        <v>鱼贩 (2)</v>
      </c>
      <c r="C1402" s="128" t="b">
        <v>0</v>
      </c>
      <c r="D1402" s="19" t="str">
        <f ca="1">道具!$C$539</f>
        <v>混乱多之叶</v>
      </c>
      <c r="E1402" s="535" t="b">
        <v>0</v>
      </c>
      <c r="F1402" s="379" t="str">
        <f ca="1">语言!$A$23</f>
        <v>无</v>
      </c>
      <c r="G1402" s="535" t="b">
        <v>0</v>
      </c>
      <c r="H1402" s="530" t="s">
        <v>57</v>
      </c>
      <c r="I1402" s="379">
        <v>3</v>
      </c>
      <c r="J1402" s="379"/>
      <c r="K1402" s="379"/>
      <c r="L1402" s="379"/>
      <c r="M1402" s="379"/>
      <c r="N1402" s="379"/>
      <c r="O1402" s="379" t="str">
        <f ca="1">道具!$C$87</f>
        <v>小酒壶</v>
      </c>
      <c r="P1402" s="535"/>
      <c r="Q1402" s="530" t="s">
        <v>57</v>
      </c>
      <c r="R1402" s="17"/>
      <c r="S1402" s="17" t="str">
        <f ca="1">Summon!$I$6</f>
        <v>斩击</v>
      </c>
      <c r="T1402" s="530">
        <v>8</v>
      </c>
      <c r="U1402" s="535"/>
      <c r="V1402" s="379" t="str">
        <f ca="1">"NPC at this location after quest: "&amp;支线!$C$96&amp;"
("&amp;语言!$A$47&amp;" / "&amp;语言!$A$51&amp;" solution only)"</f>
        <v>NPC at this location after quest: 消失的鱼
(比试 / 唆使 solution only)</v>
      </c>
      <c r="W1402" s="128"/>
    </row>
    <row r="1403" spans="1:23" ht="12.75" x14ac:dyDescent="0.2">
      <c r="A1403" s="128"/>
      <c r="B1403" s="371"/>
      <c r="C1403" s="128" t="b">
        <v>0</v>
      </c>
      <c r="D1403" s="19" t="str">
        <f ca="1">道具!$C$3</f>
        <v>ＨＰ恢复的葡萄</v>
      </c>
      <c r="E1403" s="371"/>
      <c r="F1403" s="371"/>
      <c r="G1403" s="371"/>
      <c r="H1403" s="371"/>
      <c r="I1403" s="371"/>
      <c r="J1403" s="371"/>
      <c r="K1403" s="371"/>
      <c r="L1403" s="371"/>
      <c r="M1403" s="371"/>
      <c r="N1403" s="371"/>
      <c r="O1403" s="371"/>
      <c r="P1403" s="371"/>
      <c r="Q1403" s="371"/>
      <c r="R1403" s="17"/>
      <c r="S1403" s="17" t="str">
        <f ca="1">Summon!$I$174</f>
        <v>防御力提升</v>
      </c>
      <c r="T1403" s="371"/>
      <c r="U1403" s="371"/>
      <c r="V1403" s="371"/>
      <c r="W1403" s="128"/>
    </row>
    <row r="1404" spans="1:23" ht="12.75" x14ac:dyDescent="0.2">
      <c r="A1404" s="128"/>
      <c r="B1404" s="531"/>
      <c r="C1404" s="130" t="b">
        <v>0</v>
      </c>
      <c r="D1404" s="125" t="str">
        <f ca="1">道具!$C$352</f>
        <v>大盾</v>
      </c>
      <c r="E1404" s="531"/>
      <c r="F1404" s="531"/>
      <c r="G1404" s="531"/>
      <c r="H1404" s="531"/>
      <c r="I1404" s="531"/>
      <c r="J1404" s="531"/>
      <c r="K1404" s="531"/>
      <c r="L1404" s="531"/>
      <c r="M1404" s="531"/>
      <c r="N1404" s="531"/>
      <c r="O1404" s="531"/>
      <c r="P1404" s="531"/>
      <c r="Q1404" s="531"/>
      <c r="R1404" s="126"/>
      <c r="S1404" s="126" t="str">
        <f ca="1">Summon!$I$4</f>
        <v>战斗</v>
      </c>
      <c r="T1404" s="531"/>
      <c r="U1404" s="531"/>
      <c r="V1404" s="531"/>
      <c r="W1404" s="128"/>
    </row>
    <row r="1405" spans="1:23" ht="12.75" x14ac:dyDescent="0.2">
      <c r="A1405" s="128"/>
      <c r="B1405" s="402" t="str">
        <f ca="1">语言!$A$2043</f>
        <v>常客</v>
      </c>
      <c r="C1405" s="128" t="b">
        <v>0</v>
      </c>
      <c r="D1405" s="19" t="str">
        <f ca="1">道具!$C$540</f>
        <v>葡萄树液</v>
      </c>
      <c r="E1405" s="535" t="b">
        <v>0</v>
      </c>
      <c r="F1405" s="379" t="str">
        <f ca="1">语言!$A$27</f>
        <v>杂货店商品追加资讯</v>
      </c>
      <c r="G1405" s="535" t="b">
        <v>0</v>
      </c>
      <c r="H1405" s="530" t="s">
        <v>48</v>
      </c>
      <c r="I1405" s="379">
        <v>2</v>
      </c>
      <c r="J1405" s="379"/>
      <c r="K1405" s="379"/>
      <c r="L1405" s="379"/>
      <c r="M1405" s="379"/>
      <c r="N1405" s="379"/>
      <c r="O1405" s="379" t="str">
        <f ca="1">道具!$C$528</f>
        <v>药的素材</v>
      </c>
      <c r="P1405" s="535"/>
      <c r="Q1405" s="530" t="s">
        <v>48</v>
      </c>
      <c r="R1405" s="17"/>
      <c r="S1405" s="17" t="str">
        <f ca="1">Summon!$I$30</f>
        <v>突刺</v>
      </c>
      <c r="T1405" s="530">
        <v>9</v>
      </c>
      <c r="U1405" s="535"/>
      <c r="V1405" s="379" t="str">
        <f ca="1">"NPC available after "&amp;语言!$A$40&amp;" chapter 1"</f>
        <v>NPC available after 亚芬 chapter 1</v>
      </c>
      <c r="W1405" s="128"/>
    </row>
    <row r="1406" spans="1:23" ht="12.75" x14ac:dyDescent="0.2">
      <c r="A1406" s="128"/>
      <c r="B1406" s="531"/>
      <c r="C1406" s="130" t="b">
        <v>0</v>
      </c>
      <c r="D1406" s="125" t="str">
        <f ca="1">道具!$C$541</f>
        <v>李子树液</v>
      </c>
      <c r="E1406" s="531"/>
      <c r="F1406" s="531"/>
      <c r="G1406" s="531"/>
      <c r="H1406" s="531"/>
      <c r="I1406" s="531"/>
      <c r="J1406" s="531"/>
      <c r="K1406" s="531"/>
      <c r="L1406" s="531"/>
      <c r="M1406" s="531"/>
      <c r="N1406" s="531"/>
      <c r="O1406" s="531"/>
      <c r="P1406" s="531"/>
      <c r="Q1406" s="531"/>
      <c r="R1406" s="126"/>
      <c r="S1406" s="126" t="str">
        <f ca="1">Summon!$I$4</f>
        <v>战斗</v>
      </c>
      <c r="T1406" s="531"/>
      <c r="U1406" s="531"/>
      <c r="V1406" s="531"/>
      <c r="W1406" s="128"/>
    </row>
    <row r="1407" spans="1:23" ht="12.75" x14ac:dyDescent="0.2">
      <c r="A1407" s="128"/>
      <c r="B1407" s="402" t="str">
        <f ca="1">语言!$A$1965</f>
        <v>厨师马格</v>
      </c>
      <c r="C1407" s="535" t="b">
        <v>0</v>
      </c>
      <c r="D1407" s="402" t="str">
        <f ca="1">"* "&amp;道具!$F$42</f>
        <v>* 小虾酱</v>
      </c>
      <c r="E1407" s="535" t="b">
        <v>0</v>
      </c>
      <c r="F1407" s="379" t="str">
        <f ca="1">语言!$A$23</f>
        <v>无</v>
      </c>
      <c r="G1407" s="535" t="b">
        <v>0</v>
      </c>
      <c r="H1407" s="530" t="s">
        <v>50</v>
      </c>
      <c r="I1407" s="379">
        <v>4</v>
      </c>
      <c r="J1407" s="379"/>
      <c r="K1407" s="379"/>
      <c r="L1407" s="379"/>
      <c r="M1407" s="379"/>
      <c r="N1407" s="379"/>
      <c r="O1407" s="379" t="str">
        <f ca="1">道具!$C$30</f>
        <v>火之精灵石</v>
      </c>
      <c r="P1407" s="535"/>
      <c r="Q1407" s="530" t="s">
        <v>50</v>
      </c>
      <c r="R1407" s="17"/>
      <c r="S1407" s="17" t="str">
        <f ca="1">Summon!$I$82</f>
        <v>全熟</v>
      </c>
      <c r="T1407" s="530">
        <v>7</v>
      </c>
      <c r="U1407" s="535"/>
      <c r="V1407" s="379" t="str">
        <f ca="1">"NPC available after "&amp;语言!$A$40&amp;" chapter 1"</f>
        <v>NPC available after 亚芬 chapter 1</v>
      </c>
      <c r="W1407" s="128"/>
    </row>
    <row r="1408" spans="1:23" ht="12.75" x14ac:dyDescent="0.2">
      <c r="A1408" s="128"/>
      <c r="B1408" s="371"/>
      <c r="C1408" s="371"/>
      <c r="D1408" s="371"/>
      <c r="E1408" s="371"/>
      <c r="F1408" s="371"/>
      <c r="G1408" s="371"/>
      <c r="H1408" s="371"/>
      <c r="I1408" s="371"/>
      <c r="J1408" s="371"/>
      <c r="K1408" s="371"/>
      <c r="L1408" s="371"/>
      <c r="M1408" s="371"/>
      <c r="N1408" s="371"/>
      <c r="O1408" s="371"/>
      <c r="P1408" s="371"/>
      <c r="Q1408" s="371"/>
      <c r="R1408" s="17"/>
      <c r="S1408" s="17" t="str">
        <f ca="1">Summon!$I$79</f>
        <v>一分熟</v>
      </c>
      <c r="T1408" s="371"/>
      <c r="U1408" s="371"/>
      <c r="V1408" s="371"/>
      <c r="W1408" s="128"/>
    </row>
    <row r="1409" spans="1:23" ht="12.75" x14ac:dyDescent="0.2">
      <c r="A1409" s="128"/>
      <c r="B1409" s="531"/>
      <c r="C1409" s="531"/>
      <c r="D1409" s="531"/>
      <c r="E1409" s="531"/>
      <c r="F1409" s="531"/>
      <c r="G1409" s="531"/>
      <c r="H1409" s="531"/>
      <c r="I1409" s="531"/>
      <c r="J1409" s="531"/>
      <c r="K1409" s="531"/>
      <c r="L1409" s="531"/>
      <c r="M1409" s="531"/>
      <c r="N1409" s="531"/>
      <c r="O1409" s="531"/>
      <c r="P1409" s="531"/>
      <c r="Q1409" s="531"/>
      <c r="R1409" s="126"/>
      <c r="S1409" s="126" t="str">
        <f ca="1">Summon!$I$4</f>
        <v>战斗</v>
      </c>
      <c r="T1409" s="531"/>
      <c r="U1409" s="531"/>
      <c r="V1409" s="531"/>
      <c r="W1409" s="128"/>
    </row>
    <row r="1410" spans="1:23" ht="12.75" x14ac:dyDescent="0.2">
      <c r="A1410" s="128"/>
      <c r="B1410" s="402" t="str">
        <f ca="1">语言!$A$1960&amp;" (2)"</f>
        <v>迷路的爷爷 /
活力十足的爷爷 (2)</v>
      </c>
      <c r="C1410" s="128" t="b">
        <v>0</v>
      </c>
      <c r="D1410" s="19" t="str">
        <f ca="1">道具!$C$538</f>
        <v>睡眠花之叶</v>
      </c>
      <c r="E1410" s="535" t="b">
        <v>0</v>
      </c>
      <c r="F1410" s="379" t="str">
        <f ca="1">语言!$A$23</f>
        <v>无</v>
      </c>
      <c r="G1410" s="535" t="b">
        <v>0</v>
      </c>
      <c r="H1410" s="530" t="s">
        <v>46</v>
      </c>
      <c r="I1410" s="379">
        <v>3</v>
      </c>
      <c r="J1410" s="379"/>
      <c r="K1410" s="379"/>
      <c r="L1410" s="379"/>
      <c r="M1410" s="379"/>
      <c r="N1410" s="379"/>
      <c r="O1410" s="379" t="str">
        <f ca="1">道具!$C$388</f>
        <v>飞行头盔</v>
      </c>
      <c r="P1410" s="535"/>
      <c r="Q1410" s="530" t="s">
        <v>46</v>
      </c>
      <c r="R1410" s="17"/>
      <c r="S1410" s="17" t="str">
        <f ca="1">Summon!$I$174</f>
        <v>防御力提升</v>
      </c>
      <c r="T1410" s="530">
        <v>8</v>
      </c>
      <c r="U1410" s="535"/>
      <c r="V1410" s="379" t="str">
        <f ca="1">"NPC at this location after quest: "&amp;支线!$C$97</f>
        <v>NPC at this location after quest: 与孙子重逢</v>
      </c>
      <c r="W1410" s="128"/>
    </row>
    <row r="1411" spans="1:23" ht="12.75" x14ac:dyDescent="0.2">
      <c r="A1411" s="128"/>
      <c r="B1411" s="531"/>
      <c r="C1411" s="130" t="b">
        <v>0</v>
      </c>
      <c r="D1411" s="125" t="str">
        <f ca="1">道具!$C$3</f>
        <v>ＨＰ恢复的葡萄</v>
      </c>
      <c r="E1411" s="531"/>
      <c r="F1411" s="531"/>
      <c r="G1411" s="531"/>
      <c r="H1411" s="531"/>
      <c r="I1411" s="531"/>
      <c r="J1411" s="531"/>
      <c r="K1411" s="531"/>
      <c r="L1411" s="531"/>
      <c r="M1411" s="531"/>
      <c r="N1411" s="531"/>
      <c r="O1411" s="531"/>
      <c r="P1411" s="531"/>
      <c r="Q1411" s="531"/>
      <c r="R1411" s="126"/>
      <c r="S1411" s="126" t="str">
        <f ca="1">Summon!$I$4</f>
        <v>战斗</v>
      </c>
      <c r="T1411" s="531"/>
      <c r="U1411" s="531"/>
      <c r="V1411" s="531"/>
      <c r="W1411" s="128"/>
    </row>
    <row r="1412" spans="1:23" ht="12.75" x14ac:dyDescent="0.2">
      <c r="A1412" s="128"/>
      <c r="B1412" s="402" t="str">
        <f ca="1">语言!$A$1958</f>
        <v>等着爷爷的孙子 /
精神饱满的孙子</v>
      </c>
      <c r="C1412" s="128" t="b">
        <v>0</v>
      </c>
      <c r="D1412" s="19" t="str">
        <f ca="1">道具!$C$537</f>
        <v>毒利米树之叶</v>
      </c>
      <c r="E1412" s="535" t="b">
        <v>0</v>
      </c>
      <c r="F1412" s="379" t="str">
        <f ca="1">语言!$A$23</f>
        <v>无</v>
      </c>
      <c r="G1412" s="535"/>
      <c r="H1412" s="534" t="s">
        <v>119</v>
      </c>
      <c r="I1412" s="534" t="s">
        <v>119</v>
      </c>
      <c r="J1412" s="534" t="s">
        <v>119</v>
      </c>
      <c r="K1412" s="534" t="s">
        <v>119</v>
      </c>
      <c r="L1412" s="534" t="s">
        <v>119</v>
      </c>
      <c r="M1412" s="534" t="s">
        <v>119</v>
      </c>
      <c r="N1412" s="534" t="s">
        <v>119</v>
      </c>
      <c r="O1412" s="534" t="s">
        <v>119</v>
      </c>
      <c r="P1412" s="535"/>
      <c r="Q1412" s="534" t="s">
        <v>119</v>
      </c>
      <c r="R1412" s="534" t="s">
        <v>119</v>
      </c>
      <c r="S1412" s="534" t="s">
        <v>119</v>
      </c>
      <c r="T1412" s="534" t="s">
        <v>119</v>
      </c>
      <c r="U1412" s="535"/>
      <c r="V1412" s="379" t="str">
        <f ca="1">"NPC available after "&amp;语言!$A$40&amp;" chapter 1"</f>
        <v>NPC available after 亚芬 chapter 1</v>
      </c>
      <c r="W1412" s="128"/>
    </row>
    <row r="1413" spans="1:23" ht="12.75" x14ac:dyDescent="0.2">
      <c r="A1413" s="128"/>
      <c r="B1413" s="371"/>
      <c r="C1413" s="128" t="b">
        <v>0</v>
      </c>
      <c r="D1413" s="19" t="str">
        <f ca="1">道具!$C$538</f>
        <v>睡眠花之叶</v>
      </c>
      <c r="E1413" s="371"/>
      <c r="F1413" s="371"/>
      <c r="G1413" s="371"/>
      <c r="H1413" s="371"/>
      <c r="I1413" s="371"/>
      <c r="J1413" s="371"/>
      <c r="K1413" s="371"/>
      <c r="L1413" s="371"/>
      <c r="M1413" s="371"/>
      <c r="N1413" s="371"/>
      <c r="O1413" s="371"/>
      <c r="P1413" s="371"/>
      <c r="Q1413" s="371"/>
      <c r="R1413" s="371"/>
      <c r="S1413" s="371"/>
      <c r="T1413" s="371"/>
      <c r="U1413" s="371"/>
      <c r="V1413" s="371"/>
      <c r="W1413" s="128"/>
    </row>
    <row r="1414" spans="1:23" ht="12.75" x14ac:dyDescent="0.2">
      <c r="A1414" s="128"/>
      <c r="B1414" s="531"/>
      <c r="C1414" s="130" t="b">
        <v>0</v>
      </c>
      <c r="D1414" s="125" t="str">
        <f ca="1">道具!$C$539</f>
        <v>混乱多之叶</v>
      </c>
      <c r="E1414" s="531"/>
      <c r="F1414" s="531"/>
      <c r="G1414" s="531"/>
      <c r="H1414" s="531"/>
      <c r="I1414" s="531"/>
      <c r="J1414" s="531"/>
      <c r="K1414" s="531"/>
      <c r="L1414" s="531"/>
      <c r="M1414" s="531"/>
      <c r="N1414" s="531"/>
      <c r="O1414" s="531"/>
      <c r="P1414" s="531"/>
      <c r="Q1414" s="531"/>
      <c r="R1414" s="531"/>
      <c r="S1414" s="531"/>
      <c r="T1414" s="531"/>
      <c r="U1414" s="531"/>
      <c r="V1414" s="531"/>
      <c r="W1414" s="128"/>
    </row>
    <row r="1415" spans="1:23" ht="12.75" x14ac:dyDescent="0.2">
      <c r="A1415" s="128"/>
      <c r="B1415" s="402" t="str">
        <f ca="1">语言!$A$1894</f>
        <v>格尔达斯</v>
      </c>
      <c r="C1415" s="535" t="b">
        <v>0</v>
      </c>
      <c r="D1415" s="402" t="str">
        <f ca="1">道具!$C$265</f>
        <v>战斧</v>
      </c>
      <c r="E1415" s="535" t="b">
        <v>0</v>
      </c>
      <c r="F1415" s="379" t="str">
        <f ca="1">语言!$A$33&amp;"
"&amp;道具!$C$65</f>
        <v>隐藏道具的资讯
增强属防的坚果</v>
      </c>
      <c r="G1415" s="535" t="b">
        <v>0</v>
      </c>
      <c r="H1415" s="530" t="s">
        <v>57</v>
      </c>
      <c r="I1415" s="379">
        <v>3</v>
      </c>
      <c r="J1415" s="379"/>
      <c r="K1415" s="379"/>
      <c r="L1415" s="379"/>
      <c r="M1415" s="379"/>
      <c r="N1415" s="379"/>
      <c r="O1415" s="379" t="str">
        <f ca="1">道具!$C$18</f>
        <v>毒治疗药草</v>
      </c>
      <c r="P1415" s="535"/>
      <c r="Q1415" s="530" t="s">
        <v>48</v>
      </c>
      <c r="R1415" s="17"/>
      <c r="S1415" s="17" t="str">
        <f ca="1">Summon!$I$140</f>
        <v>毒药</v>
      </c>
      <c r="T1415" s="530">
        <v>9</v>
      </c>
      <c r="U1415" s="535"/>
      <c r="V1415" s="379" t="str">
        <f ca="1">"NPC available after "&amp;语言!$A$40&amp;" chapter 1"</f>
        <v>NPC available after 亚芬 chapter 1</v>
      </c>
      <c r="W1415" s="128"/>
    </row>
    <row r="1416" spans="1:23" ht="12.75" x14ac:dyDescent="0.2">
      <c r="A1416" s="128"/>
      <c r="B1416" s="371"/>
      <c r="C1416" s="371"/>
      <c r="D1416" s="371"/>
      <c r="E1416" s="371"/>
      <c r="F1416" s="371"/>
      <c r="G1416" s="371"/>
      <c r="H1416" s="371"/>
      <c r="I1416" s="371"/>
      <c r="J1416" s="371"/>
      <c r="K1416" s="371"/>
      <c r="L1416" s="371"/>
      <c r="M1416" s="371"/>
      <c r="N1416" s="371"/>
      <c r="O1416" s="371"/>
      <c r="P1416" s="371"/>
      <c r="Q1416" s="371"/>
      <c r="R1416" s="17"/>
      <c r="S1416" s="17" t="str">
        <f ca="1">Summon!$I$143</f>
        <v>暗暗药</v>
      </c>
      <c r="T1416" s="371"/>
      <c r="U1416" s="371"/>
      <c r="V1416" s="371"/>
      <c r="W1416" s="128"/>
    </row>
    <row r="1417" spans="1:23" ht="12.75" x14ac:dyDescent="0.2">
      <c r="A1417" s="128"/>
      <c r="B1417" s="531"/>
      <c r="C1417" s="531"/>
      <c r="D1417" s="531"/>
      <c r="E1417" s="531"/>
      <c r="F1417" s="531"/>
      <c r="G1417" s="531"/>
      <c r="H1417" s="531"/>
      <c r="I1417" s="531"/>
      <c r="J1417" s="531"/>
      <c r="K1417" s="531"/>
      <c r="L1417" s="531"/>
      <c r="M1417" s="531"/>
      <c r="N1417" s="531"/>
      <c r="O1417" s="531"/>
      <c r="P1417" s="531"/>
      <c r="Q1417" s="531"/>
      <c r="R1417" s="126"/>
      <c r="S1417" s="126" t="str">
        <f ca="1">Summon!$I$4</f>
        <v>战斗</v>
      </c>
      <c r="T1417" s="531"/>
      <c r="U1417" s="531"/>
      <c r="V1417" s="531"/>
      <c r="W1417" s="128"/>
    </row>
    <row r="1418" spans="1:23" ht="25.5" x14ac:dyDescent="0.2">
      <c r="A1418" s="128"/>
      <c r="B1418" s="402" t="str">
        <f ca="1">语言!$A$2135</f>
        <v>药师杰夫</v>
      </c>
      <c r="C1418" s="128" t="b">
        <v>0</v>
      </c>
      <c r="D1418" s="19" t="str">
        <f ca="1">道具!$C$529</f>
        <v>药的素材（扩散）</v>
      </c>
      <c r="E1418" s="535" t="b">
        <v>0</v>
      </c>
      <c r="F1418" s="401" t="str">
        <f ca="1">语言!$A$33&amp;"
"&amp;道具!$C$538</f>
        <v>隐藏道具的资讯
睡眠花之叶</v>
      </c>
      <c r="G1418" s="535" t="b">
        <v>0</v>
      </c>
      <c r="H1418" s="530" t="s">
        <v>46</v>
      </c>
      <c r="I1418" s="379">
        <v>3</v>
      </c>
      <c r="J1418" s="379"/>
      <c r="K1418" s="379"/>
      <c r="L1418" s="379"/>
      <c r="M1418" s="379"/>
      <c r="N1418" s="379"/>
      <c r="O1418" s="379" t="str">
        <f ca="1">道具!$C$538</f>
        <v>睡眠花之叶</v>
      </c>
      <c r="P1418" s="535"/>
      <c r="Q1418" s="530" t="s">
        <v>46</v>
      </c>
      <c r="R1418" s="17"/>
      <c r="S1418" s="19" t="str">
        <f ca="1">Summon!$I$141</f>
        <v>【调和】毒药 (药师杰夫)</v>
      </c>
      <c r="T1418" s="530">
        <v>8</v>
      </c>
      <c r="U1418" s="535"/>
      <c r="V1418" s="379" t="str">
        <f ca="1">语言!$A$47&amp;" / "&amp;语言!$A$51&amp;" &amp; "&amp;语言!$A$44&amp;" / "&amp;语言!$A$48&amp;" available after "&amp;语言!$A$40&amp;" chapter 1
"&amp;道具!$F$65&amp;" available after both "&amp;语言!$A$40&amp;" &amp; "&amp;语言!$A$36&amp;" chapter 4
Hidden Item no longer available after both "&amp;语言!$A$40&amp;" &amp; "&amp;语言!$A$36&amp;" chapter 4"</f>
        <v>比试 / 唆使 &amp; 引导 / 诱惑 available after 亚芬 chapter 1
杰夫的信 available after both 亚芬 &amp; 赛拉斯 chapter 4
Hidden Item no longer available after both 亚芬 &amp; 赛拉斯 chapter 4</v>
      </c>
      <c r="W1418" s="128"/>
    </row>
    <row r="1419" spans="1:23" ht="12.75" x14ac:dyDescent="0.2">
      <c r="A1419" s="128"/>
      <c r="B1419" s="371"/>
      <c r="C1419" s="128" t="b">
        <v>0</v>
      </c>
      <c r="D1419" s="19" t="str">
        <f ca="1">道具!$C$529</f>
        <v>药的素材（扩散）</v>
      </c>
      <c r="E1419" s="371"/>
      <c r="F1419" s="371"/>
      <c r="G1419" s="371"/>
      <c r="H1419" s="371"/>
      <c r="I1419" s="371"/>
      <c r="J1419" s="371"/>
      <c r="K1419" s="371"/>
      <c r="L1419" s="371"/>
      <c r="M1419" s="371"/>
      <c r="N1419" s="371"/>
      <c r="O1419" s="371"/>
      <c r="P1419" s="371"/>
      <c r="Q1419" s="371"/>
      <c r="R1419" s="17"/>
      <c r="S1419" s="17" t="str">
        <f ca="1">Summon!$I$85</f>
        <v>【调和】冰冻</v>
      </c>
      <c r="T1419" s="371"/>
      <c r="U1419" s="371"/>
      <c r="V1419" s="371"/>
      <c r="W1419" s="128"/>
    </row>
    <row r="1420" spans="1:23" ht="12.75" x14ac:dyDescent="0.2">
      <c r="A1420" s="128"/>
      <c r="B1420" s="371"/>
      <c r="C1420" s="128" t="b">
        <v>0</v>
      </c>
      <c r="D1420" s="19" t="str">
        <f ca="1">道具!$C$530</f>
        <v>秘药的素材</v>
      </c>
      <c r="E1420" s="371"/>
      <c r="F1420" s="371"/>
      <c r="G1420" s="371"/>
      <c r="H1420" s="371"/>
      <c r="I1420" s="371"/>
      <c r="J1420" s="371"/>
      <c r="K1420" s="371"/>
      <c r="L1420" s="371"/>
      <c r="M1420" s="371"/>
      <c r="N1420" s="371"/>
      <c r="O1420" s="371"/>
      <c r="P1420" s="371"/>
      <c r="Q1420" s="371"/>
      <c r="R1420" s="17"/>
      <c r="S1420" s="17" t="str">
        <f ca="1">Summon!$I$4</f>
        <v>战斗</v>
      </c>
      <c r="T1420" s="371"/>
      <c r="U1420" s="371"/>
      <c r="V1420" s="371"/>
      <c r="W1420" s="128"/>
    </row>
    <row r="1421" spans="1:23" ht="12.75" x14ac:dyDescent="0.2">
      <c r="A1421" s="128"/>
      <c r="B1421" s="371"/>
      <c r="C1421" s="128" t="b">
        <v>0</v>
      </c>
      <c r="D1421" s="19" t="str">
        <f ca="1">道具!$C$533</f>
        <v>含毒的素材（扩散）</v>
      </c>
      <c r="E1421" s="371"/>
      <c r="F1421" s="371"/>
      <c r="G1421" s="371"/>
      <c r="H1421" s="371"/>
      <c r="I1421" s="371"/>
      <c r="J1421" s="371"/>
      <c r="K1421" s="371"/>
      <c r="L1421" s="371"/>
      <c r="M1421" s="371"/>
      <c r="N1421" s="371"/>
      <c r="O1421" s="371"/>
      <c r="P1421" s="371"/>
      <c r="Q1421" s="371"/>
      <c r="R1421" s="17"/>
      <c r="S1421" s="17"/>
      <c r="T1421" s="371"/>
      <c r="U1421" s="371"/>
      <c r="V1421" s="371"/>
      <c r="W1421" s="128"/>
    </row>
    <row r="1422" spans="1:23" ht="12.75" x14ac:dyDescent="0.2">
      <c r="A1422" s="121"/>
      <c r="B1422" s="531"/>
      <c r="C1422" s="130" t="b">
        <v>0</v>
      </c>
      <c r="D1422" s="125" t="str">
        <f ca="1">"* "&amp;道具!$F$65</f>
        <v>* 杰夫的信</v>
      </c>
      <c r="E1422" s="531"/>
      <c r="F1422" s="531"/>
      <c r="G1422" s="531"/>
      <c r="H1422" s="531"/>
      <c r="I1422" s="531"/>
      <c r="J1422" s="531"/>
      <c r="K1422" s="531"/>
      <c r="L1422" s="531"/>
      <c r="M1422" s="531"/>
      <c r="N1422" s="531"/>
      <c r="O1422" s="531"/>
      <c r="P1422" s="531"/>
      <c r="Q1422" s="531"/>
      <c r="R1422" s="126"/>
      <c r="S1422" s="126"/>
      <c r="T1422" s="531"/>
      <c r="U1422" s="531"/>
      <c r="V1422" s="531"/>
      <c r="W1422" s="128"/>
    </row>
    <row r="1423" spans="1:23" ht="12.75" x14ac:dyDescent="0.2">
      <c r="A1423" s="121"/>
      <c r="B1423" s="402" t="str">
        <f ca="1">语言!$A$2003</f>
        <v>妮娜</v>
      </c>
      <c r="C1423" s="128" t="b">
        <v>0</v>
      </c>
      <c r="D1423" s="19" t="str">
        <f ca="1">道具!$C$540</f>
        <v>葡萄树液</v>
      </c>
      <c r="E1423" s="535" t="b">
        <v>0</v>
      </c>
      <c r="F1423" s="379" t="str">
        <f ca="1">语言!$A$23</f>
        <v>无</v>
      </c>
      <c r="G1423" s="535"/>
      <c r="H1423" s="534" t="s">
        <v>119</v>
      </c>
      <c r="I1423" s="534" t="s">
        <v>119</v>
      </c>
      <c r="J1423" s="534" t="s">
        <v>119</v>
      </c>
      <c r="K1423" s="534" t="s">
        <v>119</v>
      </c>
      <c r="L1423" s="534" t="s">
        <v>119</v>
      </c>
      <c r="M1423" s="534" t="s">
        <v>119</v>
      </c>
      <c r="N1423" s="534" t="s">
        <v>119</v>
      </c>
      <c r="O1423" s="534" t="s">
        <v>119</v>
      </c>
      <c r="P1423" s="535"/>
      <c r="Q1423" s="534" t="s">
        <v>119</v>
      </c>
      <c r="R1423" s="534" t="s">
        <v>119</v>
      </c>
      <c r="S1423" s="534" t="s">
        <v>119</v>
      </c>
      <c r="T1423" s="534" t="s">
        <v>119</v>
      </c>
      <c r="U1423" s="535"/>
      <c r="V1423" s="379" t="str">
        <f ca="1">"NPC available after "&amp;语言!$A$40&amp;" chapter 1
May need to remove "&amp;语言!$A$2135&amp;" out of the way with 
"&amp;语言!$A$47&amp;" / "&amp;语言!$A$51&amp;" or "&amp;语言!$A$44&amp;" / "&amp;语言!$A$48</f>
        <v>NPC available after 亚芬 chapter 1
May need to remove 药师杰夫 out of the way with 
比试 / 唆使 or 引导 / 诱惑</v>
      </c>
      <c r="W1423" s="128"/>
    </row>
    <row r="1424" spans="1:23" ht="12.75" x14ac:dyDescent="0.2">
      <c r="A1424" s="128"/>
      <c r="B1424" s="371"/>
      <c r="C1424" s="128" t="b">
        <v>0</v>
      </c>
      <c r="D1424" s="19" t="str">
        <f ca="1">道具!$C$541</f>
        <v>李子树液</v>
      </c>
      <c r="E1424" s="371"/>
      <c r="F1424" s="371"/>
      <c r="G1424" s="371"/>
      <c r="H1424" s="371"/>
      <c r="I1424" s="371"/>
      <c r="J1424" s="371"/>
      <c r="K1424" s="371"/>
      <c r="L1424" s="371"/>
      <c r="M1424" s="371"/>
      <c r="N1424" s="371"/>
      <c r="O1424" s="371"/>
      <c r="P1424" s="371"/>
      <c r="Q1424" s="371"/>
      <c r="R1424" s="371"/>
      <c r="S1424" s="371"/>
      <c r="T1424" s="371"/>
      <c r="U1424" s="371"/>
      <c r="V1424" s="371"/>
      <c r="W1424" s="128"/>
    </row>
    <row r="1425" spans="1:23" ht="12.75" x14ac:dyDescent="0.2">
      <c r="A1425" s="128"/>
      <c r="B1425" s="371"/>
      <c r="C1425" s="128" t="b">
        <v>0</v>
      </c>
      <c r="D1425" s="19" t="str">
        <f ca="1">道具!$C$542</f>
        <v>石榴树液</v>
      </c>
      <c r="E1425" s="371"/>
      <c r="F1425" s="371"/>
      <c r="G1425" s="371"/>
      <c r="H1425" s="371"/>
      <c r="I1425" s="371"/>
      <c r="J1425" s="371"/>
      <c r="K1425" s="371"/>
      <c r="L1425" s="371"/>
      <c r="M1425" s="371"/>
      <c r="N1425" s="371"/>
      <c r="O1425" s="371"/>
      <c r="P1425" s="371"/>
      <c r="Q1425" s="371"/>
      <c r="R1425" s="371"/>
      <c r="S1425" s="371"/>
      <c r="T1425" s="371"/>
      <c r="U1425" s="371"/>
      <c r="V1425" s="371"/>
      <c r="W1425" s="128"/>
    </row>
    <row r="1426" spans="1:23" ht="12.75" x14ac:dyDescent="0.2">
      <c r="A1426" s="128"/>
      <c r="B1426" s="531"/>
      <c r="C1426" s="130" t="b">
        <v>0</v>
      </c>
      <c r="D1426" s="125" t="str">
        <f ca="1">道具!$C$543</f>
        <v>橄榄花</v>
      </c>
      <c r="E1426" s="531"/>
      <c r="F1426" s="531"/>
      <c r="G1426" s="531"/>
      <c r="H1426" s="531"/>
      <c r="I1426" s="531"/>
      <c r="J1426" s="531"/>
      <c r="K1426" s="531"/>
      <c r="L1426" s="531"/>
      <c r="M1426" s="531"/>
      <c r="N1426" s="531"/>
      <c r="O1426" s="531"/>
      <c r="P1426" s="531"/>
      <c r="Q1426" s="531"/>
      <c r="R1426" s="531"/>
      <c r="S1426" s="531"/>
      <c r="T1426" s="531"/>
      <c r="U1426" s="531"/>
      <c r="V1426" s="531"/>
      <c r="W1426" s="128"/>
    </row>
    <row r="1427" spans="1:23" ht="12.75" x14ac:dyDescent="0.2">
      <c r="A1427" s="128"/>
      <c r="B1427" s="402" t="str">
        <f ca="1">语言!$A$1980</f>
        <v>梅莉儿的母亲</v>
      </c>
      <c r="C1427" s="128" t="b">
        <v>0</v>
      </c>
      <c r="D1427" s="19" t="str">
        <f ca="1">道具!$C$498</f>
        <v>守护耳环</v>
      </c>
      <c r="E1427" s="535" t="b">
        <v>0</v>
      </c>
      <c r="F1427" s="379" t="str">
        <f ca="1">语言!$A$33&amp;"
"&amp;道具!$C$539</f>
        <v>隐藏道具的资讯
混乱多之叶</v>
      </c>
      <c r="G1427" s="535" t="b">
        <v>0</v>
      </c>
      <c r="H1427" s="530" t="s">
        <v>48</v>
      </c>
      <c r="I1427" s="379">
        <v>2</v>
      </c>
      <c r="J1427" s="379"/>
      <c r="K1427" s="379"/>
      <c r="L1427" s="379"/>
      <c r="M1427" s="379"/>
      <c r="N1427" s="379"/>
      <c r="O1427" s="379" t="str">
        <f ca="1">道具!$C$538</f>
        <v>睡眠花之叶</v>
      </c>
      <c r="P1427" s="535"/>
      <c r="Q1427" s="530" t="s">
        <v>57</v>
      </c>
      <c r="R1427" s="17"/>
      <c r="S1427" s="17" t="str">
        <f ca="1">Summon!$I$175</f>
        <v>物理提升</v>
      </c>
      <c r="T1427" s="530">
        <v>8</v>
      </c>
      <c r="U1427" s="535"/>
      <c r="V1427" s="379" t="str">
        <f ca="1">"NPC available after "&amp;语言!$A$40&amp;" chapter 1"</f>
        <v>NPC available after 亚芬 chapter 1</v>
      </c>
      <c r="W1427" s="128"/>
    </row>
    <row r="1428" spans="1:23" ht="12.75" x14ac:dyDescent="0.2">
      <c r="A1428" s="128"/>
      <c r="B1428" s="371"/>
      <c r="C1428" s="128" t="b">
        <v>0</v>
      </c>
      <c r="D1428" s="19" t="str">
        <f ca="1">道具!$C$543</f>
        <v>橄榄花</v>
      </c>
      <c r="E1428" s="371"/>
      <c r="F1428" s="371"/>
      <c r="G1428" s="371"/>
      <c r="H1428" s="371"/>
      <c r="I1428" s="371"/>
      <c r="J1428" s="371"/>
      <c r="K1428" s="371"/>
      <c r="L1428" s="371"/>
      <c r="M1428" s="371"/>
      <c r="N1428" s="371"/>
      <c r="O1428" s="371"/>
      <c r="P1428" s="371"/>
      <c r="Q1428" s="371"/>
      <c r="R1428" s="17"/>
      <c r="S1428" s="17" t="str">
        <f ca="1">Summon!$I$48</f>
        <v>连掷短剑</v>
      </c>
      <c r="T1428" s="371"/>
      <c r="U1428" s="371"/>
      <c r="V1428" s="371"/>
      <c r="W1428" s="128"/>
    </row>
    <row r="1429" spans="1:23" ht="12.75" x14ac:dyDescent="0.2">
      <c r="A1429" s="128"/>
      <c r="B1429" s="531"/>
      <c r="C1429" s="130"/>
      <c r="D1429" s="125"/>
      <c r="E1429" s="531"/>
      <c r="F1429" s="531"/>
      <c r="G1429" s="531"/>
      <c r="H1429" s="531"/>
      <c r="I1429" s="531"/>
      <c r="J1429" s="531"/>
      <c r="K1429" s="531"/>
      <c r="L1429" s="531"/>
      <c r="M1429" s="531"/>
      <c r="N1429" s="531"/>
      <c r="O1429" s="531"/>
      <c r="P1429" s="531"/>
      <c r="Q1429" s="531"/>
      <c r="R1429" s="126"/>
      <c r="S1429" s="126" t="str">
        <f ca="1">Summon!$I$4</f>
        <v>战斗</v>
      </c>
      <c r="T1429" s="531"/>
      <c r="U1429" s="531"/>
      <c r="V1429" s="531"/>
      <c r="W1429" s="128"/>
    </row>
    <row r="1430" spans="1:23" ht="12.75" x14ac:dyDescent="0.2">
      <c r="A1430" s="128"/>
      <c r="B1430" s="402" t="str">
        <f ca="1">语言!$A$1956</f>
        <v>莉莉</v>
      </c>
      <c r="C1430" s="128" t="b">
        <v>0</v>
      </c>
      <c r="D1430" s="19" t="str">
        <f ca="1">道具!$C$3</f>
        <v>ＨＰ恢复的葡萄</v>
      </c>
      <c r="E1430" s="535" t="b">
        <v>0</v>
      </c>
      <c r="F1430" s="379" t="str">
        <f ca="1">语言!$A$23&amp;" /
"&amp;道具!$I$37</f>
        <v>无 /
咬了妮娜的魔物</v>
      </c>
      <c r="G1430" s="535"/>
      <c r="H1430" s="534" t="s">
        <v>119</v>
      </c>
      <c r="I1430" s="534" t="s">
        <v>119</v>
      </c>
      <c r="J1430" s="534" t="s">
        <v>119</v>
      </c>
      <c r="K1430" s="534" t="s">
        <v>119</v>
      </c>
      <c r="L1430" s="534" t="s">
        <v>119</v>
      </c>
      <c r="M1430" s="534" t="s">
        <v>119</v>
      </c>
      <c r="N1430" s="534" t="s">
        <v>119</v>
      </c>
      <c r="O1430" s="534" t="s">
        <v>119</v>
      </c>
      <c r="P1430" s="535"/>
      <c r="Q1430" s="534" t="s">
        <v>119</v>
      </c>
      <c r="R1430" s="534" t="s">
        <v>119</v>
      </c>
      <c r="S1430" s="534" t="s">
        <v>119</v>
      </c>
      <c r="T1430" s="534" t="s">
        <v>119</v>
      </c>
      <c r="U1430" s="535"/>
      <c r="V1430" s="379" t="str">
        <f ca="1">道具!$I$37&amp;" appears only during "&amp;语言!$A$40&amp;" Tale"</f>
        <v>咬了妮娜的魔物 appears only during 亚芬 Tale</v>
      </c>
      <c r="W1430" s="128"/>
    </row>
    <row r="1431" spans="1:23" ht="12.75" x14ac:dyDescent="0.2">
      <c r="A1431" s="128"/>
      <c r="B1431" s="371"/>
      <c r="C1431" s="128" t="b">
        <v>0</v>
      </c>
      <c r="D1431" s="19" t="str">
        <f ca="1">道具!$C$4</f>
        <v>ＨＰ恢复的葡萄（大）</v>
      </c>
      <c r="E1431" s="371"/>
      <c r="F1431" s="371"/>
      <c r="G1431" s="371"/>
      <c r="H1431" s="371"/>
      <c r="I1431" s="371"/>
      <c r="J1431" s="371"/>
      <c r="K1431" s="371"/>
      <c r="L1431" s="371"/>
      <c r="M1431" s="371"/>
      <c r="N1431" s="371"/>
      <c r="O1431" s="371"/>
      <c r="P1431" s="371"/>
      <c r="Q1431" s="371"/>
      <c r="R1431" s="371"/>
      <c r="S1431" s="371"/>
      <c r="T1431" s="371"/>
      <c r="U1431" s="371"/>
      <c r="V1431" s="371"/>
      <c r="W1431" s="128"/>
    </row>
    <row r="1432" spans="1:23" ht="12.75" x14ac:dyDescent="0.2">
      <c r="A1432" s="128"/>
      <c r="B1432" s="531"/>
      <c r="C1432" s="130" t="b">
        <v>0</v>
      </c>
      <c r="D1432" s="125" t="str">
        <f ca="1">道具!$C$5</f>
        <v>ＨＰ全体恢复的葡萄</v>
      </c>
      <c r="E1432" s="531"/>
      <c r="F1432" s="531"/>
      <c r="G1432" s="531"/>
      <c r="H1432" s="531"/>
      <c r="I1432" s="531"/>
      <c r="J1432" s="531"/>
      <c r="K1432" s="531"/>
      <c r="L1432" s="531"/>
      <c r="M1432" s="531"/>
      <c r="N1432" s="531"/>
      <c r="O1432" s="531"/>
      <c r="P1432" s="531"/>
      <c r="Q1432" s="531"/>
      <c r="R1432" s="531"/>
      <c r="S1432" s="531"/>
      <c r="T1432" s="531"/>
      <c r="U1432" s="531"/>
      <c r="V1432" s="531"/>
      <c r="W1432" s="128"/>
    </row>
    <row r="1433" spans="1:23" ht="12.75" x14ac:dyDescent="0.2">
      <c r="A1433" s="128"/>
      <c r="B1433" s="402" t="str">
        <f ca="1">语言!$A$1978&amp;" (4)"</f>
        <v>梅莉儿 (4)</v>
      </c>
      <c r="C1433" s="128" t="b">
        <v>0</v>
      </c>
      <c r="D1433" s="19" t="str">
        <f ca="1">道具!$C$541</f>
        <v>李子树液</v>
      </c>
      <c r="E1433" s="535" t="b">
        <v>0</v>
      </c>
      <c r="F1433" s="379" t="str">
        <f ca="1">语言!$A$23</f>
        <v>无</v>
      </c>
      <c r="G1433" s="535" t="b">
        <v>0</v>
      </c>
      <c r="H1433" s="530" t="s">
        <v>45</v>
      </c>
      <c r="I1433" s="379">
        <v>2</v>
      </c>
      <c r="J1433" s="379"/>
      <c r="K1433" s="379"/>
      <c r="L1433" s="379"/>
      <c r="M1433" s="379"/>
      <c r="N1433" s="379"/>
      <c r="O1433" s="379" t="str">
        <f ca="1">道具!$C$537</f>
        <v>毒利米树之叶</v>
      </c>
      <c r="P1433" s="535"/>
      <c r="Q1433" s="530" t="s">
        <v>57</v>
      </c>
      <c r="R1433" s="17"/>
      <c r="S1433" s="17" t="str">
        <f ca="1">Summon!$I$70</f>
        <v>乱射</v>
      </c>
      <c r="T1433" s="530">
        <v>8</v>
      </c>
      <c r="U1433" s="535"/>
      <c r="V1433" s="379" t="str">
        <f ca="1">"NPC at this location after quest: "&amp;支线!$C$108</f>
        <v>NPC at this location after quest: 孤儿梅莉儿（３）</v>
      </c>
      <c r="W1433" s="128"/>
    </row>
    <row r="1434" spans="1:23" ht="12.75" x14ac:dyDescent="0.2">
      <c r="A1434" s="128"/>
      <c r="B1434" s="531"/>
      <c r="C1434" s="130" t="b">
        <v>0</v>
      </c>
      <c r="D1434" s="125" t="str">
        <f ca="1">道具!$C$542</f>
        <v>石榴树液</v>
      </c>
      <c r="E1434" s="531"/>
      <c r="F1434" s="531"/>
      <c r="G1434" s="531"/>
      <c r="H1434" s="531"/>
      <c r="I1434" s="531"/>
      <c r="J1434" s="531"/>
      <c r="K1434" s="531"/>
      <c r="L1434" s="531"/>
      <c r="M1434" s="531"/>
      <c r="N1434" s="531"/>
      <c r="O1434" s="531"/>
      <c r="P1434" s="531"/>
      <c r="Q1434" s="531"/>
      <c r="R1434" s="126"/>
      <c r="S1434" s="126" t="str">
        <f ca="1">Summon!$I$4</f>
        <v>战斗</v>
      </c>
      <c r="T1434" s="531"/>
      <c r="U1434" s="531"/>
      <c r="V1434" s="531"/>
      <c r="W1434" s="128"/>
    </row>
    <row r="1435" spans="1:23" ht="12.75" x14ac:dyDescent="0.2">
      <c r="A1435" s="128"/>
      <c r="B1435" s="402" t="str">
        <f ca="1">语言!$A$1854</f>
        <v>老婆婆</v>
      </c>
      <c r="C1435" s="535" t="b">
        <v>0</v>
      </c>
      <c r="D1435" s="402" t="str">
        <f ca="1">道具!$C$532</f>
        <v>含毒的素材</v>
      </c>
      <c r="E1435" s="535" t="b">
        <v>0</v>
      </c>
      <c r="F1435" s="379" t="str">
        <f ca="1">语言!$A$33&amp;"
"&amp;道具!$C$541</f>
        <v>隐藏道具的资讯
李子树液</v>
      </c>
      <c r="G1435" s="535" t="b">
        <v>0</v>
      </c>
      <c r="H1435" s="530" t="s">
        <v>55</v>
      </c>
      <c r="I1435" s="379">
        <v>6</v>
      </c>
      <c r="J1435" s="379"/>
      <c r="K1435" s="379"/>
      <c r="L1435" s="379"/>
      <c r="M1435" s="379"/>
      <c r="N1435" s="379"/>
      <c r="O1435" s="379" t="str">
        <f ca="1">道具!$C$302</f>
        <v>历战之杖</v>
      </c>
      <c r="P1435" s="535"/>
      <c r="Q1435" s="530" t="s">
        <v>55</v>
      </c>
      <c r="R1435" s="17"/>
      <c r="S1435" s="17" t="str">
        <f ca="1">Summon!$I$76</f>
        <v>波动拳</v>
      </c>
      <c r="T1435" s="530">
        <v>4</v>
      </c>
      <c r="U1435" s="535"/>
      <c r="V1435" s="379"/>
      <c r="W1435" s="128"/>
    </row>
    <row r="1436" spans="1:23" ht="12.75" x14ac:dyDescent="0.2">
      <c r="A1436" s="128"/>
      <c r="B1436" s="371"/>
      <c r="C1436" s="371"/>
      <c r="D1436" s="371"/>
      <c r="E1436" s="371"/>
      <c r="F1436" s="371"/>
      <c r="G1436" s="371"/>
      <c r="H1436" s="371"/>
      <c r="I1436" s="371"/>
      <c r="J1436" s="371"/>
      <c r="K1436" s="371"/>
      <c r="L1436" s="371"/>
      <c r="M1436" s="371"/>
      <c r="N1436" s="371"/>
      <c r="O1436" s="371"/>
      <c r="P1436" s="371"/>
      <c r="Q1436" s="371"/>
      <c r="R1436" s="17"/>
      <c r="S1436" s="17" t="str">
        <f ca="1">Summon!$I$72</f>
        <v>殴打</v>
      </c>
      <c r="T1436" s="371"/>
      <c r="U1436" s="371"/>
      <c r="V1436" s="371"/>
      <c r="W1436" s="128"/>
    </row>
    <row r="1437" spans="1:23" ht="12.75" x14ac:dyDescent="0.2">
      <c r="A1437" s="128"/>
      <c r="B1437" s="531"/>
      <c r="C1437" s="531"/>
      <c r="D1437" s="531"/>
      <c r="E1437" s="531"/>
      <c r="F1437" s="531"/>
      <c r="G1437" s="531"/>
      <c r="H1437" s="531"/>
      <c r="I1437" s="531"/>
      <c r="J1437" s="531"/>
      <c r="K1437" s="531"/>
      <c r="L1437" s="531"/>
      <c r="M1437" s="531"/>
      <c r="N1437" s="531"/>
      <c r="O1437" s="531"/>
      <c r="P1437" s="531"/>
      <c r="Q1437" s="531"/>
      <c r="R1437" s="126"/>
      <c r="S1437" s="126" t="str">
        <f ca="1">Summon!$I$4</f>
        <v>战斗</v>
      </c>
      <c r="T1437" s="531"/>
      <c r="U1437" s="531"/>
      <c r="V1437" s="531"/>
      <c r="W1437" s="128"/>
    </row>
    <row r="1438" spans="1:23" ht="22.5" customHeight="1" x14ac:dyDescent="0.2">
      <c r="A1438" s="128"/>
      <c r="B1438" s="402" t="str">
        <f ca="1">语言!$A$1978&amp;" (1)"</f>
        <v>梅莉儿 (1)</v>
      </c>
      <c r="C1438" s="128" t="b">
        <v>0</v>
      </c>
      <c r="D1438" s="19" t="str">
        <f ca="1">道具!$C$541</f>
        <v>李子树液</v>
      </c>
      <c r="E1438" s="535" t="b">
        <v>0</v>
      </c>
      <c r="F1438" s="401" t="str">
        <f ca="1">语言!$A$33&amp;"
"&amp;道具!$C$543</f>
        <v>隐藏道具的资讯
橄榄花</v>
      </c>
      <c r="G1438" s="535" t="b">
        <v>0</v>
      </c>
      <c r="H1438" s="530" t="s">
        <v>45</v>
      </c>
      <c r="I1438" s="379">
        <v>2</v>
      </c>
      <c r="J1438" s="379"/>
      <c r="K1438" s="379"/>
      <c r="L1438" s="379"/>
      <c r="M1438" s="379"/>
      <c r="N1438" s="379"/>
      <c r="O1438" s="379" t="str">
        <f ca="1">道具!$C$537</f>
        <v>毒利米树之叶</v>
      </c>
      <c r="P1438" s="535"/>
      <c r="Q1438" s="534" t="s">
        <v>119</v>
      </c>
      <c r="R1438" s="534" t="s">
        <v>119</v>
      </c>
      <c r="S1438" s="534" t="s">
        <v>119</v>
      </c>
      <c r="T1438" s="534" t="s">
        <v>119</v>
      </c>
      <c r="U1438" s="535"/>
      <c r="V1438" s="379" t="str">
        <f ca="1">"NPC available after "&amp;语言!$A$40&amp;" chapter 1
Moves to "&amp;语言!$A$441&amp;" after quest: "&amp;支线!$C$95&amp;"
Hidden item no longer available after quest: "&amp;支线!$C$95</f>
        <v>NPC available after 亚芬 chapter 1
Moves to 圣特布里吉 after quest: 孤儿梅莉儿（１）
Hidden item no longer available after quest: 孤儿梅莉儿（１）</v>
      </c>
      <c r="W1438" s="128"/>
    </row>
    <row r="1439" spans="1:23" ht="22.5" customHeight="1" x14ac:dyDescent="0.2">
      <c r="A1439" s="128"/>
      <c r="B1439" s="531"/>
      <c r="C1439" s="130" t="b">
        <v>0</v>
      </c>
      <c r="D1439" s="125" t="str">
        <f ca="1">道具!$C$542</f>
        <v>石榴树液</v>
      </c>
      <c r="E1439" s="531"/>
      <c r="F1439" s="531"/>
      <c r="G1439" s="531"/>
      <c r="H1439" s="531"/>
      <c r="I1439" s="531"/>
      <c r="J1439" s="531"/>
      <c r="K1439" s="531"/>
      <c r="L1439" s="531"/>
      <c r="M1439" s="531"/>
      <c r="N1439" s="531"/>
      <c r="O1439" s="531"/>
      <c r="P1439" s="531"/>
      <c r="Q1439" s="531"/>
      <c r="R1439" s="531"/>
      <c r="S1439" s="531"/>
      <c r="T1439" s="531"/>
      <c r="U1439" s="531"/>
      <c r="V1439" s="531"/>
      <c r="W1439" s="128"/>
    </row>
    <row r="1440" spans="1:23" ht="12.75" x14ac:dyDescent="0.2">
      <c r="A1440" s="128"/>
      <c r="B1440" s="402" t="str">
        <f ca="1">语言!$A$2039</f>
        <v>芭斯特</v>
      </c>
      <c r="C1440" s="128" t="b">
        <v>0</v>
      </c>
      <c r="D1440" s="19" t="str">
        <f ca="1">道具!$C$537</f>
        <v>毒利米树之叶</v>
      </c>
      <c r="E1440" s="535" t="b">
        <v>0</v>
      </c>
      <c r="F1440" s="379" t="str">
        <f ca="1">语言!$A$23</f>
        <v>无</v>
      </c>
      <c r="G1440" s="535" t="b">
        <v>0</v>
      </c>
      <c r="H1440" s="530" t="s">
        <v>49</v>
      </c>
      <c r="I1440" s="379">
        <v>4</v>
      </c>
      <c r="J1440" s="379"/>
      <c r="K1440" s="379"/>
      <c r="L1440" s="379"/>
      <c r="M1440" s="379"/>
      <c r="N1440" s="379"/>
      <c r="O1440" s="379" t="str">
        <f ca="1">道具!$C$534</f>
        <v>超含毒的素材</v>
      </c>
      <c r="P1440" s="535"/>
      <c r="Q1440" s="530" t="s">
        <v>49</v>
      </c>
      <c r="R1440" s="17"/>
      <c r="S1440" s="17" t="str">
        <f ca="1">Summon!$I$171</f>
        <v>圣职者的哲学</v>
      </c>
      <c r="T1440" s="530">
        <v>7</v>
      </c>
      <c r="U1440" s="535"/>
      <c r="V1440" s="379" t="str">
        <f ca="1">"NPC available after quest: "&amp;支线!$C$31</f>
        <v>NPC available after quest: 教师提拉奇亚（２）</v>
      </c>
      <c r="W1440" s="128"/>
    </row>
    <row r="1441" spans="1:23" ht="12.75" x14ac:dyDescent="0.2">
      <c r="A1441" s="128"/>
      <c r="B1441" s="371"/>
      <c r="C1441" s="128" t="b">
        <v>0</v>
      </c>
      <c r="D1441" s="19" t="str">
        <f ca="1">道具!$C$501</f>
        <v>灵敏耳环</v>
      </c>
      <c r="E1441" s="371"/>
      <c r="F1441" s="371"/>
      <c r="G1441" s="371"/>
      <c r="H1441" s="371"/>
      <c r="I1441" s="371"/>
      <c r="J1441" s="371"/>
      <c r="K1441" s="371"/>
      <c r="L1441" s="371"/>
      <c r="M1441" s="371"/>
      <c r="N1441" s="371"/>
      <c r="O1441" s="371"/>
      <c r="P1441" s="371"/>
      <c r="Q1441" s="371"/>
      <c r="R1441" s="17"/>
      <c r="S1441" s="17" t="str">
        <f ca="1">Summon!$I$114</f>
        <v>全力投掷书本</v>
      </c>
      <c r="T1441" s="371"/>
      <c r="U1441" s="371"/>
      <c r="V1441" s="371"/>
      <c r="W1441" s="128"/>
    </row>
    <row r="1442" spans="1:23" ht="12.75" x14ac:dyDescent="0.2">
      <c r="A1442" s="128"/>
      <c r="B1442" s="531"/>
      <c r="C1442" s="130"/>
      <c r="D1442" s="125"/>
      <c r="E1442" s="531"/>
      <c r="F1442" s="531"/>
      <c r="G1442" s="531"/>
      <c r="H1442" s="531"/>
      <c r="I1442" s="531"/>
      <c r="J1442" s="531"/>
      <c r="K1442" s="531"/>
      <c r="L1442" s="531"/>
      <c r="M1442" s="531"/>
      <c r="N1442" s="531"/>
      <c r="O1442" s="531"/>
      <c r="P1442" s="531"/>
      <c r="Q1442" s="531"/>
      <c r="R1442" s="126"/>
      <c r="S1442" s="126" t="str">
        <f ca="1">Summon!$I$4</f>
        <v>战斗</v>
      </c>
      <c r="T1442" s="531"/>
      <c r="U1442" s="531"/>
      <c r="V1442" s="531"/>
      <c r="W1442" s="128"/>
    </row>
    <row r="1443" spans="1:23" ht="12.75" x14ac:dyDescent="0.2">
      <c r="A1443" s="128"/>
      <c r="B1443" s="402" t="str">
        <f ca="1">语言!$A$2056</f>
        <v>学者</v>
      </c>
      <c r="C1443" s="128" t="b">
        <v>0</v>
      </c>
      <c r="D1443" s="19" t="str">
        <f ca="1">道具!$C$529</f>
        <v>药的素材（扩散）</v>
      </c>
      <c r="E1443" s="535" t="b">
        <v>0</v>
      </c>
      <c r="F1443" s="379" t="str">
        <f ca="1">语言!$A$23</f>
        <v>无</v>
      </c>
      <c r="G1443" s="535" t="b">
        <v>0</v>
      </c>
      <c r="H1443" s="530" t="s">
        <v>48</v>
      </c>
      <c r="I1443" s="379">
        <v>2</v>
      </c>
      <c r="J1443" s="379"/>
      <c r="K1443" s="379"/>
      <c r="L1443" s="379"/>
      <c r="M1443" s="379"/>
      <c r="N1443" s="379"/>
      <c r="O1443" s="379" t="str">
        <f ca="1">道具!$C$18</f>
        <v>毒治疗药草</v>
      </c>
      <c r="P1443" s="535"/>
      <c r="Q1443" s="530" t="s">
        <v>48</v>
      </c>
      <c r="R1443" s="17"/>
      <c r="S1443" s="17" t="str">
        <f ca="1">Summon!$I$20</f>
        <v>横扫</v>
      </c>
      <c r="T1443" s="530">
        <v>9</v>
      </c>
      <c r="U1443" s="535"/>
      <c r="V1443" s="379"/>
      <c r="W1443" s="128"/>
    </row>
    <row r="1444" spans="1:23" ht="12.75" x14ac:dyDescent="0.2">
      <c r="A1444" s="128"/>
      <c r="B1444" s="371"/>
      <c r="C1444" s="128" t="b">
        <v>0</v>
      </c>
      <c r="D1444" s="19" t="str">
        <f ca="1">道具!$C$441</f>
        <v>铁制背心</v>
      </c>
      <c r="E1444" s="371"/>
      <c r="F1444" s="371"/>
      <c r="G1444" s="371"/>
      <c r="H1444" s="371"/>
      <c r="I1444" s="371"/>
      <c r="J1444" s="371"/>
      <c r="K1444" s="371"/>
      <c r="L1444" s="371"/>
      <c r="M1444" s="371"/>
      <c r="N1444" s="371"/>
      <c r="O1444" s="371"/>
      <c r="P1444" s="371"/>
      <c r="Q1444" s="371"/>
      <c r="R1444" s="17"/>
      <c r="S1444" s="17" t="str">
        <f ca="1">Summon!$I$4</f>
        <v>战斗</v>
      </c>
      <c r="T1444" s="371"/>
      <c r="U1444" s="371"/>
      <c r="V1444" s="371"/>
      <c r="W1444" s="128"/>
    </row>
    <row r="1445" spans="1:23" ht="12.75" x14ac:dyDescent="0.2">
      <c r="A1445" s="128"/>
      <c r="B1445" s="575" t="str">
        <f ca="1">语言!$A$436</f>
        <v>西库利亚布鲁克川道</v>
      </c>
      <c r="C1445" s="371"/>
      <c r="D1445" s="371"/>
      <c r="E1445" s="371"/>
      <c r="F1445" s="371"/>
      <c r="G1445" s="371"/>
      <c r="H1445" s="371"/>
      <c r="I1445" s="371"/>
      <c r="J1445" s="371"/>
      <c r="K1445" s="371"/>
      <c r="L1445" s="371"/>
      <c r="M1445" s="371"/>
      <c r="N1445" s="371"/>
      <c r="O1445" s="371"/>
      <c r="P1445" s="371"/>
      <c r="Q1445" s="371"/>
      <c r="R1445" s="371"/>
      <c r="S1445" s="371"/>
      <c r="T1445" s="371"/>
      <c r="U1445" s="371"/>
      <c r="V1445" s="371"/>
      <c r="W1445" s="128"/>
    </row>
    <row r="1446" spans="1:23" ht="12.75" x14ac:dyDescent="0.2">
      <c r="A1446" s="128"/>
      <c r="B1446" s="402" t="str">
        <f ca="1">语言!$A$1876&amp;" (1)"</f>
        <v>鱼贩 (1)</v>
      </c>
      <c r="C1446" s="128" t="b">
        <v>0</v>
      </c>
      <c r="D1446" s="19" t="str">
        <f ca="1">道具!$C$539</f>
        <v>混乱多之叶</v>
      </c>
      <c r="E1446" s="535" t="b">
        <v>0</v>
      </c>
      <c r="F1446" s="379" t="str">
        <f ca="1">语言!$A$23</f>
        <v>无</v>
      </c>
      <c r="G1446" s="535" t="b">
        <v>0</v>
      </c>
      <c r="H1446" s="530" t="s">
        <v>57</v>
      </c>
      <c r="I1446" s="379">
        <v>3</v>
      </c>
      <c r="J1446" s="379"/>
      <c r="K1446" s="379"/>
      <c r="L1446" s="379"/>
      <c r="M1446" s="379"/>
      <c r="N1446" s="379"/>
      <c r="O1446" s="379" t="str">
        <f ca="1">道具!$C$87</f>
        <v>小酒壶</v>
      </c>
      <c r="P1446" s="535"/>
      <c r="Q1446" s="530" t="s">
        <v>57</v>
      </c>
      <c r="R1446" s="17"/>
      <c r="S1446" s="17" t="str">
        <f ca="1">Summon!$I$6</f>
        <v>斩击</v>
      </c>
      <c r="T1446" s="530">
        <v>8</v>
      </c>
      <c r="U1446" s="535"/>
      <c r="V1446" s="379" t="str">
        <f ca="1">"NPC available after "&amp;语言!$A$40&amp;" chapter 1
Moves to "&amp;语言!$A$435&amp;" after quest: "&amp;支线!$C$96&amp;"
("&amp;语言!$A$47&amp;" / "&amp;语言!$A$51&amp;" solution only)"</f>
        <v>NPC available after 亚芬 chapter 1
Moves to 库利亚布鲁克 after quest: 消失的鱼
(比试 / 唆使 solution only)</v>
      </c>
      <c r="W1446" s="128"/>
    </row>
    <row r="1447" spans="1:23" ht="12.75" x14ac:dyDescent="0.2">
      <c r="A1447" s="128"/>
      <c r="B1447" s="371"/>
      <c r="C1447" s="128" t="b">
        <v>0</v>
      </c>
      <c r="D1447" s="19" t="str">
        <f ca="1">道具!$C$3</f>
        <v>ＨＰ恢复的葡萄</v>
      </c>
      <c r="E1447" s="371"/>
      <c r="F1447" s="371"/>
      <c r="G1447" s="371"/>
      <c r="H1447" s="371"/>
      <c r="I1447" s="371"/>
      <c r="J1447" s="371"/>
      <c r="K1447" s="371"/>
      <c r="L1447" s="371"/>
      <c r="M1447" s="371"/>
      <c r="N1447" s="371"/>
      <c r="O1447" s="371"/>
      <c r="P1447" s="371"/>
      <c r="Q1447" s="371"/>
      <c r="R1447" s="17"/>
      <c r="S1447" s="17" t="str">
        <f ca="1">Summon!$I$174</f>
        <v>防御力提升</v>
      </c>
      <c r="T1447" s="371"/>
      <c r="U1447" s="371"/>
      <c r="V1447" s="371"/>
      <c r="W1447" s="128"/>
    </row>
    <row r="1448" spans="1:23" ht="12.75" x14ac:dyDescent="0.2">
      <c r="A1448" s="128"/>
      <c r="B1448" s="531"/>
      <c r="C1448" s="130" t="b">
        <v>0</v>
      </c>
      <c r="D1448" s="125" t="str">
        <f ca="1">道具!$C$352</f>
        <v>大盾</v>
      </c>
      <c r="E1448" s="531"/>
      <c r="F1448" s="531"/>
      <c r="G1448" s="531"/>
      <c r="H1448" s="531"/>
      <c r="I1448" s="531"/>
      <c r="J1448" s="531"/>
      <c r="K1448" s="531"/>
      <c r="L1448" s="531"/>
      <c r="M1448" s="531"/>
      <c r="N1448" s="531"/>
      <c r="O1448" s="531"/>
      <c r="P1448" s="531"/>
      <c r="Q1448" s="531"/>
      <c r="R1448" s="126"/>
      <c r="S1448" s="126" t="str">
        <f ca="1">Summon!$I$4</f>
        <v>战斗</v>
      </c>
      <c r="T1448" s="531"/>
      <c r="U1448" s="531"/>
      <c r="V1448" s="531"/>
      <c r="W1448" s="128"/>
    </row>
    <row r="1449" spans="1:23" ht="12.75" x14ac:dyDescent="0.2">
      <c r="A1449" s="128"/>
      <c r="B1449" s="402" t="str">
        <f ca="1">语言!$A$1884</f>
        <v>农家的女孩</v>
      </c>
      <c r="C1449" s="128" t="b">
        <v>0</v>
      </c>
      <c r="D1449" s="19" t="str">
        <f ca="1">道具!$C$532</f>
        <v>含毒的素材</v>
      </c>
      <c r="E1449" s="535" t="b">
        <v>0</v>
      </c>
      <c r="F1449" s="379" t="str">
        <f ca="1">语言!$A$33&amp;"
* "&amp;道具!$F$69</f>
        <v>隐藏道具的资讯
* 巨大的蛋</v>
      </c>
      <c r="G1449" s="535" t="b">
        <v>0</v>
      </c>
      <c r="H1449" s="530" t="s">
        <v>45</v>
      </c>
      <c r="I1449" s="379">
        <v>2</v>
      </c>
      <c r="J1449" s="379"/>
      <c r="K1449" s="379"/>
      <c r="L1449" s="379"/>
      <c r="M1449" s="379"/>
      <c r="N1449" s="379"/>
      <c r="O1449" s="379" t="str">
        <f ca="1">道具!$C$528</f>
        <v>药的素材</v>
      </c>
      <c r="P1449" s="535"/>
      <c r="Q1449" s="530" t="s">
        <v>45</v>
      </c>
      <c r="R1449" s="17"/>
      <c r="S1449" s="17" t="str">
        <f ca="1">Summon!$I$58</f>
        <v>七零八落斩</v>
      </c>
      <c r="T1449" s="530">
        <v>9</v>
      </c>
      <c r="U1449" s="535"/>
      <c r="V1449" s="379" t="str">
        <f ca="1">"NPC available after "&amp;语言!$A$41&amp;" chapter 1"</f>
        <v>NPC available after 泰里翁 chapter 1</v>
      </c>
      <c r="W1449" s="128"/>
    </row>
    <row r="1450" spans="1:23" ht="12.75" x14ac:dyDescent="0.2">
      <c r="A1450" s="128"/>
      <c r="B1450" s="371"/>
      <c r="C1450" s="128" t="b">
        <v>0</v>
      </c>
      <c r="D1450" s="19" t="str">
        <f ca="1">道具!$C$500</f>
        <v>察知耳环</v>
      </c>
      <c r="E1450" s="371"/>
      <c r="F1450" s="371"/>
      <c r="G1450" s="371"/>
      <c r="H1450" s="371"/>
      <c r="I1450" s="371"/>
      <c r="J1450" s="371"/>
      <c r="K1450" s="371"/>
      <c r="L1450" s="371"/>
      <c r="M1450" s="371"/>
      <c r="N1450" s="371"/>
      <c r="O1450" s="371"/>
      <c r="P1450" s="371"/>
      <c r="Q1450" s="371"/>
      <c r="R1450" s="17"/>
      <c r="S1450" s="17" t="str">
        <f ca="1">Summon!$I$4</f>
        <v>战斗</v>
      </c>
      <c r="T1450" s="371"/>
      <c r="U1450" s="371"/>
      <c r="V1450" s="371"/>
      <c r="W1450" s="128"/>
    </row>
    <row r="1451" spans="1:23" ht="12.75" x14ac:dyDescent="0.2">
      <c r="A1451" s="221"/>
      <c r="B1451" s="576" t="str">
        <f ca="1">语言!$A$437</f>
        <v>南库利亚布鲁克川道</v>
      </c>
      <c r="C1451" s="371"/>
      <c r="D1451" s="371"/>
      <c r="E1451" s="371"/>
      <c r="F1451" s="371"/>
      <c r="G1451" s="371"/>
      <c r="H1451" s="371"/>
      <c r="I1451" s="371"/>
      <c r="J1451" s="371"/>
      <c r="K1451" s="371"/>
      <c r="L1451" s="371"/>
      <c r="M1451" s="371"/>
      <c r="N1451" s="371"/>
      <c r="O1451" s="371"/>
      <c r="P1451" s="371"/>
      <c r="Q1451" s="371"/>
      <c r="R1451" s="371"/>
      <c r="S1451" s="371"/>
      <c r="T1451" s="371"/>
      <c r="U1451" s="371"/>
      <c r="V1451" s="371"/>
      <c r="W1451" s="221"/>
    </row>
    <row r="1452" spans="1:23" ht="12.75" x14ac:dyDescent="0.2">
      <c r="A1452" s="221"/>
      <c r="B1452" s="577" t="str">
        <f ca="1">语言!$A$1960&amp;" (1)"</f>
        <v>迷路的爷爷 /
活力十足的爷爷 (1)</v>
      </c>
      <c r="C1452" s="221" t="b">
        <v>0</v>
      </c>
      <c r="D1452" s="222" t="str">
        <f ca="1">道具!$C$538</f>
        <v>睡眠花之叶</v>
      </c>
      <c r="E1452" s="578" t="b">
        <v>0</v>
      </c>
      <c r="F1452" s="379" t="str">
        <f ca="1">语言!$A$23</f>
        <v>无</v>
      </c>
      <c r="G1452" s="535" t="b">
        <v>0</v>
      </c>
      <c r="H1452" s="530" t="s">
        <v>46</v>
      </c>
      <c r="I1452" s="379">
        <v>3</v>
      </c>
      <c r="J1452" s="379"/>
      <c r="K1452" s="379"/>
      <c r="L1452" s="379"/>
      <c r="M1452" s="379"/>
      <c r="N1452" s="379"/>
      <c r="O1452" s="379" t="str">
        <f ca="1">道具!$C$388</f>
        <v>飞行头盔</v>
      </c>
      <c r="P1452" s="535"/>
      <c r="Q1452" s="530" t="s">
        <v>46</v>
      </c>
      <c r="R1452" s="17"/>
      <c r="S1452" s="17" t="str">
        <f ca="1">Summon!$I$174</f>
        <v>防御力提升</v>
      </c>
      <c r="T1452" s="530">
        <v>8</v>
      </c>
      <c r="U1452" s="535"/>
      <c r="V1452" s="379" t="str">
        <f ca="1">"NPC available after "&amp;语言!$A$40&amp;" chapter 1
Moves to "&amp;语言!$A$435&amp;" after quest: "&amp;支线!$C$97</f>
        <v>NPC available after 亚芬 chapter 1
Moves to 库利亚布鲁克 after quest: 与孙子重逢</v>
      </c>
      <c r="W1452" s="221"/>
    </row>
    <row r="1453" spans="1:23" ht="12.75" x14ac:dyDescent="0.2">
      <c r="A1453" s="221"/>
      <c r="B1453" s="371"/>
      <c r="C1453" s="221" t="b">
        <v>0</v>
      </c>
      <c r="D1453" s="19" t="str">
        <f ca="1">道具!$C$3</f>
        <v>ＨＰ恢复的葡萄</v>
      </c>
      <c r="E1453" s="371"/>
      <c r="F1453" s="371"/>
      <c r="G1453" s="371"/>
      <c r="H1453" s="371"/>
      <c r="I1453" s="371"/>
      <c r="J1453" s="371"/>
      <c r="K1453" s="371"/>
      <c r="L1453" s="371"/>
      <c r="M1453" s="371"/>
      <c r="N1453" s="371"/>
      <c r="O1453" s="371"/>
      <c r="P1453" s="371"/>
      <c r="Q1453" s="371"/>
      <c r="R1453" s="17"/>
      <c r="S1453" s="17" t="str">
        <f ca="1">Summon!$I$4</f>
        <v>战斗</v>
      </c>
      <c r="T1453" s="371"/>
      <c r="U1453" s="371"/>
      <c r="V1453" s="371"/>
      <c r="W1453" s="221"/>
    </row>
    <row r="1454" spans="1:23" ht="12.75" x14ac:dyDescent="0.2">
      <c r="A1454" s="128"/>
      <c r="B1454" s="574" t="str">
        <f ca="1">语言!$A$323&amp;" 2"</f>
        <v>Tier 2</v>
      </c>
      <c r="C1454" s="371"/>
      <c r="D1454" s="371"/>
      <c r="E1454" s="371"/>
      <c r="F1454" s="371"/>
      <c r="G1454" s="371"/>
      <c r="H1454" s="371"/>
      <c r="I1454" s="371"/>
      <c r="J1454" s="371"/>
      <c r="K1454" s="371"/>
      <c r="L1454" s="371"/>
      <c r="M1454" s="371"/>
      <c r="N1454" s="371"/>
      <c r="O1454" s="371"/>
      <c r="P1454" s="371"/>
      <c r="Q1454" s="371"/>
      <c r="R1454" s="371"/>
      <c r="S1454" s="371"/>
      <c r="T1454" s="371"/>
      <c r="U1454" s="371"/>
      <c r="V1454" s="371"/>
      <c r="W1454" s="128"/>
    </row>
    <row r="1455" spans="1:23" ht="12.75" x14ac:dyDescent="0.2">
      <c r="A1455" s="128"/>
      <c r="B1455" s="575" t="str">
        <f ca="1">语言!$A$441</f>
        <v>圣特布里吉</v>
      </c>
      <c r="C1455" s="371"/>
      <c r="D1455" s="371"/>
      <c r="E1455" s="371"/>
      <c r="F1455" s="371"/>
      <c r="G1455" s="371"/>
      <c r="H1455" s="371"/>
      <c r="I1455" s="371"/>
      <c r="J1455" s="371"/>
      <c r="K1455" s="371"/>
      <c r="L1455" s="371"/>
      <c r="M1455" s="371"/>
      <c r="N1455" s="371"/>
      <c r="O1455" s="371"/>
      <c r="P1455" s="371"/>
      <c r="Q1455" s="371"/>
      <c r="R1455" s="371"/>
      <c r="S1455" s="371"/>
      <c r="T1455" s="371"/>
      <c r="U1455" s="371"/>
      <c r="V1455" s="371"/>
      <c r="W1455" s="128"/>
    </row>
    <row r="1456" spans="1:23" ht="12.75" x14ac:dyDescent="0.2">
      <c r="A1456" s="128"/>
      <c r="B1456" s="402" t="str">
        <f ca="1">语言!$A$2102</f>
        <v>市民</v>
      </c>
      <c r="C1456" s="128" t="b">
        <v>0</v>
      </c>
      <c r="D1456" s="19" t="str">
        <f ca="1">道具!$C$5</f>
        <v>ＨＰ全体恢复的葡萄</v>
      </c>
      <c r="E1456" s="535" t="b">
        <v>0</v>
      </c>
      <c r="F1456" s="379" t="str">
        <f ca="1">语言!$A$33&amp;"
"&amp;道具!$C$6</f>
        <v>隐藏道具的资讯
ＳＰ恢复的李子</v>
      </c>
      <c r="G1456" s="535" t="b">
        <v>0</v>
      </c>
      <c r="H1456" s="530" t="s">
        <v>57</v>
      </c>
      <c r="I1456" s="379">
        <v>3</v>
      </c>
      <c r="J1456" s="379"/>
      <c r="K1456" s="379"/>
      <c r="L1456" s="379"/>
      <c r="M1456" s="379"/>
      <c r="N1456" s="379"/>
      <c r="O1456" s="379" t="str">
        <f ca="1">道具!$C$4</f>
        <v>ＨＰ恢复的葡萄（大）</v>
      </c>
      <c r="P1456" s="535"/>
      <c r="Q1456" s="530" t="s">
        <v>57</v>
      </c>
      <c r="R1456" s="17"/>
      <c r="S1456" s="17" t="str">
        <f ca="1">Summon!$I$52</f>
        <v>重拳</v>
      </c>
      <c r="T1456" s="530">
        <v>8</v>
      </c>
      <c r="U1456" s="535"/>
      <c r="V1456" s="379"/>
      <c r="W1456" s="128"/>
    </row>
    <row r="1457" spans="1:23" ht="12.75" x14ac:dyDescent="0.2">
      <c r="A1457" s="128"/>
      <c r="B1457" s="531"/>
      <c r="C1457" s="130" t="b">
        <v>0</v>
      </c>
      <c r="D1457" s="125" t="str">
        <f ca="1">道具!$C$5</f>
        <v>ＨＰ全体恢复的葡萄</v>
      </c>
      <c r="E1457" s="531"/>
      <c r="F1457" s="531"/>
      <c r="G1457" s="531"/>
      <c r="H1457" s="531"/>
      <c r="I1457" s="531"/>
      <c r="J1457" s="531"/>
      <c r="K1457" s="531"/>
      <c r="L1457" s="531"/>
      <c r="M1457" s="531"/>
      <c r="N1457" s="531"/>
      <c r="O1457" s="531"/>
      <c r="P1457" s="531"/>
      <c r="Q1457" s="531"/>
      <c r="R1457" s="126"/>
      <c r="S1457" s="126" t="str">
        <f ca="1">Summon!$I$4</f>
        <v>战斗</v>
      </c>
      <c r="T1457" s="531"/>
      <c r="U1457" s="531"/>
      <c r="V1457" s="531"/>
      <c r="W1457" s="128"/>
    </row>
    <row r="1458" spans="1:23" ht="12.75" x14ac:dyDescent="0.2">
      <c r="A1458" s="128"/>
      <c r="B1458" s="402" t="str">
        <f ca="1">语言!$A$1949&amp;" (2)"</f>
        <v>风景画画家 /
面包师 (2)</v>
      </c>
      <c r="C1458" s="128" t="b">
        <v>0</v>
      </c>
      <c r="D1458" s="19" t="str">
        <f ca="1">道具!$C$16</f>
        <v>复活的橄榄（大）</v>
      </c>
      <c r="E1458" s="535" t="b">
        <v>0</v>
      </c>
      <c r="F1458" s="379" t="str">
        <f ca="1">语言!$A$23</f>
        <v>无</v>
      </c>
      <c r="G1458" s="535" t="b">
        <v>0</v>
      </c>
      <c r="H1458" s="530" t="s">
        <v>48</v>
      </c>
      <c r="I1458" s="379">
        <v>2</v>
      </c>
      <c r="J1458" s="379"/>
      <c r="K1458" s="379"/>
      <c r="L1458" s="379"/>
      <c r="M1458" s="379"/>
      <c r="N1458" s="379"/>
      <c r="O1458" s="379" t="str">
        <f ca="1">道具!$C$4</f>
        <v>ＨＰ恢复的葡萄（大）</v>
      </c>
      <c r="P1458" s="535"/>
      <c r="Q1458" s="530" t="s">
        <v>48</v>
      </c>
      <c r="R1458" s="17"/>
      <c r="S1458" s="17" t="str">
        <f ca="1">Summon!$I$120</f>
        <v>刚出炉的面包</v>
      </c>
      <c r="T1458" s="530">
        <v>9</v>
      </c>
      <c r="U1458" s="535"/>
      <c r="V1458" s="379" t="str">
        <f ca="1">"NPC at this location after quest: "&amp;支线!$C$29&amp;"
("&amp;语言!$A$46&amp;" / "&amp;语言!$A$50&amp;" solution only)"</f>
        <v>NPC at this location after quest: 绝佳的画作
(购买 / 偷取 solution only)</v>
      </c>
      <c r="W1458" s="128"/>
    </row>
    <row r="1459" spans="1:23" ht="12.75" x14ac:dyDescent="0.2">
      <c r="A1459" s="128"/>
      <c r="B1459" s="371"/>
      <c r="C1459" s="128" t="b">
        <v>0</v>
      </c>
      <c r="D1459" s="19" t="str">
        <f ca="1">道具!$C$541</f>
        <v>李子树液</v>
      </c>
      <c r="E1459" s="371"/>
      <c r="F1459" s="371"/>
      <c r="G1459" s="371"/>
      <c r="H1459" s="371"/>
      <c r="I1459" s="371"/>
      <c r="J1459" s="371"/>
      <c r="K1459" s="371"/>
      <c r="L1459" s="371"/>
      <c r="M1459" s="371"/>
      <c r="N1459" s="371"/>
      <c r="O1459" s="371"/>
      <c r="P1459" s="371"/>
      <c r="Q1459" s="371"/>
      <c r="R1459" s="17"/>
      <c r="S1459" s="17" t="str">
        <f ca="1">Summon!$I$4</f>
        <v>战斗</v>
      </c>
      <c r="T1459" s="371"/>
      <c r="U1459" s="371"/>
      <c r="V1459" s="371"/>
      <c r="W1459" s="128"/>
    </row>
    <row r="1460" spans="1:23" ht="12.75" x14ac:dyDescent="0.2">
      <c r="A1460" s="128"/>
      <c r="B1460" s="531"/>
      <c r="C1460" s="130" t="b">
        <v>0</v>
      </c>
      <c r="D1460" s="125" t="str">
        <f ca="1">"* "&amp;道具!$F$38</f>
        <v>* 最后的作品</v>
      </c>
      <c r="E1460" s="531"/>
      <c r="F1460" s="531"/>
      <c r="G1460" s="531"/>
      <c r="H1460" s="531"/>
      <c r="I1460" s="531"/>
      <c r="J1460" s="531"/>
      <c r="K1460" s="531"/>
      <c r="L1460" s="531"/>
      <c r="M1460" s="531"/>
      <c r="N1460" s="531"/>
      <c r="O1460" s="531"/>
      <c r="P1460" s="531"/>
      <c r="Q1460" s="531"/>
      <c r="R1460" s="126"/>
      <c r="S1460" s="126"/>
      <c r="T1460" s="531"/>
      <c r="U1460" s="531"/>
      <c r="V1460" s="531"/>
      <c r="W1460" s="128"/>
    </row>
    <row r="1461" spans="1:23" ht="12.75" x14ac:dyDescent="0.2">
      <c r="A1461" s="128"/>
      <c r="B1461" s="402" t="str">
        <f ca="1">语言!$A$1978&amp;" (2)"</f>
        <v>梅莉儿 (2)</v>
      </c>
      <c r="C1461" s="128" t="b">
        <v>0</v>
      </c>
      <c r="D1461" s="19" t="str">
        <f ca="1">道具!$C$541</f>
        <v>李子树液</v>
      </c>
      <c r="E1461" s="535" t="b">
        <v>0</v>
      </c>
      <c r="F1461" s="379" t="str">
        <f ca="1">语言!$A$23</f>
        <v>无</v>
      </c>
      <c r="G1461" s="535" t="b">
        <v>0</v>
      </c>
      <c r="H1461" s="530" t="s">
        <v>45</v>
      </c>
      <c r="I1461" s="379">
        <v>2</v>
      </c>
      <c r="J1461" s="379"/>
      <c r="K1461" s="379"/>
      <c r="L1461" s="379"/>
      <c r="M1461" s="379"/>
      <c r="N1461" s="379"/>
      <c r="O1461" s="379" t="str">
        <f ca="1">道具!$C$539</f>
        <v>混乱多之叶</v>
      </c>
      <c r="P1461" s="535"/>
      <c r="Q1461" s="534" t="s">
        <v>119</v>
      </c>
      <c r="R1461" s="534" t="s">
        <v>119</v>
      </c>
      <c r="S1461" s="534" t="s">
        <v>119</v>
      </c>
      <c r="T1461" s="534" t="s">
        <v>119</v>
      </c>
      <c r="U1461" s="535"/>
      <c r="V1461" s="379" t="str">
        <f ca="1">"NPC at this location after quest: "&amp;支线!$C$95&amp;"
Moves to "&amp;语言!$A$449&amp;" after quest: "&amp;支线!$C$101</f>
        <v>NPC at this location after quest: 孤儿梅莉儿（１）
Moves to 利维福德 after quest: 孤儿梅莉儿（２）</v>
      </c>
      <c r="W1461" s="128"/>
    </row>
    <row r="1462" spans="1:23" ht="12.75" x14ac:dyDescent="0.2">
      <c r="A1462" s="128"/>
      <c r="B1462" s="531"/>
      <c r="C1462" s="130" t="b">
        <v>0</v>
      </c>
      <c r="D1462" s="125" t="str">
        <f ca="1">道具!$C$542</f>
        <v>石榴树液</v>
      </c>
      <c r="E1462" s="531"/>
      <c r="F1462" s="531"/>
      <c r="G1462" s="531"/>
      <c r="H1462" s="531"/>
      <c r="I1462" s="531"/>
      <c r="J1462" s="531"/>
      <c r="K1462" s="531"/>
      <c r="L1462" s="531"/>
      <c r="M1462" s="531"/>
      <c r="N1462" s="531"/>
      <c r="O1462" s="531"/>
      <c r="P1462" s="531"/>
      <c r="Q1462" s="531"/>
      <c r="R1462" s="531"/>
      <c r="S1462" s="531"/>
      <c r="T1462" s="531"/>
      <c r="U1462" s="531"/>
      <c r="V1462" s="531"/>
      <c r="W1462" s="128"/>
    </row>
    <row r="1463" spans="1:23" ht="12.75" x14ac:dyDescent="0.2">
      <c r="A1463" s="128"/>
      <c r="B1463" s="402" t="str">
        <f ca="1">语言!$A$1867</f>
        <v>潦倒的佣兵</v>
      </c>
      <c r="C1463" s="128" t="b">
        <v>0</v>
      </c>
      <c r="D1463" s="19" t="str">
        <f ca="1">道具!$C$6</f>
        <v>ＳＰ恢复的李子</v>
      </c>
      <c r="E1463" s="535" t="b">
        <v>0</v>
      </c>
      <c r="F1463" s="379" t="str">
        <f ca="1">语言!$A$33&amp;"
"&amp;道具!$C$12</f>
        <v>隐藏道具的资讯
ＨＰ／ＳＰ恢复的果酱</v>
      </c>
      <c r="G1463" s="535" t="b">
        <v>0</v>
      </c>
      <c r="H1463" s="530" t="s">
        <v>49</v>
      </c>
      <c r="I1463" s="379">
        <v>4</v>
      </c>
      <c r="J1463" s="379"/>
      <c r="K1463" s="379"/>
      <c r="L1463" s="379"/>
      <c r="M1463" s="379"/>
      <c r="N1463" s="379"/>
      <c r="O1463" s="379" t="str">
        <f ca="1">道具!$C$157</f>
        <v>老鹰军刀</v>
      </c>
      <c r="P1463" s="535"/>
      <c r="Q1463" s="530" t="s">
        <v>49</v>
      </c>
      <c r="R1463" s="17"/>
      <c r="S1463" s="17" t="str">
        <f ca="1">Summon!$I$21</f>
        <v>乱斩</v>
      </c>
      <c r="T1463" s="530">
        <v>7</v>
      </c>
      <c r="U1463" s="535"/>
      <c r="V1463" s="379" t="str">
        <f ca="1">"NPC available after quest: "&amp;支线!$C$95&amp;"
Hidden Item in other part of town
"&amp;语言!$A$44&amp;" / "&amp;语言!$A$48&amp;" available after quest: "&amp;支线!$C$95</f>
        <v>NPC available after quest: 孤儿梅莉儿（１）
Hidden Item in other part of town
引导 / 诱惑 available after quest: 孤儿梅莉儿（１）</v>
      </c>
      <c r="W1463" s="128"/>
    </row>
    <row r="1464" spans="1:23" ht="12.75" x14ac:dyDescent="0.2">
      <c r="A1464" s="128"/>
      <c r="B1464" s="371"/>
      <c r="C1464" s="128" t="b">
        <v>0</v>
      </c>
      <c r="D1464" s="19" t="str">
        <f ca="1">道具!$C$347</f>
        <v>尖刺盾</v>
      </c>
      <c r="E1464" s="371"/>
      <c r="F1464" s="371"/>
      <c r="G1464" s="371"/>
      <c r="H1464" s="371"/>
      <c r="I1464" s="371"/>
      <c r="J1464" s="371"/>
      <c r="K1464" s="371"/>
      <c r="L1464" s="371"/>
      <c r="M1464" s="371"/>
      <c r="N1464" s="371"/>
      <c r="O1464" s="371"/>
      <c r="P1464" s="371"/>
      <c r="Q1464" s="371"/>
      <c r="R1464" s="17"/>
      <c r="S1464" s="17" t="str">
        <f ca="1">Summon!$I$6</f>
        <v>斩击</v>
      </c>
      <c r="T1464" s="371"/>
      <c r="U1464" s="371"/>
      <c r="V1464" s="371"/>
      <c r="W1464" s="128"/>
    </row>
    <row r="1465" spans="1:23" ht="12.75" x14ac:dyDescent="0.2">
      <c r="A1465" s="128"/>
      <c r="B1465" s="531"/>
      <c r="C1465" s="130" t="b">
        <v>0</v>
      </c>
      <c r="D1465" s="125" t="str">
        <f ca="1">道具!$C$154</f>
        <v>狙击军刀</v>
      </c>
      <c r="E1465" s="531"/>
      <c r="F1465" s="531"/>
      <c r="G1465" s="531"/>
      <c r="H1465" s="531"/>
      <c r="I1465" s="531"/>
      <c r="J1465" s="531"/>
      <c r="K1465" s="531"/>
      <c r="L1465" s="531"/>
      <c r="M1465" s="531"/>
      <c r="N1465" s="531"/>
      <c r="O1465" s="531"/>
      <c r="P1465" s="531"/>
      <c r="Q1465" s="531"/>
      <c r="R1465" s="126"/>
      <c r="S1465" s="126" t="str">
        <f ca="1">Summon!$I$4</f>
        <v>战斗</v>
      </c>
      <c r="T1465" s="531"/>
      <c r="U1465" s="531"/>
      <c r="V1465" s="531"/>
      <c r="W1465" s="128"/>
    </row>
    <row r="1466" spans="1:23" ht="12.75" x14ac:dyDescent="0.2">
      <c r="A1466" s="128"/>
      <c r="B1466" s="402" t="str">
        <f ca="1">语言!$A$1782&amp;" (1)"</f>
        <v>风景画家的弟弟 /
面包师的弟弟 (1)</v>
      </c>
      <c r="C1466" s="128" t="b">
        <v>0</v>
      </c>
      <c r="D1466" s="19" t="str">
        <f ca="1">道具!$C$84</f>
        <v>糖果</v>
      </c>
      <c r="E1466" s="535" t="b">
        <v>0</v>
      </c>
      <c r="F1466" s="379" t="str">
        <f ca="1">语言!$A$23</f>
        <v>无</v>
      </c>
      <c r="G1466" s="535"/>
      <c r="H1466" s="534" t="s">
        <v>119</v>
      </c>
      <c r="I1466" s="534" t="s">
        <v>119</v>
      </c>
      <c r="J1466" s="534" t="s">
        <v>119</v>
      </c>
      <c r="K1466" s="534" t="s">
        <v>119</v>
      </c>
      <c r="L1466" s="534" t="s">
        <v>119</v>
      </c>
      <c r="M1466" s="534" t="s">
        <v>119</v>
      </c>
      <c r="N1466" s="534" t="s">
        <v>119</v>
      </c>
      <c r="O1466" s="534" t="s">
        <v>119</v>
      </c>
      <c r="P1466" s="535"/>
      <c r="Q1466" s="534" t="s">
        <v>119</v>
      </c>
      <c r="R1466" s="534" t="s">
        <v>119</v>
      </c>
      <c r="S1466" s="534" t="s">
        <v>119</v>
      </c>
      <c r="T1466" s="534" t="s">
        <v>119</v>
      </c>
      <c r="U1466" s="535"/>
      <c r="V1466" s="379" t="str">
        <f ca="1">"Moves to "&amp;语言!$A$346&amp;" or stay in "&amp;语言!$A$441&amp;" after quest:
"&amp;支线!$C$29</f>
        <v>Moves to 阿特拉斯达姆 or stay in 圣特布里吉 after quest:
绝佳的画作</v>
      </c>
      <c r="W1466" s="128"/>
    </row>
    <row r="1467" spans="1:23" ht="12.75" x14ac:dyDescent="0.2">
      <c r="A1467" s="128"/>
      <c r="B1467" s="531"/>
      <c r="C1467" s="130" t="b">
        <v>0</v>
      </c>
      <c r="D1467" s="125" t="str">
        <f ca="1">道具!$C$91</f>
        <v>树木果实</v>
      </c>
      <c r="E1467" s="531"/>
      <c r="F1467" s="531"/>
      <c r="G1467" s="531"/>
      <c r="H1467" s="531"/>
      <c r="I1467" s="531"/>
      <c r="J1467" s="531"/>
      <c r="K1467" s="531"/>
      <c r="L1467" s="531"/>
      <c r="M1467" s="531"/>
      <c r="N1467" s="531"/>
      <c r="O1467" s="531"/>
      <c r="P1467" s="531"/>
      <c r="Q1467" s="531"/>
      <c r="R1467" s="531"/>
      <c r="S1467" s="531"/>
      <c r="T1467" s="531"/>
      <c r="U1467" s="531"/>
      <c r="V1467" s="531"/>
      <c r="W1467" s="128"/>
    </row>
    <row r="1468" spans="1:23" ht="12.75" x14ac:dyDescent="0.2">
      <c r="A1468" s="128"/>
      <c r="B1468" s="402" t="str">
        <f ca="1">语言!$A$2098</f>
        <v>提姆</v>
      </c>
      <c r="C1468" s="128" t="b">
        <v>0</v>
      </c>
      <c r="D1468" s="19" t="str">
        <f ca="1">道具!$C$79</f>
        <v>增强速度的坚果（大）</v>
      </c>
      <c r="E1468" s="535" t="b">
        <v>0</v>
      </c>
      <c r="F1468" s="379" t="str">
        <f ca="1">语言!$A$23</f>
        <v>无</v>
      </c>
      <c r="G1468" s="535"/>
      <c r="H1468" s="534" t="s">
        <v>119</v>
      </c>
      <c r="I1468" s="534" t="s">
        <v>119</v>
      </c>
      <c r="J1468" s="534" t="s">
        <v>119</v>
      </c>
      <c r="K1468" s="534" t="s">
        <v>119</v>
      </c>
      <c r="L1468" s="534" t="s">
        <v>119</v>
      </c>
      <c r="M1468" s="534" t="s">
        <v>119</v>
      </c>
      <c r="N1468" s="534" t="s">
        <v>119</v>
      </c>
      <c r="O1468" s="534" t="s">
        <v>119</v>
      </c>
      <c r="P1468" s="535"/>
      <c r="Q1468" s="534" t="s">
        <v>119</v>
      </c>
      <c r="R1468" s="534" t="s">
        <v>119</v>
      </c>
      <c r="S1468" s="534" t="s">
        <v>119</v>
      </c>
      <c r="T1468" s="534" t="s">
        <v>119</v>
      </c>
      <c r="U1468" s="535"/>
      <c r="V1468" s="379" t="str">
        <f ca="1">"NPC available after "&amp;语言!$A$40&amp;" chapter 4"</f>
        <v>NPC available after 亚芬 chapter 4</v>
      </c>
      <c r="W1468" s="128"/>
    </row>
    <row r="1469" spans="1:23" ht="12.75" x14ac:dyDescent="0.2">
      <c r="A1469" s="128"/>
      <c r="B1469" s="371"/>
      <c r="C1469" s="128" t="b">
        <v>0</v>
      </c>
      <c r="D1469" s="19" t="str">
        <f ca="1">道具!$C$12</f>
        <v>ＨＰ／ＳＰ恢复的果酱</v>
      </c>
      <c r="E1469" s="371"/>
      <c r="F1469" s="371"/>
      <c r="G1469" s="371"/>
      <c r="H1469" s="371"/>
      <c r="I1469" s="371"/>
      <c r="J1469" s="371"/>
      <c r="K1469" s="371"/>
      <c r="L1469" s="371"/>
      <c r="M1469" s="371"/>
      <c r="N1469" s="371"/>
      <c r="O1469" s="371"/>
      <c r="P1469" s="371"/>
      <c r="Q1469" s="371"/>
      <c r="R1469" s="371"/>
      <c r="S1469" s="371"/>
      <c r="T1469" s="371"/>
      <c r="U1469" s="371"/>
      <c r="V1469" s="371"/>
      <c r="W1469" s="128"/>
    </row>
    <row r="1470" spans="1:23" ht="12.75" x14ac:dyDescent="0.2">
      <c r="A1470" s="128"/>
      <c r="B1470" s="531"/>
      <c r="C1470" s="130" t="b">
        <v>0</v>
      </c>
      <c r="D1470" s="125" t="str">
        <f ca="1">道具!$C$58</f>
        <v>增强物攻的坚果（特大）</v>
      </c>
      <c r="E1470" s="531"/>
      <c r="F1470" s="531"/>
      <c r="G1470" s="531"/>
      <c r="H1470" s="531"/>
      <c r="I1470" s="531"/>
      <c r="J1470" s="531"/>
      <c r="K1470" s="531"/>
      <c r="L1470" s="531"/>
      <c r="M1470" s="531"/>
      <c r="N1470" s="531"/>
      <c r="O1470" s="531"/>
      <c r="P1470" s="531"/>
      <c r="Q1470" s="531"/>
      <c r="R1470" s="531"/>
      <c r="S1470" s="531"/>
      <c r="T1470" s="531"/>
      <c r="U1470" s="531"/>
      <c r="V1470" s="531"/>
      <c r="W1470" s="128"/>
    </row>
    <row r="1471" spans="1:23" ht="12.75" x14ac:dyDescent="0.2">
      <c r="A1471" s="128"/>
      <c r="B1471" s="402" t="str">
        <f ca="1">语言!$A$2047&amp;" (2)"</f>
        <v>河边的居民 (2)</v>
      </c>
      <c r="C1471" s="535" t="b">
        <v>0</v>
      </c>
      <c r="D1471" s="402" t="str">
        <f ca="1">道具!$C$486</f>
        <v>灵敏手环</v>
      </c>
      <c r="E1471" s="535" t="b">
        <v>0</v>
      </c>
      <c r="F1471" s="379" t="str">
        <f ca="1">语言!$A$33&amp;"
"&amp;道具!$C$34</f>
        <v>隐藏道具的资讯
冰之精灵石（大）</v>
      </c>
      <c r="G1471" s="535" t="b">
        <v>0</v>
      </c>
      <c r="H1471" s="530" t="s">
        <v>48</v>
      </c>
      <c r="I1471" s="379">
        <v>2</v>
      </c>
      <c r="J1471" s="379"/>
      <c r="K1471" s="379"/>
      <c r="L1471" s="379"/>
      <c r="M1471" s="379"/>
      <c r="N1471" s="379"/>
      <c r="O1471" s="379" t="str">
        <f ca="1">道具!$C$7</f>
        <v>ＳＰ恢复的李子（大）</v>
      </c>
      <c r="P1471" s="535"/>
      <c r="Q1471" s="530" t="s">
        <v>48</v>
      </c>
      <c r="R1471" s="17"/>
      <c r="S1471" s="17" t="str">
        <f ca="1">Summon!$I$144</f>
        <v>睡眠药</v>
      </c>
      <c r="T1471" s="530">
        <v>9</v>
      </c>
      <c r="U1471" s="535"/>
      <c r="V1471" s="379" t="str">
        <f ca="1">"NPC available after quest: "&amp;支线!$C$105</f>
        <v>NPC available after quest: 随着川流而来的尸体</v>
      </c>
      <c r="W1471" s="128"/>
    </row>
    <row r="1472" spans="1:23" ht="12.75" x14ac:dyDescent="0.2">
      <c r="A1472" s="128"/>
      <c r="B1472" s="371"/>
      <c r="C1472" s="371"/>
      <c r="D1472" s="371"/>
      <c r="E1472" s="371"/>
      <c r="F1472" s="371"/>
      <c r="G1472" s="371"/>
      <c r="H1472" s="371"/>
      <c r="I1472" s="371"/>
      <c r="J1472" s="371"/>
      <c r="K1472" s="371"/>
      <c r="L1472" s="371"/>
      <c r="M1472" s="371"/>
      <c r="N1472" s="371"/>
      <c r="O1472" s="371"/>
      <c r="P1472" s="371"/>
      <c r="Q1472" s="371"/>
      <c r="R1472" s="17"/>
      <c r="S1472" s="17" t="str">
        <f ca="1">Summon!$I$52</f>
        <v>重拳</v>
      </c>
      <c r="T1472" s="371"/>
      <c r="U1472" s="371"/>
      <c r="V1472" s="371"/>
      <c r="W1472" s="128"/>
    </row>
    <row r="1473" spans="1:23" ht="12.75" x14ac:dyDescent="0.2">
      <c r="A1473" s="128"/>
      <c r="B1473" s="531"/>
      <c r="C1473" s="531"/>
      <c r="D1473" s="531"/>
      <c r="E1473" s="531"/>
      <c r="F1473" s="531"/>
      <c r="G1473" s="531"/>
      <c r="H1473" s="531"/>
      <c r="I1473" s="531"/>
      <c r="J1473" s="531"/>
      <c r="K1473" s="531"/>
      <c r="L1473" s="531"/>
      <c r="M1473" s="531"/>
      <c r="N1473" s="531"/>
      <c r="O1473" s="531"/>
      <c r="P1473" s="531"/>
      <c r="Q1473" s="531"/>
      <c r="R1473" s="126"/>
      <c r="S1473" s="126" t="str">
        <f ca="1">Summon!$I$4</f>
        <v>战斗</v>
      </c>
      <c r="T1473" s="531"/>
      <c r="U1473" s="531"/>
      <c r="V1473" s="531"/>
      <c r="W1473" s="128"/>
    </row>
    <row r="1474" spans="1:23" ht="12.75" x14ac:dyDescent="0.2">
      <c r="A1474" s="128"/>
      <c r="B1474" s="402" t="str">
        <f ca="1">语言!$A$1766&amp;" (2)"</f>
        <v>阿尔法丝 (2)</v>
      </c>
      <c r="C1474" s="128" t="b">
        <v>0</v>
      </c>
      <c r="D1474" s="19" t="str">
        <f ca="1">道具!$C$23</f>
        <v>恐怖治疗药草</v>
      </c>
      <c r="E1474" s="535" t="b">
        <v>0</v>
      </c>
      <c r="F1474" s="379" t="str">
        <f ca="1">道具!$I$5</f>
        <v>阿尔法丝之诗</v>
      </c>
      <c r="G1474" s="535" t="b">
        <v>0</v>
      </c>
      <c r="H1474" s="530" t="s">
        <v>51</v>
      </c>
      <c r="I1474" s="379">
        <v>5</v>
      </c>
      <c r="J1474" s="379"/>
      <c r="K1474" s="379"/>
      <c r="L1474" s="379"/>
      <c r="M1474" s="379"/>
      <c r="N1474" s="379"/>
      <c r="O1474" s="379" t="str">
        <f ca="1">道具!$C$137</f>
        <v>魔力之剑</v>
      </c>
      <c r="P1474" s="535"/>
      <c r="Q1474" s="534" t="s">
        <v>119</v>
      </c>
      <c r="R1474" s="534" t="s">
        <v>119</v>
      </c>
      <c r="S1474" s="534" t="s">
        <v>119</v>
      </c>
      <c r="T1474" s="534" t="s">
        <v>119</v>
      </c>
      <c r="U1474" s="535"/>
      <c r="V1474" s="379" t="str">
        <f ca="1">"NPC at this location after starting quest: "&amp;支线!$C$102&amp;"
Moves to "&amp;语言!$A$442&amp;" after quest:
"&amp;支线!$C$102&amp;" completed"</f>
        <v>NPC at this location after starting quest: 命中注定之人（２）
Moves to 圣特布里吉 -上游- after quest:
命中注定之人（２） completed</v>
      </c>
      <c r="W1474" s="128"/>
    </row>
    <row r="1475" spans="1:23" ht="12.75" x14ac:dyDescent="0.2">
      <c r="A1475" s="128"/>
      <c r="B1475" s="371"/>
      <c r="C1475" s="128" t="b">
        <v>0</v>
      </c>
      <c r="D1475" s="19" t="str">
        <f ca="1">道具!$C$4</f>
        <v>ＨＰ恢复的葡萄（大）</v>
      </c>
      <c r="E1475" s="371"/>
      <c r="F1475" s="371"/>
      <c r="G1475" s="371"/>
      <c r="H1475" s="371"/>
      <c r="I1475" s="371"/>
      <c r="J1475" s="371"/>
      <c r="K1475" s="371"/>
      <c r="L1475" s="371"/>
      <c r="M1475" s="371"/>
      <c r="N1475" s="371"/>
      <c r="O1475" s="371"/>
      <c r="P1475" s="371"/>
      <c r="Q1475" s="371"/>
      <c r="R1475" s="371"/>
      <c r="S1475" s="371"/>
      <c r="T1475" s="371"/>
      <c r="U1475" s="371"/>
      <c r="V1475" s="371"/>
      <c r="W1475" s="128"/>
    </row>
    <row r="1476" spans="1:23" ht="25.5" x14ac:dyDescent="0.2">
      <c r="A1476" s="128"/>
      <c r="B1476" s="531"/>
      <c r="C1476" s="130" t="b">
        <v>0</v>
      </c>
      <c r="D1476" s="125" t="str">
        <f ca="1">道具!$C$11</f>
        <v>ＢＰ恢复的石榴（特大）</v>
      </c>
      <c r="E1476" s="531"/>
      <c r="F1476" s="531"/>
      <c r="G1476" s="531"/>
      <c r="H1476" s="531"/>
      <c r="I1476" s="531"/>
      <c r="J1476" s="531"/>
      <c r="K1476" s="531"/>
      <c r="L1476" s="531"/>
      <c r="M1476" s="531"/>
      <c r="N1476" s="531"/>
      <c r="O1476" s="531"/>
      <c r="P1476" s="531"/>
      <c r="Q1476" s="531"/>
      <c r="R1476" s="531"/>
      <c r="S1476" s="531"/>
      <c r="T1476" s="531"/>
      <c r="U1476" s="531"/>
      <c r="V1476" s="531"/>
      <c r="W1476" s="128"/>
    </row>
    <row r="1477" spans="1:23" ht="12.75" x14ac:dyDescent="0.2">
      <c r="A1477" s="128"/>
      <c r="B1477" s="402" t="str">
        <f ca="1">语言!$A$2131</f>
        <v>爱担心的男子</v>
      </c>
      <c r="C1477" s="128" t="b">
        <v>0</v>
      </c>
      <c r="D1477" s="19" t="str">
        <f ca="1">道具!$C$14</f>
        <v>复活的橄榄</v>
      </c>
      <c r="E1477" s="535" t="b">
        <v>0</v>
      </c>
      <c r="F1477" s="379" t="str">
        <f ca="1">语言!$A$33&amp;"
"&amp;道具!$C$96</f>
        <v>隐藏道具的资讯
装了破烂儿的小袋子</v>
      </c>
      <c r="G1477" s="535" t="b">
        <v>0</v>
      </c>
      <c r="H1477" s="530" t="s">
        <v>46</v>
      </c>
      <c r="I1477" s="379">
        <v>3</v>
      </c>
      <c r="J1477" s="379"/>
      <c r="K1477" s="379"/>
      <c r="L1477" s="379"/>
      <c r="M1477" s="379"/>
      <c r="N1477" s="379"/>
      <c r="O1477" s="379" t="str">
        <f ca="1">道具!$C$4</f>
        <v>ＨＰ恢复的葡萄（大）</v>
      </c>
      <c r="P1477" s="535"/>
      <c r="Q1477" s="530" t="s">
        <v>46</v>
      </c>
      <c r="R1477" s="17"/>
      <c r="S1477" s="17" t="str">
        <f ca="1">Summon!$I$158</f>
        <v>防御力下降</v>
      </c>
      <c r="T1477" s="530">
        <v>8</v>
      </c>
      <c r="U1477" s="535"/>
      <c r="V1477" s="379" t="str">
        <f>"Hidden Item in other part of town"</f>
        <v>Hidden Item in other part of town</v>
      </c>
      <c r="W1477" s="128"/>
    </row>
    <row r="1478" spans="1:23" ht="12.75" x14ac:dyDescent="0.2">
      <c r="A1478" s="128"/>
      <c r="B1478" s="371"/>
      <c r="C1478" s="128" t="b">
        <v>0</v>
      </c>
      <c r="D1478" s="19" t="str">
        <f ca="1">道具!$C$16</f>
        <v>复活的橄榄（大）</v>
      </c>
      <c r="E1478" s="371"/>
      <c r="F1478" s="371"/>
      <c r="G1478" s="371"/>
      <c r="H1478" s="371"/>
      <c r="I1478" s="371"/>
      <c r="J1478" s="371"/>
      <c r="K1478" s="371"/>
      <c r="L1478" s="371"/>
      <c r="M1478" s="371"/>
      <c r="N1478" s="371"/>
      <c r="O1478" s="371"/>
      <c r="P1478" s="371"/>
      <c r="Q1478" s="371"/>
      <c r="R1478" s="17"/>
      <c r="S1478" s="17" t="str">
        <f ca="1">Summon!$I$52</f>
        <v>重拳</v>
      </c>
      <c r="T1478" s="371"/>
      <c r="U1478" s="371"/>
      <c r="V1478" s="371"/>
      <c r="W1478" s="128"/>
    </row>
    <row r="1479" spans="1:23" ht="12.75" x14ac:dyDescent="0.2">
      <c r="A1479" s="128"/>
      <c r="B1479" s="531"/>
      <c r="C1479" s="130" t="b">
        <v>0</v>
      </c>
      <c r="D1479" s="125" t="str">
        <f ca="1">道具!$C$17</f>
        <v>复活的橄榄（特大）</v>
      </c>
      <c r="E1479" s="531"/>
      <c r="F1479" s="531"/>
      <c r="G1479" s="531"/>
      <c r="H1479" s="531"/>
      <c r="I1479" s="531"/>
      <c r="J1479" s="531"/>
      <c r="K1479" s="531"/>
      <c r="L1479" s="531"/>
      <c r="M1479" s="531"/>
      <c r="N1479" s="531"/>
      <c r="O1479" s="531"/>
      <c r="P1479" s="531"/>
      <c r="Q1479" s="531"/>
      <c r="R1479" s="126"/>
      <c r="S1479" s="126" t="str">
        <f ca="1">Summon!$I$4</f>
        <v>战斗</v>
      </c>
      <c r="T1479" s="531"/>
      <c r="U1479" s="531"/>
      <c r="V1479" s="531"/>
      <c r="W1479" s="128"/>
    </row>
    <row r="1480" spans="1:23" ht="12.75" x14ac:dyDescent="0.2">
      <c r="A1480" s="128"/>
      <c r="B1480" s="402" t="str">
        <f ca="1">语言!$A$1963&amp;" (2)"</f>
        <v>莉布拉克 (2)</v>
      </c>
      <c r="C1480" s="535"/>
      <c r="D1480" s="537" t="s">
        <v>119</v>
      </c>
      <c r="E1480" s="535"/>
      <c r="F1480" s="534" t="s">
        <v>119</v>
      </c>
      <c r="G1480" s="535"/>
      <c r="H1480" s="534" t="s">
        <v>119</v>
      </c>
      <c r="I1480" s="534" t="s">
        <v>119</v>
      </c>
      <c r="J1480" s="534" t="s">
        <v>119</v>
      </c>
      <c r="K1480" s="534" t="s">
        <v>119</v>
      </c>
      <c r="L1480" s="534" t="s">
        <v>119</v>
      </c>
      <c r="M1480" s="534" t="s">
        <v>119</v>
      </c>
      <c r="N1480" s="534" t="s">
        <v>119</v>
      </c>
      <c r="O1480" s="534" t="s">
        <v>119</v>
      </c>
      <c r="P1480" s="535"/>
      <c r="Q1480" s="534" t="s">
        <v>119</v>
      </c>
      <c r="R1480" s="534" t="s">
        <v>119</v>
      </c>
      <c r="S1480" s="534" t="s">
        <v>119</v>
      </c>
      <c r="T1480" s="534" t="s">
        <v>119</v>
      </c>
      <c r="U1480" s="535"/>
      <c r="V1480" s="379" t="str">
        <f ca="1">"NPC available after quest: "&amp;支线!$C$116&amp;"
Disapear after starting quest: "&amp;支线!$C$102</f>
        <v>NPC available after quest: 命中注定之人（１）
Disapear after starting quest: 命中注定之人（２）</v>
      </c>
      <c r="W1480" s="128"/>
    </row>
    <row r="1481" spans="1:23" ht="12.75" x14ac:dyDescent="0.2">
      <c r="A1481" s="128"/>
      <c r="B1481" s="531"/>
      <c r="C1481" s="531"/>
      <c r="D1481" s="531"/>
      <c r="E1481" s="531"/>
      <c r="F1481" s="531"/>
      <c r="G1481" s="531"/>
      <c r="H1481" s="531"/>
      <c r="I1481" s="531"/>
      <c r="J1481" s="531"/>
      <c r="K1481" s="531"/>
      <c r="L1481" s="531"/>
      <c r="M1481" s="531"/>
      <c r="N1481" s="531"/>
      <c r="O1481" s="531"/>
      <c r="P1481" s="531"/>
      <c r="Q1481" s="531"/>
      <c r="R1481" s="531"/>
      <c r="S1481" s="531"/>
      <c r="T1481" s="531"/>
      <c r="U1481" s="531"/>
      <c r="V1481" s="531"/>
      <c r="W1481" s="128"/>
    </row>
    <row r="1482" spans="1:23" ht="12.75" x14ac:dyDescent="0.2">
      <c r="A1482" s="128"/>
      <c r="B1482" s="402" t="str">
        <f ca="1">语言!$A$2014</f>
        <v>老人</v>
      </c>
      <c r="C1482" s="128" t="b">
        <v>0</v>
      </c>
      <c r="D1482" s="19" t="str">
        <f ca="1">道具!$C$187</f>
        <v>大桥骑枪</v>
      </c>
      <c r="E1482" s="535" t="b">
        <v>0</v>
      </c>
      <c r="F1482" s="379" t="str">
        <f ca="1">语言!$A$31</f>
        <v>「比试」必须等级降低资讯</v>
      </c>
      <c r="G1482" s="535" t="b">
        <v>0</v>
      </c>
      <c r="H1482" s="530" t="s">
        <v>47</v>
      </c>
      <c r="I1482" s="379">
        <v>4</v>
      </c>
      <c r="J1482" s="379"/>
      <c r="K1482" s="379"/>
      <c r="L1482" s="379"/>
      <c r="M1482" s="379"/>
      <c r="N1482" s="379"/>
      <c r="O1482" s="379" t="str">
        <f ca="1">道具!$C$9</f>
        <v>ＢＰ恢复的石榴</v>
      </c>
      <c r="P1482" s="535"/>
      <c r="Q1482" s="530" t="s">
        <v>47</v>
      </c>
      <c r="R1482" s="17"/>
      <c r="S1482" s="17" t="str">
        <f ca="1">Summon!$I$102</f>
        <v>特大暗黑魔法</v>
      </c>
      <c r="T1482" s="530">
        <v>6</v>
      </c>
      <c r="U1482" s="535"/>
      <c r="V1482" s="379"/>
      <c r="W1482" s="128"/>
    </row>
    <row r="1483" spans="1:23" ht="12.75" x14ac:dyDescent="0.2">
      <c r="A1483" s="128"/>
      <c r="B1483" s="371"/>
      <c r="C1483" s="128" t="b">
        <v>0</v>
      </c>
      <c r="D1483" s="19" t="str">
        <f ca="1">道具!$C$346</f>
        <v>塔盾</v>
      </c>
      <c r="E1483" s="371"/>
      <c r="F1483" s="371"/>
      <c r="G1483" s="371"/>
      <c r="H1483" s="371"/>
      <c r="I1483" s="371"/>
      <c r="J1483" s="371"/>
      <c r="K1483" s="371"/>
      <c r="L1483" s="371"/>
      <c r="M1483" s="371"/>
      <c r="N1483" s="371"/>
      <c r="O1483" s="371"/>
      <c r="P1483" s="371"/>
      <c r="Q1483" s="371"/>
      <c r="R1483" s="17"/>
      <c r="S1483" s="17" t="str">
        <f ca="1">Summon!$I$91</f>
        <v>大雷击魔法</v>
      </c>
      <c r="T1483" s="371"/>
      <c r="U1483" s="371"/>
      <c r="V1483" s="371"/>
      <c r="W1483" s="128"/>
    </row>
    <row r="1484" spans="1:23" ht="12.75" x14ac:dyDescent="0.2">
      <c r="A1484" s="128"/>
      <c r="B1484" s="531"/>
      <c r="C1484" s="130"/>
      <c r="D1484" s="125"/>
      <c r="E1484" s="531"/>
      <c r="F1484" s="531"/>
      <c r="G1484" s="531"/>
      <c r="H1484" s="531"/>
      <c r="I1484" s="531"/>
      <c r="J1484" s="531"/>
      <c r="K1484" s="531"/>
      <c r="L1484" s="531"/>
      <c r="M1484" s="531"/>
      <c r="N1484" s="531"/>
      <c r="O1484" s="531"/>
      <c r="P1484" s="531"/>
      <c r="Q1484" s="531"/>
      <c r="R1484" s="126"/>
      <c r="S1484" s="126" t="str">
        <f ca="1">Summon!$I$4</f>
        <v>战斗</v>
      </c>
      <c r="T1484" s="531"/>
      <c r="U1484" s="531"/>
      <c r="V1484" s="531"/>
      <c r="W1484" s="128"/>
    </row>
    <row r="1485" spans="1:23" ht="12.75" x14ac:dyDescent="0.2">
      <c r="A1485" s="128"/>
      <c r="B1485" s="125" t="str">
        <f ca="1">语言!$A$1981</f>
        <v>佣兵米格尔</v>
      </c>
      <c r="C1485" s="130"/>
      <c r="D1485" s="133" t="s">
        <v>119</v>
      </c>
      <c r="E1485" s="130"/>
      <c r="F1485" s="134" t="s">
        <v>119</v>
      </c>
      <c r="G1485" s="130"/>
      <c r="H1485" s="134" t="s">
        <v>119</v>
      </c>
      <c r="I1485" s="134" t="s">
        <v>119</v>
      </c>
      <c r="J1485" s="134" t="s">
        <v>119</v>
      </c>
      <c r="K1485" s="134" t="s">
        <v>119</v>
      </c>
      <c r="L1485" s="134" t="s">
        <v>119</v>
      </c>
      <c r="M1485" s="134" t="s">
        <v>119</v>
      </c>
      <c r="N1485" s="134" t="s">
        <v>119</v>
      </c>
      <c r="O1485" s="134" t="s">
        <v>119</v>
      </c>
      <c r="P1485" s="130"/>
      <c r="Q1485" s="134" t="s">
        <v>119</v>
      </c>
      <c r="R1485" s="134" t="s">
        <v>119</v>
      </c>
      <c r="S1485" s="134" t="s">
        <v>119</v>
      </c>
      <c r="T1485" s="134" t="s">
        <v>119</v>
      </c>
      <c r="U1485" s="130"/>
      <c r="V1485" s="126" t="str">
        <f ca="1">"NPC available during "&amp;语言!$A$40&amp;" chapter 3"</f>
        <v>NPC available during 亚芬 chapter 3</v>
      </c>
      <c r="W1485" s="128"/>
    </row>
    <row r="1486" spans="1:23" ht="12.75" x14ac:dyDescent="0.2">
      <c r="A1486" s="128"/>
      <c r="B1486" s="125" t="str">
        <f ca="1">语言!$A$1816</f>
        <v>孩子王</v>
      </c>
      <c r="C1486" s="130" t="b">
        <v>0</v>
      </c>
      <c r="D1486" s="125" t="str">
        <f ca="1">"* "&amp;道具!$F$33</f>
        <v>* 河边的花</v>
      </c>
      <c r="E1486" s="130" t="b">
        <v>0</v>
      </c>
      <c r="F1486" s="126" t="str">
        <f ca="1">语言!$A$23</f>
        <v>无</v>
      </c>
      <c r="G1486" s="130"/>
      <c r="H1486" s="134" t="s">
        <v>119</v>
      </c>
      <c r="I1486" s="134" t="s">
        <v>119</v>
      </c>
      <c r="J1486" s="134" t="s">
        <v>119</v>
      </c>
      <c r="K1486" s="134" t="s">
        <v>119</v>
      </c>
      <c r="L1486" s="134" t="s">
        <v>119</v>
      </c>
      <c r="M1486" s="134" t="s">
        <v>119</v>
      </c>
      <c r="N1486" s="134" t="s">
        <v>119</v>
      </c>
      <c r="O1486" s="134" t="s">
        <v>119</v>
      </c>
      <c r="P1486" s="130"/>
      <c r="Q1486" s="134" t="s">
        <v>119</v>
      </c>
      <c r="R1486" s="134" t="s">
        <v>119</v>
      </c>
      <c r="S1486" s="134" t="s">
        <v>119</v>
      </c>
      <c r="T1486" s="134" t="s">
        <v>119</v>
      </c>
      <c r="U1486" s="130"/>
      <c r="V1486" s="126" t="str">
        <f ca="1">"NPC available upon starting quest: "&amp;支线!$C$106</f>
        <v>NPC available upon starting quest: 好友３人组，在那之后</v>
      </c>
      <c r="W1486" s="128"/>
    </row>
    <row r="1487" spans="1:23" ht="12.75" x14ac:dyDescent="0.2">
      <c r="A1487" s="128"/>
      <c r="B1487" s="402" t="str">
        <f ca="1">语言!$A$2102</f>
        <v>市民</v>
      </c>
      <c r="C1487" s="128" t="b">
        <v>0</v>
      </c>
      <c r="D1487" s="19" t="str">
        <f ca="1">道具!$C$9</f>
        <v>ＢＰ恢复的石榴</v>
      </c>
      <c r="E1487" s="535" t="b">
        <v>0</v>
      </c>
      <c r="F1487" s="379" t="str">
        <f ca="1">语言!$A$24</f>
        <v>旅店的折扣资讯</v>
      </c>
      <c r="G1487" s="535" t="b">
        <v>0</v>
      </c>
      <c r="H1487" s="530" t="s">
        <v>48</v>
      </c>
      <c r="I1487" s="379">
        <v>2</v>
      </c>
      <c r="J1487" s="379"/>
      <c r="K1487" s="379"/>
      <c r="L1487" s="379"/>
      <c r="M1487" s="379"/>
      <c r="N1487" s="379"/>
      <c r="O1487" s="379" t="str">
        <f ca="1">道具!$C$4</f>
        <v>ＨＰ恢复的葡萄（大）</v>
      </c>
      <c r="P1487" s="535"/>
      <c r="Q1487" s="530" t="s">
        <v>48</v>
      </c>
      <c r="R1487" s="17"/>
      <c r="S1487" s="17" t="str">
        <f ca="1">Summon!$I$68</f>
        <v>恐慌之矢</v>
      </c>
      <c r="T1487" s="530">
        <v>9</v>
      </c>
      <c r="U1487" s="535"/>
      <c r="V1487" s="379"/>
      <c r="W1487" s="128"/>
    </row>
    <row r="1488" spans="1:23" ht="25.5" x14ac:dyDescent="0.2">
      <c r="A1488" s="128"/>
      <c r="B1488" s="371"/>
      <c r="C1488" s="128" t="b">
        <v>0</v>
      </c>
      <c r="D1488" s="19" t="str">
        <f ca="1">道具!$C$10</f>
        <v>ＢＰ恢复的石榴（大）</v>
      </c>
      <c r="E1488" s="371"/>
      <c r="F1488" s="371"/>
      <c r="G1488" s="371"/>
      <c r="H1488" s="371"/>
      <c r="I1488" s="371"/>
      <c r="J1488" s="371"/>
      <c r="K1488" s="371"/>
      <c r="L1488" s="371"/>
      <c r="M1488" s="371"/>
      <c r="N1488" s="371"/>
      <c r="O1488" s="371"/>
      <c r="P1488" s="371"/>
      <c r="Q1488" s="371"/>
      <c r="R1488" s="17"/>
      <c r="S1488" s="17" t="str">
        <f ca="1">Summon!$I$4</f>
        <v>战斗</v>
      </c>
      <c r="T1488" s="371"/>
      <c r="U1488" s="371"/>
      <c r="V1488" s="371"/>
      <c r="W1488" s="128"/>
    </row>
    <row r="1489" spans="1:23" ht="25.5" x14ac:dyDescent="0.2">
      <c r="A1489" s="128"/>
      <c r="B1489" s="371"/>
      <c r="C1489" s="128" t="b">
        <v>0</v>
      </c>
      <c r="D1489" s="19" t="str">
        <f ca="1">道具!$C$11</f>
        <v>ＢＰ恢复的石榴（特大）</v>
      </c>
      <c r="E1489" s="371"/>
      <c r="F1489" s="371"/>
      <c r="G1489" s="371"/>
      <c r="H1489" s="371"/>
      <c r="I1489" s="371"/>
      <c r="J1489" s="371"/>
      <c r="K1489" s="371"/>
      <c r="L1489" s="371"/>
      <c r="M1489" s="371"/>
      <c r="N1489" s="371"/>
      <c r="O1489" s="371"/>
      <c r="P1489" s="371"/>
      <c r="Q1489" s="371"/>
      <c r="R1489" s="17"/>
      <c r="S1489" s="17"/>
      <c r="T1489" s="371"/>
      <c r="U1489" s="371"/>
      <c r="V1489" s="371"/>
      <c r="W1489" s="128"/>
    </row>
    <row r="1490" spans="1:23" ht="12.75" x14ac:dyDescent="0.2">
      <c r="A1490" s="128"/>
      <c r="B1490" s="575" t="str">
        <f ca="1">语言!$A$442</f>
        <v>圣特布里吉 -上游-</v>
      </c>
      <c r="C1490" s="371"/>
      <c r="D1490" s="371"/>
      <c r="E1490" s="371"/>
      <c r="F1490" s="371"/>
      <c r="G1490" s="371"/>
      <c r="H1490" s="371"/>
      <c r="I1490" s="371"/>
      <c r="J1490" s="371"/>
      <c r="K1490" s="371"/>
      <c r="L1490" s="371"/>
      <c r="M1490" s="371"/>
      <c r="N1490" s="371"/>
      <c r="O1490" s="371"/>
      <c r="P1490" s="371"/>
      <c r="Q1490" s="371"/>
      <c r="R1490" s="371"/>
      <c r="S1490" s="371"/>
      <c r="T1490" s="371"/>
      <c r="U1490" s="371"/>
      <c r="V1490" s="371"/>
      <c r="W1490" s="128"/>
    </row>
    <row r="1491" spans="1:23" ht="12.75" x14ac:dyDescent="0.2">
      <c r="A1491" s="128"/>
      <c r="B1491" s="402" t="str">
        <f ca="1">语言!$A$2102</f>
        <v>市民</v>
      </c>
      <c r="C1491" s="128" t="b">
        <v>0</v>
      </c>
      <c r="D1491" s="19" t="str">
        <f ca="1">道具!$C$39</f>
        <v>风之精灵石</v>
      </c>
      <c r="E1491" s="535" t="b">
        <v>0</v>
      </c>
      <c r="F1491" s="379" t="str">
        <f ca="1">语言!$A$28</f>
        <v>武器店商品追加资讯</v>
      </c>
      <c r="G1491" s="535" t="b">
        <v>0</v>
      </c>
      <c r="H1491" s="530" t="s">
        <v>50</v>
      </c>
      <c r="I1491" s="379">
        <v>4</v>
      </c>
      <c r="J1491" s="379"/>
      <c r="K1491" s="379"/>
      <c r="L1491" s="379"/>
      <c r="M1491" s="379"/>
      <c r="N1491" s="379"/>
      <c r="O1491" s="379" t="str">
        <f ca="1">道具!$C$286</f>
        <v>元素弓</v>
      </c>
      <c r="P1491" s="535"/>
      <c r="Q1491" s="530" t="s">
        <v>50</v>
      </c>
      <c r="R1491" s="17"/>
      <c r="S1491" s="17" t="str">
        <f ca="1">Summon!$I$65</f>
        <v>剧毒之矢</v>
      </c>
      <c r="T1491" s="530">
        <v>7</v>
      </c>
      <c r="U1491" s="535"/>
      <c r="V1491" s="379"/>
      <c r="W1491" s="128"/>
    </row>
    <row r="1492" spans="1:23" ht="12.75" x14ac:dyDescent="0.2">
      <c r="A1492" s="128"/>
      <c r="B1492" s="371"/>
      <c r="C1492" s="128" t="b">
        <v>0</v>
      </c>
      <c r="D1492" s="19" t="str">
        <f ca="1">道具!$C$40</f>
        <v>风之精灵石（大）</v>
      </c>
      <c r="E1492" s="371"/>
      <c r="F1492" s="371"/>
      <c r="G1492" s="371"/>
      <c r="H1492" s="371"/>
      <c r="I1492" s="371"/>
      <c r="J1492" s="371"/>
      <c r="K1492" s="371"/>
      <c r="L1492" s="371"/>
      <c r="M1492" s="371"/>
      <c r="N1492" s="371"/>
      <c r="O1492" s="371"/>
      <c r="P1492" s="371"/>
      <c r="Q1492" s="371"/>
      <c r="R1492" s="17"/>
      <c r="S1492" s="17" t="str">
        <f ca="1">Summon!$I$65</f>
        <v>剧毒之矢</v>
      </c>
      <c r="T1492" s="371"/>
      <c r="U1492" s="371"/>
      <c r="V1492" s="371"/>
      <c r="W1492" s="128"/>
    </row>
    <row r="1493" spans="1:23" ht="12.75" x14ac:dyDescent="0.2">
      <c r="A1493" s="128"/>
      <c r="B1493" s="531"/>
      <c r="C1493" s="130" t="b">
        <v>0</v>
      </c>
      <c r="D1493" s="125" t="str">
        <f ca="1">道具!$C$42</f>
        <v>风之精灵石（特大）</v>
      </c>
      <c r="E1493" s="531"/>
      <c r="F1493" s="531"/>
      <c r="G1493" s="531"/>
      <c r="H1493" s="531"/>
      <c r="I1493" s="531"/>
      <c r="J1493" s="531"/>
      <c r="K1493" s="531"/>
      <c r="L1493" s="531"/>
      <c r="M1493" s="531"/>
      <c r="N1493" s="531"/>
      <c r="O1493" s="531"/>
      <c r="P1493" s="531"/>
      <c r="Q1493" s="531"/>
      <c r="R1493" s="126"/>
      <c r="S1493" s="126" t="str">
        <f ca="1">Summon!$I$4</f>
        <v>战斗</v>
      </c>
      <c r="T1493" s="531"/>
      <c r="U1493" s="531"/>
      <c r="V1493" s="531"/>
      <c r="W1493" s="128"/>
    </row>
    <row r="1494" spans="1:23" ht="12.75" x14ac:dyDescent="0.2">
      <c r="A1494" s="128"/>
      <c r="B1494" s="402" t="str">
        <f ca="1">语言!$A$2102</f>
        <v>市民</v>
      </c>
      <c r="C1494" s="128" t="b">
        <v>0</v>
      </c>
      <c r="D1494" s="19" t="str">
        <f ca="1">道具!$C$530</f>
        <v>秘药的素材</v>
      </c>
      <c r="E1494" s="535" t="b">
        <v>0</v>
      </c>
      <c r="F1494" s="401" t="str">
        <f ca="1">语言!$A$23&amp;" /
"&amp;道具!$I$55</f>
        <v>无 /
感情很好的老婆婆们</v>
      </c>
      <c r="G1494" s="535" t="b">
        <v>0</v>
      </c>
      <c r="H1494" s="530" t="s">
        <v>48</v>
      </c>
      <c r="I1494" s="379">
        <v>2</v>
      </c>
      <c r="J1494" s="379"/>
      <c r="K1494" s="379"/>
      <c r="L1494" s="379"/>
      <c r="M1494" s="379"/>
      <c r="N1494" s="379"/>
      <c r="O1494" s="379" t="str">
        <f ca="1">道具!$C$12</f>
        <v>ＨＰ／ＳＰ恢复的果酱</v>
      </c>
      <c r="P1494" s="535"/>
      <c r="Q1494" s="530" t="s">
        <v>48</v>
      </c>
      <c r="R1494" s="17"/>
      <c r="S1494" s="17" t="str">
        <f ca="1">Summon!$I$173</f>
        <v>攻击力提升</v>
      </c>
      <c r="T1494" s="530">
        <v>9</v>
      </c>
      <c r="U1494" s="535"/>
      <c r="V1494" s="379" t="str">
        <f ca="1">语言!$A$44&amp;" / "&amp;语言!$A$48&amp;" available after "&amp;语言!$A$40&amp;" chapter 3
"&amp;道具!$I$55&amp;" available during "&amp;语言!$A$40&amp;" chapter 3"</f>
        <v>引导 / 诱惑 available after 亚芬 chapter 3
感情很好的老婆婆们 available during 亚芬 chapter 3</v>
      </c>
      <c r="W1494" s="128"/>
    </row>
    <row r="1495" spans="1:23" ht="12.75" x14ac:dyDescent="0.2">
      <c r="A1495" s="128"/>
      <c r="B1495" s="371"/>
      <c r="C1495" s="128" t="b">
        <v>0</v>
      </c>
      <c r="D1495" s="19" t="str">
        <f ca="1">道具!$C$530</f>
        <v>秘药的素材</v>
      </c>
      <c r="E1495" s="371"/>
      <c r="F1495" s="371"/>
      <c r="G1495" s="371"/>
      <c r="H1495" s="371"/>
      <c r="I1495" s="371"/>
      <c r="J1495" s="371"/>
      <c r="K1495" s="371"/>
      <c r="L1495" s="371"/>
      <c r="M1495" s="371"/>
      <c r="N1495" s="371"/>
      <c r="O1495" s="371"/>
      <c r="P1495" s="371"/>
      <c r="Q1495" s="371"/>
      <c r="R1495" s="17"/>
      <c r="S1495" s="17" t="str">
        <f ca="1">Summon!$I$61</f>
        <v>全力斩击</v>
      </c>
      <c r="T1495" s="371"/>
      <c r="U1495" s="371"/>
      <c r="V1495" s="371"/>
      <c r="W1495" s="128"/>
    </row>
    <row r="1496" spans="1:23" ht="12.75" x14ac:dyDescent="0.2">
      <c r="A1496" s="128"/>
      <c r="B1496" s="531"/>
      <c r="C1496" s="130" t="b">
        <v>0</v>
      </c>
      <c r="D1496" s="125" t="str">
        <f ca="1">道具!$C$543</f>
        <v>橄榄花</v>
      </c>
      <c r="E1496" s="531"/>
      <c r="F1496" s="531"/>
      <c r="G1496" s="531"/>
      <c r="H1496" s="531"/>
      <c r="I1496" s="531"/>
      <c r="J1496" s="531"/>
      <c r="K1496" s="531"/>
      <c r="L1496" s="531"/>
      <c r="M1496" s="531"/>
      <c r="N1496" s="531"/>
      <c r="O1496" s="531"/>
      <c r="P1496" s="531"/>
      <c r="Q1496" s="531"/>
      <c r="R1496" s="126"/>
      <c r="S1496" s="126" t="str">
        <f ca="1">Summon!$I$4</f>
        <v>战斗</v>
      </c>
      <c r="T1496" s="531"/>
      <c r="U1496" s="531"/>
      <c r="V1496" s="531"/>
      <c r="W1496" s="128"/>
    </row>
    <row r="1497" spans="1:23" ht="12.75" x14ac:dyDescent="0.2">
      <c r="A1497" s="128"/>
      <c r="B1497" s="125" t="str">
        <f ca="1">语言!$A$1858&amp;" (1)"</f>
        <v>爱弥儿 (1)</v>
      </c>
      <c r="C1497" s="130" t="b">
        <v>0</v>
      </c>
      <c r="D1497" s="125" t="str">
        <f ca="1">道具!$C$485</f>
        <v>察知手环</v>
      </c>
      <c r="E1497" s="130" t="b">
        <v>0</v>
      </c>
      <c r="F1497" s="126" t="str">
        <f ca="1">语言!$A$23</f>
        <v>无</v>
      </c>
      <c r="G1497" s="130"/>
      <c r="H1497" s="134" t="s">
        <v>119</v>
      </c>
      <c r="I1497" s="134" t="s">
        <v>119</v>
      </c>
      <c r="J1497" s="134" t="s">
        <v>119</v>
      </c>
      <c r="K1497" s="134" t="s">
        <v>119</v>
      </c>
      <c r="L1497" s="134" t="s">
        <v>119</v>
      </c>
      <c r="M1497" s="134" t="s">
        <v>119</v>
      </c>
      <c r="N1497" s="134" t="s">
        <v>119</v>
      </c>
      <c r="O1497" s="134" t="s">
        <v>119</v>
      </c>
      <c r="P1497" s="130"/>
      <c r="Q1497" s="134" t="s">
        <v>119</v>
      </c>
      <c r="R1497" s="134" t="s">
        <v>119</v>
      </c>
      <c r="S1497" s="134" t="s">
        <v>119</v>
      </c>
      <c r="T1497" s="134" t="s">
        <v>119</v>
      </c>
      <c r="U1497" s="130"/>
      <c r="V1497" s="126" t="str">
        <f ca="1">道具!$C$485&amp;" available before you complete "&amp;语言!$A$35&amp;" chapter 4"</f>
        <v>察知手环 available before you complete 欧菲莉亚 chapter 4</v>
      </c>
      <c r="W1497" s="128"/>
    </row>
    <row r="1498" spans="1:23" ht="25.5" x14ac:dyDescent="0.2">
      <c r="A1498" s="128"/>
      <c r="B1498" s="402" t="str">
        <f ca="1">语言!$A$1858&amp;" (2)"</f>
        <v>爱弥儿 (2)</v>
      </c>
      <c r="C1498" s="128" t="b">
        <v>0</v>
      </c>
      <c r="D1498" s="19" t="str">
        <f ca="1">道具!$C$10</f>
        <v>ＢＰ恢复的石榴（大）</v>
      </c>
      <c r="E1498" s="535" t="b">
        <v>0</v>
      </c>
      <c r="F1498" s="379" t="str">
        <f ca="1">语言!$A$23</f>
        <v>无</v>
      </c>
      <c r="G1498" s="535"/>
      <c r="H1498" s="534" t="s">
        <v>119</v>
      </c>
      <c r="I1498" s="534" t="s">
        <v>119</v>
      </c>
      <c r="J1498" s="534" t="s">
        <v>119</v>
      </c>
      <c r="K1498" s="534" t="s">
        <v>119</v>
      </c>
      <c r="L1498" s="534" t="s">
        <v>119</v>
      </c>
      <c r="M1498" s="534" t="s">
        <v>119</v>
      </c>
      <c r="N1498" s="534" t="s">
        <v>119</v>
      </c>
      <c r="O1498" s="534" t="s">
        <v>119</v>
      </c>
      <c r="P1498" s="535"/>
      <c r="Q1498" s="534" t="s">
        <v>119</v>
      </c>
      <c r="R1498" s="534" t="s">
        <v>119</v>
      </c>
      <c r="S1498" s="534" t="s">
        <v>119</v>
      </c>
      <c r="T1498" s="534" t="s">
        <v>119</v>
      </c>
      <c r="U1498" s="535"/>
      <c r="V1498" s="379" t="str">
        <f ca="1">"New "&amp;语言!$A$46&amp;" / "&amp;语言!$A$50&amp;" inventory after completing "&amp;语言!$A$35&amp;" chapter 4"</f>
        <v>New 购买 / 偷取 inventory after completing 欧菲莉亚 chapter 4</v>
      </c>
      <c r="W1498" s="128"/>
    </row>
    <row r="1499" spans="1:23" ht="12.75" x14ac:dyDescent="0.2">
      <c r="A1499" s="128"/>
      <c r="B1499" s="531"/>
      <c r="C1499" s="130" t="b">
        <v>0</v>
      </c>
      <c r="D1499" s="125" t="str">
        <f ca="1">道具!$C$91</f>
        <v>树木果实</v>
      </c>
      <c r="E1499" s="531"/>
      <c r="F1499" s="531"/>
      <c r="G1499" s="531"/>
      <c r="H1499" s="531"/>
      <c r="I1499" s="531"/>
      <c r="J1499" s="531"/>
      <c r="K1499" s="531"/>
      <c r="L1499" s="531"/>
      <c r="M1499" s="531"/>
      <c r="N1499" s="531"/>
      <c r="O1499" s="531"/>
      <c r="P1499" s="531"/>
      <c r="Q1499" s="531"/>
      <c r="R1499" s="531"/>
      <c r="S1499" s="531"/>
      <c r="T1499" s="531"/>
      <c r="U1499" s="531"/>
      <c r="V1499" s="531"/>
      <c r="W1499" s="128"/>
    </row>
    <row r="1500" spans="1:23" ht="12.75" x14ac:dyDescent="0.2">
      <c r="A1500" s="128"/>
      <c r="B1500" s="125" t="str">
        <f ca="1">语言!$A$1996&amp;" (1)"</f>
        <v>内特 (1)</v>
      </c>
      <c r="C1500" s="130" t="b">
        <v>0</v>
      </c>
      <c r="D1500" s="125" t="str">
        <f ca="1">道具!$C$481</f>
        <v>精神手环</v>
      </c>
      <c r="E1500" s="130" t="b">
        <v>0</v>
      </c>
      <c r="F1500" s="126" t="str">
        <f ca="1">语言!$A$23</f>
        <v>无</v>
      </c>
      <c r="G1500" s="130"/>
      <c r="H1500" s="134" t="s">
        <v>119</v>
      </c>
      <c r="I1500" s="134" t="s">
        <v>119</v>
      </c>
      <c r="J1500" s="134" t="s">
        <v>119</v>
      </c>
      <c r="K1500" s="134" t="s">
        <v>119</v>
      </c>
      <c r="L1500" s="134" t="s">
        <v>119</v>
      </c>
      <c r="M1500" s="134" t="s">
        <v>119</v>
      </c>
      <c r="N1500" s="134" t="s">
        <v>119</v>
      </c>
      <c r="O1500" s="134" t="s">
        <v>119</v>
      </c>
      <c r="P1500" s="130"/>
      <c r="Q1500" s="134" t="s">
        <v>119</v>
      </c>
      <c r="R1500" s="134" t="s">
        <v>119</v>
      </c>
      <c r="S1500" s="134" t="s">
        <v>119</v>
      </c>
      <c r="T1500" s="134" t="s">
        <v>119</v>
      </c>
      <c r="U1500" s="130"/>
      <c r="V1500" s="126" t="str">
        <f ca="1">道具!$C$481&amp;" available before you complete "&amp;语言!$A$35&amp;" chapter 4"</f>
        <v>精神手环 available before you complete 欧菲莉亚 chapter 4</v>
      </c>
      <c r="W1500" s="128"/>
    </row>
    <row r="1501" spans="1:23" ht="12.75" x14ac:dyDescent="0.2">
      <c r="A1501" s="128"/>
      <c r="B1501" s="402" t="str">
        <f ca="1">语言!$A$1996&amp;" (2)"</f>
        <v>内特 (2)</v>
      </c>
      <c r="C1501" s="128" t="b">
        <v>0</v>
      </c>
      <c r="D1501" s="19" t="str">
        <f ca="1">道具!$C$6</f>
        <v>ＳＰ恢复的李子</v>
      </c>
      <c r="E1501" s="535" t="b">
        <v>0</v>
      </c>
      <c r="F1501" s="379" t="str">
        <f ca="1">语言!$A$23</f>
        <v>无</v>
      </c>
      <c r="G1501" s="535"/>
      <c r="H1501" s="534" t="s">
        <v>119</v>
      </c>
      <c r="I1501" s="534" t="s">
        <v>119</v>
      </c>
      <c r="J1501" s="534" t="s">
        <v>119</v>
      </c>
      <c r="K1501" s="534" t="s">
        <v>119</v>
      </c>
      <c r="L1501" s="534" t="s">
        <v>119</v>
      </c>
      <c r="M1501" s="534" t="s">
        <v>119</v>
      </c>
      <c r="N1501" s="534" t="s">
        <v>119</v>
      </c>
      <c r="O1501" s="534" t="s">
        <v>119</v>
      </c>
      <c r="P1501" s="535"/>
      <c r="Q1501" s="534" t="s">
        <v>119</v>
      </c>
      <c r="R1501" s="534" t="s">
        <v>119</v>
      </c>
      <c r="S1501" s="534" t="s">
        <v>119</v>
      </c>
      <c r="T1501" s="534" t="s">
        <v>119</v>
      </c>
      <c r="U1501" s="535"/>
      <c r="V1501" s="379" t="str">
        <f ca="1">"New "&amp;语言!$A$46&amp;" / "&amp;语言!$A$50&amp;" available upon starting quest: "&amp;支线!$C$106</f>
        <v>New 购买 / 偷取 available upon starting quest: 好友３人组，在那之后</v>
      </c>
      <c r="W1501" s="128"/>
    </row>
    <row r="1502" spans="1:23" ht="12.75" x14ac:dyDescent="0.2">
      <c r="A1502" s="128"/>
      <c r="B1502" s="531"/>
      <c r="C1502" s="130" t="b">
        <v>0</v>
      </c>
      <c r="D1502" s="125" t="str">
        <f ca="1">道具!$C$86</f>
        <v>手帕</v>
      </c>
      <c r="E1502" s="531"/>
      <c r="F1502" s="531"/>
      <c r="G1502" s="531"/>
      <c r="H1502" s="531"/>
      <c r="I1502" s="531"/>
      <c r="J1502" s="531"/>
      <c r="K1502" s="531"/>
      <c r="L1502" s="531"/>
      <c r="M1502" s="531"/>
      <c r="N1502" s="531"/>
      <c r="O1502" s="531"/>
      <c r="P1502" s="531"/>
      <c r="Q1502" s="531"/>
      <c r="R1502" s="531"/>
      <c r="S1502" s="531"/>
      <c r="T1502" s="531"/>
      <c r="U1502" s="531"/>
      <c r="V1502" s="531"/>
      <c r="W1502" s="128"/>
    </row>
    <row r="1503" spans="1:23" ht="12.75" x14ac:dyDescent="0.2">
      <c r="A1503" s="128"/>
      <c r="B1503" s="125" t="str">
        <f ca="1">语言!$A$1845&amp;" (1)"</f>
        <v>达里尔 (1)</v>
      </c>
      <c r="C1503" s="130" t="b">
        <v>0</v>
      </c>
      <c r="D1503" s="223" t="str">
        <f ca="1">道具!$C$514</f>
        <v>冰之避邪符</v>
      </c>
      <c r="E1503" s="130" t="b">
        <v>0</v>
      </c>
      <c r="F1503" s="126" t="str">
        <f ca="1">语言!$A$23&amp;" / X"</f>
        <v>无 / X</v>
      </c>
      <c r="G1503" s="130"/>
      <c r="H1503" s="134" t="s">
        <v>119</v>
      </c>
      <c r="I1503" s="134" t="s">
        <v>119</v>
      </c>
      <c r="J1503" s="134" t="s">
        <v>119</v>
      </c>
      <c r="K1503" s="134" t="s">
        <v>119</v>
      </c>
      <c r="L1503" s="134" t="s">
        <v>119</v>
      </c>
      <c r="M1503" s="134" t="s">
        <v>119</v>
      </c>
      <c r="N1503" s="134" t="s">
        <v>119</v>
      </c>
      <c r="O1503" s="134" t="s">
        <v>119</v>
      </c>
      <c r="P1503" s="130"/>
      <c r="Q1503" s="134" t="s">
        <v>119</v>
      </c>
      <c r="R1503" s="134" t="s">
        <v>119</v>
      </c>
      <c r="S1503" s="134" t="s">
        <v>119</v>
      </c>
      <c r="T1503" s="134" t="s">
        <v>119</v>
      </c>
      <c r="U1503" s="130"/>
      <c r="V1503" s="126" t="str">
        <f ca="1">道具!$C$514&amp;" available until you complete "&amp;语言!$A$35&amp;" chapter 4"</f>
        <v>冰之避邪符 available until you complete 欧菲莉亚 chapter 4</v>
      </c>
      <c r="W1503" s="128"/>
    </row>
    <row r="1504" spans="1:23" ht="12.75" x14ac:dyDescent="0.2">
      <c r="A1504" s="128"/>
      <c r="B1504" s="402" t="str">
        <f ca="1">语言!$A$1845&amp;" (2)"</f>
        <v>达里尔 (2)</v>
      </c>
      <c r="C1504" s="128" t="b">
        <v>0</v>
      </c>
      <c r="D1504" s="19" t="str">
        <f ca="1">道具!$C$539</f>
        <v>混乱多之叶</v>
      </c>
      <c r="E1504" s="535" t="b">
        <v>0</v>
      </c>
      <c r="F1504" s="379" t="str">
        <f ca="1">语言!$A$23</f>
        <v>无</v>
      </c>
      <c r="G1504" s="535"/>
      <c r="H1504" s="534" t="s">
        <v>119</v>
      </c>
      <c r="I1504" s="534" t="s">
        <v>119</v>
      </c>
      <c r="J1504" s="534" t="s">
        <v>119</v>
      </c>
      <c r="K1504" s="534" t="s">
        <v>119</v>
      </c>
      <c r="L1504" s="534" t="s">
        <v>119</v>
      </c>
      <c r="M1504" s="534" t="s">
        <v>119</v>
      </c>
      <c r="N1504" s="534" t="s">
        <v>119</v>
      </c>
      <c r="O1504" s="534" t="s">
        <v>119</v>
      </c>
      <c r="P1504" s="535"/>
      <c r="Q1504" s="534" t="s">
        <v>119</v>
      </c>
      <c r="R1504" s="534" t="s">
        <v>119</v>
      </c>
      <c r="S1504" s="534" t="s">
        <v>119</v>
      </c>
      <c r="T1504" s="534" t="s">
        <v>119</v>
      </c>
      <c r="U1504" s="535"/>
      <c r="V1504" s="379" t="str">
        <f ca="1">"New "&amp;语言!$A$46&amp;" / "&amp;语言!$A$50&amp;" inventory after completing "&amp;语言!$A$35&amp;" chapter 4"</f>
        <v>New 购买 / 偷取 inventory after completing 欧菲莉亚 chapter 4</v>
      </c>
      <c r="W1504" s="128"/>
    </row>
    <row r="1505" spans="1:23" ht="12.75" x14ac:dyDescent="0.2">
      <c r="A1505" s="128"/>
      <c r="B1505" s="531"/>
      <c r="C1505" s="130" t="b">
        <v>0</v>
      </c>
      <c r="D1505" s="125" t="str">
        <f ca="1">道具!$C$90</f>
        <v>原石</v>
      </c>
      <c r="E1505" s="531"/>
      <c r="F1505" s="531"/>
      <c r="G1505" s="531"/>
      <c r="H1505" s="531"/>
      <c r="I1505" s="531"/>
      <c r="J1505" s="531"/>
      <c r="K1505" s="531"/>
      <c r="L1505" s="531"/>
      <c r="M1505" s="531"/>
      <c r="N1505" s="531"/>
      <c r="O1505" s="531"/>
      <c r="P1505" s="531"/>
      <c r="Q1505" s="531"/>
      <c r="R1505" s="531"/>
      <c r="S1505" s="531"/>
      <c r="T1505" s="531"/>
      <c r="U1505" s="531"/>
      <c r="V1505" s="531"/>
      <c r="W1505" s="128"/>
    </row>
    <row r="1506" spans="1:23" ht="12.75" x14ac:dyDescent="0.2">
      <c r="A1506" s="128"/>
      <c r="B1506" s="402" t="str">
        <f ca="1">语言!$A$1844</f>
        <v>温婉的老婆婆</v>
      </c>
      <c r="C1506" s="128" t="b">
        <v>0</v>
      </c>
      <c r="D1506" s="19" t="str">
        <f ca="1">道具!$C$423</f>
        <v>彩虹长袍</v>
      </c>
      <c r="E1506" s="535" t="b">
        <v>0</v>
      </c>
      <c r="F1506" s="379" t="str">
        <f ca="1">语言!$A$23&amp;" /
"&amp;道具!$I$40</f>
        <v>无 /
东南方老婆婆的病情</v>
      </c>
      <c r="G1506" s="535" t="b">
        <v>0</v>
      </c>
      <c r="H1506" s="530" t="s">
        <v>48</v>
      </c>
      <c r="I1506" s="379">
        <v>2</v>
      </c>
      <c r="J1506" s="379"/>
      <c r="K1506" s="379"/>
      <c r="L1506" s="379"/>
      <c r="M1506" s="379"/>
      <c r="N1506" s="379"/>
      <c r="O1506" s="379" t="str">
        <f ca="1">道具!$C$14</f>
        <v>复活的橄榄</v>
      </c>
      <c r="P1506" s="535"/>
      <c r="Q1506" s="530" t="s">
        <v>48</v>
      </c>
      <c r="R1506" s="17"/>
      <c r="S1506" s="17" t="str">
        <f ca="1">Summon!$I$48</f>
        <v>连掷短剑</v>
      </c>
      <c r="T1506" s="530">
        <v>9</v>
      </c>
      <c r="U1506" s="535"/>
      <c r="V1506" s="379" t="str">
        <f ca="1">语言!$A$47&amp;" / "&amp;语言!$A$51&amp;" and "&amp;语言!$A$44&amp;" / "&amp;语言!$A$48&amp;" available after "&amp;语言!$A$40&amp;" chapter 3
"&amp;道具!$I$40&amp;" available during "&amp;语言!$A$40&amp;" chapter 3"</f>
        <v>比试 / 唆使 and 引导 / 诱惑 available after 亚芬 chapter 3
东南方老婆婆的病情 available during 亚芬 chapter 3</v>
      </c>
      <c r="W1506" s="128"/>
    </row>
    <row r="1507" spans="1:23" ht="12.75" x14ac:dyDescent="0.2">
      <c r="A1507" s="128"/>
      <c r="B1507" s="371"/>
      <c r="C1507" s="128" t="b">
        <v>0</v>
      </c>
      <c r="D1507" s="19" t="str">
        <f ca="1">道具!$C$372</f>
        <v>元素帽</v>
      </c>
      <c r="E1507" s="371"/>
      <c r="F1507" s="371"/>
      <c r="G1507" s="371"/>
      <c r="H1507" s="371"/>
      <c r="I1507" s="371"/>
      <c r="J1507" s="371"/>
      <c r="K1507" s="371"/>
      <c r="L1507" s="371"/>
      <c r="M1507" s="371"/>
      <c r="N1507" s="371"/>
      <c r="O1507" s="371"/>
      <c r="P1507" s="371"/>
      <c r="Q1507" s="371"/>
      <c r="R1507" s="17"/>
      <c r="S1507" s="17" t="str">
        <f ca="1">Summon!$I$4</f>
        <v>战斗</v>
      </c>
      <c r="T1507" s="371"/>
      <c r="U1507" s="371"/>
      <c r="V1507" s="371"/>
      <c r="W1507" s="128"/>
    </row>
    <row r="1508" spans="1:23" ht="12.75" x14ac:dyDescent="0.2">
      <c r="A1508" s="128"/>
      <c r="B1508" s="531"/>
      <c r="C1508" s="130" t="b">
        <v>0</v>
      </c>
      <c r="D1508" s="125" t="str">
        <f ca="1">道具!$C$261</f>
        <v>魔力之斧</v>
      </c>
      <c r="E1508" s="531"/>
      <c r="F1508" s="531"/>
      <c r="G1508" s="531"/>
      <c r="H1508" s="531"/>
      <c r="I1508" s="531"/>
      <c r="J1508" s="531"/>
      <c r="K1508" s="531"/>
      <c r="L1508" s="531"/>
      <c r="M1508" s="531"/>
      <c r="N1508" s="531"/>
      <c r="O1508" s="531"/>
      <c r="P1508" s="531"/>
      <c r="Q1508" s="531"/>
      <c r="R1508" s="126"/>
      <c r="S1508" s="126"/>
      <c r="T1508" s="531"/>
      <c r="U1508" s="531"/>
      <c r="V1508" s="531"/>
      <c r="W1508" s="128"/>
    </row>
    <row r="1509" spans="1:23" ht="12.75" x14ac:dyDescent="0.2">
      <c r="A1509" s="128"/>
      <c r="B1509" s="402" t="str">
        <f ca="1">语言!$A$2081</f>
        <v>顽固的老婆婆</v>
      </c>
      <c r="C1509" s="128" t="b">
        <v>0</v>
      </c>
      <c r="D1509" s="19" t="str">
        <f ca="1">道具!$C$434</f>
        <v>银制盔甲</v>
      </c>
      <c r="E1509" s="535" t="b">
        <v>0</v>
      </c>
      <c r="F1509" s="379" t="str">
        <f ca="1">语言!$A$23&amp;" /
"&amp;道具!$I$39</f>
        <v>无 /
西北方老婆婆的病情</v>
      </c>
      <c r="G1509" s="535" t="b">
        <v>0</v>
      </c>
      <c r="H1509" s="530" t="s">
        <v>57</v>
      </c>
      <c r="I1509" s="379">
        <v>3</v>
      </c>
      <c r="J1509" s="379"/>
      <c r="K1509" s="379"/>
      <c r="L1509" s="379"/>
      <c r="M1509" s="379"/>
      <c r="N1509" s="379"/>
      <c r="O1509" s="379" t="str">
        <f ca="1">道具!$C$16</f>
        <v>复活的橄榄（大）</v>
      </c>
      <c r="P1509" s="535"/>
      <c r="Q1509" s="530" t="s">
        <v>57</v>
      </c>
      <c r="R1509" s="17"/>
      <c r="S1509" s="17" t="str">
        <f ca="1">Summon!$I$176</f>
        <v>精神提升</v>
      </c>
      <c r="T1509" s="530">
        <v>8</v>
      </c>
      <c r="U1509" s="535"/>
      <c r="V1509" s="379" t="str">
        <f ca="1">语言!$A$47&amp;" / "&amp;语言!$A$51&amp;" and "&amp;语言!$A$44&amp;" / "&amp;语言!$A$48&amp;" available after "&amp;语言!$A$40&amp;" chapter 3
"&amp;道具!$I$39&amp;" available during "&amp;语言!$A$40&amp;" chapter 3"</f>
        <v>比试 / 唆使 and 引导 / 诱惑 available after 亚芬 chapter 3
西北方老婆婆的病情 available during 亚芬 chapter 3</v>
      </c>
      <c r="W1509" s="128"/>
    </row>
    <row r="1510" spans="1:23" ht="12.75" x14ac:dyDescent="0.2">
      <c r="A1510" s="128"/>
      <c r="B1510" s="371"/>
      <c r="C1510" s="128" t="b">
        <v>0</v>
      </c>
      <c r="D1510" s="19" t="str">
        <f ca="1">道具!$C$383</f>
        <v>银制头盔</v>
      </c>
      <c r="E1510" s="371"/>
      <c r="F1510" s="371"/>
      <c r="G1510" s="371"/>
      <c r="H1510" s="371"/>
      <c r="I1510" s="371"/>
      <c r="J1510" s="371"/>
      <c r="K1510" s="371"/>
      <c r="L1510" s="371"/>
      <c r="M1510" s="371"/>
      <c r="N1510" s="371"/>
      <c r="O1510" s="371"/>
      <c r="P1510" s="371"/>
      <c r="Q1510" s="371"/>
      <c r="R1510" s="17"/>
      <c r="S1510" s="17" t="str">
        <f ca="1">Summon!$I$91</f>
        <v>大雷击魔法</v>
      </c>
      <c r="T1510" s="371"/>
      <c r="U1510" s="371"/>
      <c r="V1510" s="371"/>
      <c r="W1510" s="128"/>
    </row>
    <row r="1511" spans="1:23" ht="12.75" x14ac:dyDescent="0.2">
      <c r="A1511" s="128"/>
      <c r="B1511" s="531"/>
      <c r="C1511" s="130" t="b">
        <v>0</v>
      </c>
      <c r="D1511" s="125" t="str">
        <f ca="1">道具!$C$264</f>
        <v>银制斧</v>
      </c>
      <c r="E1511" s="531"/>
      <c r="F1511" s="531"/>
      <c r="G1511" s="531"/>
      <c r="H1511" s="531"/>
      <c r="I1511" s="531"/>
      <c r="J1511" s="531"/>
      <c r="K1511" s="531"/>
      <c r="L1511" s="531"/>
      <c r="M1511" s="531"/>
      <c r="N1511" s="531"/>
      <c r="O1511" s="531"/>
      <c r="P1511" s="531"/>
      <c r="Q1511" s="531"/>
      <c r="R1511" s="126"/>
      <c r="S1511" s="126" t="str">
        <f ca="1">Summon!$I$4</f>
        <v>战斗</v>
      </c>
      <c r="T1511" s="531"/>
      <c r="U1511" s="531"/>
      <c r="V1511" s="531"/>
      <c r="W1511" s="128"/>
    </row>
    <row r="1512" spans="1:23" ht="12.75" x14ac:dyDescent="0.2">
      <c r="A1512" s="128"/>
      <c r="B1512" s="402" t="str">
        <f ca="1">语言!$A$2102</f>
        <v>市民</v>
      </c>
      <c r="C1512" s="128" t="b">
        <v>0</v>
      </c>
      <c r="D1512" s="19" t="str">
        <f ca="1">道具!$C$349</f>
        <v>闪避之盾</v>
      </c>
      <c r="E1512" s="535" t="b">
        <v>0</v>
      </c>
      <c r="F1512" s="379" t="str">
        <f ca="1">语言!$A$33&amp;"
"&amp;道具!$C$4</f>
        <v>隐藏道具的资讯
ＨＰ恢复的葡萄（大）</v>
      </c>
      <c r="G1512" s="535" t="b">
        <v>0</v>
      </c>
      <c r="H1512" s="530" t="s">
        <v>46</v>
      </c>
      <c r="I1512" s="379">
        <v>3</v>
      </c>
      <c r="J1512" s="379"/>
      <c r="K1512" s="379"/>
      <c r="L1512" s="379"/>
      <c r="M1512" s="379"/>
      <c r="N1512" s="379"/>
      <c r="O1512" s="379" t="str">
        <f ca="1">道具!$C$16</f>
        <v>复活的橄榄（大）</v>
      </c>
      <c r="P1512" s="535"/>
      <c r="Q1512" s="530" t="s">
        <v>46</v>
      </c>
      <c r="R1512" s="17"/>
      <c r="S1512" s="17" t="str">
        <f ca="1">Summon!$I$70</f>
        <v>乱射</v>
      </c>
      <c r="T1512" s="530">
        <v>8</v>
      </c>
      <c r="U1512" s="535"/>
      <c r="V1512" s="379"/>
      <c r="W1512" s="128"/>
    </row>
    <row r="1513" spans="1:23" ht="12.75" x14ac:dyDescent="0.2">
      <c r="A1513" s="128"/>
      <c r="B1513" s="371"/>
      <c r="C1513" s="128" t="b">
        <v>0</v>
      </c>
      <c r="D1513" s="19" t="str">
        <f ca="1">道具!$C$190</f>
        <v>重骑枪</v>
      </c>
      <c r="E1513" s="371"/>
      <c r="F1513" s="371"/>
      <c r="G1513" s="371"/>
      <c r="H1513" s="371"/>
      <c r="I1513" s="371"/>
      <c r="J1513" s="371"/>
      <c r="K1513" s="371"/>
      <c r="L1513" s="371"/>
      <c r="M1513" s="371"/>
      <c r="N1513" s="371"/>
      <c r="O1513" s="371"/>
      <c r="P1513" s="371"/>
      <c r="Q1513" s="371"/>
      <c r="R1513" s="17"/>
      <c r="S1513" s="17" t="str">
        <f ca="1">Summon!$I$64</f>
        <v>精准射击</v>
      </c>
      <c r="T1513" s="371"/>
      <c r="U1513" s="371"/>
      <c r="V1513" s="371"/>
      <c r="W1513" s="128"/>
    </row>
    <row r="1514" spans="1:23" ht="12.75" x14ac:dyDescent="0.2">
      <c r="A1514" s="128"/>
      <c r="B1514" s="531"/>
      <c r="C1514" s="130"/>
      <c r="D1514" s="125"/>
      <c r="E1514" s="531"/>
      <c r="F1514" s="531"/>
      <c r="G1514" s="531"/>
      <c r="H1514" s="531"/>
      <c r="I1514" s="531"/>
      <c r="J1514" s="531"/>
      <c r="K1514" s="531"/>
      <c r="L1514" s="531"/>
      <c r="M1514" s="531"/>
      <c r="N1514" s="531"/>
      <c r="O1514" s="531"/>
      <c r="P1514" s="531"/>
      <c r="Q1514" s="531"/>
      <c r="R1514" s="126"/>
      <c r="S1514" s="126" t="str">
        <f ca="1">Summon!$I$4</f>
        <v>战斗</v>
      </c>
      <c r="T1514" s="531"/>
      <c r="U1514" s="531"/>
      <c r="V1514" s="531"/>
      <c r="W1514" s="128"/>
    </row>
    <row r="1515" spans="1:23" ht="12.75" x14ac:dyDescent="0.2">
      <c r="A1515" s="128"/>
      <c r="B1515" s="402" t="str">
        <f ca="1">语言!$A$1941</f>
        <v>圣火骑士</v>
      </c>
      <c r="C1515" s="128" t="b">
        <v>0</v>
      </c>
      <c r="D1515" s="19" t="str">
        <f ca="1">道具!$C$46</f>
        <v>暗之精灵石</v>
      </c>
      <c r="E1515" s="535" t="b">
        <v>0</v>
      </c>
      <c r="F1515" s="379" t="str">
        <f ca="1">语言!$A$33&amp;"
3 000$"</f>
        <v>隐藏道具的资讯
3 000$</v>
      </c>
      <c r="G1515" s="535" t="b">
        <v>0</v>
      </c>
      <c r="H1515" s="530" t="s">
        <v>51</v>
      </c>
      <c r="I1515" s="379">
        <v>5</v>
      </c>
      <c r="J1515" s="379"/>
      <c r="K1515" s="379"/>
      <c r="L1515" s="379"/>
      <c r="M1515" s="379"/>
      <c r="N1515" s="379"/>
      <c r="O1515" s="379" t="str">
        <f ca="1">道具!$C$6</f>
        <v>ＳＰ恢复的李子</v>
      </c>
      <c r="P1515" s="535"/>
      <c r="Q1515" s="530" t="s">
        <v>51</v>
      </c>
      <c r="R1515" s="17"/>
      <c r="S1515" s="17" t="str">
        <f ca="1">Summon!$I$88</f>
        <v>特大冰冻魔法</v>
      </c>
      <c r="T1515" s="530">
        <v>6</v>
      </c>
      <c r="U1515" s="535"/>
      <c r="V1515" s="379"/>
      <c r="W1515" s="128"/>
    </row>
    <row r="1516" spans="1:23" ht="12.75" x14ac:dyDescent="0.2">
      <c r="A1516" s="128"/>
      <c r="B1516" s="371"/>
      <c r="C1516" s="128" t="b">
        <v>0</v>
      </c>
      <c r="D1516" s="19" t="str">
        <f ca="1">道具!$C$47</f>
        <v>暗之精灵石（大）</v>
      </c>
      <c r="E1516" s="371"/>
      <c r="F1516" s="371"/>
      <c r="G1516" s="371"/>
      <c r="H1516" s="371"/>
      <c r="I1516" s="371"/>
      <c r="J1516" s="371"/>
      <c r="K1516" s="371"/>
      <c r="L1516" s="371"/>
      <c r="M1516" s="371"/>
      <c r="N1516" s="371"/>
      <c r="O1516" s="371"/>
      <c r="P1516" s="371"/>
      <c r="Q1516" s="371"/>
      <c r="R1516" s="17"/>
      <c r="S1516" s="17" t="str">
        <f ca="1">Summon!$I$61</f>
        <v>全力斩击</v>
      </c>
      <c r="T1516" s="371"/>
      <c r="U1516" s="371"/>
      <c r="V1516" s="371"/>
      <c r="W1516" s="128"/>
    </row>
    <row r="1517" spans="1:23" ht="12.75" x14ac:dyDescent="0.2">
      <c r="A1517" s="128"/>
      <c r="B1517" s="531"/>
      <c r="C1517" s="130" t="b">
        <v>0</v>
      </c>
      <c r="D1517" s="125" t="str">
        <f ca="1">道具!$C$48</f>
        <v>暗之精灵石（特大）</v>
      </c>
      <c r="E1517" s="531"/>
      <c r="F1517" s="531"/>
      <c r="G1517" s="531"/>
      <c r="H1517" s="531"/>
      <c r="I1517" s="531"/>
      <c r="J1517" s="531"/>
      <c r="K1517" s="531"/>
      <c r="L1517" s="531"/>
      <c r="M1517" s="531"/>
      <c r="N1517" s="531"/>
      <c r="O1517" s="531"/>
      <c r="P1517" s="531"/>
      <c r="Q1517" s="531"/>
      <c r="R1517" s="126"/>
      <c r="S1517" s="126" t="str">
        <f ca="1">Summon!$I$4</f>
        <v>战斗</v>
      </c>
      <c r="T1517" s="531"/>
      <c r="U1517" s="531"/>
      <c r="V1517" s="531"/>
      <c r="W1517" s="128"/>
    </row>
    <row r="1518" spans="1:23" ht="12.75" x14ac:dyDescent="0.2">
      <c r="A1518" s="128"/>
      <c r="B1518" s="402" t="str">
        <f ca="1">语言!$A$1879</f>
        <v>芙萝拉</v>
      </c>
      <c r="C1518" s="128" t="b">
        <v>0</v>
      </c>
      <c r="D1518" s="19" t="str">
        <f ca="1">道具!$C$86</f>
        <v>手帕</v>
      </c>
      <c r="E1518" s="535" t="b">
        <v>0</v>
      </c>
      <c r="F1518" s="379" t="str">
        <f ca="1">语言!$A$23</f>
        <v>无</v>
      </c>
      <c r="G1518" s="535"/>
      <c r="H1518" s="534" t="s">
        <v>119</v>
      </c>
      <c r="I1518" s="534" t="s">
        <v>119</v>
      </c>
      <c r="J1518" s="534" t="s">
        <v>119</v>
      </c>
      <c r="K1518" s="534" t="s">
        <v>119</v>
      </c>
      <c r="L1518" s="534" t="s">
        <v>119</v>
      </c>
      <c r="M1518" s="534" t="s">
        <v>119</v>
      </c>
      <c r="N1518" s="534" t="s">
        <v>119</v>
      </c>
      <c r="O1518" s="534" t="s">
        <v>119</v>
      </c>
      <c r="P1518" s="535"/>
      <c r="Q1518" s="534" t="s">
        <v>119</v>
      </c>
      <c r="R1518" s="534" t="s">
        <v>119</v>
      </c>
      <c r="S1518" s="534" t="s">
        <v>119</v>
      </c>
      <c r="T1518" s="534" t="s">
        <v>119</v>
      </c>
      <c r="U1518" s="535"/>
      <c r="V1518" s="379" t="str">
        <f ca="1">"NPC available after starting quest: "&amp;支线!$C$102&amp;"
Can't "&amp;语言!$A$46&amp;", only "&amp;语言!$A$50</f>
        <v>NPC available after starting quest: 命中注定之人（２）
Can't 购买, only 偷取</v>
      </c>
      <c r="W1518" s="128"/>
    </row>
    <row r="1519" spans="1:23" ht="12.75" x14ac:dyDescent="0.2">
      <c r="A1519" s="128"/>
      <c r="B1519" s="371"/>
      <c r="C1519" s="128" t="b">
        <v>0</v>
      </c>
      <c r="D1519" s="19" t="str">
        <f ca="1">道具!$C$92</f>
        <v>发梳</v>
      </c>
      <c r="E1519" s="371"/>
      <c r="F1519" s="371"/>
      <c r="G1519" s="371"/>
      <c r="H1519" s="371"/>
      <c r="I1519" s="371"/>
      <c r="J1519" s="371"/>
      <c r="K1519" s="371"/>
      <c r="L1519" s="371"/>
      <c r="M1519" s="371"/>
      <c r="N1519" s="371"/>
      <c r="O1519" s="371"/>
      <c r="P1519" s="371"/>
      <c r="Q1519" s="371"/>
      <c r="R1519" s="371"/>
      <c r="S1519" s="371"/>
      <c r="T1519" s="371"/>
      <c r="U1519" s="371"/>
      <c r="V1519" s="371"/>
      <c r="W1519" s="128"/>
    </row>
    <row r="1520" spans="1:23" ht="12.75" x14ac:dyDescent="0.2">
      <c r="A1520" s="128"/>
      <c r="B1520" s="371"/>
      <c r="C1520" s="128" t="b">
        <v>0</v>
      </c>
      <c r="D1520" s="19" t="str">
        <f ca="1">道具!$C$83</f>
        <v>绒毛娃娃</v>
      </c>
      <c r="E1520" s="371"/>
      <c r="F1520" s="371"/>
      <c r="G1520" s="371"/>
      <c r="H1520" s="371"/>
      <c r="I1520" s="371"/>
      <c r="J1520" s="371"/>
      <c r="K1520" s="371"/>
      <c r="L1520" s="371"/>
      <c r="M1520" s="371"/>
      <c r="N1520" s="371"/>
      <c r="O1520" s="371"/>
      <c r="P1520" s="371"/>
      <c r="Q1520" s="371"/>
      <c r="R1520" s="371"/>
      <c r="S1520" s="371"/>
      <c r="T1520" s="371"/>
      <c r="U1520" s="371"/>
      <c r="V1520" s="371"/>
      <c r="W1520" s="128"/>
    </row>
    <row r="1521" spans="1:23" ht="12.75" x14ac:dyDescent="0.2">
      <c r="A1521" s="128"/>
      <c r="B1521" s="531"/>
      <c r="C1521" s="130" t="b">
        <v>0</v>
      </c>
      <c r="D1521" s="125" t="str">
        <f ca="1">道具!$C$97</f>
        <v>大鸟的羽毛</v>
      </c>
      <c r="E1521" s="531"/>
      <c r="F1521" s="531"/>
      <c r="G1521" s="531"/>
      <c r="H1521" s="531"/>
      <c r="I1521" s="531"/>
      <c r="J1521" s="531"/>
      <c r="K1521" s="531"/>
      <c r="L1521" s="531"/>
      <c r="M1521" s="531"/>
      <c r="N1521" s="531"/>
      <c r="O1521" s="531"/>
      <c r="P1521" s="531"/>
      <c r="Q1521" s="531"/>
      <c r="R1521" s="531"/>
      <c r="S1521" s="531"/>
      <c r="T1521" s="531"/>
      <c r="U1521" s="531"/>
      <c r="V1521" s="531"/>
      <c r="W1521" s="128"/>
    </row>
    <row r="1522" spans="1:23" ht="12.75" x14ac:dyDescent="0.2">
      <c r="A1522" s="128"/>
      <c r="B1522" s="402" t="str">
        <f ca="1">语言!$A$1766&amp;" (3)"</f>
        <v>阿尔法丝 (3)</v>
      </c>
      <c r="C1522" s="128" t="b">
        <v>0</v>
      </c>
      <c r="D1522" s="19" t="str">
        <f ca="1">道具!$C$23</f>
        <v>恐怖治疗药草</v>
      </c>
      <c r="E1522" s="535" t="b">
        <v>0</v>
      </c>
      <c r="F1522" s="379" t="str">
        <f ca="1">道具!$I5</f>
        <v>阿尔法丝之诗</v>
      </c>
      <c r="G1522" s="535" t="b">
        <v>0</v>
      </c>
      <c r="H1522" s="530" t="s">
        <v>51</v>
      </c>
      <c r="I1522" s="379">
        <v>5</v>
      </c>
      <c r="J1522" s="379"/>
      <c r="K1522" s="379"/>
      <c r="L1522" s="379"/>
      <c r="M1522" s="379"/>
      <c r="N1522" s="379"/>
      <c r="O1522" s="379" t="str">
        <f ca="1">道具!$C$137</f>
        <v>魔力之剑</v>
      </c>
      <c r="P1522" s="535"/>
      <c r="Q1522" s="534" t="s">
        <v>119</v>
      </c>
      <c r="R1522" s="534" t="s">
        <v>119</v>
      </c>
      <c r="S1522" s="534" t="s">
        <v>119</v>
      </c>
      <c r="T1522" s="534" t="s">
        <v>119</v>
      </c>
      <c r="U1522" s="535"/>
      <c r="V1522" s="379" t="str">
        <f ca="1">"NPC at this location after quest: "&amp;支线!$C$102</f>
        <v>NPC at this location after quest: 命中注定之人（２）</v>
      </c>
      <c r="W1522" s="128"/>
    </row>
    <row r="1523" spans="1:23" ht="12.75" x14ac:dyDescent="0.2">
      <c r="A1523" s="128"/>
      <c r="B1523" s="371"/>
      <c r="C1523" s="128" t="b">
        <v>0</v>
      </c>
      <c r="D1523" s="19" t="str">
        <f ca="1">道具!$C$4</f>
        <v>ＨＰ恢复的葡萄（大）</v>
      </c>
      <c r="E1523" s="371"/>
      <c r="F1523" s="371"/>
      <c r="G1523" s="371"/>
      <c r="H1523" s="371"/>
      <c r="I1523" s="371"/>
      <c r="J1523" s="371"/>
      <c r="K1523" s="371"/>
      <c r="L1523" s="371"/>
      <c r="M1523" s="371"/>
      <c r="N1523" s="371"/>
      <c r="O1523" s="371"/>
      <c r="P1523" s="371"/>
      <c r="Q1523" s="371"/>
      <c r="R1523" s="371"/>
      <c r="S1523" s="371"/>
      <c r="T1523" s="371"/>
      <c r="U1523" s="371"/>
      <c r="V1523" s="371"/>
      <c r="W1523" s="128"/>
    </row>
    <row r="1524" spans="1:23" ht="25.5" x14ac:dyDescent="0.2">
      <c r="A1524" s="128"/>
      <c r="B1524" s="531"/>
      <c r="C1524" s="130" t="b">
        <v>0</v>
      </c>
      <c r="D1524" s="125" t="str">
        <f ca="1">道具!$C$11</f>
        <v>ＢＰ恢复的石榴（特大）</v>
      </c>
      <c r="E1524" s="531"/>
      <c r="F1524" s="531"/>
      <c r="G1524" s="531"/>
      <c r="H1524" s="531"/>
      <c r="I1524" s="531"/>
      <c r="J1524" s="531"/>
      <c r="K1524" s="531"/>
      <c r="L1524" s="531"/>
      <c r="M1524" s="531"/>
      <c r="N1524" s="531"/>
      <c r="O1524" s="531"/>
      <c r="P1524" s="531"/>
      <c r="Q1524" s="531"/>
      <c r="R1524" s="531"/>
      <c r="S1524" s="531"/>
      <c r="T1524" s="531"/>
      <c r="U1524" s="531"/>
      <c r="V1524" s="531"/>
      <c r="W1524" s="128"/>
    </row>
    <row r="1525" spans="1:23" ht="12.75" x14ac:dyDescent="0.2">
      <c r="A1525" s="128"/>
      <c r="B1525" s="19" t="str">
        <f ca="1">语言!$A$1766&amp;" (5)"</f>
        <v>阿尔法丝 (5)</v>
      </c>
      <c r="C1525" s="128"/>
      <c r="D1525" s="131" t="s">
        <v>119</v>
      </c>
      <c r="E1525" s="128"/>
      <c r="F1525" s="127" t="s">
        <v>119</v>
      </c>
      <c r="G1525" s="128"/>
      <c r="H1525" s="127" t="s">
        <v>119</v>
      </c>
      <c r="I1525" s="127" t="s">
        <v>119</v>
      </c>
      <c r="J1525" s="127" t="s">
        <v>119</v>
      </c>
      <c r="K1525" s="127" t="s">
        <v>119</v>
      </c>
      <c r="L1525" s="127" t="s">
        <v>119</v>
      </c>
      <c r="M1525" s="127" t="s">
        <v>119</v>
      </c>
      <c r="N1525" s="127" t="s">
        <v>119</v>
      </c>
      <c r="O1525" s="127" t="s">
        <v>119</v>
      </c>
      <c r="P1525" s="128"/>
      <c r="Q1525" s="127" t="s">
        <v>119</v>
      </c>
      <c r="R1525" s="127" t="s">
        <v>119</v>
      </c>
      <c r="S1525" s="127" t="s">
        <v>119</v>
      </c>
      <c r="T1525" s="127" t="s">
        <v>119</v>
      </c>
      <c r="U1525" s="128"/>
      <c r="V1525" s="17" t="str">
        <f ca="1">"NPC at this location after quest: "&amp;支线!$C$136</f>
        <v>NPC at this location after quest: 团长与阿尔法丝，在那之后</v>
      </c>
      <c r="W1525" s="128"/>
    </row>
    <row r="1526" spans="1:23" ht="12.75" x14ac:dyDescent="0.2">
      <c r="A1526" s="128"/>
      <c r="B1526" s="575" t="str">
        <f ca="1">语言!$A$443</f>
        <v>圣特布里吉 -大圣堂-</v>
      </c>
      <c r="C1526" s="371"/>
      <c r="D1526" s="371"/>
      <c r="E1526" s="371"/>
      <c r="F1526" s="371"/>
      <c r="G1526" s="371"/>
      <c r="H1526" s="371"/>
      <c r="I1526" s="371"/>
      <c r="J1526" s="371"/>
      <c r="K1526" s="371"/>
      <c r="L1526" s="371"/>
      <c r="M1526" s="371"/>
      <c r="N1526" s="371"/>
      <c r="O1526" s="371"/>
      <c r="P1526" s="371"/>
      <c r="Q1526" s="371"/>
      <c r="R1526" s="371"/>
      <c r="S1526" s="371"/>
      <c r="T1526" s="371"/>
      <c r="U1526" s="371"/>
      <c r="V1526" s="371"/>
      <c r="W1526" s="128"/>
    </row>
    <row r="1527" spans="1:23" ht="12.75" x14ac:dyDescent="0.2">
      <c r="A1527" s="128"/>
      <c r="B1527" s="402" t="str">
        <f ca="1">语言!$A$1829</f>
        <v>神官</v>
      </c>
      <c r="C1527" s="128" t="b">
        <v>0</v>
      </c>
      <c r="D1527" s="136" t="str">
        <f ca="1">道具!$C$8</f>
        <v>ＳＰ全体恢复的李子</v>
      </c>
      <c r="E1527" s="535" t="b">
        <v>0</v>
      </c>
      <c r="F1527" s="379" t="str">
        <f ca="1">语言!$A$29</f>
        <v>「引导」必须等级降低资讯</v>
      </c>
      <c r="G1527" s="535" t="b">
        <v>0</v>
      </c>
      <c r="H1527" s="530" t="s">
        <v>49</v>
      </c>
      <c r="I1527" s="379">
        <v>4</v>
      </c>
      <c r="J1527" s="379"/>
      <c r="K1527" s="379"/>
      <c r="L1527" s="379"/>
      <c r="M1527" s="379"/>
      <c r="N1527" s="379"/>
      <c r="O1527" s="379" t="str">
        <f ca="1">道具!$C$435</f>
        <v>犄角背心</v>
      </c>
      <c r="P1527" s="535"/>
      <c r="Q1527" s="530" t="s">
        <v>49</v>
      </c>
      <c r="R1527" s="17"/>
      <c r="S1527" s="17" t="str">
        <f ca="1">Summon!$I$126</f>
        <v>疗愈的摇篮</v>
      </c>
      <c r="T1527" s="530">
        <v>7</v>
      </c>
      <c r="U1527" s="535"/>
      <c r="V1527" s="379" t="str">
        <f ca="1">"Can't "&amp;语言!$A$50&amp;", only "&amp;语言!$A$46</f>
        <v>Can't 偷取, only 购买</v>
      </c>
      <c r="W1527" s="128"/>
    </row>
    <row r="1528" spans="1:23" ht="12.75" x14ac:dyDescent="0.2">
      <c r="A1528" s="128"/>
      <c r="B1528" s="371"/>
      <c r="C1528" s="128" t="b">
        <v>0</v>
      </c>
      <c r="D1528" s="136" t="str">
        <f ca="1">道具!$C$8</f>
        <v>ＳＰ全体恢复的李子</v>
      </c>
      <c r="E1528" s="371"/>
      <c r="F1528" s="371"/>
      <c r="G1528" s="371"/>
      <c r="H1528" s="371"/>
      <c r="I1528" s="371"/>
      <c r="J1528" s="371"/>
      <c r="K1528" s="371"/>
      <c r="L1528" s="371"/>
      <c r="M1528" s="371"/>
      <c r="N1528" s="371"/>
      <c r="O1528" s="371"/>
      <c r="P1528" s="371"/>
      <c r="Q1528" s="371"/>
      <c r="R1528" s="17"/>
      <c r="S1528" s="17" t="str">
        <f ca="1">Summon!$I$98</f>
        <v>光明魔法</v>
      </c>
      <c r="T1528" s="371"/>
      <c r="U1528" s="371"/>
      <c r="V1528" s="371"/>
      <c r="W1528" s="128"/>
    </row>
    <row r="1529" spans="1:23" ht="12.75" x14ac:dyDescent="0.2">
      <c r="A1529" s="128"/>
      <c r="B1529" s="531"/>
      <c r="C1529" s="130"/>
      <c r="D1529" s="137"/>
      <c r="E1529" s="531"/>
      <c r="F1529" s="531"/>
      <c r="G1529" s="531"/>
      <c r="H1529" s="531"/>
      <c r="I1529" s="531"/>
      <c r="J1529" s="531"/>
      <c r="K1529" s="531"/>
      <c r="L1529" s="531"/>
      <c r="M1529" s="531"/>
      <c r="N1529" s="531"/>
      <c r="O1529" s="531"/>
      <c r="P1529" s="531"/>
      <c r="Q1529" s="531"/>
      <c r="R1529" s="126"/>
      <c r="S1529" s="126" t="str">
        <f ca="1">Summon!$I$4</f>
        <v>战斗</v>
      </c>
      <c r="T1529" s="531"/>
      <c r="U1529" s="531"/>
      <c r="V1529" s="531"/>
      <c r="W1529" s="128"/>
    </row>
    <row r="1530" spans="1:23" ht="12.75" x14ac:dyDescent="0.2">
      <c r="A1530" s="128"/>
      <c r="B1530" s="402" t="str">
        <f ca="1">语言!$A$1936</f>
        <v>温和厚道的的祭司</v>
      </c>
      <c r="C1530" s="128" t="b">
        <v>0</v>
      </c>
      <c r="D1530" s="19" t="str">
        <f ca="1">道具!$C$309</f>
        <v>禁忌之杖</v>
      </c>
      <c r="E1530" s="535" t="b">
        <v>0</v>
      </c>
      <c r="F1530" s="379" t="str">
        <f ca="1">语言!$A$33&amp;"
"&amp;道具!$C$7</f>
        <v>隐藏道具的资讯
ＳＰ恢复的李子（大）</v>
      </c>
      <c r="G1530" s="535" t="b">
        <v>0</v>
      </c>
      <c r="H1530" s="530" t="s">
        <v>51</v>
      </c>
      <c r="I1530" s="379">
        <v>5</v>
      </c>
      <c r="J1530" s="379"/>
      <c r="K1530" s="379"/>
      <c r="L1530" s="379"/>
      <c r="M1530" s="379"/>
      <c r="N1530" s="379"/>
      <c r="O1530" s="379" t="str">
        <f ca="1">道具!$C$12</f>
        <v>ＨＰ／ＳＰ恢复的果酱</v>
      </c>
      <c r="P1530" s="535"/>
      <c r="Q1530" s="530" t="s">
        <v>51</v>
      </c>
      <c r="R1530" s="17"/>
      <c r="S1530" s="17" t="str">
        <f ca="1">Summon!$I$99</f>
        <v>特大光明魔法</v>
      </c>
      <c r="T1530" s="530">
        <v>6</v>
      </c>
      <c r="U1530" s="535"/>
      <c r="V1530" s="379" t="str">
        <f ca="1">"Can't "&amp;语言!$A$50&amp;" "&amp;道具!$C309&amp;", only "&amp;语言!$A$46</f>
        <v>Can't 偷取 禁忌之杖, only 购买</v>
      </c>
      <c r="W1530" s="128"/>
    </row>
    <row r="1531" spans="1:23" ht="12.75" x14ac:dyDescent="0.2">
      <c r="A1531" s="128"/>
      <c r="B1531" s="371"/>
      <c r="C1531" s="128" t="b">
        <v>0</v>
      </c>
      <c r="D1531" s="19" t="str">
        <f ca="1">道具!$C$533</f>
        <v>含毒的素材（扩散）</v>
      </c>
      <c r="E1531" s="371"/>
      <c r="F1531" s="371"/>
      <c r="G1531" s="371"/>
      <c r="H1531" s="371"/>
      <c r="I1531" s="371"/>
      <c r="J1531" s="371"/>
      <c r="K1531" s="371"/>
      <c r="L1531" s="371"/>
      <c r="M1531" s="371"/>
      <c r="N1531" s="371"/>
      <c r="O1531" s="371"/>
      <c r="P1531" s="371"/>
      <c r="Q1531" s="371"/>
      <c r="R1531" s="17"/>
      <c r="S1531" s="17" t="str">
        <f ca="1">Summon!$I$126</f>
        <v>疗愈的摇篮</v>
      </c>
      <c r="T1531" s="371"/>
      <c r="U1531" s="371"/>
      <c r="V1531" s="371"/>
      <c r="W1531" s="128"/>
    </row>
    <row r="1532" spans="1:23" ht="12.75" x14ac:dyDescent="0.2">
      <c r="A1532" s="128"/>
      <c r="B1532" s="531"/>
      <c r="C1532" s="130" t="b">
        <v>0</v>
      </c>
      <c r="D1532" s="125" t="str">
        <f ca="1">道具!$C$534</f>
        <v>超含毒的素材</v>
      </c>
      <c r="E1532" s="531"/>
      <c r="F1532" s="531"/>
      <c r="G1532" s="531"/>
      <c r="H1532" s="531"/>
      <c r="I1532" s="531"/>
      <c r="J1532" s="531"/>
      <c r="K1532" s="531"/>
      <c r="L1532" s="531"/>
      <c r="M1532" s="531"/>
      <c r="N1532" s="531"/>
      <c r="O1532" s="531"/>
      <c r="P1532" s="531"/>
      <c r="Q1532" s="531"/>
      <c r="R1532" s="126"/>
      <c r="S1532" s="126" t="str">
        <f ca="1">Summon!$I$4</f>
        <v>战斗</v>
      </c>
      <c r="T1532" s="531"/>
      <c r="U1532" s="531"/>
      <c r="V1532" s="531"/>
      <c r="W1532" s="128"/>
    </row>
    <row r="1533" spans="1:23" ht="12.75" x14ac:dyDescent="0.2">
      <c r="A1533" s="128"/>
      <c r="B1533" s="402" t="str">
        <f ca="1">语言!$A$2050&amp;" (2)"</f>
        <v>卑鄙的男子 /
悔改的男子 (2)</v>
      </c>
      <c r="C1533" s="535" t="b">
        <v>0</v>
      </c>
      <c r="D1533" s="402" t="str">
        <f ca="1">道具!$C$126</f>
        <v>旧硬币</v>
      </c>
      <c r="E1533" s="535" t="b">
        <v>0</v>
      </c>
      <c r="F1533" s="379" t="str">
        <f ca="1">语言!$A$23</f>
        <v>无</v>
      </c>
      <c r="G1533" s="535" t="b">
        <v>0</v>
      </c>
      <c r="H1533" s="530" t="s">
        <v>46</v>
      </c>
      <c r="I1533" s="379">
        <v>3</v>
      </c>
      <c r="J1533" s="379"/>
      <c r="K1533" s="379"/>
      <c r="L1533" s="379"/>
      <c r="M1533" s="379"/>
      <c r="N1533" s="379"/>
      <c r="O1533" s="379" t="str">
        <f ca="1">道具!$C$6</f>
        <v>ＳＰ恢复的李子</v>
      </c>
      <c r="P1533" s="535"/>
      <c r="Q1533" s="530" t="s">
        <v>46</v>
      </c>
      <c r="R1533" s="17"/>
      <c r="S1533" s="17" t="str">
        <f ca="1">Summon!$I$110</f>
        <v>投掷抹布</v>
      </c>
      <c r="T1533" s="530">
        <v>8</v>
      </c>
      <c r="U1533" s="535"/>
      <c r="V1533" s="379" t="str">
        <f ca="1">"NPC at this location after quest: "&amp;支线!$C$104</f>
        <v>NPC at this location after quest: 盯上巡礼者的无耻之人</v>
      </c>
      <c r="W1533" s="128"/>
    </row>
    <row r="1534" spans="1:23" ht="12.75" x14ac:dyDescent="0.2">
      <c r="A1534" s="128"/>
      <c r="B1534" s="531"/>
      <c r="C1534" s="531"/>
      <c r="D1534" s="531"/>
      <c r="E1534" s="531"/>
      <c r="F1534" s="531"/>
      <c r="G1534" s="531"/>
      <c r="H1534" s="531"/>
      <c r="I1534" s="531"/>
      <c r="J1534" s="531"/>
      <c r="K1534" s="531"/>
      <c r="L1534" s="531"/>
      <c r="M1534" s="531"/>
      <c r="N1534" s="531"/>
      <c r="O1534" s="531"/>
      <c r="P1534" s="531"/>
      <c r="Q1534" s="531"/>
      <c r="R1534" s="126"/>
      <c r="S1534" s="126" t="str">
        <f ca="1">Summon!$I$4</f>
        <v>战斗</v>
      </c>
      <c r="T1534" s="531"/>
      <c r="U1534" s="531"/>
      <c r="V1534" s="531"/>
      <c r="W1534" s="128"/>
    </row>
    <row r="1535" spans="1:23" ht="12.75" x14ac:dyDescent="0.2">
      <c r="A1535" s="128"/>
      <c r="B1535" s="402" t="str">
        <f ca="1">语言!$A$1805&amp;" (1)"</f>
        <v>巴罗特罗神父 (1)</v>
      </c>
      <c r="C1535" s="535" t="b">
        <v>0</v>
      </c>
      <c r="D1535" s="402" t="str">
        <f ca="1">道具!$C$323</f>
        <v>奇迹手杖</v>
      </c>
      <c r="E1535" s="535" t="b">
        <v>0</v>
      </c>
      <c r="F1535" s="379" t="str">
        <f ca="1">语言!$A$23</f>
        <v>无</v>
      </c>
      <c r="G1535" s="535" t="b">
        <v>0</v>
      </c>
      <c r="H1535" s="530" t="s">
        <v>50</v>
      </c>
      <c r="I1535" s="379">
        <v>4</v>
      </c>
      <c r="J1535" s="379"/>
      <c r="K1535" s="379"/>
      <c r="L1535" s="379"/>
      <c r="M1535" s="379"/>
      <c r="N1535" s="379"/>
      <c r="O1535" s="379" t="str">
        <f ca="1">道具!$C$4</f>
        <v>ＨＰ恢复的葡萄（大）</v>
      </c>
      <c r="P1535" s="535"/>
      <c r="Q1535" s="530" t="s">
        <v>50</v>
      </c>
      <c r="R1535" s="17"/>
      <c r="S1535" s="17" t="str">
        <f ca="1">Summon!$I$171</f>
        <v>圣职者的哲学</v>
      </c>
      <c r="T1535" s="530">
        <v>7</v>
      </c>
      <c r="U1535" s="535"/>
      <c r="V1535" s="379" t="str">
        <f ca="1">"NPC available only during "&amp;语言!$A$35&amp;" chapter 2"</f>
        <v>NPC available only during 欧菲莉亚 chapter 2</v>
      </c>
      <c r="W1535" s="128"/>
    </row>
    <row r="1536" spans="1:23" ht="12.75" x14ac:dyDescent="0.2">
      <c r="A1536" s="128"/>
      <c r="B1536" s="371"/>
      <c r="C1536" s="371"/>
      <c r="D1536" s="371"/>
      <c r="E1536" s="371"/>
      <c r="F1536" s="371"/>
      <c r="G1536" s="371"/>
      <c r="H1536" s="371"/>
      <c r="I1536" s="371"/>
      <c r="J1536" s="371"/>
      <c r="K1536" s="371"/>
      <c r="L1536" s="371"/>
      <c r="M1536" s="371"/>
      <c r="N1536" s="371"/>
      <c r="O1536" s="371"/>
      <c r="P1536" s="371"/>
      <c r="Q1536" s="371"/>
      <c r="R1536" s="17"/>
      <c r="S1536" s="17" t="str">
        <f ca="1">Summon!$I$87</f>
        <v>大冰冻魔法</v>
      </c>
      <c r="T1536" s="371"/>
      <c r="U1536" s="371"/>
      <c r="V1536" s="371"/>
      <c r="W1536" s="128"/>
    </row>
    <row r="1537" spans="1:23" ht="12.75" x14ac:dyDescent="0.2">
      <c r="A1537" s="128"/>
      <c r="B1537" s="531"/>
      <c r="C1537" s="531"/>
      <c r="D1537" s="531"/>
      <c r="E1537" s="531"/>
      <c r="F1537" s="531"/>
      <c r="G1537" s="531"/>
      <c r="H1537" s="531"/>
      <c r="I1537" s="531"/>
      <c r="J1537" s="531"/>
      <c r="K1537" s="531"/>
      <c r="L1537" s="531"/>
      <c r="M1537" s="531"/>
      <c r="N1537" s="531"/>
      <c r="O1537" s="531"/>
      <c r="P1537" s="531"/>
      <c r="Q1537" s="531"/>
      <c r="R1537" s="126"/>
      <c r="S1537" s="126" t="str">
        <f ca="1">Summon!$I$4</f>
        <v>战斗</v>
      </c>
      <c r="T1537" s="531"/>
      <c r="U1537" s="531"/>
      <c r="V1537" s="531"/>
      <c r="W1537" s="128"/>
    </row>
    <row r="1538" spans="1:23" ht="12.75" x14ac:dyDescent="0.2">
      <c r="A1538" s="128"/>
      <c r="B1538" s="402" t="str">
        <f ca="1">语言!$A$1805&amp;" (2)"</f>
        <v>巴罗特罗神父 (2)</v>
      </c>
      <c r="C1538" s="128" t="b">
        <v>0</v>
      </c>
      <c r="D1538" s="19" t="str">
        <f ca="1">道具!$C$323</f>
        <v>奇迹手杖</v>
      </c>
      <c r="E1538" s="535" t="b">
        <v>0</v>
      </c>
      <c r="F1538" s="379" t="str">
        <f ca="1">语言!$A$23</f>
        <v>无</v>
      </c>
      <c r="G1538" s="535" t="b">
        <v>0</v>
      </c>
      <c r="H1538" s="530" t="s">
        <v>50</v>
      </c>
      <c r="I1538" s="379">
        <v>4</v>
      </c>
      <c r="J1538" s="379"/>
      <c r="K1538" s="379"/>
      <c r="L1538" s="379"/>
      <c r="M1538" s="379"/>
      <c r="N1538" s="379"/>
      <c r="O1538" s="379" t="str">
        <f ca="1">道具!$C$465</f>
        <v>精神腰带</v>
      </c>
      <c r="P1538" s="535"/>
      <c r="Q1538" s="530" t="s">
        <v>50</v>
      </c>
      <c r="R1538" s="17"/>
      <c r="S1538" s="17" t="str">
        <f ca="1">Summon!$I$171</f>
        <v>圣职者的哲学</v>
      </c>
      <c r="T1538" s="530">
        <v>7</v>
      </c>
      <c r="U1538" s="535"/>
      <c r="V1538" s="379" t="str">
        <f ca="1">"NPC available again after "&amp;语言!$A$35&amp;" chapter 4
Can't "&amp;语言!$A$50&amp;" "&amp;道具!$C$302&amp;", only "&amp;语言!$A$46</f>
        <v>NPC available again after 欧菲莉亚 chapter 4
Can't 偷取 历战之杖, only 购买</v>
      </c>
      <c r="W1538" s="128"/>
    </row>
    <row r="1539" spans="1:23" ht="12.75" x14ac:dyDescent="0.2">
      <c r="A1539" s="128"/>
      <c r="B1539" s="371"/>
      <c r="C1539" s="128" t="b">
        <v>0</v>
      </c>
      <c r="D1539" s="19" t="str">
        <f ca="1">道具!$C$302</f>
        <v>历战之杖</v>
      </c>
      <c r="E1539" s="371"/>
      <c r="F1539" s="371"/>
      <c r="G1539" s="371"/>
      <c r="H1539" s="371"/>
      <c r="I1539" s="371"/>
      <c r="J1539" s="371"/>
      <c r="K1539" s="371"/>
      <c r="L1539" s="371"/>
      <c r="M1539" s="371"/>
      <c r="N1539" s="371"/>
      <c r="O1539" s="371"/>
      <c r="P1539" s="371"/>
      <c r="Q1539" s="371"/>
      <c r="R1539" s="17"/>
      <c r="S1539" s="17" t="str">
        <f ca="1">Summon!$I$87</f>
        <v>大冰冻魔法</v>
      </c>
      <c r="T1539" s="371"/>
      <c r="U1539" s="371"/>
      <c r="V1539" s="371"/>
      <c r="W1539" s="128"/>
    </row>
    <row r="1540" spans="1:23" ht="12.75" x14ac:dyDescent="0.2">
      <c r="A1540" s="128"/>
      <c r="B1540" s="531"/>
      <c r="C1540" s="130"/>
      <c r="D1540" s="125"/>
      <c r="E1540" s="531"/>
      <c r="F1540" s="531"/>
      <c r="G1540" s="531"/>
      <c r="H1540" s="531"/>
      <c r="I1540" s="531"/>
      <c r="J1540" s="531"/>
      <c r="K1540" s="531"/>
      <c r="L1540" s="531"/>
      <c r="M1540" s="531"/>
      <c r="N1540" s="531"/>
      <c r="O1540" s="531"/>
      <c r="P1540" s="531"/>
      <c r="Q1540" s="531"/>
      <c r="R1540" s="126"/>
      <c r="S1540" s="126" t="str">
        <f ca="1">Summon!$I$4</f>
        <v>战斗</v>
      </c>
      <c r="T1540" s="531"/>
      <c r="U1540" s="531"/>
      <c r="V1540" s="531"/>
      <c r="W1540" s="128"/>
    </row>
    <row r="1541" spans="1:23" ht="12.75" x14ac:dyDescent="0.2">
      <c r="A1541" s="128"/>
      <c r="B1541" s="402" t="str">
        <f ca="1">语言!$A$2102</f>
        <v>市民</v>
      </c>
      <c r="C1541" s="128" t="b">
        <v>0</v>
      </c>
      <c r="D1541" s="19" t="str">
        <f ca="1">道具!$C$276</f>
        <v>弓圣的大弓</v>
      </c>
      <c r="E1541" s="535" t="b">
        <v>0</v>
      </c>
      <c r="F1541" s="379" t="str">
        <f ca="1">语言!$A$33&amp;"
"&amp;道具!$C$127</f>
        <v>隐藏道具的资讯
放了铜块的麻袋</v>
      </c>
      <c r="G1541" s="535" t="b">
        <v>0</v>
      </c>
      <c r="H1541" s="530" t="s">
        <v>48</v>
      </c>
      <c r="I1541" s="379">
        <v>2</v>
      </c>
      <c r="J1541" s="379"/>
      <c r="K1541" s="379"/>
      <c r="L1541" s="379"/>
      <c r="M1541" s="379"/>
      <c r="N1541" s="379"/>
      <c r="O1541" s="379" t="str">
        <f ca="1">道具!$C$9</f>
        <v>ＢＰ恢复的石榴</v>
      </c>
      <c r="P1541" s="535"/>
      <c r="Q1541" s="530" t="s">
        <v>48</v>
      </c>
      <c r="R1541" s="17"/>
      <c r="S1541" s="17" t="str">
        <f ca="1">Summon!$I$123</f>
        <v>恢复全体ＨＰ的技能</v>
      </c>
      <c r="T1541" s="530">
        <v>9</v>
      </c>
      <c r="U1541" s="535"/>
      <c r="V1541" s="379" t="str">
        <f ca="1">道具!$C$276&amp;" Not for Sale"</f>
        <v>弓圣的大弓 Not for Sale</v>
      </c>
      <c r="W1541" s="128"/>
    </row>
    <row r="1542" spans="1:23" ht="12.75" x14ac:dyDescent="0.2">
      <c r="A1542" s="128"/>
      <c r="B1542" s="371"/>
      <c r="C1542" s="128" t="b">
        <v>0</v>
      </c>
      <c r="D1542" s="19" t="str">
        <f ca="1">道具!$C$476</f>
        <v>狙击项链</v>
      </c>
      <c r="E1542" s="371"/>
      <c r="F1542" s="371"/>
      <c r="G1542" s="371"/>
      <c r="H1542" s="371"/>
      <c r="I1542" s="371"/>
      <c r="J1542" s="371"/>
      <c r="K1542" s="371"/>
      <c r="L1542" s="371"/>
      <c r="M1542" s="371"/>
      <c r="N1542" s="371"/>
      <c r="O1542" s="371"/>
      <c r="P1542" s="371"/>
      <c r="Q1542" s="371"/>
      <c r="R1542" s="17"/>
      <c r="S1542" s="17" t="str">
        <f ca="1">Summon!$I$64</f>
        <v>精准射击</v>
      </c>
      <c r="T1542" s="371"/>
      <c r="U1542" s="371"/>
      <c r="V1542" s="371"/>
      <c r="W1542" s="128"/>
    </row>
    <row r="1543" spans="1:23" ht="12.75" x14ac:dyDescent="0.2">
      <c r="A1543" s="128"/>
      <c r="B1543" s="371"/>
      <c r="C1543" s="128"/>
      <c r="D1543" s="19"/>
      <c r="E1543" s="371"/>
      <c r="F1543" s="371"/>
      <c r="G1543" s="371"/>
      <c r="H1543" s="371"/>
      <c r="I1543" s="371"/>
      <c r="J1543" s="371"/>
      <c r="K1543" s="371"/>
      <c r="L1543" s="371"/>
      <c r="M1543" s="371"/>
      <c r="N1543" s="371"/>
      <c r="O1543" s="371"/>
      <c r="P1543" s="371"/>
      <c r="Q1543" s="371"/>
      <c r="R1543" s="17"/>
      <c r="S1543" s="17" t="str">
        <f ca="1">Summon!$I$4</f>
        <v>战斗</v>
      </c>
      <c r="T1543" s="371"/>
      <c r="U1543" s="371"/>
      <c r="V1543" s="371"/>
      <c r="W1543" s="128"/>
    </row>
    <row r="1544" spans="1:23" ht="12.75" x14ac:dyDescent="0.2">
      <c r="A1544" s="128"/>
      <c r="B1544" s="575" t="str">
        <f ca="1">语言!$A$444</f>
        <v>东圣特布里吉川道</v>
      </c>
      <c r="C1544" s="371"/>
      <c r="D1544" s="371"/>
      <c r="E1544" s="371"/>
      <c r="F1544" s="371"/>
      <c r="G1544" s="371"/>
      <c r="H1544" s="371"/>
      <c r="I1544" s="371"/>
      <c r="J1544" s="371"/>
      <c r="K1544" s="371"/>
      <c r="L1544" s="371"/>
      <c r="M1544" s="371"/>
      <c r="N1544" s="371"/>
      <c r="O1544" s="371"/>
      <c r="P1544" s="371"/>
      <c r="Q1544" s="371"/>
      <c r="R1544" s="371"/>
      <c r="S1544" s="371"/>
      <c r="T1544" s="371"/>
      <c r="U1544" s="371"/>
      <c r="V1544" s="371"/>
      <c r="W1544" s="128"/>
    </row>
    <row r="1545" spans="1:23" ht="12.75" x14ac:dyDescent="0.2">
      <c r="A1545" s="128"/>
      <c r="B1545" s="402" t="str">
        <f ca="1">语言!$A$2050&amp;" (1)"</f>
        <v>卑鄙的男子 /
悔改的男子 (1)</v>
      </c>
      <c r="C1545" s="535" t="b">
        <v>0</v>
      </c>
      <c r="D1545" s="402" t="str">
        <f ca="1">道具!$C$126</f>
        <v>旧硬币</v>
      </c>
      <c r="E1545" s="535" t="b">
        <v>0</v>
      </c>
      <c r="F1545" s="379" t="str">
        <f ca="1">语言!$A$23</f>
        <v>无</v>
      </c>
      <c r="G1545" s="535" t="b">
        <v>0</v>
      </c>
      <c r="H1545" s="530" t="s">
        <v>46</v>
      </c>
      <c r="I1545" s="379">
        <v>3</v>
      </c>
      <c r="J1545" s="379"/>
      <c r="K1545" s="379"/>
      <c r="L1545" s="379"/>
      <c r="M1545" s="379"/>
      <c r="N1545" s="379"/>
      <c r="O1545" s="379" t="str">
        <f ca="1">道具!$C$6</f>
        <v>ＳＰ恢复的李子</v>
      </c>
      <c r="P1545" s="535"/>
      <c r="Q1545" s="530" t="s">
        <v>46</v>
      </c>
      <c r="R1545" s="17"/>
      <c r="S1545" s="17" t="str">
        <f ca="1">Summon!$I$111</f>
        <v>投掷沙</v>
      </c>
      <c r="T1545" s="530">
        <v>8</v>
      </c>
      <c r="U1545" s="535"/>
      <c r="V1545" s="379" t="str">
        <f ca="1">"Moves to "&amp;语言!$A$443&amp;" after quest: "&amp;支线!$C$104&amp;" completed"</f>
        <v>Moves to 圣特布里吉 -大圣堂- after quest: 盯上巡礼者的无耻之人 completed</v>
      </c>
      <c r="W1545" s="128"/>
    </row>
    <row r="1546" spans="1:23" ht="12.75" x14ac:dyDescent="0.2">
      <c r="A1546" s="128"/>
      <c r="B1546" s="371"/>
      <c r="C1546" s="371"/>
      <c r="D1546" s="371"/>
      <c r="E1546" s="371"/>
      <c r="F1546" s="371"/>
      <c r="G1546" s="371"/>
      <c r="H1546" s="371"/>
      <c r="I1546" s="371"/>
      <c r="J1546" s="371"/>
      <c r="K1546" s="371"/>
      <c r="L1546" s="371"/>
      <c r="M1546" s="371"/>
      <c r="N1546" s="371"/>
      <c r="O1546" s="371"/>
      <c r="P1546" s="371"/>
      <c r="Q1546" s="371"/>
      <c r="R1546" s="17"/>
      <c r="S1546" s="17" t="str">
        <f ca="1">Summon!$I$48</f>
        <v>连掷短剑</v>
      </c>
      <c r="T1546" s="371"/>
      <c r="U1546" s="371"/>
      <c r="V1546" s="371"/>
      <c r="W1546" s="128"/>
    </row>
    <row r="1547" spans="1:23" ht="12.75" x14ac:dyDescent="0.2">
      <c r="A1547" s="128"/>
      <c r="B1547" s="531"/>
      <c r="C1547" s="531"/>
      <c r="D1547" s="531"/>
      <c r="E1547" s="531"/>
      <c r="F1547" s="531"/>
      <c r="G1547" s="531"/>
      <c r="H1547" s="531"/>
      <c r="I1547" s="531"/>
      <c r="J1547" s="531"/>
      <c r="K1547" s="531"/>
      <c r="L1547" s="531"/>
      <c r="M1547" s="531"/>
      <c r="N1547" s="531"/>
      <c r="O1547" s="531"/>
      <c r="P1547" s="531"/>
      <c r="Q1547" s="531"/>
      <c r="R1547" s="126"/>
      <c r="S1547" s="126" t="str">
        <f ca="1">Summon!$I$4</f>
        <v>战斗</v>
      </c>
      <c r="T1547" s="531"/>
      <c r="U1547" s="531"/>
      <c r="V1547" s="531"/>
      <c r="W1547" s="128"/>
    </row>
    <row r="1548" spans="1:23" ht="12.75" x14ac:dyDescent="0.2">
      <c r="A1548" s="128"/>
      <c r="B1548" s="402" t="str">
        <f ca="1">语言!$A$1949&amp;" (1)"</f>
        <v>风景画画家 /
面包师 (1)</v>
      </c>
      <c r="C1548" s="128" t="b">
        <v>0</v>
      </c>
      <c r="D1548" s="19" t="str">
        <f ca="1">道具!$C$16</f>
        <v>复活的橄榄（大）</v>
      </c>
      <c r="E1548" s="535" t="b">
        <v>0</v>
      </c>
      <c r="F1548" s="379" t="str">
        <f ca="1">语言!$A$23</f>
        <v>无</v>
      </c>
      <c r="G1548" s="535" t="b">
        <v>0</v>
      </c>
      <c r="H1548" s="530" t="s">
        <v>48</v>
      </c>
      <c r="I1548" s="379">
        <v>2</v>
      </c>
      <c r="J1548" s="379"/>
      <c r="K1548" s="379"/>
      <c r="L1548" s="379"/>
      <c r="M1548" s="379"/>
      <c r="N1548" s="379"/>
      <c r="O1548" s="379" t="str">
        <f ca="1">道具!$C$5</f>
        <v>ＨＰ全体恢复的葡萄</v>
      </c>
      <c r="P1548" s="535"/>
      <c r="Q1548" s="530" t="s">
        <v>48</v>
      </c>
      <c r="R1548" s="17"/>
      <c r="S1548" s="17" t="str">
        <f ca="1">Summon!$I$49</f>
        <v>连续投掷笔</v>
      </c>
      <c r="T1548" s="530">
        <v>9</v>
      </c>
      <c r="U1548" s="535"/>
      <c r="V1548" s="379" t="str">
        <f ca="1">"Moves to "&amp;语言!$A$441&amp;" as Baker or "&amp;语言!$A$346&amp;" as Landscape Artist after quest:
"&amp;支线!$C$29</f>
        <v>Moves to 圣特布里吉 as Baker or 阿特拉斯达姆 as Landscape Artist after quest:
绝佳的画作</v>
      </c>
      <c r="W1548" s="128"/>
    </row>
    <row r="1549" spans="1:23" ht="12.75" x14ac:dyDescent="0.2">
      <c r="A1549" s="128"/>
      <c r="B1549" s="371"/>
      <c r="C1549" s="128" t="b">
        <v>0</v>
      </c>
      <c r="D1549" s="19" t="str">
        <f ca="1">道具!$C$541</f>
        <v>李子树液</v>
      </c>
      <c r="E1549" s="371"/>
      <c r="F1549" s="371"/>
      <c r="G1549" s="371"/>
      <c r="H1549" s="371"/>
      <c r="I1549" s="371"/>
      <c r="J1549" s="371"/>
      <c r="K1549" s="371"/>
      <c r="L1549" s="371"/>
      <c r="M1549" s="371"/>
      <c r="N1549" s="371"/>
      <c r="O1549" s="371"/>
      <c r="P1549" s="371"/>
      <c r="Q1549" s="371"/>
      <c r="R1549" s="17"/>
      <c r="S1549" s="17" t="str">
        <f ca="1">Summon!$I$106</f>
        <v>投掷面具</v>
      </c>
      <c r="T1549" s="371"/>
      <c r="U1549" s="371"/>
      <c r="V1549" s="371"/>
      <c r="W1549" s="128"/>
    </row>
    <row r="1550" spans="1:23" ht="12.75" x14ac:dyDescent="0.2">
      <c r="A1550" s="121"/>
      <c r="B1550" s="531"/>
      <c r="C1550" s="130" t="b">
        <v>0</v>
      </c>
      <c r="D1550" s="125" t="str">
        <f ca="1">"* "&amp;道具!$F$38</f>
        <v>* 最后的作品</v>
      </c>
      <c r="E1550" s="531"/>
      <c r="F1550" s="531"/>
      <c r="G1550" s="531"/>
      <c r="H1550" s="531"/>
      <c r="I1550" s="531"/>
      <c r="J1550" s="531"/>
      <c r="K1550" s="531"/>
      <c r="L1550" s="531"/>
      <c r="M1550" s="531"/>
      <c r="N1550" s="531"/>
      <c r="O1550" s="531"/>
      <c r="P1550" s="531"/>
      <c r="Q1550" s="531"/>
      <c r="R1550" s="126"/>
      <c r="S1550" s="126" t="str">
        <f ca="1">Summon!$I$4</f>
        <v>战斗</v>
      </c>
      <c r="T1550" s="531"/>
      <c r="U1550" s="531"/>
      <c r="V1550" s="531"/>
      <c r="W1550" s="128"/>
    </row>
    <row r="1551" spans="1:23" ht="12.75" x14ac:dyDescent="0.2">
      <c r="A1551" s="121"/>
      <c r="B1551" s="402" t="str">
        <f ca="1">语言!$A$2047&amp;" (1)"</f>
        <v>河边的居民 (1)</v>
      </c>
      <c r="C1551" s="535" t="b">
        <v>0</v>
      </c>
      <c r="D1551" s="402" t="str">
        <f ca="1">道具!$C$486</f>
        <v>灵敏手环</v>
      </c>
      <c r="E1551" s="535" t="b">
        <v>0</v>
      </c>
      <c r="F1551" s="379" t="str">
        <f ca="1">语言!$A$33&amp;"
"&amp;道具!$C$34</f>
        <v>隐藏道具的资讯
冰之精灵石（大）</v>
      </c>
      <c r="G1551" s="535" t="b">
        <v>0</v>
      </c>
      <c r="H1551" s="530" t="s">
        <v>48</v>
      </c>
      <c r="I1551" s="379">
        <v>2</v>
      </c>
      <c r="J1551" s="379"/>
      <c r="K1551" s="379"/>
      <c r="L1551" s="379"/>
      <c r="M1551" s="379"/>
      <c r="N1551" s="379"/>
      <c r="O1551" s="379" t="str">
        <f ca="1">道具!$C$7</f>
        <v>ＳＰ恢复的李子（大）</v>
      </c>
      <c r="P1551" s="535"/>
      <c r="Q1551" s="530" t="s">
        <v>48</v>
      </c>
      <c r="R1551" s="17"/>
      <c r="S1551" s="17" t="str">
        <f ca="1">Summon!$I$144</f>
        <v>睡眠药</v>
      </c>
      <c r="T1551" s="530">
        <v>9</v>
      </c>
      <c r="U1551" s="535"/>
      <c r="V1551" s="379" t="str">
        <f ca="1">"Hidden Item in "&amp;语言!$A$441&amp;"
Moves to "&amp;语言!$A$441&amp;" after quest: "&amp;支线!$C$105</f>
        <v>Hidden Item in 圣特布里吉
Moves to 圣特布里吉 after quest: 随着川流而来的尸体</v>
      </c>
      <c r="W1551" s="128"/>
    </row>
    <row r="1552" spans="1:23" ht="12.75" x14ac:dyDescent="0.2">
      <c r="A1552" s="128"/>
      <c r="B1552" s="371"/>
      <c r="C1552" s="371"/>
      <c r="D1552" s="371"/>
      <c r="E1552" s="371"/>
      <c r="F1552" s="371"/>
      <c r="G1552" s="371"/>
      <c r="H1552" s="371"/>
      <c r="I1552" s="371"/>
      <c r="J1552" s="371"/>
      <c r="K1552" s="371"/>
      <c r="L1552" s="371"/>
      <c r="M1552" s="371"/>
      <c r="N1552" s="371"/>
      <c r="O1552" s="371"/>
      <c r="P1552" s="371"/>
      <c r="Q1552" s="371"/>
      <c r="R1552" s="17"/>
      <c r="S1552" s="17" t="str">
        <f ca="1">Summon!$I$52</f>
        <v>重拳</v>
      </c>
      <c r="T1552" s="371"/>
      <c r="U1552" s="371"/>
      <c r="V1552" s="371"/>
      <c r="W1552" s="128"/>
    </row>
    <row r="1553" spans="1:23" ht="12.75" x14ac:dyDescent="0.2">
      <c r="A1553" s="128"/>
      <c r="B1553" s="531"/>
      <c r="C1553" s="531"/>
      <c r="D1553" s="531"/>
      <c r="E1553" s="531"/>
      <c r="F1553" s="531"/>
      <c r="G1553" s="531"/>
      <c r="H1553" s="531"/>
      <c r="I1553" s="531"/>
      <c r="J1553" s="531"/>
      <c r="K1553" s="531"/>
      <c r="L1553" s="531"/>
      <c r="M1553" s="531"/>
      <c r="N1553" s="531"/>
      <c r="O1553" s="531"/>
      <c r="P1553" s="531"/>
      <c r="Q1553" s="531"/>
      <c r="R1553" s="126"/>
      <c r="S1553" s="126" t="str">
        <f ca="1">Summon!$I$4</f>
        <v>战斗</v>
      </c>
      <c r="T1553" s="531"/>
      <c r="U1553" s="531"/>
      <c r="V1553" s="531"/>
      <c r="W1553" s="128"/>
    </row>
    <row r="1554" spans="1:23" ht="12.75" x14ac:dyDescent="0.2">
      <c r="A1554" s="128"/>
      <c r="B1554" s="402" t="str">
        <f ca="1">语言!$A$1788</f>
        <v>勤勉的学者</v>
      </c>
      <c r="C1554" s="128" t="b">
        <v>0</v>
      </c>
      <c r="D1554" s="19" t="str">
        <f ca="1">道具!$C$542</f>
        <v>石榴树液</v>
      </c>
      <c r="E1554" s="535" t="b">
        <v>0</v>
      </c>
      <c r="F1554" s="379" t="str">
        <f ca="1">道具!$I$18</f>
        <v>提早融雪</v>
      </c>
      <c r="G1554" s="535" t="b">
        <v>0</v>
      </c>
      <c r="H1554" s="530" t="s">
        <v>57</v>
      </c>
      <c r="I1554" s="379">
        <v>3</v>
      </c>
      <c r="J1554" s="379"/>
      <c r="K1554" s="379"/>
      <c r="L1554" s="379"/>
      <c r="M1554" s="379"/>
      <c r="N1554" s="379"/>
      <c r="O1554" s="379" t="str">
        <f ca="1">道具!$C$539</f>
        <v>混乱多之叶</v>
      </c>
      <c r="P1554" s="535"/>
      <c r="Q1554" s="530" t="s">
        <v>57</v>
      </c>
      <c r="R1554" s="17"/>
      <c r="S1554" s="17" t="str">
        <f ca="1">Summon!$I$90</f>
        <v>雷击魔法</v>
      </c>
      <c r="T1554" s="530">
        <v>8</v>
      </c>
      <c r="U1554" s="535"/>
      <c r="V1554" s="379" t="str">
        <f ca="1">语言!$A$44&amp;" / "&amp;语言!$A$48&amp;" available after quest: "&amp;支线!$C$103</f>
        <v>引导 / 诱惑 available after quest: 爱担心的男子</v>
      </c>
      <c r="W1554" s="128"/>
    </row>
    <row r="1555" spans="1:23" ht="12.75" x14ac:dyDescent="0.2">
      <c r="A1555" s="128"/>
      <c r="B1555" s="371"/>
      <c r="C1555" s="128" t="b">
        <v>0</v>
      </c>
      <c r="D1555" s="19" t="str">
        <f ca="1">道具!$C$543</f>
        <v>橄榄花</v>
      </c>
      <c r="E1555" s="371"/>
      <c r="F1555" s="371"/>
      <c r="G1555" s="371"/>
      <c r="H1555" s="371"/>
      <c r="I1555" s="371"/>
      <c r="J1555" s="371"/>
      <c r="K1555" s="371"/>
      <c r="L1555" s="371"/>
      <c r="M1555" s="371"/>
      <c r="N1555" s="371"/>
      <c r="O1555" s="371"/>
      <c r="P1555" s="371"/>
      <c r="Q1555" s="371"/>
      <c r="R1555" s="17"/>
      <c r="S1555" s="17" t="str">
        <f ca="1">Summon!$I$94</f>
        <v>疾风魔法</v>
      </c>
      <c r="T1555" s="371"/>
      <c r="U1555" s="371"/>
      <c r="V1555" s="371"/>
      <c r="W1555" s="128"/>
    </row>
    <row r="1556" spans="1:23" ht="12.75" x14ac:dyDescent="0.2">
      <c r="A1556" s="128"/>
      <c r="B1556" s="371"/>
      <c r="C1556" s="128"/>
      <c r="D1556" s="19"/>
      <c r="E1556" s="371"/>
      <c r="F1556" s="371"/>
      <c r="G1556" s="371"/>
      <c r="H1556" s="371"/>
      <c r="I1556" s="371"/>
      <c r="J1556" s="371"/>
      <c r="K1556" s="371"/>
      <c r="L1556" s="371"/>
      <c r="M1556" s="371"/>
      <c r="N1556" s="371"/>
      <c r="O1556" s="371"/>
      <c r="P1556" s="371"/>
      <c r="Q1556" s="371"/>
      <c r="R1556" s="17"/>
      <c r="S1556" s="17" t="str">
        <f ca="1">Summon!$I$4</f>
        <v>战斗</v>
      </c>
      <c r="T1556" s="371"/>
      <c r="U1556" s="371"/>
      <c r="V1556" s="371"/>
      <c r="W1556" s="128"/>
    </row>
    <row r="1557" spans="1:23" ht="12.75" x14ac:dyDescent="0.2">
      <c r="A1557" s="128"/>
      <c r="B1557" s="575" t="str">
        <f ca="1">语言!$A$445</f>
        <v>边境河岸</v>
      </c>
      <c r="C1557" s="371"/>
      <c r="D1557" s="371"/>
      <c r="E1557" s="371"/>
      <c r="F1557" s="371"/>
      <c r="G1557" s="371"/>
      <c r="H1557" s="371"/>
      <c r="I1557" s="371"/>
      <c r="J1557" s="371"/>
      <c r="K1557" s="371"/>
      <c r="L1557" s="371"/>
      <c r="M1557" s="371"/>
      <c r="N1557" s="371"/>
      <c r="O1557" s="371"/>
      <c r="P1557" s="371"/>
      <c r="Q1557" s="371"/>
      <c r="R1557" s="371"/>
      <c r="S1557" s="371"/>
      <c r="T1557" s="371"/>
      <c r="U1557" s="371"/>
      <c r="V1557" s="371"/>
      <c r="W1557" s="128"/>
    </row>
    <row r="1558" spans="1:23" ht="12.75" x14ac:dyDescent="0.2">
      <c r="A1558" s="128"/>
      <c r="B1558" s="402" t="str">
        <f ca="1">语言!$A$2113</f>
        <v>形迹可疑的男子</v>
      </c>
      <c r="C1558" s="128" t="b">
        <v>0</v>
      </c>
      <c r="D1558" s="19" t="str">
        <f ca="1">道具!$C$25</f>
        <v>毒瓶</v>
      </c>
      <c r="E1558" s="535" t="b">
        <v>0</v>
      </c>
      <c r="F1558" s="379" t="str">
        <f ca="1">语言!$A$23</f>
        <v>无</v>
      </c>
      <c r="G1558" s="535" t="b">
        <v>0</v>
      </c>
      <c r="H1558" s="530" t="s">
        <v>48</v>
      </c>
      <c r="I1558" s="379">
        <v>2</v>
      </c>
      <c r="J1558" s="379"/>
      <c r="K1558" s="379"/>
      <c r="L1558" s="379"/>
      <c r="M1558" s="379"/>
      <c r="N1558" s="379"/>
      <c r="O1558" s="379" t="str">
        <f ca="1">道具!$C$25</f>
        <v>毒瓶</v>
      </c>
      <c r="P1558" s="535"/>
      <c r="Q1558" s="530" t="s">
        <v>48</v>
      </c>
      <c r="R1558" s="17"/>
      <c r="S1558" s="17" t="str">
        <f ca="1">Summon!$I$44</f>
        <v>剧毒猛击</v>
      </c>
      <c r="T1558" s="530">
        <v>9</v>
      </c>
      <c r="U1558" s="535"/>
      <c r="V1558" s="379"/>
      <c r="W1558" s="128"/>
    </row>
    <row r="1559" spans="1:23" ht="12.75" x14ac:dyDescent="0.2">
      <c r="A1559" s="128"/>
      <c r="B1559" s="371"/>
      <c r="C1559" s="128" t="b">
        <v>0</v>
      </c>
      <c r="D1559" s="19" t="str">
        <f ca="1">道具!$C$26</f>
        <v>暗黑瓶</v>
      </c>
      <c r="E1559" s="371"/>
      <c r="F1559" s="371"/>
      <c r="G1559" s="371"/>
      <c r="H1559" s="371"/>
      <c r="I1559" s="371"/>
      <c r="J1559" s="371"/>
      <c r="K1559" s="371"/>
      <c r="L1559" s="371"/>
      <c r="M1559" s="371"/>
      <c r="N1559" s="371"/>
      <c r="O1559" s="371"/>
      <c r="P1559" s="371"/>
      <c r="Q1559" s="371"/>
      <c r="R1559" s="17"/>
      <c r="S1559" s="17" t="str">
        <f ca="1">Summon!$I$4</f>
        <v>战斗</v>
      </c>
      <c r="T1559" s="371"/>
      <c r="U1559" s="371"/>
      <c r="V1559" s="371"/>
      <c r="W1559" s="128"/>
    </row>
    <row r="1560" spans="1:23" ht="12.75" x14ac:dyDescent="0.2">
      <c r="A1560" s="128"/>
      <c r="B1560" s="371"/>
      <c r="C1560" s="128" t="b">
        <v>0</v>
      </c>
      <c r="D1560" s="19" t="str">
        <f ca="1">"* "&amp;道具!$F$71</f>
        <v>* 雨果的记事本</v>
      </c>
      <c r="E1560" s="371"/>
      <c r="F1560" s="371"/>
      <c r="G1560" s="371"/>
      <c r="H1560" s="371"/>
      <c r="I1560" s="371"/>
      <c r="J1560" s="371"/>
      <c r="K1560" s="371"/>
      <c r="L1560" s="371"/>
      <c r="M1560" s="371"/>
      <c r="N1560" s="371"/>
      <c r="O1560" s="371"/>
      <c r="P1560" s="371"/>
      <c r="Q1560" s="371"/>
      <c r="R1560" s="17"/>
      <c r="S1560" s="17"/>
      <c r="T1560" s="371"/>
      <c r="U1560" s="371"/>
      <c r="V1560" s="371"/>
      <c r="W1560" s="128"/>
    </row>
    <row r="1561" spans="1:23" ht="12.75" x14ac:dyDescent="0.2">
      <c r="A1561" s="128"/>
      <c r="B1561" s="574" t="str">
        <f ca="1">语言!$A$323&amp;" 3"</f>
        <v>Tier 3</v>
      </c>
      <c r="C1561" s="371"/>
      <c r="D1561" s="371"/>
      <c r="E1561" s="371"/>
      <c r="F1561" s="371"/>
      <c r="G1561" s="371"/>
      <c r="H1561" s="371"/>
      <c r="I1561" s="371"/>
      <c r="J1561" s="371"/>
      <c r="K1561" s="371"/>
      <c r="L1561" s="371"/>
      <c r="M1561" s="371"/>
      <c r="N1561" s="371"/>
      <c r="O1561" s="371"/>
      <c r="P1561" s="371"/>
      <c r="Q1561" s="371"/>
      <c r="R1561" s="371"/>
      <c r="S1561" s="371"/>
      <c r="T1561" s="371"/>
      <c r="U1561" s="371"/>
      <c r="V1561" s="371"/>
      <c r="W1561" s="128"/>
    </row>
    <row r="1562" spans="1:23" ht="12.75" x14ac:dyDescent="0.2">
      <c r="A1562" s="128"/>
      <c r="B1562" s="575" t="str">
        <f ca="1">语言!$A$449</f>
        <v>利维福德</v>
      </c>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128"/>
    </row>
    <row r="1563" spans="1:23" ht="12.75" x14ac:dyDescent="0.2">
      <c r="A1563" s="128"/>
      <c r="B1563" s="402" t="str">
        <f ca="1">语言!$A$1903</f>
        <v>卫兵</v>
      </c>
      <c r="C1563" s="128" t="b">
        <v>0</v>
      </c>
      <c r="D1563" s="19" t="str">
        <f ca="1">道具!$C$4</f>
        <v>ＨＰ恢复的葡萄（大）</v>
      </c>
      <c r="E1563" s="535" t="b">
        <v>0</v>
      </c>
      <c r="F1563" s="379" t="str">
        <f ca="1">语言!$A$33&amp;"
"&amp;道具!$C$32</f>
        <v>隐藏道具的资讯
火之精灵石（特大）</v>
      </c>
      <c r="G1563" s="535" t="b">
        <v>0</v>
      </c>
      <c r="H1563" s="530" t="s">
        <v>50</v>
      </c>
      <c r="I1563" s="379">
        <v>4</v>
      </c>
      <c r="J1563" s="379"/>
      <c r="K1563" s="379"/>
      <c r="L1563" s="379"/>
      <c r="M1563" s="379"/>
      <c r="N1563" s="379"/>
      <c r="O1563" s="379" t="str">
        <f ca="1">道具!$C$4</f>
        <v>ＨＰ恢复的葡萄（大）</v>
      </c>
      <c r="P1563" s="535"/>
      <c r="Q1563" s="530" t="s">
        <v>50</v>
      </c>
      <c r="R1563" s="17"/>
      <c r="S1563" s="17" t="str">
        <f ca="1">Summon!$I$21</f>
        <v>乱斩</v>
      </c>
      <c r="T1563" s="530">
        <v>7</v>
      </c>
      <c r="U1563" s="535"/>
      <c r="V1563" s="379"/>
      <c r="W1563" s="128"/>
    </row>
    <row r="1564" spans="1:23" ht="12.75" x14ac:dyDescent="0.2">
      <c r="A1564" s="128"/>
      <c r="B1564" s="371"/>
      <c r="C1564" s="128" t="b">
        <v>0</v>
      </c>
      <c r="D1564" s="19" t="str">
        <f ca="1">道具!$C$40</f>
        <v>风之精灵石（大）</v>
      </c>
      <c r="E1564" s="371"/>
      <c r="F1564" s="371"/>
      <c r="G1564" s="371"/>
      <c r="H1564" s="371"/>
      <c r="I1564" s="371"/>
      <c r="J1564" s="371"/>
      <c r="K1564" s="371"/>
      <c r="L1564" s="371"/>
      <c r="M1564" s="371"/>
      <c r="N1564" s="371"/>
      <c r="O1564" s="371"/>
      <c r="P1564" s="371"/>
      <c r="Q1564" s="371"/>
      <c r="R1564" s="17"/>
      <c r="S1564" s="17" t="str">
        <f ca="1">Summon!$I$6</f>
        <v>斩击</v>
      </c>
      <c r="T1564" s="371"/>
      <c r="U1564" s="371"/>
      <c r="V1564" s="371"/>
      <c r="W1564" s="128"/>
    </row>
    <row r="1565" spans="1:23" ht="12.75" x14ac:dyDescent="0.2">
      <c r="A1565" s="128"/>
      <c r="B1565" s="531"/>
      <c r="C1565" s="130"/>
      <c r="D1565" s="125"/>
      <c r="E1565" s="531"/>
      <c r="F1565" s="531"/>
      <c r="G1565" s="531"/>
      <c r="H1565" s="531"/>
      <c r="I1565" s="531"/>
      <c r="J1565" s="531"/>
      <c r="K1565" s="531"/>
      <c r="L1565" s="531"/>
      <c r="M1565" s="531"/>
      <c r="N1565" s="531"/>
      <c r="O1565" s="531"/>
      <c r="P1565" s="531"/>
      <c r="Q1565" s="531"/>
      <c r="R1565" s="126"/>
      <c r="S1565" s="126" t="str">
        <f ca="1">Summon!$I$4</f>
        <v>战斗</v>
      </c>
      <c r="T1565" s="531"/>
      <c r="U1565" s="531"/>
      <c r="V1565" s="531"/>
      <c r="W1565" s="128"/>
    </row>
    <row r="1566" spans="1:23" ht="25.5" x14ac:dyDescent="0.2">
      <c r="A1566" s="128"/>
      <c r="B1566" s="402" t="str">
        <f ca="1">语言!$A$1903</f>
        <v>卫兵</v>
      </c>
      <c r="C1566" s="128" t="b">
        <v>0</v>
      </c>
      <c r="D1566" s="19" t="str">
        <f ca="1">道具!$C$10</f>
        <v>ＢＰ恢复的石榴（大）</v>
      </c>
      <c r="E1566" s="535" t="b">
        <v>0</v>
      </c>
      <c r="F1566" s="379" t="str">
        <f ca="1">语言!$A$23</f>
        <v>无</v>
      </c>
      <c r="G1566" s="535" t="b">
        <v>0</v>
      </c>
      <c r="H1566" s="530" t="s">
        <v>47</v>
      </c>
      <c r="I1566" s="379">
        <v>4</v>
      </c>
      <c r="J1566" s="379"/>
      <c r="K1566" s="379"/>
      <c r="L1566" s="379"/>
      <c r="M1566" s="379"/>
      <c r="N1566" s="379"/>
      <c r="O1566" s="379" t="str">
        <f ca="1">道具!$C$277</f>
        <v>符文弓</v>
      </c>
      <c r="P1566" s="535"/>
      <c r="Q1566" s="530" t="s">
        <v>47</v>
      </c>
      <c r="R1566" s="17"/>
      <c r="S1566" s="17" t="str">
        <f ca="1">Summon!$I$160</f>
        <v>精神下降</v>
      </c>
      <c r="T1566" s="530">
        <v>6</v>
      </c>
      <c r="U1566" s="535"/>
      <c r="V1566" s="379"/>
      <c r="W1566" s="128"/>
    </row>
    <row r="1567" spans="1:23" ht="12.75" x14ac:dyDescent="0.2">
      <c r="A1567" s="128"/>
      <c r="B1567" s="371"/>
      <c r="C1567" s="128" t="b">
        <v>0</v>
      </c>
      <c r="D1567" s="19" t="str">
        <f ca="1">道具!$C$31</f>
        <v>火之精灵石（大）</v>
      </c>
      <c r="E1567" s="371"/>
      <c r="F1567" s="371"/>
      <c r="G1567" s="371"/>
      <c r="H1567" s="371"/>
      <c r="I1567" s="371"/>
      <c r="J1567" s="371"/>
      <c r="K1567" s="371"/>
      <c r="L1567" s="371"/>
      <c r="M1567" s="371"/>
      <c r="N1567" s="371"/>
      <c r="O1567" s="371"/>
      <c r="P1567" s="371"/>
      <c r="Q1567" s="371"/>
      <c r="R1567" s="17"/>
      <c r="S1567" s="17" t="str">
        <f ca="1">Summon!$I$70</f>
        <v>乱射</v>
      </c>
      <c r="T1567" s="371"/>
      <c r="U1567" s="371"/>
      <c r="V1567" s="371"/>
      <c r="W1567" s="128"/>
    </row>
    <row r="1568" spans="1:23" ht="12.75" x14ac:dyDescent="0.2">
      <c r="A1568" s="128"/>
      <c r="B1568" s="531"/>
      <c r="C1568" s="130"/>
      <c r="D1568" s="125"/>
      <c r="E1568" s="531"/>
      <c r="F1568" s="531"/>
      <c r="G1568" s="531"/>
      <c r="H1568" s="531"/>
      <c r="I1568" s="531"/>
      <c r="J1568" s="531"/>
      <c r="K1568" s="531"/>
      <c r="L1568" s="531"/>
      <c r="M1568" s="531"/>
      <c r="N1568" s="531"/>
      <c r="O1568" s="531"/>
      <c r="P1568" s="531"/>
      <c r="Q1568" s="531"/>
      <c r="R1568" s="126"/>
      <c r="S1568" s="126" t="str">
        <f ca="1">Summon!$I$4</f>
        <v>战斗</v>
      </c>
      <c r="T1568" s="531"/>
      <c r="U1568" s="531"/>
      <c r="V1568" s="531"/>
      <c r="W1568" s="128"/>
    </row>
    <row r="1569" spans="1:23" ht="20.25" customHeight="1" x14ac:dyDescent="0.2">
      <c r="A1569" s="128"/>
      <c r="B1569" s="402" t="str">
        <f ca="1">语言!$A$2025&amp;" (1)"</f>
        <v>狂热的年轻人 /
狂热的探险家 /
狂热的兼职农夫 (1)</v>
      </c>
      <c r="C1569" s="128" t="b">
        <v>0</v>
      </c>
      <c r="D1569" s="19" t="str">
        <f ca="1">道具!$C$25</f>
        <v>毒瓶</v>
      </c>
      <c r="E1569" s="535" t="b">
        <v>0</v>
      </c>
      <c r="F1569" s="379" t="str">
        <f ca="1">语言!$A$23</f>
        <v>无</v>
      </c>
      <c r="G1569" s="535" t="b">
        <v>0</v>
      </c>
      <c r="H1569" s="530" t="s">
        <v>46</v>
      </c>
      <c r="I1569" s="379">
        <v>3</v>
      </c>
      <c r="J1569" s="379"/>
      <c r="K1569" s="379"/>
      <c r="L1569" s="379"/>
      <c r="M1569" s="379"/>
      <c r="N1569" s="379"/>
      <c r="O1569" s="379" t="str">
        <f ca="1">道具!$C$23</f>
        <v>恐怖治疗药草</v>
      </c>
      <c r="P1569" s="535"/>
      <c r="Q1569" s="530" t="s">
        <v>46</v>
      </c>
      <c r="R1569" s="17"/>
      <c r="S1569" s="17" t="str">
        <f ca="1">Summon!$I$48</f>
        <v>连掷短剑</v>
      </c>
      <c r="T1569" s="530">
        <v>8</v>
      </c>
      <c r="U1569" s="535"/>
      <c r="V1569" s="379" t="str">
        <f ca="1">"NPC available after "&amp;语言!$A$35&amp;" chapter 4
Moves to:
"&amp;语言!$A$452&amp;" after quest: "&amp;支线!$C$110&amp;" ("&amp;语言!$A$46&amp;" / "&amp;语言!$A$50&amp;" solution only)
or "&amp;语言!$A$360&amp;" after quest: "&amp;支线!$C$110&amp;" ("&amp;语言!$A$45&amp;" / "&amp;语言!$A$49&amp;" solution only)"</f>
        <v>NPC available after 欧菲莉亚 chapter 4
Moves to:
贵族的藏身处遗迹 after quest: 贵族的藏宝 (购买 / 偷取 solution only)
or 维斯帕米尔 after quest: 贵族的藏宝 (探查 / 打听 solution only)</v>
      </c>
      <c r="W1569" s="128"/>
    </row>
    <row r="1570" spans="1:23" ht="20.25" customHeight="1" x14ac:dyDescent="0.2">
      <c r="A1570" s="128"/>
      <c r="B1570" s="371"/>
      <c r="C1570" s="128" t="b">
        <v>0</v>
      </c>
      <c r="D1570" s="19" t="str">
        <f ca="1">道具!$C$88</f>
        <v>种子</v>
      </c>
      <c r="E1570" s="371"/>
      <c r="F1570" s="371"/>
      <c r="G1570" s="371"/>
      <c r="H1570" s="371"/>
      <c r="I1570" s="371"/>
      <c r="J1570" s="371"/>
      <c r="K1570" s="371"/>
      <c r="L1570" s="371"/>
      <c r="M1570" s="371"/>
      <c r="N1570" s="371"/>
      <c r="O1570" s="371"/>
      <c r="P1570" s="371"/>
      <c r="Q1570" s="371"/>
      <c r="R1570" s="17"/>
      <c r="S1570" s="17" t="str">
        <f ca="1">Summon!$I$42</f>
        <v>猛击</v>
      </c>
      <c r="T1570" s="371"/>
      <c r="U1570" s="371"/>
      <c r="V1570" s="371"/>
      <c r="W1570" s="128"/>
    </row>
    <row r="1571" spans="1:23" ht="20.25" customHeight="1" x14ac:dyDescent="0.2">
      <c r="A1571" s="128"/>
      <c r="B1571" s="531"/>
      <c r="C1571" s="130" t="b">
        <v>0</v>
      </c>
      <c r="D1571" s="125" t="str">
        <f ca="1">道具!$C$533</f>
        <v>含毒的素材（扩散）</v>
      </c>
      <c r="E1571" s="531"/>
      <c r="F1571" s="531"/>
      <c r="G1571" s="531"/>
      <c r="H1571" s="531"/>
      <c r="I1571" s="531"/>
      <c r="J1571" s="531"/>
      <c r="K1571" s="531"/>
      <c r="L1571" s="531"/>
      <c r="M1571" s="531"/>
      <c r="N1571" s="531"/>
      <c r="O1571" s="531"/>
      <c r="P1571" s="531"/>
      <c r="Q1571" s="531"/>
      <c r="R1571" s="126"/>
      <c r="S1571" s="126" t="str">
        <f ca="1">Summon!$I$4</f>
        <v>战斗</v>
      </c>
      <c r="T1571" s="531"/>
      <c r="U1571" s="531"/>
      <c r="V1571" s="531"/>
      <c r="W1571" s="128"/>
    </row>
    <row r="1572" spans="1:23" ht="12.75" x14ac:dyDescent="0.2">
      <c r="A1572" s="128"/>
      <c r="B1572" s="402" t="str">
        <f ca="1">语言!$A$2104</f>
        <v>旅人</v>
      </c>
      <c r="C1572" s="128" t="b">
        <v>0</v>
      </c>
      <c r="D1572" s="19" t="str">
        <f ca="1">道具!$C$25</f>
        <v>毒瓶</v>
      </c>
      <c r="E1572" s="535"/>
      <c r="F1572" s="534" t="s">
        <v>119</v>
      </c>
      <c r="G1572" s="535" t="b">
        <v>0</v>
      </c>
      <c r="H1572" s="530" t="s">
        <v>57</v>
      </c>
      <c r="I1572" s="379">
        <v>3</v>
      </c>
      <c r="J1572" s="379"/>
      <c r="K1572" s="379"/>
      <c r="L1572" s="379"/>
      <c r="M1572" s="379"/>
      <c r="N1572" s="379"/>
      <c r="O1572" s="379" t="str">
        <f ca="1">道具!$C$7</f>
        <v>ＳＰ恢复的李子（大）</v>
      </c>
      <c r="P1572" s="535"/>
      <c r="Q1572" s="530" t="s">
        <v>57</v>
      </c>
      <c r="R1572" s="379"/>
      <c r="S1572" s="379" t="str">
        <f ca="1">Summon!$I$52</f>
        <v>重拳</v>
      </c>
      <c r="T1572" s="530">
        <v>8</v>
      </c>
      <c r="U1572" s="535"/>
      <c r="V1572" s="379" t="str">
        <f ca="1">"NPC available upon starting "&amp;语言!$A$38&amp;" chapter 4"</f>
        <v>NPC available upon starting 欧尔贝克 chapter 4</v>
      </c>
      <c r="W1572" s="128"/>
    </row>
    <row r="1573" spans="1:23" ht="12.75" x14ac:dyDescent="0.2">
      <c r="A1573" s="128"/>
      <c r="B1573" s="371"/>
      <c r="C1573" s="128" t="b">
        <v>0</v>
      </c>
      <c r="D1573" s="19" t="str">
        <f ca="1">道具!$C$26</f>
        <v>暗黑瓶</v>
      </c>
      <c r="E1573" s="371"/>
      <c r="F1573" s="371"/>
      <c r="G1573" s="371"/>
      <c r="H1573" s="371"/>
      <c r="I1573" s="371"/>
      <c r="J1573" s="371"/>
      <c r="K1573" s="371"/>
      <c r="L1573" s="371"/>
      <c r="M1573" s="371"/>
      <c r="N1573" s="371"/>
      <c r="O1573" s="371"/>
      <c r="P1573" s="371"/>
      <c r="Q1573" s="371"/>
      <c r="R1573" s="371"/>
      <c r="S1573" s="371"/>
      <c r="T1573" s="371"/>
      <c r="U1573" s="371"/>
      <c r="V1573" s="371"/>
      <c r="W1573" s="128"/>
    </row>
    <row r="1574" spans="1:23" ht="12.75" x14ac:dyDescent="0.2">
      <c r="A1574" s="128"/>
      <c r="B1574" s="371"/>
      <c r="C1574" s="128" t="b">
        <v>0</v>
      </c>
      <c r="D1574" s="19" t="str">
        <f ca="1">道具!$C$27</f>
        <v>混乱瓶</v>
      </c>
      <c r="E1574" s="371"/>
      <c r="F1574" s="371"/>
      <c r="G1574" s="371"/>
      <c r="H1574" s="371"/>
      <c r="I1574" s="371"/>
      <c r="J1574" s="371"/>
      <c r="K1574" s="371"/>
      <c r="L1574" s="371"/>
      <c r="M1574" s="371"/>
      <c r="N1574" s="371"/>
      <c r="O1574" s="371"/>
      <c r="P1574" s="371"/>
      <c r="Q1574" s="371"/>
      <c r="R1574" s="379"/>
      <c r="S1574" s="379" t="str">
        <f ca="1">Summon!$I$4</f>
        <v>战斗</v>
      </c>
      <c r="T1574" s="371"/>
      <c r="U1574" s="371"/>
      <c r="V1574" s="371"/>
      <c r="W1574" s="128"/>
    </row>
    <row r="1575" spans="1:23" ht="12.75" x14ac:dyDescent="0.2">
      <c r="A1575" s="128"/>
      <c r="B1575" s="531"/>
      <c r="C1575" s="130" t="b">
        <v>0</v>
      </c>
      <c r="D1575" s="125" t="str">
        <f ca="1">道具!$C$29</f>
        <v>睡眠瓶</v>
      </c>
      <c r="E1575" s="531"/>
      <c r="F1575" s="531"/>
      <c r="G1575" s="531"/>
      <c r="H1575" s="531"/>
      <c r="I1575" s="531"/>
      <c r="J1575" s="531"/>
      <c r="K1575" s="531"/>
      <c r="L1575" s="531"/>
      <c r="M1575" s="531"/>
      <c r="N1575" s="531"/>
      <c r="O1575" s="531"/>
      <c r="P1575" s="531"/>
      <c r="Q1575" s="531"/>
      <c r="R1575" s="531"/>
      <c r="S1575" s="531"/>
      <c r="T1575" s="531"/>
      <c r="U1575" s="531"/>
      <c r="V1575" s="531"/>
      <c r="W1575" s="128"/>
    </row>
    <row r="1576" spans="1:23" ht="12.75" x14ac:dyDescent="0.2">
      <c r="A1576" s="128"/>
      <c r="B1576" s="402" t="str">
        <f ca="1">语言!$A$2092&amp;" (1)"</f>
        <v>戴红帽子的男子 (1)</v>
      </c>
      <c r="C1576" s="535"/>
      <c r="D1576" s="537" t="s">
        <v>119</v>
      </c>
      <c r="E1576" s="535"/>
      <c r="F1576" s="534" t="s">
        <v>119</v>
      </c>
      <c r="G1576" s="535" t="b">
        <v>0</v>
      </c>
      <c r="H1576" s="530" t="s">
        <v>47</v>
      </c>
      <c r="I1576" s="379">
        <v>4</v>
      </c>
      <c r="J1576" s="379"/>
      <c r="K1576" s="379"/>
      <c r="L1576" s="379"/>
      <c r="M1576" s="379"/>
      <c r="N1576" s="379"/>
      <c r="O1576" s="379" t="str">
        <f ca="1">道具!$C$37</f>
        <v>雷之精灵石（大）</v>
      </c>
      <c r="P1576" s="535"/>
      <c r="Q1576" s="534" t="s">
        <v>119</v>
      </c>
      <c r="R1576" s="534" t="s">
        <v>119</v>
      </c>
      <c r="S1576" s="534" t="s">
        <v>119</v>
      </c>
      <c r="T1576" s="534" t="s">
        <v>119</v>
      </c>
      <c r="U1576" s="535"/>
      <c r="V1576" s="379" t="str">
        <f ca="1">"NPC available during "&amp;语言!$A$38&amp;" chapter 4
Moves to "&amp;语言!$A$450&amp;" after "&amp;语言!$A$38&amp;" chapter 4"</f>
        <v>NPC available during 欧尔贝克 chapter 4
Moves to 利维福德 -下层- after 欧尔贝克 chapter 4</v>
      </c>
      <c r="W1576" s="128"/>
    </row>
    <row r="1577" spans="1:23" ht="12.75" x14ac:dyDescent="0.2">
      <c r="A1577" s="128"/>
      <c r="B1577" s="531"/>
      <c r="C1577" s="531"/>
      <c r="D1577" s="531"/>
      <c r="E1577" s="531"/>
      <c r="F1577" s="531"/>
      <c r="G1577" s="531"/>
      <c r="H1577" s="531"/>
      <c r="I1577" s="531"/>
      <c r="J1577" s="531"/>
      <c r="K1577" s="531"/>
      <c r="L1577" s="531"/>
      <c r="M1577" s="531"/>
      <c r="N1577" s="531"/>
      <c r="O1577" s="531"/>
      <c r="P1577" s="531"/>
      <c r="Q1577" s="531"/>
      <c r="R1577" s="531"/>
      <c r="S1577" s="531"/>
      <c r="T1577" s="531"/>
      <c r="U1577" s="531"/>
      <c r="V1577" s="531"/>
      <c r="W1577" s="128"/>
    </row>
    <row r="1578" spans="1:23" ht="12.75" x14ac:dyDescent="0.2">
      <c r="A1578" s="128"/>
      <c r="B1578" s="402" t="str">
        <f ca="1">语言!$A$2042</f>
        <v>反对势力士兵瑞吉</v>
      </c>
      <c r="C1578" s="128" t="b">
        <v>0</v>
      </c>
      <c r="D1578" s="19" t="str">
        <f ca="1">道具!$C$4</f>
        <v>ＨＰ恢复的葡萄（大）</v>
      </c>
      <c r="E1578" s="535" t="b">
        <v>0</v>
      </c>
      <c r="F1578" s="379" t="str">
        <f ca="1">语言!$A$23</f>
        <v>无</v>
      </c>
      <c r="G1578" s="535" t="b">
        <v>0</v>
      </c>
      <c r="H1578" s="530" t="s">
        <v>50</v>
      </c>
      <c r="I1578" s="379">
        <v>4</v>
      </c>
      <c r="J1578" s="379"/>
      <c r="K1578" s="379"/>
      <c r="L1578" s="379"/>
      <c r="M1578" s="379"/>
      <c r="N1578" s="379"/>
      <c r="O1578" s="379" t="str">
        <f ca="1">道具!$C$23</f>
        <v>恐怖治疗药草</v>
      </c>
      <c r="P1578" s="535"/>
      <c r="Q1578" s="530" t="s">
        <v>50</v>
      </c>
      <c r="R1578" s="17"/>
      <c r="S1578" s="17" t="str">
        <f ca="1">Summon!$I$170</f>
        <v>防御架式</v>
      </c>
      <c r="T1578" s="530">
        <v>7</v>
      </c>
      <c r="U1578" s="535"/>
      <c r="V1578" s="379" t="str">
        <f ca="1">"NPC available after "&amp;语言!$A$38&amp;" chapter 4"</f>
        <v>NPC available after 欧尔贝克 chapter 4</v>
      </c>
      <c r="W1578" s="128"/>
    </row>
    <row r="1579" spans="1:23" ht="12.75" x14ac:dyDescent="0.2">
      <c r="A1579" s="128"/>
      <c r="B1579" s="371"/>
      <c r="C1579" s="128" t="b">
        <v>0</v>
      </c>
      <c r="D1579" s="19" t="str">
        <f ca="1">道具!$C$4</f>
        <v>ＨＰ恢复的葡萄（大）</v>
      </c>
      <c r="E1579" s="371"/>
      <c r="F1579" s="371"/>
      <c r="G1579" s="371"/>
      <c r="H1579" s="371"/>
      <c r="I1579" s="371"/>
      <c r="J1579" s="371"/>
      <c r="K1579" s="371"/>
      <c r="L1579" s="371"/>
      <c r="M1579" s="371"/>
      <c r="N1579" s="371"/>
      <c r="O1579" s="371"/>
      <c r="P1579" s="371"/>
      <c r="Q1579" s="371"/>
      <c r="R1579" s="17"/>
      <c r="S1579" s="17" t="str">
        <f ca="1">Summon!$I$6</f>
        <v>斩击</v>
      </c>
      <c r="T1579" s="371"/>
      <c r="U1579" s="371"/>
      <c r="V1579" s="371"/>
      <c r="W1579" s="128"/>
    </row>
    <row r="1580" spans="1:23" ht="12.75" x14ac:dyDescent="0.2">
      <c r="A1580" s="128"/>
      <c r="B1580" s="531"/>
      <c r="C1580" s="130" t="b">
        <v>0</v>
      </c>
      <c r="D1580" s="125" t="str">
        <f ca="1">道具!$C$475</f>
        <v>守护项链</v>
      </c>
      <c r="E1580" s="531"/>
      <c r="F1580" s="531"/>
      <c r="G1580" s="531"/>
      <c r="H1580" s="531"/>
      <c r="I1580" s="531"/>
      <c r="J1580" s="531"/>
      <c r="K1580" s="531"/>
      <c r="L1580" s="531"/>
      <c r="M1580" s="531"/>
      <c r="N1580" s="531"/>
      <c r="O1580" s="531"/>
      <c r="P1580" s="531"/>
      <c r="Q1580" s="531"/>
      <c r="R1580" s="126"/>
      <c r="S1580" s="126" t="str">
        <f ca="1">Summon!$I$4</f>
        <v>战斗</v>
      </c>
      <c r="T1580" s="531"/>
      <c r="U1580" s="531"/>
      <c r="V1580" s="531"/>
      <c r="W1580" s="128"/>
    </row>
    <row r="1581" spans="1:23" ht="12.75" x14ac:dyDescent="0.2">
      <c r="A1581" s="128"/>
      <c r="B1581" s="402" t="str">
        <f ca="1">语言!$A$1903</f>
        <v>卫兵</v>
      </c>
      <c r="C1581" s="535" t="b">
        <v>0</v>
      </c>
      <c r="D1581" s="402" t="str">
        <f ca="1">道具!$C$341</f>
        <v>巨盾</v>
      </c>
      <c r="E1581" s="535" t="b">
        <v>0</v>
      </c>
      <c r="F1581" s="379" t="str">
        <f ca="1">语言!$A$33&amp;"
"&amp;道具!$C$120</f>
        <v>隐藏道具的资讯
放了银块的皮袋</v>
      </c>
      <c r="G1581" s="535" t="b">
        <v>0</v>
      </c>
      <c r="H1581" s="530" t="s">
        <v>57</v>
      </c>
      <c r="I1581" s="379">
        <v>3</v>
      </c>
      <c r="J1581" s="379"/>
      <c r="K1581" s="379"/>
      <c r="L1581" s="379"/>
      <c r="M1581" s="379"/>
      <c r="N1581" s="379"/>
      <c r="O1581" s="379" t="str">
        <f ca="1">道具!$C$4</f>
        <v>ＨＰ恢复的葡萄（大）</v>
      </c>
      <c r="P1581" s="535"/>
      <c r="Q1581" s="530" t="s">
        <v>57</v>
      </c>
      <c r="R1581" s="17"/>
      <c r="S1581" s="17" t="str">
        <f ca="1">Summon!$I$70</f>
        <v>乱射</v>
      </c>
      <c r="T1581" s="530">
        <v>8</v>
      </c>
      <c r="U1581" s="535"/>
      <c r="V1581" s="379" t="str">
        <f ca="1">"Hidden Item in "&amp;语言!$A$450&amp;" area behind NPC ("&amp;语言!$A$47&amp;" / "&amp;语言!$A$51&amp;")"</f>
        <v>Hidden Item in 利维福德 -下层- area behind NPC (比试 / 唆使)</v>
      </c>
      <c r="W1581" s="128"/>
    </row>
    <row r="1582" spans="1:23" ht="12.75" x14ac:dyDescent="0.2">
      <c r="A1582" s="128"/>
      <c r="B1582" s="371"/>
      <c r="C1582" s="371"/>
      <c r="D1582" s="371"/>
      <c r="E1582" s="371"/>
      <c r="F1582" s="371"/>
      <c r="G1582" s="371"/>
      <c r="H1582" s="371"/>
      <c r="I1582" s="371"/>
      <c r="J1582" s="371"/>
      <c r="K1582" s="371"/>
      <c r="L1582" s="371"/>
      <c r="M1582" s="371"/>
      <c r="N1582" s="371"/>
      <c r="O1582" s="371"/>
      <c r="P1582" s="371"/>
      <c r="Q1582" s="371"/>
      <c r="R1582" s="17"/>
      <c r="S1582" s="17" t="str">
        <f ca="1">Summon!$I$138</f>
        <v>万能药</v>
      </c>
      <c r="T1582" s="371"/>
      <c r="U1582" s="371"/>
      <c r="V1582" s="371"/>
      <c r="W1582" s="128"/>
    </row>
    <row r="1583" spans="1:23" ht="12.75" x14ac:dyDescent="0.2">
      <c r="A1583" s="128"/>
      <c r="B1583" s="531"/>
      <c r="C1583" s="531"/>
      <c r="D1583" s="531"/>
      <c r="E1583" s="531"/>
      <c r="F1583" s="531"/>
      <c r="G1583" s="531"/>
      <c r="H1583" s="531"/>
      <c r="I1583" s="531"/>
      <c r="J1583" s="531"/>
      <c r="K1583" s="531"/>
      <c r="L1583" s="531"/>
      <c r="M1583" s="531"/>
      <c r="N1583" s="531"/>
      <c r="O1583" s="531"/>
      <c r="P1583" s="531"/>
      <c r="Q1583" s="531"/>
      <c r="R1583" s="126"/>
      <c r="S1583" s="126" t="str">
        <f ca="1">Summon!$I$4</f>
        <v>战斗</v>
      </c>
      <c r="T1583" s="531"/>
      <c r="U1583" s="531"/>
      <c r="V1583" s="531"/>
      <c r="W1583" s="128"/>
    </row>
    <row r="1584" spans="1:23" ht="12.75" x14ac:dyDescent="0.2">
      <c r="A1584" s="128"/>
      <c r="B1584" s="402" t="str">
        <f ca="1">语言!$A$1903</f>
        <v>卫兵</v>
      </c>
      <c r="C1584" s="535" t="b">
        <v>0</v>
      </c>
      <c r="D1584" s="402" t="str">
        <f ca="1">道具!$C$142</f>
        <v>透明军刀</v>
      </c>
      <c r="E1584" s="535" t="b">
        <v>0</v>
      </c>
      <c r="F1584" s="379" t="str">
        <f ca="1">语言!$A$26</f>
        <v>「偷取」成功机率ＵＰ资讯</v>
      </c>
      <c r="G1584" s="535" t="b">
        <v>0</v>
      </c>
      <c r="H1584" s="530" t="s">
        <v>55</v>
      </c>
      <c r="I1584" s="379">
        <v>6</v>
      </c>
      <c r="J1584" s="379"/>
      <c r="K1584" s="379"/>
      <c r="L1584" s="379"/>
      <c r="M1584" s="379"/>
      <c r="N1584" s="379"/>
      <c r="O1584" s="379" t="str">
        <f ca="1">道具!$C$13</f>
        <v>ＨＰ／ＳＰ／ＢＰ恢复的果酱</v>
      </c>
      <c r="P1584" s="535"/>
      <c r="Q1584" s="530" t="s">
        <v>55</v>
      </c>
      <c r="R1584" s="17"/>
      <c r="S1584" s="17" t="str">
        <f ca="1">Summon!$I$24</f>
        <v>醉剑</v>
      </c>
      <c r="T1584" s="530">
        <v>4</v>
      </c>
      <c r="U1584" s="535"/>
      <c r="V1584" s="379"/>
      <c r="W1584" s="128"/>
    </row>
    <row r="1585" spans="1:23" ht="12.75" x14ac:dyDescent="0.2">
      <c r="A1585" s="128"/>
      <c r="B1585" s="371"/>
      <c r="C1585" s="371"/>
      <c r="D1585" s="371"/>
      <c r="E1585" s="371"/>
      <c r="F1585" s="371"/>
      <c r="G1585" s="371"/>
      <c r="H1585" s="371"/>
      <c r="I1585" s="371"/>
      <c r="J1585" s="371"/>
      <c r="K1585" s="371"/>
      <c r="L1585" s="371"/>
      <c r="M1585" s="371"/>
      <c r="N1585" s="371"/>
      <c r="O1585" s="371"/>
      <c r="P1585" s="371"/>
      <c r="Q1585" s="371"/>
      <c r="R1585" s="17"/>
      <c r="S1585" s="17" t="str">
        <f ca="1">Summon!$I$112</f>
        <v>全力投掷酒</v>
      </c>
      <c r="T1585" s="371"/>
      <c r="U1585" s="371"/>
      <c r="V1585" s="371"/>
      <c r="W1585" s="128"/>
    </row>
    <row r="1586" spans="1:23" ht="12.75" x14ac:dyDescent="0.2">
      <c r="A1586" s="128"/>
      <c r="B1586" s="531"/>
      <c r="C1586" s="531"/>
      <c r="D1586" s="531"/>
      <c r="E1586" s="531"/>
      <c r="F1586" s="531"/>
      <c r="G1586" s="531"/>
      <c r="H1586" s="531"/>
      <c r="I1586" s="531"/>
      <c r="J1586" s="531"/>
      <c r="K1586" s="531"/>
      <c r="L1586" s="531"/>
      <c r="M1586" s="531"/>
      <c r="N1586" s="531"/>
      <c r="O1586" s="531"/>
      <c r="P1586" s="531"/>
      <c r="Q1586" s="531"/>
      <c r="R1586" s="126"/>
      <c r="S1586" s="126" t="str">
        <f ca="1">Summon!$I$4</f>
        <v>战斗</v>
      </c>
      <c r="T1586" s="531"/>
      <c r="U1586" s="531"/>
      <c r="V1586" s="531"/>
      <c r="W1586" s="128"/>
    </row>
    <row r="1587" spans="1:23" ht="12.75" x14ac:dyDescent="0.2">
      <c r="A1587" s="128"/>
      <c r="B1587" s="533" t="str">
        <f ca="1">语言!$A$1993&amp;" (2)"</f>
        <v>神秘骑士 /
塞凡提斯 (2)</v>
      </c>
      <c r="C1587" s="601" t="b">
        <v>0</v>
      </c>
      <c r="D1587" s="533" t="str">
        <f ca="1">道具!$C$240</f>
        <v>符文手斧</v>
      </c>
      <c r="E1587" s="601" t="b">
        <v>0</v>
      </c>
      <c r="F1587" s="379" t="str">
        <f ca="1">语言!$A$23</f>
        <v>无</v>
      </c>
      <c r="G1587" s="601" t="b">
        <v>0</v>
      </c>
      <c r="H1587" s="530" t="s">
        <v>57</v>
      </c>
      <c r="I1587" s="379">
        <v>3</v>
      </c>
      <c r="J1587" s="379"/>
      <c r="K1587" s="379"/>
      <c r="L1587" s="379"/>
      <c r="M1587" s="603"/>
      <c r="N1587" s="603"/>
      <c r="O1587" s="379" t="str">
        <f ca="1">道具!$C$13</f>
        <v>ＨＰ／ＳＰ／ＢＰ恢复的果酱</v>
      </c>
      <c r="P1587" s="601"/>
      <c r="Q1587" s="602" t="s">
        <v>57</v>
      </c>
      <c r="R1587" s="17"/>
      <c r="S1587" s="224" t="str">
        <f ca="1">Summon!$I$30</f>
        <v>突刺</v>
      </c>
      <c r="T1587" s="602">
        <v>8</v>
      </c>
      <c r="U1587" s="601"/>
      <c r="V1587" s="538" t="str">
        <f ca="1">"NPC at this location after quest: "&amp;支线!$C$109&amp;"
("&amp;语言!$A$47&amp;" / "&amp;语言!$A$51&amp;" solution only)"</f>
        <v>NPC at this location after quest: 梦想家贵族
(比试 / 唆使 solution only)</v>
      </c>
      <c r="W1587" s="128"/>
    </row>
    <row r="1588" spans="1:23" ht="12.75" x14ac:dyDescent="0.2">
      <c r="A1588" s="128"/>
      <c r="B1588" s="371"/>
      <c r="C1588" s="371"/>
      <c r="D1588" s="371"/>
      <c r="E1588" s="371"/>
      <c r="F1588" s="371"/>
      <c r="G1588" s="371"/>
      <c r="H1588" s="371"/>
      <c r="I1588" s="371"/>
      <c r="J1588" s="371"/>
      <c r="K1588" s="371"/>
      <c r="L1588" s="371"/>
      <c r="M1588" s="371"/>
      <c r="N1588" s="371"/>
      <c r="O1588" s="371"/>
      <c r="P1588" s="371"/>
      <c r="Q1588" s="371"/>
      <c r="R1588" s="17"/>
      <c r="S1588" s="224" t="str">
        <f ca="1">Summon!$I$36</f>
        <v>连环突刺</v>
      </c>
      <c r="T1588" s="371"/>
      <c r="U1588" s="371"/>
      <c r="V1588" s="371"/>
      <c r="W1588" s="128"/>
    </row>
    <row r="1589" spans="1:23" ht="12.75" x14ac:dyDescent="0.2">
      <c r="A1589" s="128"/>
      <c r="B1589" s="531"/>
      <c r="C1589" s="531"/>
      <c r="D1589" s="531"/>
      <c r="E1589" s="531"/>
      <c r="F1589" s="531"/>
      <c r="G1589" s="531"/>
      <c r="H1589" s="531"/>
      <c r="I1589" s="531"/>
      <c r="J1589" s="531"/>
      <c r="K1589" s="531"/>
      <c r="L1589" s="531"/>
      <c r="M1589" s="531"/>
      <c r="N1589" s="531"/>
      <c r="O1589" s="531"/>
      <c r="P1589" s="531"/>
      <c r="Q1589" s="531"/>
      <c r="R1589" s="126"/>
      <c r="S1589" s="225" t="str">
        <f ca="1">Summon!$I$4</f>
        <v>战斗</v>
      </c>
      <c r="T1589" s="531"/>
      <c r="U1589" s="531"/>
      <c r="V1589" s="531"/>
      <c r="W1589" s="128"/>
    </row>
    <row r="1590" spans="1:23" ht="12.75" x14ac:dyDescent="0.2">
      <c r="A1590" s="128"/>
      <c r="B1590" s="402" t="str">
        <f ca="1">语言!$A$2061</f>
        <v>佣人</v>
      </c>
      <c r="C1590" s="535" t="b">
        <v>0</v>
      </c>
      <c r="D1590" s="402" t="str">
        <f ca="1">道具!$C$12</f>
        <v>ＨＰ／ＳＰ恢复的果酱</v>
      </c>
      <c r="E1590" s="535" t="b">
        <v>0</v>
      </c>
      <c r="F1590" s="379" t="str">
        <f ca="1">语言!$A$23</f>
        <v>无</v>
      </c>
      <c r="G1590" s="535" t="b">
        <v>0</v>
      </c>
      <c r="H1590" s="530" t="s">
        <v>49</v>
      </c>
      <c r="I1590" s="379">
        <v>4</v>
      </c>
      <c r="J1590" s="379"/>
      <c r="K1590" s="379"/>
      <c r="L1590" s="379"/>
      <c r="M1590" s="379"/>
      <c r="N1590" s="379"/>
      <c r="O1590" s="379" t="str">
        <f ca="1">道具!$C$22</f>
        <v>睡眠治疗药草</v>
      </c>
      <c r="P1590" s="535"/>
      <c r="Q1590" s="530" t="s">
        <v>49</v>
      </c>
      <c r="R1590" s="17"/>
      <c r="S1590" s="17" t="str">
        <f ca="1">Summon!$I$99</f>
        <v>特大光明魔法</v>
      </c>
      <c r="T1590" s="530">
        <v>7</v>
      </c>
      <c r="U1590" s="535"/>
      <c r="V1590" s="379"/>
      <c r="W1590" s="128"/>
    </row>
    <row r="1591" spans="1:23" ht="12.75" x14ac:dyDescent="0.2">
      <c r="A1591" s="128"/>
      <c r="B1591" s="371"/>
      <c r="C1591" s="371"/>
      <c r="D1591" s="371"/>
      <c r="E1591" s="371"/>
      <c r="F1591" s="371"/>
      <c r="G1591" s="371"/>
      <c r="H1591" s="371"/>
      <c r="I1591" s="371"/>
      <c r="J1591" s="371"/>
      <c r="K1591" s="371"/>
      <c r="L1591" s="371"/>
      <c r="M1591" s="371"/>
      <c r="N1591" s="371"/>
      <c r="O1591" s="371"/>
      <c r="P1591" s="371"/>
      <c r="Q1591" s="371"/>
      <c r="R1591" s="17"/>
      <c r="S1591" s="17" t="str">
        <f ca="1">Summon!$I$87</f>
        <v>大冰冻魔法</v>
      </c>
      <c r="T1591" s="371"/>
      <c r="U1591" s="371"/>
      <c r="V1591" s="371"/>
      <c r="W1591" s="128"/>
    </row>
    <row r="1592" spans="1:23" ht="12.75" x14ac:dyDescent="0.2">
      <c r="A1592" s="128"/>
      <c r="B1592" s="531"/>
      <c r="C1592" s="531"/>
      <c r="D1592" s="531"/>
      <c r="E1592" s="531"/>
      <c r="F1592" s="531"/>
      <c r="G1592" s="531"/>
      <c r="H1592" s="531"/>
      <c r="I1592" s="531"/>
      <c r="J1592" s="531"/>
      <c r="K1592" s="531"/>
      <c r="L1592" s="531"/>
      <c r="M1592" s="531"/>
      <c r="N1592" s="531"/>
      <c r="O1592" s="531"/>
      <c r="P1592" s="531"/>
      <c r="Q1592" s="531"/>
      <c r="R1592" s="126"/>
      <c r="S1592" s="126" t="str">
        <f ca="1">Summon!$I$4</f>
        <v>战斗</v>
      </c>
      <c r="T1592" s="531"/>
      <c r="U1592" s="531"/>
      <c r="V1592" s="531"/>
      <c r="W1592" s="128"/>
    </row>
    <row r="1593" spans="1:23" ht="25.5" x14ac:dyDescent="0.2">
      <c r="A1593" s="128"/>
      <c r="B1593" s="402" t="str">
        <f ca="1">语言!$A$1975</f>
        <v>商人</v>
      </c>
      <c r="C1593" s="128" t="b">
        <v>0</v>
      </c>
      <c r="D1593" s="19" t="str">
        <f ca="1">道具!$C$11</f>
        <v>ＢＰ恢复的石榴（特大）</v>
      </c>
      <c r="E1593" s="535" t="b">
        <v>0</v>
      </c>
      <c r="F1593" s="379" t="str">
        <f ca="1">语言!$A$24</f>
        <v>旅店的折扣资讯</v>
      </c>
      <c r="G1593" s="535" t="b">
        <v>0</v>
      </c>
      <c r="H1593" s="530" t="s">
        <v>50</v>
      </c>
      <c r="I1593" s="379">
        <v>4</v>
      </c>
      <c r="J1593" s="379"/>
      <c r="K1593" s="379"/>
      <c r="L1593" s="379"/>
      <c r="M1593" s="379"/>
      <c r="N1593" s="379"/>
      <c r="O1593" s="379" t="str">
        <f ca="1">道具!$C$34</f>
        <v>冰之精灵石（大）</v>
      </c>
      <c r="P1593" s="535"/>
      <c r="Q1593" s="530" t="s">
        <v>50</v>
      </c>
      <c r="R1593" s="17"/>
      <c r="S1593" s="17" t="str">
        <f ca="1">Summon!$I$44</f>
        <v>剧毒猛击</v>
      </c>
      <c r="T1593" s="530">
        <v>7</v>
      </c>
      <c r="U1593" s="535"/>
      <c r="V1593" s="379"/>
      <c r="W1593" s="128"/>
    </row>
    <row r="1594" spans="1:23" ht="12.75" x14ac:dyDescent="0.2">
      <c r="A1594" s="128"/>
      <c r="B1594" s="371"/>
      <c r="C1594" s="128" t="b">
        <v>0</v>
      </c>
      <c r="D1594" s="19" t="str">
        <f ca="1">道具!$C$531</f>
        <v>秘药的素材（扩散）</v>
      </c>
      <c r="E1594" s="371"/>
      <c r="F1594" s="371"/>
      <c r="G1594" s="371"/>
      <c r="H1594" s="371"/>
      <c r="I1594" s="371"/>
      <c r="J1594" s="371"/>
      <c r="K1594" s="371"/>
      <c r="L1594" s="371"/>
      <c r="M1594" s="371"/>
      <c r="N1594" s="371"/>
      <c r="O1594" s="371"/>
      <c r="P1594" s="371"/>
      <c r="Q1594" s="371"/>
      <c r="R1594" s="17"/>
      <c r="S1594" s="17" t="str">
        <f ca="1">Summon!$I$174</f>
        <v>防御力提升</v>
      </c>
      <c r="T1594" s="371"/>
      <c r="U1594" s="371"/>
      <c r="V1594" s="371"/>
      <c r="W1594" s="128"/>
    </row>
    <row r="1595" spans="1:23" ht="12.75" x14ac:dyDescent="0.2">
      <c r="A1595" s="128"/>
      <c r="B1595" s="531"/>
      <c r="C1595" s="130" t="b">
        <v>0</v>
      </c>
      <c r="D1595" s="125" t="str">
        <f ca="1">道具!$C$543</f>
        <v>橄榄花</v>
      </c>
      <c r="E1595" s="531"/>
      <c r="F1595" s="531"/>
      <c r="G1595" s="531"/>
      <c r="H1595" s="531"/>
      <c r="I1595" s="531"/>
      <c r="J1595" s="531"/>
      <c r="K1595" s="531"/>
      <c r="L1595" s="531"/>
      <c r="M1595" s="531"/>
      <c r="N1595" s="531"/>
      <c r="O1595" s="531"/>
      <c r="P1595" s="531"/>
      <c r="Q1595" s="531"/>
      <c r="R1595" s="126"/>
      <c r="S1595" s="126" t="str">
        <f ca="1">Summon!$I$4</f>
        <v>战斗</v>
      </c>
      <c r="T1595" s="531"/>
      <c r="U1595" s="531"/>
      <c r="V1595" s="531"/>
      <c r="W1595" s="128"/>
    </row>
    <row r="1596" spans="1:23" ht="12.75" x14ac:dyDescent="0.2">
      <c r="A1596" s="128"/>
      <c r="B1596" s="402" t="str">
        <f ca="1">语言!$A$2014</f>
        <v>老人</v>
      </c>
      <c r="C1596" s="128" t="b">
        <v>0</v>
      </c>
      <c r="D1596" s="19" t="str">
        <f ca="1">道具!$C$7</f>
        <v>ＳＰ恢复的李子（大）</v>
      </c>
      <c r="E1596" s="535" t="b">
        <v>0</v>
      </c>
      <c r="F1596" s="379" t="str">
        <f ca="1">语言!$A$33&amp;"
"&amp;道具!$C$4</f>
        <v>隐藏道具的资讯
ＨＰ恢复的葡萄（大）</v>
      </c>
      <c r="G1596" s="535" t="b">
        <v>0</v>
      </c>
      <c r="H1596" s="530" t="s">
        <v>57</v>
      </c>
      <c r="I1596" s="379">
        <v>3</v>
      </c>
      <c r="J1596" s="379"/>
      <c r="K1596" s="379"/>
      <c r="L1596" s="379"/>
      <c r="M1596" s="379"/>
      <c r="N1596" s="379"/>
      <c r="O1596" s="379" t="str">
        <f ca="1">道具!$C$7</f>
        <v>ＳＰ恢复的李子（大）</v>
      </c>
      <c r="P1596" s="535"/>
      <c r="Q1596" s="530" t="s">
        <v>57</v>
      </c>
      <c r="R1596" s="17"/>
      <c r="S1596" s="17" t="str">
        <f ca="1">Summon!$I$138</f>
        <v>万能药</v>
      </c>
      <c r="T1596" s="530">
        <v>8</v>
      </c>
      <c r="U1596" s="535"/>
      <c r="V1596" s="379"/>
      <c r="W1596" s="128"/>
    </row>
    <row r="1597" spans="1:23" ht="12.75" x14ac:dyDescent="0.2">
      <c r="A1597" s="128"/>
      <c r="B1597" s="371"/>
      <c r="C1597" s="128" t="b">
        <v>0</v>
      </c>
      <c r="D1597" s="19" t="str">
        <f ca="1">道具!$C$61</f>
        <v>增强物防的坚果（特大）</v>
      </c>
      <c r="E1597" s="371"/>
      <c r="F1597" s="371"/>
      <c r="G1597" s="371"/>
      <c r="H1597" s="371"/>
      <c r="I1597" s="371"/>
      <c r="J1597" s="371"/>
      <c r="K1597" s="371"/>
      <c r="L1597" s="371"/>
      <c r="M1597" s="371"/>
      <c r="N1597" s="371"/>
      <c r="O1597" s="371"/>
      <c r="P1597" s="371"/>
      <c r="Q1597" s="371"/>
      <c r="R1597" s="17"/>
      <c r="S1597" s="17" t="str">
        <f ca="1">Summon!$I$70</f>
        <v>乱射</v>
      </c>
      <c r="T1597" s="371"/>
      <c r="U1597" s="371"/>
      <c r="V1597" s="371"/>
      <c r="W1597" s="128"/>
    </row>
    <row r="1598" spans="1:23" ht="12.75" x14ac:dyDescent="0.2">
      <c r="A1598" s="128"/>
      <c r="B1598" s="531"/>
      <c r="C1598" s="130" t="b">
        <v>0</v>
      </c>
      <c r="D1598" s="125" t="str">
        <f ca="1">道具!$C$88</f>
        <v>种子</v>
      </c>
      <c r="E1598" s="531"/>
      <c r="F1598" s="531"/>
      <c r="G1598" s="531"/>
      <c r="H1598" s="531"/>
      <c r="I1598" s="531"/>
      <c r="J1598" s="531"/>
      <c r="K1598" s="531"/>
      <c r="L1598" s="531"/>
      <c r="M1598" s="531"/>
      <c r="N1598" s="531"/>
      <c r="O1598" s="531"/>
      <c r="P1598" s="531"/>
      <c r="Q1598" s="531"/>
      <c r="R1598" s="126"/>
      <c r="S1598" s="126" t="str">
        <f ca="1">Summon!$I$4</f>
        <v>战斗</v>
      </c>
      <c r="T1598" s="531"/>
      <c r="U1598" s="531"/>
      <c r="V1598" s="531"/>
      <c r="W1598" s="128"/>
    </row>
    <row r="1599" spans="1:23" ht="12.75" x14ac:dyDescent="0.2">
      <c r="A1599" s="128"/>
      <c r="B1599" s="402" t="str">
        <f ca="1">语言!$A$2102</f>
        <v>市民</v>
      </c>
      <c r="C1599" s="128" t="b">
        <v>0</v>
      </c>
      <c r="D1599" s="19" t="str">
        <f ca="1">道具!$C$51</f>
        <v>增强ＨＰ的坚果（特大）</v>
      </c>
      <c r="E1599" s="535" t="b">
        <v>0</v>
      </c>
      <c r="F1599" s="379" t="str">
        <f ca="1">语言!$A$23</f>
        <v>无</v>
      </c>
      <c r="G1599" s="535" t="b">
        <v>0</v>
      </c>
      <c r="H1599" s="530" t="s">
        <v>51</v>
      </c>
      <c r="I1599" s="379">
        <v>5</v>
      </c>
      <c r="J1599" s="379"/>
      <c r="K1599" s="379"/>
      <c r="L1599" s="379"/>
      <c r="M1599" s="379"/>
      <c r="N1599" s="379"/>
      <c r="O1599" s="379" t="str">
        <f ca="1">道具!$C$307</f>
        <v>世界树手杖</v>
      </c>
      <c r="P1599" s="535"/>
      <c r="Q1599" s="534" t="s">
        <v>119</v>
      </c>
      <c r="R1599" s="534" t="s">
        <v>119</v>
      </c>
      <c r="S1599" s="534" t="s">
        <v>119</v>
      </c>
      <c r="T1599" s="534" t="s">
        <v>119</v>
      </c>
      <c r="U1599" s="535"/>
      <c r="V1599" s="379"/>
      <c r="W1599" s="128"/>
    </row>
    <row r="1600" spans="1:23" ht="12.75" x14ac:dyDescent="0.2">
      <c r="A1600" s="128"/>
      <c r="B1600" s="371"/>
      <c r="C1600" s="128" t="b">
        <v>0</v>
      </c>
      <c r="D1600" s="19" t="str">
        <f ca="1">道具!$C$61</f>
        <v>增强物防的坚果（特大）</v>
      </c>
      <c r="E1600" s="371"/>
      <c r="F1600" s="371"/>
      <c r="G1600" s="371"/>
      <c r="H1600" s="371"/>
      <c r="I1600" s="371"/>
      <c r="J1600" s="371"/>
      <c r="K1600" s="371"/>
      <c r="L1600" s="371"/>
      <c r="M1600" s="371"/>
      <c r="N1600" s="371"/>
      <c r="O1600" s="371"/>
      <c r="P1600" s="371"/>
      <c r="Q1600" s="371"/>
      <c r="R1600" s="371"/>
      <c r="S1600" s="371"/>
      <c r="T1600" s="371"/>
      <c r="U1600" s="371"/>
      <c r="V1600" s="371"/>
      <c r="W1600" s="128"/>
    </row>
    <row r="1601" spans="1:23" ht="12.75" x14ac:dyDescent="0.2">
      <c r="A1601" s="128"/>
      <c r="B1601" s="371"/>
      <c r="C1601" s="128" t="b">
        <v>0</v>
      </c>
      <c r="D1601" s="19" t="str">
        <f ca="1">道具!$C$77</f>
        <v>增强会心的坚果（特大）</v>
      </c>
      <c r="E1601" s="371"/>
      <c r="F1601" s="371"/>
      <c r="G1601" s="371"/>
      <c r="H1601" s="371"/>
      <c r="I1601" s="371"/>
      <c r="J1601" s="371"/>
      <c r="K1601" s="371"/>
      <c r="L1601" s="371"/>
      <c r="M1601" s="371"/>
      <c r="N1601" s="371"/>
      <c r="O1601" s="371"/>
      <c r="P1601" s="371"/>
      <c r="Q1601" s="371"/>
      <c r="R1601" s="371"/>
      <c r="S1601" s="371"/>
      <c r="T1601" s="371"/>
      <c r="U1601" s="371"/>
      <c r="V1601" s="371"/>
      <c r="W1601" s="128"/>
    </row>
    <row r="1602" spans="1:23" ht="12.75" x14ac:dyDescent="0.2">
      <c r="A1602" s="128"/>
      <c r="B1602" s="575" t="str">
        <f ca="1">语言!$A$450</f>
        <v>利维福德 -下层-</v>
      </c>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128"/>
    </row>
    <row r="1603" spans="1:23" ht="12.75" x14ac:dyDescent="0.2">
      <c r="A1603" s="128"/>
      <c r="B1603" s="402" t="str">
        <f ca="1">语言!$A$1854</f>
        <v>老婆婆</v>
      </c>
      <c r="C1603" s="128" t="b">
        <v>0</v>
      </c>
      <c r="D1603" s="19" t="str">
        <f ca="1">道具!$C$311</f>
        <v>巨人棍棒</v>
      </c>
      <c r="E1603" s="535" t="b">
        <v>0</v>
      </c>
      <c r="F1603" s="379" t="str">
        <f ca="1">语言!$A$31</f>
        <v>「比试」必须等级降低资讯</v>
      </c>
      <c r="G1603" s="535" t="b">
        <v>0</v>
      </c>
      <c r="H1603" s="530" t="s">
        <v>47</v>
      </c>
      <c r="I1603" s="379">
        <v>4</v>
      </c>
      <c r="J1603" s="379"/>
      <c r="K1603" s="379"/>
      <c r="L1603" s="379"/>
      <c r="M1603" s="379"/>
      <c r="N1603" s="379"/>
      <c r="O1603" s="379" t="str">
        <f ca="1">道具!$C$47</f>
        <v>暗之精灵石（大）</v>
      </c>
      <c r="P1603" s="535"/>
      <c r="Q1603" s="530" t="s">
        <v>47</v>
      </c>
      <c r="R1603" s="17"/>
      <c r="S1603" s="17" t="str">
        <f ca="1">Summon!$I$102</f>
        <v>特大暗黑魔法</v>
      </c>
      <c r="T1603" s="530">
        <v>6</v>
      </c>
      <c r="U1603" s="535"/>
      <c r="V1603" s="379"/>
      <c r="W1603" s="128"/>
    </row>
    <row r="1604" spans="1:23" ht="12.75" x14ac:dyDescent="0.2">
      <c r="A1604" s="128"/>
      <c r="B1604" s="371"/>
      <c r="C1604" s="128" t="b">
        <v>0</v>
      </c>
      <c r="D1604" s="19" t="str">
        <f ca="1">道具!$C$37</f>
        <v>雷之精灵石（大）</v>
      </c>
      <c r="E1604" s="371"/>
      <c r="F1604" s="371"/>
      <c r="G1604" s="371"/>
      <c r="H1604" s="371"/>
      <c r="I1604" s="371"/>
      <c r="J1604" s="371"/>
      <c r="K1604" s="371"/>
      <c r="L1604" s="371"/>
      <c r="M1604" s="371"/>
      <c r="N1604" s="371"/>
      <c r="O1604" s="371"/>
      <c r="P1604" s="371"/>
      <c r="Q1604" s="371"/>
      <c r="R1604" s="17"/>
      <c r="S1604" s="17" t="str">
        <f ca="1">Summon!$I$91</f>
        <v>大雷击魔法</v>
      </c>
      <c r="T1604" s="371"/>
      <c r="U1604" s="371"/>
      <c r="V1604" s="371"/>
      <c r="W1604" s="128"/>
    </row>
    <row r="1605" spans="1:23" ht="12.75" x14ac:dyDescent="0.2">
      <c r="A1605" s="128"/>
      <c r="B1605" s="531"/>
      <c r="C1605" s="130"/>
      <c r="D1605" s="125"/>
      <c r="E1605" s="531"/>
      <c r="F1605" s="531"/>
      <c r="G1605" s="531"/>
      <c r="H1605" s="531"/>
      <c r="I1605" s="531"/>
      <c r="J1605" s="531"/>
      <c r="K1605" s="531"/>
      <c r="L1605" s="531"/>
      <c r="M1605" s="531"/>
      <c r="N1605" s="531"/>
      <c r="O1605" s="531"/>
      <c r="P1605" s="531"/>
      <c r="Q1605" s="531"/>
      <c r="R1605" s="126"/>
      <c r="S1605" s="126" t="str">
        <f ca="1">Summon!$I$4</f>
        <v>战斗</v>
      </c>
      <c r="T1605" s="531"/>
      <c r="U1605" s="531"/>
      <c r="V1605" s="531"/>
      <c r="W1605" s="128"/>
    </row>
    <row r="1606" spans="1:23" ht="25.5" x14ac:dyDescent="0.2">
      <c r="A1606" s="128"/>
      <c r="B1606" s="125" t="str">
        <f ca="1">语言!$A$2092&amp;" (2)"</f>
        <v>戴红帽子的男子 (2)</v>
      </c>
      <c r="C1606" s="130" t="b">
        <v>0</v>
      </c>
      <c r="D1606" s="133" t="s">
        <v>119</v>
      </c>
      <c r="E1606" s="130" t="b">
        <v>0</v>
      </c>
      <c r="F1606" s="126" t="str">
        <f ca="1">语言!$A$23</f>
        <v>无</v>
      </c>
      <c r="G1606" s="130" t="b">
        <v>0</v>
      </c>
      <c r="H1606" s="135" t="s">
        <v>47</v>
      </c>
      <c r="I1606" s="126">
        <v>4</v>
      </c>
      <c r="J1606" s="126"/>
      <c r="K1606" s="126"/>
      <c r="L1606" s="126"/>
      <c r="M1606" s="126"/>
      <c r="N1606" s="126"/>
      <c r="O1606" s="126" t="str">
        <f ca="1">道具!$C$37</f>
        <v>雷之精灵石（大）</v>
      </c>
      <c r="P1606" s="130"/>
      <c r="Q1606" s="134" t="s">
        <v>119</v>
      </c>
      <c r="R1606" s="134" t="s">
        <v>119</v>
      </c>
      <c r="S1606" s="134" t="s">
        <v>119</v>
      </c>
      <c r="T1606" s="134" t="s">
        <v>119</v>
      </c>
      <c r="U1606" s="130"/>
      <c r="V1606" s="126" t="str">
        <f ca="1">"NPC available after "&amp;语言!$A$38&amp;" chapter 4"</f>
        <v>NPC available after 欧尔贝克 chapter 4</v>
      </c>
      <c r="W1606" s="128"/>
    </row>
    <row r="1607" spans="1:23" ht="12.75" x14ac:dyDescent="0.2">
      <c r="A1607" s="128"/>
      <c r="B1607" s="402" t="str">
        <f ca="1">语言!$A$2069</f>
        <v>士兵</v>
      </c>
      <c r="C1607" s="128" t="b">
        <v>0</v>
      </c>
      <c r="D1607" s="19" t="str">
        <f ca="1">道具!$C$534</f>
        <v>超含毒的素材</v>
      </c>
      <c r="E1607" s="535" t="b">
        <v>0</v>
      </c>
      <c r="F1607" s="379" t="str">
        <f ca="1">语言!$A$23</f>
        <v>无</v>
      </c>
      <c r="G1607" s="535" t="b">
        <v>0</v>
      </c>
      <c r="H1607" s="530" t="s">
        <v>46</v>
      </c>
      <c r="I1607" s="379">
        <v>3</v>
      </c>
      <c r="J1607" s="379"/>
      <c r="K1607" s="379"/>
      <c r="L1607" s="379"/>
      <c r="M1607" s="379"/>
      <c r="N1607" s="379"/>
      <c r="O1607" s="379" t="str">
        <f ca="1">道具!$C$16</f>
        <v>复活的橄榄（大）</v>
      </c>
      <c r="P1607" s="535"/>
      <c r="Q1607" s="534" t="s">
        <v>119</v>
      </c>
      <c r="R1607" s="534" t="s">
        <v>119</v>
      </c>
      <c r="S1607" s="534" t="s">
        <v>119</v>
      </c>
      <c r="T1607" s="534" t="s">
        <v>119</v>
      </c>
      <c r="U1607" s="535"/>
      <c r="V1607" s="379"/>
      <c r="W1607" s="128"/>
    </row>
    <row r="1608" spans="1:23" ht="12.75" x14ac:dyDescent="0.2">
      <c r="A1608" s="128"/>
      <c r="B1608" s="371"/>
      <c r="C1608" s="128" t="b">
        <v>0</v>
      </c>
      <c r="D1608" s="19" t="str">
        <f ca="1">道具!$C$534</f>
        <v>超含毒的素材</v>
      </c>
      <c r="E1608" s="371"/>
      <c r="F1608" s="371"/>
      <c r="G1608" s="371"/>
      <c r="H1608" s="371"/>
      <c r="I1608" s="371"/>
      <c r="J1608" s="371"/>
      <c r="K1608" s="371"/>
      <c r="L1608" s="371"/>
      <c r="M1608" s="371"/>
      <c r="N1608" s="371"/>
      <c r="O1608" s="371"/>
      <c r="P1608" s="371"/>
      <c r="Q1608" s="371"/>
      <c r="R1608" s="371"/>
      <c r="S1608" s="371"/>
      <c r="T1608" s="371"/>
      <c r="U1608" s="371"/>
      <c r="V1608" s="371"/>
      <c r="W1608" s="128"/>
    </row>
    <row r="1609" spans="1:23" ht="12.75" x14ac:dyDescent="0.2">
      <c r="A1609" s="128"/>
      <c r="B1609" s="531"/>
      <c r="C1609" s="130" t="b">
        <v>0</v>
      </c>
      <c r="D1609" s="125" t="str">
        <f ca="1">道具!$C$513</f>
        <v>火之避邪符</v>
      </c>
      <c r="E1609" s="531"/>
      <c r="F1609" s="531"/>
      <c r="G1609" s="531"/>
      <c r="H1609" s="531"/>
      <c r="I1609" s="531"/>
      <c r="J1609" s="531"/>
      <c r="K1609" s="531"/>
      <c r="L1609" s="531"/>
      <c r="M1609" s="531"/>
      <c r="N1609" s="531"/>
      <c r="O1609" s="531"/>
      <c r="P1609" s="531"/>
      <c r="Q1609" s="531"/>
      <c r="R1609" s="531"/>
      <c r="S1609" s="531"/>
      <c r="T1609" s="531"/>
      <c r="U1609" s="531"/>
      <c r="V1609" s="531"/>
      <c r="W1609" s="128"/>
    </row>
    <row r="1610" spans="1:23" ht="12.75" x14ac:dyDescent="0.2">
      <c r="A1610" s="128"/>
      <c r="B1610" s="402" t="str">
        <f ca="1">语言!$A$1978&amp;" (3)"</f>
        <v>梅莉儿 (3)</v>
      </c>
      <c r="C1610" s="128" t="b">
        <v>0</v>
      </c>
      <c r="D1610" s="19" t="str">
        <f ca="1">道具!$C$541</f>
        <v>李子树液</v>
      </c>
      <c r="E1610" s="535" t="b">
        <v>0</v>
      </c>
      <c r="F1610" s="379" t="str">
        <f ca="1">语言!$A$23</f>
        <v>无</v>
      </c>
      <c r="G1610" s="535" t="b">
        <v>0</v>
      </c>
      <c r="H1610" s="530" t="s">
        <v>45</v>
      </c>
      <c r="I1610" s="379">
        <v>2</v>
      </c>
      <c r="J1610" s="379"/>
      <c r="K1610" s="379"/>
      <c r="L1610" s="379"/>
      <c r="M1610" s="379"/>
      <c r="N1610" s="379"/>
      <c r="O1610" s="379" t="str">
        <f ca="1">道具!$C$537</f>
        <v>毒利米树之叶</v>
      </c>
      <c r="P1610" s="535"/>
      <c r="Q1610" s="530" t="s">
        <v>57</v>
      </c>
      <c r="R1610" s="17"/>
      <c r="S1610" s="226" t="str">
        <f ca="1">Summon!$I$70</f>
        <v>乱射</v>
      </c>
      <c r="T1610" s="530">
        <v>8</v>
      </c>
      <c r="U1610" s="535"/>
      <c r="V1610" s="379" t="str">
        <f ca="1">"NPC at this location after quest: "&amp;支线!$C$101&amp;"
Moves to "&amp;语言!$A$435&amp;" after quest: "&amp;支线!$C$108</f>
        <v>NPC at this location after quest: 孤儿梅莉儿（２）
Moves to 库利亚布鲁克 after quest: 孤儿梅莉儿（３）</v>
      </c>
      <c r="W1610" s="128"/>
    </row>
    <row r="1611" spans="1:23" ht="12.75" x14ac:dyDescent="0.2">
      <c r="A1611" s="128"/>
      <c r="B1611" s="531"/>
      <c r="C1611" s="130" t="b">
        <v>0</v>
      </c>
      <c r="D1611" s="125" t="str">
        <f ca="1">道具!$C$542</f>
        <v>石榴树液</v>
      </c>
      <c r="E1611" s="531"/>
      <c r="F1611" s="531"/>
      <c r="G1611" s="531"/>
      <c r="H1611" s="531"/>
      <c r="I1611" s="531"/>
      <c r="J1611" s="531"/>
      <c r="K1611" s="531"/>
      <c r="L1611" s="531"/>
      <c r="M1611" s="531"/>
      <c r="N1611" s="531"/>
      <c r="O1611" s="531"/>
      <c r="P1611" s="531"/>
      <c r="Q1611" s="531"/>
      <c r="R1611" s="126"/>
      <c r="S1611" s="227" t="str">
        <f ca="1">Summon!$I$4</f>
        <v>战斗</v>
      </c>
      <c r="T1611" s="531"/>
      <c r="U1611" s="531"/>
      <c r="V1611" s="531"/>
      <c r="W1611" s="128"/>
    </row>
    <row r="1612" spans="1:23" ht="12.75" x14ac:dyDescent="0.2">
      <c r="A1612" s="128"/>
      <c r="B1612" s="125" t="str">
        <f ca="1">语言!$A$2066</f>
        <v>Sickly Woman</v>
      </c>
      <c r="C1612" s="130" t="b">
        <v>0</v>
      </c>
      <c r="D1612" s="133" t="s">
        <v>119</v>
      </c>
      <c r="E1612" s="130" t="b">
        <v>0</v>
      </c>
      <c r="F1612" s="134" t="s">
        <v>119</v>
      </c>
      <c r="G1612" s="130" t="b">
        <v>0</v>
      </c>
      <c r="H1612" s="134" t="s">
        <v>119</v>
      </c>
      <c r="I1612" s="134" t="s">
        <v>119</v>
      </c>
      <c r="J1612" s="134" t="s">
        <v>119</v>
      </c>
      <c r="K1612" s="134" t="s">
        <v>119</v>
      </c>
      <c r="L1612" s="134" t="s">
        <v>119</v>
      </c>
      <c r="M1612" s="134" t="s">
        <v>119</v>
      </c>
      <c r="N1612" s="134" t="s">
        <v>119</v>
      </c>
      <c r="O1612" s="134" t="s">
        <v>119</v>
      </c>
      <c r="P1612" s="130"/>
      <c r="Q1612" s="134" t="s">
        <v>119</v>
      </c>
      <c r="R1612" s="134" t="s">
        <v>119</v>
      </c>
      <c r="S1612" s="134" t="s">
        <v>119</v>
      </c>
      <c r="T1612" s="134" t="s">
        <v>119</v>
      </c>
      <c r="U1612" s="130"/>
      <c r="V1612" s="126" t="str">
        <f ca="1">"NPC available only during quest: "&amp;支线!$C$108</f>
        <v>NPC available only during quest: 孤儿梅莉儿（３）</v>
      </c>
      <c r="W1612" s="128"/>
    </row>
    <row r="1613" spans="1:23" ht="12.75" x14ac:dyDescent="0.2">
      <c r="A1613" s="128"/>
      <c r="B1613" s="402" t="str">
        <f ca="1">语言!$A$1938</f>
        <v>亲切的邻居</v>
      </c>
      <c r="C1613" s="128" t="b">
        <v>0</v>
      </c>
      <c r="D1613" s="19" t="str">
        <f ca="1">道具!$C$18</f>
        <v>毒治疗药草</v>
      </c>
      <c r="E1613" s="535" t="b">
        <v>0</v>
      </c>
      <c r="F1613" s="379" t="str">
        <f ca="1">语言!$A$23</f>
        <v>无</v>
      </c>
      <c r="G1613" s="535" t="b">
        <v>0</v>
      </c>
      <c r="H1613" s="530" t="s">
        <v>45</v>
      </c>
      <c r="I1613" s="379">
        <v>2</v>
      </c>
      <c r="J1613" s="379"/>
      <c r="K1613" s="379"/>
      <c r="L1613" s="379"/>
      <c r="M1613" s="379"/>
      <c r="N1613" s="379"/>
      <c r="O1613" s="379" t="str">
        <f ca="1">道具!$C$40</f>
        <v>风之精灵石（大）</v>
      </c>
      <c r="P1613" s="535"/>
      <c r="Q1613" s="530" t="s">
        <v>45</v>
      </c>
      <c r="R1613" s="17"/>
      <c r="S1613" s="17" t="str">
        <f ca="1">Summon!$I$72</f>
        <v>殴打</v>
      </c>
      <c r="T1613" s="530">
        <v>9</v>
      </c>
      <c r="U1613" s="535"/>
      <c r="V1613" s="379" t="str">
        <f ca="1">"NPC available after quest: "&amp;支线!$C$101</f>
        <v>NPC available after quest: 孤儿梅莉儿（２）</v>
      </c>
      <c r="W1613" s="128"/>
    </row>
    <row r="1614" spans="1:23" ht="12.75" x14ac:dyDescent="0.2">
      <c r="A1614" s="128"/>
      <c r="B1614" s="531"/>
      <c r="C1614" s="130" t="b">
        <v>0</v>
      </c>
      <c r="D1614" s="125" t="str">
        <f ca="1">道具!$C$40</f>
        <v>风之精灵石（大）</v>
      </c>
      <c r="E1614" s="531"/>
      <c r="F1614" s="531"/>
      <c r="G1614" s="531"/>
      <c r="H1614" s="531"/>
      <c r="I1614" s="531"/>
      <c r="J1614" s="531"/>
      <c r="K1614" s="531"/>
      <c r="L1614" s="531"/>
      <c r="M1614" s="531"/>
      <c r="N1614" s="531"/>
      <c r="O1614" s="531"/>
      <c r="P1614" s="531"/>
      <c r="Q1614" s="531"/>
      <c r="R1614" s="126"/>
      <c r="S1614" s="126" t="str">
        <f ca="1">Summon!$I$4</f>
        <v>战斗</v>
      </c>
      <c r="T1614" s="531"/>
      <c r="U1614" s="531"/>
      <c r="V1614" s="531"/>
      <c r="W1614" s="128"/>
    </row>
    <row r="1615" spans="1:23" ht="12.75" x14ac:dyDescent="0.2">
      <c r="A1615" s="128"/>
      <c r="B1615" s="402" t="str">
        <f ca="1">语言!$A$1975</f>
        <v>商人</v>
      </c>
      <c r="C1615" s="128" t="b">
        <v>0</v>
      </c>
      <c r="D1615" s="19" t="str">
        <f ca="1">道具!$C$151</f>
        <v>暴力之剑</v>
      </c>
      <c r="E1615" s="535" t="b">
        <v>0</v>
      </c>
      <c r="F1615" s="379" t="str">
        <f ca="1">语言!$A$33&amp;"
"&amp;道具!$C$113</f>
        <v>隐藏道具的资讯
擦得亮晶晶的银手表</v>
      </c>
      <c r="G1615" s="535" t="b">
        <v>0</v>
      </c>
      <c r="H1615" s="530" t="s">
        <v>51</v>
      </c>
      <c r="I1615" s="379">
        <v>5</v>
      </c>
      <c r="J1615" s="379"/>
      <c r="K1615" s="379"/>
      <c r="L1615" s="379"/>
      <c r="M1615" s="379"/>
      <c r="N1615" s="379"/>
      <c r="O1615" s="379" t="str">
        <f ca="1">道具!$C$44</f>
        <v>光之精灵石（大）</v>
      </c>
      <c r="P1615" s="535"/>
      <c r="Q1615" s="530" t="s">
        <v>51</v>
      </c>
      <c r="R1615" s="17"/>
      <c r="S1615" s="17" t="str">
        <f ca="1">Summon!$I$161</f>
        <v>全部下降</v>
      </c>
      <c r="T1615" s="530">
        <v>6</v>
      </c>
      <c r="U1615" s="535"/>
      <c r="V1615" s="379" t="str">
        <f>"Hidden item in other part of town"</f>
        <v>Hidden item in other part of town</v>
      </c>
      <c r="W1615" s="128"/>
    </row>
    <row r="1616" spans="1:23" ht="12.75" x14ac:dyDescent="0.2">
      <c r="A1616" s="128"/>
      <c r="B1616" s="371"/>
      <c r="C1616" s="128" t="b">
        <v>0</v>
      </c>
      <c r="D1616" s="19" t="str">
        <f ca="1">道具!$C$191</f>
        <v>灾祸之枪</v>
      </c>
      <c r="E1616" s="371"/>
      <c r="F1616" s="371"/>
      <c r="G1616" s="371"/>
      <c r="H1616" s="371"/>
      <c r="I1616" s="371"/>
      <c r="J1616" s="371"/>
      <c r="K1616" s="371"/>
      <c r="L1616" s="371"/>
      <c r="M1616" s="371"/>
      <c r="N1616" s="371"/>
      <c r="O1616" s="371"/>
      <c r="P1616" s="371"/>
      <c r="Q1616" s="371"/>
      <c r="R1616" s="17"/>
      <c r="S1616" s="17" t="str">
        <f ca="1">Summon!$I$64</f>
        <v>精准射击</v>
      </c>
      <c r="T1616" s="371"/>
      <c r="U1616" s="371"/>
      <c r="V1616" s="371"/>
      <c r="W1616" s="128"/>
    </row>
    <row r="1617" spans="1:23" ht="12.75" x14ac:dyDescent="0.2">
      <c r="A1617" s="128"/>
      <c r="B1617" s="371"/>
      <c r="C1617" s="128" t="b">
        <v>0</v>
      </c>
      <c r="D1617" s="19" t="str">
        <f ca="1">道具!$C$228</f>
        <v>迷惑短剑</v>
      </c>
      <c r="E1617" s="371"/>
      <c r="F1617" s="371"/>
      <c r="G1617" s="371"/>
      <c r="H1617" s="371"/>
      <c r="I1617" s="371"/>
      <c r="J1617" s="371"/>
      <c r="K1617" s="371"/>
      <c r="L1617" s="371"/>
      <c r="M1617" s="371"/>
      <c r="N1617" s="371"/>
      <c r="O1617" s="371"/>
      <c r="P1617" s="371"/>
      <c r="Q1617" s="371"/>
      <c r="R1617" s="17"/>
      <c r="S1617" s="17" t="str">
        <f ca="1">Summon!$I$4</f>
        <v>战斗</v>
      </c>
      <c r="T1617" s="371"/>
      <c r="U1617" s="371"/>
      <c r="V1617" s="371"/>
      <c r="W1617" s="128"/>
    </row>
    <row r="1618" spans="1:23" ht="12.75" x14ac:dyDescent="0.2">
      <c r="A1618" s="128"/>
      <c r="B1618" s="531"/>
      <c r="C1618" s="130" t="b">
        <v>0</v>
      </c>
      <c r="D1618" s="125" t="str">
        <f ca="1">道具!$C$319</f>
        <v>战锤</v>
      </c>
      <c r="E1618" s="531"/>
      <c r="F1618" s="531"/>
      <c r="G1618" s="531"/>
      <c r="H1618" s="531"/>
      <c r="I1618" s="531"/>
      <c r="J1618" s="531"/>
      <c r="K1618" s="531"/>
      <c r="L1618" s="531"/>
      <c r="M1618" s="531"/>
      <c r="N1618" s="531"/>
      <c r="O1618" s="531"/>
      <c r="P1618" s="531"/>
      <c r="Q1618" s="531"/>
      <c r="R1618" s="126"/>
      <c r="S1618" s="126"/>
      <c r="T1618" s="531"/>
      <c r="U1618" s="531"/>
      <c r="V1618" s="531"/>
      <c r="W1618" s="128"/>
    </row>
    <row r="1619" spans="1:23" ht="12.75" x14ac:dyDescent="0.2">
      <c r="A1619" s="128"/>
      <c r="B1619" s="402" t="str">
        <f ca="1">语言!$A$2102</f>
        <v>市民</v>
      </c>
      <c r="C1619" s="128" t="b">
        <v>0</v>
      </c>
      <c r="D1619" s="19" t="str">
        <f ca="1">道具!$C$34</f>
        <v>冰之精灵石（大）</v>
      </c>
      <c r="E1619" s="535" t="b">
        <v>0</v>
      </c>
      <c r="F1619" s="379" t="str">
        <f ca="1">语言!$A$33&amp;"
"&amp;道具!$C$10</f>
        <v>隐藏道具的资讯
ＢＰ恢复的石榴（大）</v>
      </c>
      <c r="G1619" s="535" t="b">
        <v>0</v>
      </c>
      <c r="H1619" s="530" t="s">
        <v>51</v>
      </c>
      <c r="I1619" s="379">
        <v>5</v>
      </c>
      <c r="J1619" s="379"/>
      <c r="K1619" s="379"/>
      <c r="L1619" s="379"/>
      <c r="M1619" s="379"/>
      <c r="N1619" s="379"/>
      <c r="O1619" s="379" t="str">
        <f ca="1">道具!$C$359</f>
        <v>龙之头盔</v>
      </c>
      <c r="P1619" s="535"/>
      <c r="Q1619" s="534" t="s">
        <v>119</v>
      </c>
      <c r="R1619" s="534" t="s">
        <v>119</v>
      </c>
      <c r="S1619" s="534" t="s">
        <v>119</v>
      </c>
      <c r="T1619" s="534" t="s">
        <v>119</v>
      </c>
      <c r="U1619" s="535"/>
      <c r="V1619" s="379"/>
      <c r="W1619" s="128"/>
    </row>
    <row r="1620" spans="1:23" ht="12.75" x14ac:dyDescent="0.2">
      <c r="A1620" s="128"/>
      <c r="B1620" s="371"/>
      <c r="C1620" s="128" t="b">
        <v>0</v>
      </c>
      <c r="D1620" s="19" t="str">
        <f ca="1">道具!$C$34</f>
        <v>冰之精灵石（大）</v>
      </c>
      <c r="E1620" s="371"/>
      <c r="F1620" s="371"/>
      <c r="G1620" s="371"/>
      <c r="H1620" s="371"/>
      <c r="I1620" s="371"/>
      <c r="J1620" s="371"/>
      <c r="K1620" s="371"/>
      <c r="L1620" s="371"/>
      <c r="M1620" s="371"/>
      <c r="N1620" s="371"/>
      <c r="O1620" s="371"/>
      <c r="P1620" s="371"/>
      <c r="Q1620" s="371"/>
      <c r="R1620" s="371"/>
      <c r="S1620" s="371"/>
      <c r="T1620" s="371"/>
      <c r="U1620" s="371"/>
      <c r="V1620" s="371"/>
      <c r="W1620" s="128"/>
    </row>
    <row r="1621" spans="1:23" ht="12.75" x14ac:dyDescent="0.2">
      <c r="A1621" s="128"/>
      <c r="B1621" s="531"/>
      <c r="C1621" s="130" t="b">
        <v>0</v>
      </c>
      <c r="D1621" s="125" t="str">
        <f ca="1">道具!$C$35</f>
        <v>冰之精灵石（特大）</v>
      </c>
      <c r="E1621" s="531"/>
      <c r="F1621" s="531"/>
      <c r="G1621" s="531"/>
      <c r="H1621" s="531"/>
      <c r="I1621" s="531"/>
      <c r="J1621" s="531"/>
      <c r="K1621" s="531"/>
      <c r="L1621" s="531"/>
      <c r="M1621" s="531"/>
      <c r="N1621" s="531"/>
      <c r="O1621" s="531"/>
      <c r="P1621" s="531"/>
      <c r="Q1621" s="531"/>
      <c r="R1621" s="531"/>
      <c r="S1621" s="531"/>
      <c r="T1621" s="531"/>
      <c r="U1621" s="531"/>
      <c r="V1621" s="531"/>
      <c r="W1621" s="128"/>
    </row>
    <row r="1622" spans="1:23" ht="12.75" x14ac:dyDescent="0.2">
      <c r="A1622" s="128"/>
      <c r="B1622" s="402" t="str">
        <f ca="1">语言!$A$1896</f>
        <v>少女</v>
      </c>
      <c r="C1622" s="535" t="b">
        <v>0</v>
      </c>
      <c r="D1622" s="402" t="str">
        <f ca="1">道具!$C$84</f>
        <v>糖果</v>
      </c>
      <c r="E1622" s="535" t="b">
        <v>0</v>
      </c>
      <c r="F1622" s="379" t="str">
        <f ca="1">语言!$A$27</f>
        <v>杂货店商品追加资讯</v>
      </c>
      <c r="G1622" s="535" t="b">
        <v>0</v>
      </c>
      <c r="H1622" s="534" t="s">
        <v>119</v>
      </c>
      <c r="I1622" s="534" t="s">
        <v>119</v>
      </c>
      <c r="J1622" s="534" t="s">
        <v>119</v>
      </c>
      <c r="K1622" s="534" t="s">
        <v>119</v>
      </c>
      <c r="L1622" s="534" t="s">
        <v>119</v>
      </c>
      <c r="M1622" s="534" t="s">
        <v>119</v>
      </c>
      <c r="N1622" s="534" t="s">
        <v>119</v>
      </c>
      <c r="O1622" s="534" t="s">
        <v>119</v>
      </c>
      <c r="P1622" s="535"/>
      <c r="Q1622" s="534" t="s">
        <v>119</v>
      </c>
      <c r="R1622" s="534" t="s">
        <v>119</v>
      </c>
      <c r="S1622" s="534" t="s">
        <v>119</v>
      </c>
      <c r="T1622" s="534" t="s">
        <v>119</v>
      </c>
      <c r="U1622" s="535"/>
      <c r="V1622" s="379" t="str">
        <f ca="1">"Behind other NPC ("&amp;语言!$A$47&amp;" / "&amp;语言!$A$51&amp;")"</f>
        <v>Behind other NPC (比试 / 唆使)</v>
      </c>
      <c r="W1622" s="128"/>
    </row>
    <row r="1623" spans="1:23" ht="12.75" x14ac:dyDescent="0.2">
      <c r="A1623" s="128"/>
      <c r="B1623" s="531"/>
      <c r="C1623" s="531"/>
      <c r="D1623" s="531"/>
      <c r="E1623" s="531"/>
      <c r="F1623" s="531"/>
      <c r="G1623" s="531"/>
      <c r="H1623" s="531"/>
      <c r="I1623" s="531"/>
      <c r="J1623" s="531"/>
      <c r="K1623" s="531"/>
      <c r="L1623" s="531"/>
      <c r="M1623" s="531"/>
      <c r="N1623" s="531"/>
      <c r="O1623" s="531"/>
      <c r="P1623" s="531"/>
      <c r="Q1623" s="531"/>
      <c r="R1623" s="531"/>
      <c r="S1623" s="531"/>
      <c r="T1623" s="531"/>
      <c r="U1623" s="531"/>
      <c r="V1623" s="531"/>
      <c r="W1623" s="128"/>
    </row>
    <row r="1624" spans="1:23" ht="12.75" x14ac:dyDescent="0.2">
      <c r="A1624" s="128"/>
      <c r="B1624" s="125" t="str">
        <f ca="1">语言!$A$2102</f>
        <v>市民</v>
      </c>
      <c r="C1624" s="130"/>
      <c r="D1624" s="133" t="s">
        <v>119</v>
      </c>
      <c r="E1624" s="130"/>
      <c r="F1624" s="134" t="s">
        <v>119</v>
      </c>
      <c r="G1624" s="130"/>
      <c r="H1624" s="134" t="s">
        <v>119</v>
      </c>
      <c r="I1624" s="134" t="s">
        <v>119</v>
      </c>
      <c r="J1624" s="134" t="s">
        <v>119</v>
      </c>
      <c r="K1624" s="134" t="s">
        <v>119</v>
      </c>
      <c r="L1624" s="134" t="s">
        <v>119</v>
      </c>
      <c r="M1624" s="134" t="s">
        <v>119</v>
      </c>
      <c r="N1624" s="134" t="s">
        <v>119</v>
      </c>
      <c r="O1624" s="134" t="s">
        <v>119</v>
      </c>
      <c r="P1624" s="130"/>
      <c r="Q1624" s="134" t="s">
        <v>119</v>
      </c>
      <c r="R1624" s="134" t="s">
        <v>119</v>
      </c>
      <c r="S1624" s="134" t="s">
        <v>119</v>
      </c>
      <c r="T1624" s="134" t="s">
        <v>119</v>
      </c>
      <c r="U1624" s="130"/>
      <c r="V1624" s="126" t="str">
        <f ca="1">"Disapear after "&amp;语言!$A$38&amp;" chapter 4"</f>
        <v>Disapear after 欧尔贝克 chapter 4</v>
      </c>
      <c r="W1624" s="128"/>
    </row>
    <row r="1625" spans="1:23" ht="12.75" x14ac:dyDescent="0.2">
      <c r="A1625" s="128"/>
      <c r="B1625" s="402" t="str">
        <f ca="1">语言!$A$1911</f>
        <v>反对势力首脑哈洛德</v>
      </c>
      <c r="C1625" s="535" t="b">
        <v>0</v>
      </c>
      <c r="D1625" s="402" t="str">
        <f ca="1">道具!$C$183</f>
        <v>帝国骑枪</v>
      </c>
      <c r="E1625" s="535" t="b">
        <v>0</v>
      </c>
      <c r="F1625" s="379" t="str">
        <f ca="1">语言!$A$23</f>
        <v>无</v>
      </c>
      <c r="G1625" s="535" t="b">
        <v>0</v>
      </c>
      <c r="H1625" s="530" t="s">
        <v>47</v>
      </c>
      <c r="I1625" s="379">
        <v>4</v>
      </c>
      <c r="J1625" s="379"/>
      <c r="K1625" s="379"/>
      <c r="L1625" s="379"/>
      <c r="M1625" s="379"/>
      <c r="N1625" s="379"/>
      <c r="O1625" s="379" t="str">
        <f ca="1">道具!$C$16</f>
        <v>复活的橄榄（大）</v>
      </c>
      <c r="P1625" s="535"/>
      <c r="Q1625" s="530" t="s">
        <v>47</v>
      </c>
      <c r="R1625" s="17"/>
      <c r="S1625" s="17" t="str">
        <f ca="1">Summon!$I$34</f>
        <v>无双突刺</v>
      </c>
      <c r="T1625" s="530">
        <v>6</v>
      </c>
      <c r="U1625" s="535"/>
      <c r="V1625" s="379" t="str">
        <f ca="1">"NPC available after quest: "&amp;支线!$C$111</f>
        <v>NPC available after quest: 哈洛德，在那之后后续</v>
      </c>
      <c r="W1625" s="128"/>
    </row>
    <row r="1626" spans="1:23" ht="12.75" x14ac:dyDescent="0.2">
      <c r="A1626" s="128"/>
      <c r="B1626" s="371"/>
      <c r="C1626" s="371"/>
      <c r="D1626" s="371"/>
      <c r="E1626" s="371"/>
      <c r="F1626" s="371"/>
      <c r="G1626" s="371"/>
      <c r="H1626" s="371"/>
      <c r="I1626" s="371"/>
      <c r="J1626" s="371"/>
      <c r="K1626" s="371"/>
      <c r="L1626" s="371"/>
      <c r="M1626" s="371"/>
      <c r="N1626" s="371"/>
      <c r="O1626" s="371"/>
      <c r="P1626" s="371"/>
      <c r="Q1626" s="371"/>
      <c r="R1626" s="17"/>
      <c r="S1626" s="17" t="str">
        <f ca="1">Summon!$I$31</f>
        <v>要害突刺</v>
      </c>
      <c r="T1626" s="371"/>
      <c r="U1626" s="371"/>
      <c r="V1626" s="371"/>
      <c r="W1626" s="128"/>
    </row>
    <row r="1627" spans="1:23" ht="12.75" x14ac:dyDescent="0.2">
      <c r="A1627" s="128"/>
      <c r="B1627" s="371"/>
      <c r="C1627" s="371"/>
      <c r="D1627" s="371"/>
      <c r="E1627" s="371"/>
      <c r="F1627" s="371"/>
      <c r="G1627" s="371"/>
      <c r="H1627" s="371"/>
      <c r="I1627" s="371"/>
      <c r="J1627" s="371"/>
      <c r="K1627" s="371"/>
      <c r="L1627" s="371"/>
      <c r="M1627" s="371"/>
      <c r="N1627" s="371"/>
      <c r="O1627" s="371"/>
      <c r="P1627" s="371"/>
      <c r="Q1627" s="371"/>
      <c r="R1627" s="17"/>
      <c r="S1627" s="17" t="str">
        <f ca="1">Summon!$I$4</f>
        <v>战斗</v>
      </c>
      <c r="T1627" s="371"/>
      <c r="U1627" s="371"/>
      <c r="V1627" s="371"/>
      <c r="W1627" s="128"/>
    </row>
    <row r="1628" spans="1:23" ht="12.75" x14ac:dyDescent="0.2">
      <c r="A1628" s="121"/>
      <c r="B1628" s="575" t="str">
        <f ca="1">语言!$A$452</f>
        <v>贵族的藏身处遗迹</v>
      </c>
      <c r="C1628" s="371"/>
      <c r="D1628" s="371"/>
      <c r="E1628" s="371"/>
      <c r="F1628" s="371"/>
      <c r="G1628" s="371"/>
      <c r="H1628" s="371"/>
      <c r="I1628" s="371"/>
      <c r="J1628" s="371"/>
      <c r="K1628" s="371"/>
      <c r="L1628" s="371"/>
      <c r="M1628" s="371"/>
      <c r="N1628" s="371"/>
      <c r="O1628" s="371"/>
      <c r="P1628" s="371"/>
      <c r="Q1628" s="371"/>
      <c r="R1628" s="371"/>
      <c r="S1628" s="371"/>
      <c r="T1628" s="371"/>
      <c r="U1628" s="371"/>
      <c r="V1628" s="371"/>
      <c r="W1628" s="121"/>
    </row>
    <row r="1629" spans="1:23" ht="12.75" x14ac:dyDescent="0.2">
      <c r="A1629" s="121"/>
      <c r="B1629" s="402" t="str">
        <f ca="1">语言!$A$2025&amp;" (2)"</f>
        <v>狂热的年轻人 /
狂热的探险家 /
狂热的兼职农夫 (2)</v>
      </c>
      <c r="C1629" s="128" t="b">
        <v>0</v>
      </c>
      <c r="D1629" s="19" t="str">
        <f ca="1">道具!$C$25</f>
        <v>毒瓶</v>
      </c>
      <c r="E1629" s="535" t="b">
        <v>0</v>
      </c>
      <c r="F1629" s="379" t="str">
        <f ca="1">语言!$A$23</f>
        <v>无</v>
      </c>
      <c r="G1629" s="535" t="b">
        <v>0</v>
      </c>
      <c r="H1629" s="530" t="s">
        <v>46</v>
      </c>
      <c r="I1629" s="379">
        <v>3</v>
      </c>
      <c r="J1629" s="379"/>
      <c r="K1629" s="379"/>
      <c r="L1629" s="379"/>
      <c r="M1629" s="379"/>
      <c r="N1629" s="379"/>
      <c r="O1629" s="379" t="str">
        <f ca="1">道具!$C$23</f>
        <v>恐怖治疗药草</v>
      </c>
      <c r="P1629" s="535"/>
      <c r="Q1629" s="530" t="s">
        <v>46</v>
      </c>
      <c r="R1629" s="17"/>
      <c r="S1629" s="17" t="str">
        <f ca="1">Summon!$I$48</f>
        <v>连掷短剑</v>
      </c>
      <c r="T1629" s="530">
        <v>8</v>
      </c>
      <c r="U1629" s="535"/>
      <c r="V1629" s="379" t="str">
        <f ca="1">"NPC at this location after quest: "&amp;支线!$C$110&amp;" ("&amp;语言!$A$46&amp;" / "&amp;语言!$A$50&amp;" solution only)"</f>
        <v>NPC at this location after quest: 贵族的藏宝 (购买 / 偷取 solution only)</v>
      </c>
      <c r="W1629" s="121"/>
    </row>
    <row r="1630" spans="1:23" ht="12.75" x14ac:dyDescent="0.2">
      <c r="A1630" s="121"/>
      <c r="B1630" s="371"/>
      <c r="C1630" s="128" t="b">
        <v>0</v>
      </c>
      <c r="D1630" s="19" t="str">
        <f ca="1">道具!$C$88</f>
        <v>种子</v>
      </c>
      <c r="E1630" s="371"/>
      <c r="F1630" s="371"/>
      <c r="G1630" s="371"/>
      <c r="H1630" s="371"/>
      <c r="I1630" s="371"/>
      <c r="J1630" s="371"/>
      <c r="K1630" s="371"/>
      <c r="L1630" s="371"/>
      <c r="M1630" s="371"/>
      <c r="N1630" s="371"/>
      <c r="O1630" s="371"/>
      <c r="P1630" s="371"/>
      <c r="Q1630" s="371"/>
      <c r="R1630" s="17"/>
      <c r="S1630" s="17" t="str">
        <f ca="1">Summon!$I$42</f>
        <v>猛击</v>
      </c>
      <c r="T1630" s="371"/>
      <c r="U1630" s="371"/>
      <c r="V1630" s="371"/>
      <c r="W1630" s="121"/>
    </row>
    <row r="1631" spans="1:23" ht="12.75" x14ac:dyDescent="0.2">
      <c r="A1631" s="121"/>
      <c r="B1631" s="371"/>
      <c r="C1631" s="128" t="b">
        <v>0</v>
      </c>
      <c r="D1631" s="19" t="str">
        <f ca="1">道具!$C$533</f>
        <v>含毒的素材（扩散）</v>
      </c>
      <c r="E1631" s="371"/>
      <c r="F1631" s="371"/>
      <c r="G1631" s="371"/>
      <c r="H1631" s="371"/>
      <c r="I1631" s="371"/>
      <c r="J1631" s="371"/>
      <c r="K1631" s="371"/>
      <c r="L1631" s="371"/>
      <c r="M1631" s="371"/>
      <c r="N1631" s="371"/>
      <c r="O1631" s="371"/>
      <c r="P1631" s="371"/>
      <c r="Q1631" s="371"/>
      <c r="R1631" s="17"/>
      <c r="S1631" s="17" t="str">
        <f ca="1">Summon!$I$4</f>
        <v>战斗</v>
      </c>
      <c r="T1631" s="371"/>
      <c r="U1631" s="371"/>
      <c r="V1631" s="371"/>
      <c r="W1631" s="121"/>
    </row>
    <row r="1632" spans="1:23" ht="12.75" x14ac:dyDescent="0.2">
      <c r="A1632" s="121"/>
      <c r="B1632" s="228"/>
      <c r="C1632" s="121"/>
      <c r="D1632" s="228"/>
      <c r="E1632" s="121"/>
      <c r="F1632" s="121"/>
      <c r="G1632" s="121"/>
      <c r="H1632" s="229"/>
      <c r="I1632" s="121"/>
      <c r="J1632" s="121"/>
      <c r="K1632" s="121"/>
      <c r="L1632" s="121"/>
      <c r="M1632" s="121"/>
      <c r="N1632" s="121"/>
      <c r="O1632" s="121"/>
      <c r="P1632" s="121"/>
      <c r="Q1632" s="229"/>
      <c r="R1632" s="121"/>
      <c r="S1632" s="121"/>
      <c r="T1632" s="229"/>
      <c r="U1632" s="121"/>
      <c r="V1632" s="121"/>
      <c r="W1632" s="121"/>
    </row>
    <row r="1633" spans="1:23" ht="23.25" x14ac:dyDescent="0.2">
      <c r="A1633" s="557" t="str">
        <f ca="1">语言!$A$456</f>
        <v>克里夫兰多地区</v>
      </c>
      <c r="B1633" s="371"/>
      <c r="C1633" s="579"/>
      <c r="D1633" s="371"/>
      <c r="E1633" s="371"/>
      <c r="F1633" s="371"/>
      <c r="G1633" s="371"/>
      <c r="H1633" s="371"/>
      <c r="I1633" s="371"/>
      <c r="J1633" s="371"/>
      <c r="K1633" s="371"/>
      <c r="L1633" s="371"/>
      <c r="M1633" s="371"/>
      <c r="N1633" s="371"/>
      <c r="O1633" s="371"/>
      <c r="P1633" s="371"/>
      <c r="Q1633" s="371"/>
      <c r="R1633" s="371"/>
      <c r="S1633" s="371"/>
      <c r="T1633" s="371"/>
      <c r="U1633" s="371"/>
      <c r="V1633" s="371"/>
      <c r="W1633" s="371"/>
    </row>
    <row r="1634" spans="1:23" ht="12.75" x14ac:dyDescent="0.2">
      <c r="A1634" s="230"/>
      <c r="B1634" s="551" t="str">
        <f ca="1">语言!$A$323&amp;" 1"</f>
        <v>Tier 1</v>
      </c>
      <c r="C1634" s="371"/>
      <c r="D1634" s="371"/>
      <c r="E1634" s="371"/>
      <c r="F1634" s="371"/>
      <c r="G1634" s="371"/>
      <c r="H1634" s="371"/>
      <c r="I1634" s="371"/>
      <c r="J1634" s="371"/>
      <c r="K1634" s="371"/>
      <c r="L1634" s="371"/>
      <c r="M1634" s="371"/>
      <c r="N1634" s="371"/>
      <c r="O1634" s="371"/>
      <c r="P1634" s="371"/>
      <c r="Q1634" s="371"/>
      <c r="R1634" s="371"/>
      <c r="S1634" s="371"/>
      <c r="T1634" s="371"/>
      <c r="U1634" s="371"/>
      <c r="V1634" s="371"/>
      <c r="W1634" s="230"/>
    </row>
    <row r="1635" spans="1:23" ht="12.75" x14ac:dyDescent="0.2">
      <c r="A1635" s="230"/>
      <c r="B1635" s="552" t="str">
        <f ca="1">语言!$A$457</f>
        <v>柏达弗尔</v>
      </c>
      <c r="C1635" s="371"/>
      <c r="D1635" s="371"/>
      <c r="E1635" s="371"/>
      <c r="F1635" s="371"/>
      <c r="G1635" s="371"/>
      <c r="H1635" s="371"/>
      <c r="I1635" s="371"/>
      <c r="J1635" s="371"/>
      <c r="K1635" s="371"/>
      <c r="L1635" s="371"/>
      <c r="M1635" s="371"/>
      <c r="N1635" s="371"/>
      <c r="O1635" s="371"/>
      <c r="P1635" s="371"/>
      <c r="Q1635" s="371"/>
      <c r="R1635" s="371"/>
      <c r="S1635" s="371"/>
      <c r="T1635" s="371"/>
      <c r="U1635" s="371"/>
      <c r="V1635" s="371"/>
      <c r="W1635" s="230"/>
    </row>
    <row r="1636" spans="1:23" ht="12.75" x14ac:dyDescent="0.2">
      <c r="A1636" s="168"/>
      <c r="B1636" s="472" t="str">
        <f ca="1">语言!$A$2102</f>
        <v>市民</v>
      </c>
      <c r="C1636" s="168" t="b">
        <v>0</v>
      </c>
      <c r="D1636" s="40" t="str">
        <f ca="1">道具!$C$9</f>
        <v>ＢＰ恢复的石榴</v>
      </c>
      <c r="E1636" s="554" t="b">
        <v>0</v>
      </c>
      <c r="F1636" s="471" t="str">
        <f ca="1">语言!$A$26</f>
        <v>「偷取」成功机率ＵＰ资讯</v>
      </c>
      <c r="G1636" s="554" t="b">
        <v>0</v>
      </c>
      <c r="H1636" s="556" t="s">
        <v>48</v>
      </c>
      <c r="I1636" s="471">
        <v>2</v>
      </c>
      <c r="J1636" s="471"/>
      <c r="K1636" s="471"/>
      <c r="L1636" s="471"/>
      <c r="M1636" s="471"/>
      <c r="N1636" s="471"/>
      <c r="O1636" s="471" t="str">
        <f ca="1">道具!$C$21</f>
        <v>混乱治疗药草</v>
      </c>
      <c r="P1636" s="554"/>
      <c r="Q1636" s="556" t="s">
        <v>48</v>
      </c>
      <c r="R1636" s="38"/>
      <c r="S1636" s="38" t="str">
        <f ca="1">Summon!$I$78</f>
        <v>火焰魔法</v>
      </c>
      <c r="T1636" s="556">
        <v>9</v>
      </c>
      <c r="U1636" s="554"/>
      <c r="V1636" s="471"/>
      <c r="W1636" s="168"/>
    </row>
    <row r="1637" spans="1:23" ht="12.75" x14ac:dyDescent="0.2">
      <c r="A1637" s="168"/>
      <c r="B1637" s="371"/>
      <c r="C1637" s="168" t="b">
        <v>0</v>
      </c>
      <c r="D1637" s="40" t="str">
        <f ca="1">道具!$C$14</f>
        <v>复活的橄榄</v>
      </c>
      <c r="E1637" s="371"/>
      <c r="F1637" s="371"/>
      <c r="G1637" s="371"/>
      <c r="H1637" s="371"/>
      <c r="I1637" s="371"/>
      <c r="J1637" s="371"/>
      <c r="K1637" s="371"/>
      <c r="L1637" s="371"/>
      <c r="M1637" s="371"/>
      <c r="N1637" s="371"/>
      <c r="O1637" s="371"/>
      <c r="P1637" s="371"/>
      <c r="Q1637" s="371"/>
      <c r="R1637" s="38"/>
      <c r="S1637" s="38" t="str">
        <f ca="1">Summon!$I$4</f>
        <v>战斗</v>
      </c>
      <c r="T1637" s="371"/>
      <c r="U1637" s="371"/>
      <c r="V1637" s="371"/>
      <c r="W1637" s="168"/>
    </row>
    <row r="1638" spans="1:23" ht="12.75" x14ac:dyDescent="0.2">
      <c r="A1638" s="168"/>
      <c r="B1638" s="555"/>
      <c r="C1638" s="171" t="b">
        <v>0</v>
      </c>
      <c r="D1638" s="172" t="str">
        <f ca="1">道具!$C$49</f>
        <v>增强ＨＰ的坚果</v>
      </c>
      <c r="E1638" s="555"/>
      <c r="F1638" s="555"/>
      <c r="G1638" s="555"/>
      <c r="H1638" s="555"/>
      <c r="I1638" s="555"/>
      <c r="J1638" s="555"/>
      <c r="K1638" s="555"/>
      <c r="L1638" s="555"/>
      <c r="M1638" s="555"/>
      <c r="N1638" s="555"/>
      <c r="O1638" s="555"/>
      <c r="P1638" s="555"/>
      <c r="Q1638" s="555"/>
      <c r="R1638" s="173"/>
      <c r="S1638" s="173"/>
      <c r="T1638" s="555"/>
      <c r="U1638" s="555"/>
      <c r="V1638" s="555"/>
      <c r="W1638" s="168"/>
    </row>
    <row r="1639" spans="1:23" ht="12.75" x14ac:dyDescent="0.2">
      <c r="A1639" s="168"/>
      <c r="B1639" s="472" t="str">
        <f ca="1">语言!$A$1852&amp;" (1)"</f>
        <v>寻蛋的少女 /
艾蜜莉 (1)</v>
      </c>
      <c r="C1639" s="168" t="b">
        <v>0</v>
      </c>
      <c r="D1639" s="40" t="str">
        <f ca="1">道具!$C$14</f>
        <v>复活的橄榄</v>
      </c>
      <c r="E1639" s="554" t="b">
        <v>0</v>
      </c>
      <c r="F1639" s="471" t="str">
        <f ca="1">语言!$A$23</f>
        <v>无</v>
      </c>
      <c r="G1639" s="554"/>
      <c r="H1639" s="559" t="s">
        <v>119</v>
      </c>
      <c r="I1639" s="559" t="s">
        <v>119</v>
      </c>
      <c r="J1639" s="559" t="s">
        <v>119</v>
      </c>
      <c r="K1639" s="559" t="s">
        <v>119</v>
      </c>
      <c r="L1639" s="559" t="s">
        <v>119</v>
      </c>
      <c r="M1639" s="559" t="s">
        <v>119</v>
      </c>
      <c r="N1639" s="559" t="s">
        <v>119</v>
      </c>
      <c r="O1639" s="559" t="s">
        <v>119</v>
      </c>
      <c r="P1639" s="554"/>
      <c r="Q1639" s="559" t="s">
        <v>119</v>
      </c>
      <c r="R1639" s="559" t="s">
        <v>119</v>
      </c>
      <c r="S1639" s="559" t="s">
        <v>119</v>
      </c>
      <c r="T1639" s="559" t="s">
        <v>119</v>
      </c>
      <c r="U1639" s="554"/>
      <c r="V1639" s="471" t="str">
        <f ca="1">"NPC available after "&amp;语言!$A$41&amp;" chapter 1
Moves to "&amp;语言!$A$464&amp;" after quest: "&amp;支线!$C$115</f>
        <v>NPC available after 泰里翁 chapter 1
Moves to 库欧利克雷斯特 after quest: 托付龙蛋的少女艾蜜莉（１）</v>
      </c>
      <c r="W1639" s="168"/>
    </row>
    <row r="1640" spans="1:23" ht="12.75" x14ac:dyDescent="0.2">
      <c r="A1640" s="168"/>
      <c r="B1640" s="555"/>
      <c r="C1640" s="171" t="b">
        <v>0</v>
      </c>
      <c r="D1640" s="172" t="str">
        <f ca="1">道具!$C$91</f>
        <v>树木果实</v>
      </c>
      <c r="E1640" s="555"/>
      <c r="F1640" s="555"/>
      <c r="G1640" s="555"/>
      <c r="H1640" s="555"/>
      <c r="I1640" s="555"/>
      <c r="J1640" s="555"/>
      <c r="K1640" s="555"/>
      <c r="L1640" s="555"/>
      <c r="M1640" s="555"/>
      <c r="N1640" s="555"/>
      <c r="O1640" s="555"/>
      <c r="P1640" s="555"/>
      <c r="Q1640" s="555"/>
      <c r="R1640" s="555"/>
      <c r="S1640" s="555"/>
      <c r="T1640" s="555"/>
      <c r="U1640" s="555"/>
      <c r="V1640" s="555"/>
      <c r="W1640" s="168"/>
    </row>
    <row r="1641" spans="1:23" ht="12.75" x14ac:dyDescent="0.2">
      <c r="A1641" s="168"/>
      <c r="B1641" s="472" t="str">
        <f ca="1">语言!$A$1854</f>
        <v>老婆婆</v>
      </c>
      <c r="C1641" s="168" t="b">
        <v>0</v>
      </c>
      <c r="D1641" s="40" t="str">
        <f ca="1">道具!$C$4</f>
        <v>ＨＰ恢复的葡萄（大）</v>
      </c>
      <c r="E1641" s="554" t="b">
        <v>0</v>
      </c>
      <c r="F1641" s="471" t="str">
        <f ca="1">语言!$A$33&amp;"
"&amp;道具!$C$227</f>
        <v>隐藏道具的资讯
猎鹰匕首</v>
      </c>
      <c r="G1641" s="554" t="b">
        <v>0</v>
      </c>
      <c r="H1641" s="556" t="s">
        <v>45</v>
      </c>
      <c r="I1641" s="471">
        <v>2</v>
      </c>
      <c r="J1641" s="471"/>
      <c r="K1641" s="471"/>
      <c r="L1641" s="471"/>
      <c r="M1641" s="471"/>
      <c r="N1641" s="471"/>
      <c r="O1641" s="471" t="str">
        <f ca="1">道具!$C$4</f>
        <v>ＨＰ恢复的葡萄（大）</v>
      </c>
      <c r="P1641" s="554"/>
      <c r="Q1641" s="556" t="s">
        <v>45</v>
      </c>
      <c r="R1641" s="38"/>
      <c r="S1641" s="38" t="str">
        <f ca="1">Summon!$I$129</f>
        <v>恢复ＳＰ的李子</v>
      </c>
      <c r="T1641" s="556">
        <v>9</v>
      </c>
      <c r="U1641" s="554"/>
      <c r="V1641" s="471" t="str">
        <f ca="1">"Hidden Item behind NPC ("&amp;语言!$A$47&amp;" / "&amp;语言!$A$51&amp;")"</f>
        <v>Hidden Item behind NPC (比试 / 唆使)</v>
      </c>
      <c r="W1641" s="168"/>
    </row>
    <row r="1642" spans="1:23" ht="12.75" x14ac:dyDescent="0.2">
      <c r="A1642" s="168"/>
      <c r="B1642" s="371"/>
      <c r="C1642" s="168" t="b">
        <v>0</v>
      </c>
      <c r="D1642" s="40" t="str">
        <f ca="1">道具!$C$4</f>
        <v>ＨＰ恢复的葡萄（大）</v>
      </c>
      <c r="E1642" s="371"/>
      <c r="F1642" s="371"/>
      <c r="G1642" s="371"/>
      <c r="H1642" s="371"/>
      <c r="I1642" s="371"/>
      <c r="J1642" s="371"/>
      <c r="K1642" s="371"/>
      <c r="L1642" s="371"/>
      <c r="M1642" s="371"/>
      <c r="N1642" s="371"/>
      <c r="O1642" s="371"/>
      <c r="P1642" s="371"/>
      <c r="Q1642" s="371"/>
      <c r="R1642" s="38"/>
      <c r="S1642" s="38" t="str">
        <f ca="1">Summon!$I$44</f>
        <v>剧毒猛击</v>
      </c>
      <c r="T1642" s="371"/>
      <c r="U1642" s="371"/>
      <c r="V1642" s="371"/>
      <c r="W1642" s="168"/>
    </row>
    <row r="1643" spans="1:23" ht="12.75" x14ac:dyDescent="0.2">
      <c r="A1643" s="168"/>
      <c r="B1643" s="371"/>
      <c r="C1643" s="168" t="b">
        <v>0</v>
      </c>
      <c r="D1643" s="40" t="str">
        <f ca="1">道具!$C$7</f>
        <v>ＳＰ恢复的李子（大）</v>
      </c>
      <c r="E1643" s="371"/>
      <c r="F1643" s="371"/>
      <c r="G1643" s="371"/>
      <c r="H1643" s="371"/>
      <c r="I1643" s="371"/>
      <c r="J1643" s="371"/>
      <c r="K1643" s="371"/>
      <c r="L1643" s="371"/>
      <c r="M1643" s="371"/>
      <c r="N1643" s="371"/>
      <c r="O1643" s="371"/>
      <c r="P1643" s="371"/>
      <c r="Q1643" s="371"/>
      <c r="R1643" s="38"/>
      <c r="S1643" s="38" t="str">
        <f ca="1">Summon!$I$4</f>
        <v>战斗</v>
      </c>
      <c r="T1643" s="371"/>
      <c r="U1643" s="371"/>
      <c r="V1643" s="371"/>
      <c r="W1643" s="168"/>
    </row>
    <row r="1644" spans="1:23" ht="12.75" x14ac:dyDescent="0.2">
      <c r="A1644" s="168"/>
      <c r="B1644" s="555"/>
      <c r="C1644" s="171" t="b">
        <v>0</v>
      </c>
      <c r="D1644" s="172" t="str">
        <f ca="1">道具!$C$7</f>
        <v>ＳＰ恢复的李子（大）</v>
      </c>
      <c r="E1644" s="555"/>
      <c r="F1644" s="555"/>
      <c r="G1644" s="555"/>
      <c r="H1644" s="555"/>
      <c r="I1644" s="555"/>
      <c r="J1644" s="555"/>
      <c r="K1644" s="555"/>
      <c r="L1644" s="555"/>
      <c r="M1644" s="555"/>
      <c r="N1644" s="555"/>
      <c r="O1644" s="555"/>
      <c r="P1644" s="555"/>
      <c r="Q1644" s="555"/>
      <c r="R1644" s="173"/>
      <c r="S1644" s="173"/>
      <c r="T1644" s="555"/>
      <c r="U1644" s="555"/>
      <c r="V1644" s="555"/>
      <c r="W1644" s="168"/>
    </row>
    <row r="1645" spans="1:23" ht="12.75" x14ac:dyDescent="0.2">
      <c r="A1645" s="168"/>
      <c r="B1645" s="172" t="str">
        <f ca="1">语言!$A$2014</f>
        <v>老人</v>
      </c>
      <c r="C1645" s="171" t="b">
        <v>0</v>
      </c>
      <c r="D1645" s="172" t="str">
        <f ca="1">道具!$C$9</f>
        <v>ＢＰ恢复的石榴</v>
      </c>
      <c r="E1645" s="171" t="b">
        <v>0</v>
      </c>
      <c r="F1645" s="173" t="str">
        <f ca="1">语言!$A$24</f>
        <v>旅店的折扣资讯</v>
      </c>
      <c r="G1645" s="171" t="b">
        <v>0</v>
      </c>
      <c r="H1645" s="175" t="s">
        <v>45</v>
      </c>
      <c r="I1645" s="173">
        <v>2</v>
      </c>
      <c r="J1645" s="173"/>
      <c r="K1645" s="173"/>
      <c r="L1645" s="173"/>
      <c r="M1645" s="173"/>
      <c r="N1645" s="173"/>
      <c r="O1645" s="173" t="str">
        <f ca="1">道具!$C$21</f>
        <v>混乱治疗药草</v>
      </c>
      <c r="P1645" s="171"/>
      <c r="Q1645" s="179" t="s">
        <v>119</v>
      </c>
      <c r="R1645" s="179" t="s">
        <v>119</v>
      </c>
      <c r="S1645" s="179" t="s">
        <v>119</v>
      </c>
      <c r="T1645" s="179" t="s">
        <v>119</v>
      </c>
      <c r="U1645" s="171"/>
      <c r="V1645" s="173"/>
      <c r="W1645" s="168"/>
    </row>
    <row r="1646" spans="1:23" ht="12.75" x14ac:dyDescent="0.2">
      <c r="A1646" s="168"/>
      <c r="B1646" s="472" t="str">
        <f ca="1">语言!$A$2040</f>
        <v>骄傲的收藏家</v>
      </c>
      <c r="C1646" s="168" t="b">
        <v>0</v>
      </c>
      <c r="D1646" s="40" t="str">
        <f ca="1">道具!$C$228</f>
        <v>迷惑短剑</v>
      </c>
      <c r="E1646" s="554" t="b">
        <v>0</v>
      </c>
      <c r="F1646" s="471" t="str">
        <f ca="1">语言!$A$23</f>
        <v>无</v>
      </c>
      <c r="G1646" s="554" t="b">
        <v>0</v>
      </c>
      <c r="H1646" s="556" t="s">
        <v>57</v>
      </c>
      <c r="I1646" s="471">
        <v>3</v>
      </c>
      <c r="J1646" s="471"/>
      <c r="K1646" s="471"/>
      <c r="L1646" s="471"/>
      <c r="M1646" s="471"/>
      <c r="N1646" s="471"/>
      <c r="O1646" s="471" t="str">
        <f ca="1">道具!$C$23</f>
        <v>恐怖治疗药草</v>
      </c>
      <c r="P1646" s="554"/>
      <c r="Q1646" s="556" t="s">
        <v>57</v>
      </c>
      <c r="R1646" s="38"/>
      <c r="S1646" s="38" t="str">
        <f ca="1">Summon!$I$46</f>
        <v>睡眠猛击</v>
      </c>
      <c r="T1646" s="556">
        <v>8</v>
      </c>
      <c r="U1646" s="554"/>
      <c r="V1646" s="471" t="str">
        <f ca="1">"NPC available after "&amp;语言!$A$37&amp;" chapter 4"</f>
        <v>NPC available after 特蕾莎 chapter 4</v>
      </c>
      <c r="W1646" s="168"/>
    </row>
    <row r="1647" spans="1:23" ht="12.75" x14ac:dyDescent="0.2">
      <c r="A1647" s="168"/>
      <c r="B1647" s="371"/>
      <c r="C1647" s="168" t="b">
        <v>0</v>
      </c>
      <c r="D1647" s="40" t="str">
        <f ca="1">道具!$C$23</f>
        <v>恐怖治疗药草</v>
      </c>
      <c r="E1647" s="371"/>
      <c r="F1647" s="371"/>
      <c r="G1647" s="371"/>
      <c r="H1647" s="371"/>
      <c r="I1647" s="371"/>
      <c r="J1647" s="371"/>
      <c r="K1647" s="371"/>
      <c r="L1647" s="371"/>
      <c r="M1647" s="371"/>
      <c r="N1647" s="371"/>
      <c r="O1647" s="371"/>
      <c r="P1647" s="371"/>
      <c r="Q1647" s="371"/>
      <c r="R1647" s="38"/>
      <c r="S1647" s="38" t="str">
        <f ca="1">Summon!$I$4</f>
        <v>战斗</v>
      </c>
      <c r="T1647" s="371"/>
      <c r="U1647" s="371"/>
      <c r="V1647" s="371"/>
      <c r="W1647" s="168"/>
    </row>
    <row r="1648" spans="1:23" ht="12.75" x14ac:dyDescent="0.2">
      <c r="A1648" s="168"/>
      <c r="B1648" s="555"/>
      <c r="C1648" s="171" t="b">
        <v>0</v>
      </c>
      <c r="D1648" s="172" t="str">
        <f ca="1">"* "&amp;道具!$F$73</f>
        <v>* 想写在日记上的逸品</v>
      </c>
      <c r="E1648" s="555"/>
      <c r="F1648" s="555"/>
      <c r="G1648" s="555"/>
      <c r="H1648" s="555"/>
      <c r="I1648" s="555"/>
      <c r="J1648" s="555"/>
      <c r="K1648" s="555"/>
      <c r="L1648" s="555"/>
      <c r="M1648" s="555"/>
      <c r="N1648" s="555"/>
      <c r="O1648" s="555"/>
      <c r="P1648" s="555"/>
      <c r="Q1648" s="555"/>
      <c r="R1648" s="173"/>
      <c r="S1648" s="173"/>
      <c r="T1648" s="555"/>
      <c r="U1648" s="555"/>
      <c r="V1648" s="555"/>
      <c r="W1648" s="168"/>
    </row>
    <row r="1649" spans="1:23" ht="12.75" x14ac:dyDescent="0.2">
      <c r="A1649" s="168"/>
      <c r="B1649" s="472" t="str">
        <f ca="1">语言!$A$1830</f>
        <v>克里夫兰多的知识分子</v>
      </c>
      <c r="C1649" s="168" t="b">
        <v>0</v>
      </c>
      <c r="D1649" s="40" t="str">
        <f ca="1">道具!$C$6</f>
        <v>ＳＰ恢复的李子</v>
      </c>
      <c r="E1649" s="554" t="b">
        <v>0</v>
      </c>
      <c r="F1649" s="471" t="str">
        <f ca="1">道具!$I$27</f>
        <v>克里夫兰多的历史</v>
      </c>
      <c r="G1649" s="554" t="b">
        <v>0</v>
      </c>
      <c r="H1649" s="556" t="s">
        <v>46</v>
      </c>
      <c r="I1649" s="471">
        <v>3</v>
      </c>
      <c r="J1649" s="471"/>
      <c r="K1649" s="471"/>
      <c r="L1649" s="471"/>
      <c r="M1649" s="471"/>
      <c r="N1649" s="471"/>
      <c r="O1649" s="471" t="str">
        <f ca="1">道具!$C$328</f>
        <v>理力之杖</v>
      </c>
      <c r="P1649" s="554"/>
      <c r="Q1649" s="559" t="s">
        <v>119</v>
      </c>
      <c r="R1649" s="559" t="s">
        <v>119</v>
      </c>
      <c r="S1649" s="559" t="s">
        <v>119</v>
      </c>
      <c r="T1649" s="559" t="s">
        <v>119</v>
      </c>
      <c r="U1649" s="554"/>
      <c r="V1649" s="471" t="str">
        <f ca="1">"NPC available upon starting quest: "&amp;支线!$C$68</f>
        <v>NPC available upon starting quest: 学者拉塞尔，在那之后</v>
      </c>
      <c r="W1649" s="168"/>
    </row>
    <row r="1650" spans="1:23" ht="12.75" x14ac:dyDescent="0.2">
      <c r="A1650" s="168"/>
      <c r="B1650" s="555"/>
      <c r="C1650" s="171" t="b">
        <v>0</v>
      </c>
      <c r="D1650" s="172" t="str">
        <f ca="1">道具!$C$22</f>
        <v>睡眠治疗药草</v>
      </c>
      <c r="E1650" s="555"/>
      <c r="F1650" s="555"/>
      <c r="G1650" s="555"/>
      <c r="H1650" s="555"/>
      <c r="I1650" s="555"/>
      <c r="J1650" s="555"/>
      <c r="K1650" s="555"/>
      <c r="L1650" s="555"/>
      <c r="M1650" s="555"/>
      <c r="N1650" s="555"/>
      <c r="O1650" s="555"/>
      <c r="P1650" s="555"/>
      <c r="Q1650" s="555"/>
      <c r="R1650" s="555"/>
      <c r="S1650" s="555"/>
      <c r="T1650" s="555"/>
      <c r="U1650" s="555"/>
      <c r="V1650" s="555"/>
      <c r="W1650" s="168"/>
    </row>
    <row r="1651" spans="1:23" ht="12.75" x14ac:dyDescent="0.2">
      <c r="A1651" s="168"/>
      <c r="B1651" s="472" t="str">
        <f ca="1">语言!$A$1892&amp;" (2)"</f>
        <v>好脾气的妻子 (2)</v>
      </c>
      <c r="C1651" s="168" t="b">
        <v>0</v>
      </c>
      <c r="D1651" s="40" t="str">
        <f ca="1">道具!$C$3</f>
        <v>ＨＰ恢复的葡萄</v>
      </c>
      <c r="E1651" s="554" t="b">
        <v>0</v>
      </c>
      <c r="F1651" s="471" t="str">
        <f ca="1">语言!$A$23</f>
        <v>无</v>
      </c>
      <c r="G1651" s="554" t="b">
        <v>0</v>
      </c>
      <c r="H1651" s="556" t="s">
        <v>45</v>
      </c>
      <c r="I1651" s="471">
        <v>2</v>
      </c>
      <c r="J1651" s="471"/>
      <c r="K1651" s="471"/>
      <c r="L1651" s="471"/>
      <c r="M1651" s="471"/>
      <c r="N1651" s="471"/>
      <c r="O1651" s="471" t="str">
        <f ca="1">道具!$C$3</f>
        <v>ＨＰ恢复的葡萄</v>
      </c>
      <c r="P1651" s="554"/>
      <c r="Q1651" s="556" t="s">
        <v>45</v>
      </c>
      <c r="R1651" s="38"/>
      <c r="S1651" s="38" t="str">
        <f ca="1">Summon!$I$42</f>
        <v>猛击</v>
      </c>
      <c r="T1651" s="556">
        <v>9</v>
      </c>
      <c r="U1651" s="554"/>
      <c r="V1651" s="471" t="str">
        <f ca="1">"NPC at this location after quest: "&amp;支线!$C$134</f>
        <v>NPC at this location after quest: 森林的指路牌</v>
      </c>
      <c r="W1651" s="168"/>
    </row>
    <row r="1652" spans="1:23" ht="12.75" x14ac:dyDescent="0.2">
      <c r="A1652" s="168"/>
      <c r="B1652" s="555"/>
      <c r="C1652" s="171" t="b">
        <v>0</v>
      </c>
      <c r="D1652" s="172" t="str">
        <f ca="1">道具!$C$9</f>
        <v>ＢＰ恢复的石榴</v>
      </c>
      <c r="E1652" s="555"/>
      <c r="F1652" s="555"/>
      <c r="G1652" s="555"/>
      <c r="H1652" s="555"/>
      <c r="I1652" s="555"/>
      <c r="J1652" s="555"/>
      <c r="K1652" s="555"/>
      <c r="L1652" s="555"/>
      <c r="M1652" s="555"/>
      <c r="N1652" s="555"/>
      <c r="O1652" s="555"/>
      <c r="P1652" s="555"/>
      <c r="Q1652" s="555"/>
      <c r="R1652" s="173"/>
      <c r="S1652" s="173" t="str">
        <f ca="1">Summon!$I$4</f>
        <v>战斗</v>
      </c>
      <c r="T1652" s="555"/>
      <c r="U1652" s="555"/>
      <c r="V1652" s="555"/>
      <c r="W1652" s="168"/>
    </row>
    <row r="1653" spans="1:23" ht="12.75" x14ac:dyDescent="0.2">
      <c r="A1653" s="168"/>
      <c r="B1653" s="472" t="str">
        <f ca="1">语言!$A$1925</f>
        <v>不惜努力的丈夫</v>
      </c>
      <c r="C1653" s="168" t="b">
        <v>0</v>
      </c>
      <c r="D1653" s="40" t="str">
        <f ca="1">道具!$C$296</f>
        <v>魔咒弓</v>
      </c>
      <c r="E1653" s="554" t="b">
        <v>0</v>
      </c>
      <c r="F1653" s="471" t="str">
        <f ca="1">语言!$A$23</f>
        <v>无</v>
      </c>
      <c r="G1653" s="554" t="b">
        <v>0</v>
      </c>
      <c r="H1653" s="556" t="s">
        <v>57</v>
      </c>
      <c r="I1653" s="471">
        <v>3</v>
      </c>
      <c r="J1653" s="471"/>
      <c r="K1653" s="471"/>
      <c r="L1653" s="471"/>
      <c r="M1653" s="471"/>
      <c r="N1653" s="471"/>
      <c r="O1653" s="471" t="str">
        <f ca="1">道具!$C$9</f>
        <v>ＢＰ恢复的石榴</v>
      </c>
      <c r="P1653" s="554"/>
      <c r="Q1653" s="556" t="s">
        <v>57</v>
      </c>
      <c r="R1653" s="38"/>
      <c r="S1653" s="38" t="str">
        <f ca="1">Summon!$I$40</f>
        <v>乱挥</v>
      </c>
      <c r="T1653" s="556">
        <v>8</v>
      </c>
      <c r="U1653" s="554"/>
      <c r="V1653" s="471" t="str">
        <f ca="1">"NPC available after "&amp;语言!$A$41&amp;" chapter 1
"&amp;语言!$A$44&amp;" / "&amp;语言!$A$48&amp;" available after quest: "&amp;支线!$C$134</f>
        <v>NPC available after 泰里翁 chapter 1
引导 / 诱惑 available after quest: 森林的指路牌</v>
      </c>
      <c r="W1653" s="168"/>
    </row>
    <row r="1654" spans="1:23" ht="12.75" x14ac:dyDescent="0.2">
      <c r="A1654" s="168"/>
      <c r="B1654" s="555"/>
      <c r="C1654" s="171" t="b">
        <v>0</v>
      </c>
      <c r="D1654" s="172" t="str">
        <f ca="1">道具!$C$9</f>
        <v>ＢＰ恢复的石榴</v>
      </c>
      <c r="E1654" s="555"/>
      <c r="F1654" s="555"/>
      <c r="G1654" s="555"/>
      <c r="H1654" s="555"/>
      <c r="I1654" s="555"/>
      <c r="J1654" s="555"/>
      <c r="K1654" s="555"/>
      <c r="L1654" s="555"/>
      <c r="M1654" s="555"/>
      <c r="N1654" s="555"/>
      <c r="O1654" s="555"/>
      <c r="P1654" s="555"/>
      <c r="Q1654" s="555"/>
      <c r="R1654" s="173"/>
      <c r="S1654" s="173" t="str">
        <f ca="1">Summon!$I$4</f>
        <v>战斗</v>
      </c>
      <c r="T1654" s="555"/>
      <c r="U1654" s="555"/>
      <c r="V1654" s="555"/>
      <c r="W1654" s="168"/>
    </row>
    <row r="1655" spans="1:23" ht="12.75" x14ac:dyDescent="0.2">
      <c r="A1655" s="168"/>
      <c r="B1655" s="472" t="str">
        <f ca="1">语言!$A$1975</f>
        <v>商人</v>
      </c>
      <c r="C1655" s="554" t="b">
        <v>0</v>
      </c>
      <c r="D1655" s="472" t="str">
        <f ca="1">道具!$C$500</f>
        <v>察知耳环</v>
      </c>
      <c r="E1655" s="554" t="b">
        <v>0</v>
      </c>
      <c r="F1655" s="471" t="str">
        <f ca="1">语言!$A$23</f>
        <v>无</v>
      </c>
      <c r="G1655" s="554" t="b">
        <v>0</v>
      </c>
      <c r="H1655" s="556" t="s">
        <v>57</v>
      </c>
      <c r="I1655" s="471">
        <v>3</v>
      </c>
      <c r="J1655" s="471"/>
      <c r="K1655" s="471"/>
      <c r="L1655" s="471"/>
      <c r="M1655" s="471"/>
      <c r="N1655" s="471"/>
      <c r="O1655" s="471" t="str">
        <f ca="1">道具!$C$14</f>
        <v>复活的橄榄</v>
      </c>
      <c r="P1655" s="554"/>
      <c r="Q1655" s="556" t="s">
        <v>57</v>
      </c>
      <c r="R1655" s="38"/>
      <c r="S1655" s="38" t="str">
        <f ca="1">Summon!$I$174</f>
        <v>防御力提升</v>
      </c>
      <c r="T1655" s="556">
        <v>8</v>
      </c>
      <c r="U1655" s="554"/>
      <c r="V1655" s="471" t="str">
        <f ca="1">"NPC available upon starting "&amp;语言!$A$41&amp;" Chapter 1"</f>
        <v>NPC available upon starting 泰里翁 Chapter 1</v>
      </c>
      <c r="W1655" s="168"/>
    </row>
    <row r="1656" spans="1:23" ht="12.75" x14ac:dyDescent="0.2">
      <c r="A1656" s="168"/>
      <c r="B1656" s="371"/>
      <c r="C1656" s="371"/>
      <c r="D1656" s="371"/>
      <c r="E1656" s="371"/>
      <c r="F1656" s="371"/>
      <c r="G1656" s="371"/>
      <c r="H1656" s="371"/>
      <c r="I1656" s="371"/>
      <c r="J1656" s="371"/>
      <c r="K1656" s="371"/>
      <c r="L1656" s="371"/>
      <c r="M1656" s="371"/>
      <c r="N1656" s="371"/>
      <c r="O1656" s="371"/>
      <c r="P1656" s="371"/>
      <c r="Q1656" s="371"/>
      <c r="R1656" s="38"/>
      <c r="S1656" s="38" t="str">
        <f ca="1">Summon!$I$30</f>
        <v>突刺</v>
      </c>
      <c r="T1656" s="371"/>
      <c r="U1656" s="371"/>
      <c r="V1656" s="371"/>
      <c r="W1656" s="168"/>
    </row>
    <row r="1657" spans="1:23" ht="12.75" x14ac:dyDescent="0.2">
      <c r="A1657" s="168"/>
      <c r="B1657" s="555"/>
      <c r="C1657" s="555"/>
      <c r="D1657" s="555"/>
      <c r="E1657" s="555"/>
      <c r="F1657" s="555"/>
      <c r="G1657" s="555"/>
      <c r="H1657" s="555"/>
      <c r="I1657" s="555"/>
      <c r="J1657" s="555"/>
      <c r="K1657" s="555"/>
      <c r="L1657" s="555"/>
      <c r="M1657" s="555"/>
      <c r="N1657" s="555"/>
      <c r="O1657" s="555"/>
      <c r="P1657" s="555"/>
      <c r="Q1657" s="555"/>
      <c r="R1657" s="173"/>
      <c r="S1657" s="173" t="str">
        <f ca="1">Summon!$I$4</f>
        <v>战斗</v>
      </c>
      <c r="T1657" s="555"/>
      <c r="U1657" s="555"/>
      <c r="V1657" s="555"/>
      <c r="W1657" s="168"/>
    </row>
    <row r="1658" spans="1:23" ht="12.75" x14ac:dyDescent="0.2">
      <c r="A1658" s="168"/>
      <c r="B1658" s="472" t="str">
        <f ca="1">语言!$A$2077&amp;" (1)"</f>
        <v>认真的卫兵 (1)</v>
      </c>
      <c r="C1658" s="168" t="b">
        <v>0</v>
      </c>
      <c r="D1658" s="40" t="str">
        <f ca="1">道具!$C$474</f>
        <v>精神项链</v>
      </c>
      <c r="E1658" s="554" t="b">
        <v>0</v>
      </c>
      <c r="F1658" s="471" t="str">
        <f ca="1">语言!$A$23</f>
        <v>无</v>
      </c>
      <c r="G1658" s="554" t="b">
        <v>0</v>
      </c>
      <c r="H1658" s="556" t="s">
        <v>49</v>
      </c>
      <c r="I1658" s="471">
        <v>4</v>
      </c>
      <c r="J1658" s="471"/>
      <c r="K1658" s="471"/>
      <c r="L1658" s="471"/>
      <c r="M1658" s="471"/>
      <c r="N1658" s="471"/>
      <c r="O1658" s="471" t="str">
        <f ca="1">道具!$C$6</f>
        <v>ＳＰ恢复的李子</v>
      </c>
      <c r="P1658" s="554"/>
      <c r="Q1658" s="556" t="s">
        <v>49</v>
      </c>
      <c r="R1658" s="38"/>
      <c r="S1658" s="38" t="str">
        <f ca="1">Summon!$I$20</f>
        <v>横扫</v>
      </c>
      <c r="T1658" s="556">
        <v>7</v>
      </c>
      <c r="U1658" s="554"/>
      <c r="V1658" s="471" t="str">
        <f ca="1">"NPC available after "&amp;语言!$A$41&amp;" chapter 1
Moves to "&amp;语言!$A$458&amp;" after quest: "&amp;支线!$C$117&amp;"
("&amp;语言!$A$45&amp;" / "&amp;语言!$A$49&amp;" solution only)"</f>
        <v>NPC available after 泰里翁 chapter 1
Moves to 柏达弗尔 -下层- after quest: 谋反的火种
(探查 / 打听 solution only)</v>
      </c>
      <c r="W1658" s="168"/>
    </row>
    <row r="1659" spans="1:23" ht="12.75" x14ac:dyDescent="0.2">
      <c r="A1659" s="168"/>
      <c r="B1659" s="371"/>
      <c r="C1659" s="168" t="b">
        <v>0</v>
      </c>
      <c r="D1659" s="40" t="str">
        <f ca="1">道具!$C$497</f>
        <v>精神耳环</v>
      </c>
      <c r="E1659" s="371"/>
      <c r="F1659" s="371"/>
      <c r="G1659" s="371"/>
      <c r="H1659" s="371"/>
      <c r="I1659" s="371"/>
      <c r="J1659" s="371"/>
      <c r="K1659" s="371"/>
      <c r="L1659" s="371"/>
      <c r="M1659" s="371"/>
      <c r="N1659" s="371"/>
      <c r="O1659" s="371"/>
      <c r="P1659" s="371"/>
      <c r="Q1659" s="371"/>
      <c r="R1659" s="38"/>
      <c r="S1659" s="38" t="str">
        <f ca="1">Summon!$I$7</f>
        <v>切块</v>
      </c>
      <c r="T1659" s="371"/>
      <c r="U1659" s="371"/>
      <c r="V1659" s="371"/>
      <c r="W1659" s="168"/>
    </row>
    <row r="1660" spans="1:23" ht="12.75" x14ac:dyDescent="0.2">
      <c r="A1660" s="168"/>
      <c r="B1660" s="555"/>
      <c r="C1660" s="171"/>
      <c r="D1660" s="172"/>
      <c r="E1660" s="555"/>
      <c r="F1660" s="555"/>
      <c r="G1660" s="555"/>
      <c r="H1660" s="555"/>
      <c r="I1660" s="555"/>
      <c r="J1660" s="555"/>
      <c r="K1660" s="555"/>
      <c r="L1660" s="555"/>
      <c r="M1660" s="555"/>
      <c r="N1660" s="555"/>
      <c r="O1660" s="555"/>
      <c r="P1660" s="555"/>
      <c r="Q1660" s="555"/>
      <c r="R1660" s="173"/>
      <c r="S1660" s="173" t="str">
        <f ca="1">Summon!$I$4</f>
        <v>战斗</v>
      </c>
      <c r="T1660" s="555"/>
      <c r="U1660" s="555"/>
      <c r="V1660" s="555"/>
      <c r="W1660" s="168"/>
    </row>
    <row r="1661" spans="1:23" ht="12.75" x14ac:dyDescent="0.2">
      <c r="A1661" s="168"/>
      <c r="B1661" s="472" t="str">
        <f ca="1">语言!$A$1861&amp;" (1)"</f>
        <v>聪颖的贵族 (1)</v>
      </c>
      <c r="C1661" s="554" t="b">
        <v>0</v>
      </c>
      <c r="D1661" s="472" t="str">
        <f ca="1">道具!$C$500</f>
        <v>察知耳环</v>
      </c>
      <c r="E1661" s="554" t="b">
        <v>0</v>
      </c>
      <c r="F1661" s="471" t="str">
        <f ca="1">道具!$I$41</f>
        <v>改善贫民生活计画</v>
      </c>
      <c r="G1661" s="554" t="b">
        <v>0</v>
      </c>
      <c r="H1661" s="556" t="s">
        <v>57</v>
      </c>
      <c r="I1661" s="471">
        <v>3</v>
      </c>
      <c r="J1661" s="471"/>
      <c r="K1661" s="471"/>
      <c r="L1661" s="471"/>
      <c r="M1661" s="471"/>
      <c r="N1661" s="471"/>
      <c r="O1661" s="471" t="str">
        <f ca="1">道具!$C$23</f>
        <v>恐怖治疗药草</v>
      </c>
      <c r="P1661" s="554"/>
      <c r="Q1661" s="556" t="s">
        <v>57</v>
      </c>
      <c r="R1661" s="38"/>
      <c r="S1661" s="38" t="str">
        <f ca="1">Summon!$I$176</f>
        <v>精神提升</v>
      </c>
      <c r="T1661" s="556">
        <v>8</v>
      </c>
      <c r="U1661" s="554"/>
      <c r="V1661" s="471" t="str">
        <f ca="1">"NPC available after "&amp;语言!$A$41&amp;" chapter 1"</f>
        <v>NPC available after 泰里翁 chapter 1</v>
      </c>
      <c r="W1661" s="168"/>
    </row>
    <row r="1662" spans="1:23" ht="12.75" x14ac:dyDescent="0.2">
      <c r="A1662" s="168"/>
      <c r="B1662" s="371"/>
      <c r="C1662" s="371"/>
      <c r="D1662" s="371"/>
      <c r="E1662" s="371"/>
      <c r="F1662" s="371"/>
      <c r="G1662" s="371"/>
      <c r="H1662" s="371"/>
      <c r="I1662" s="371"/>
      <c r="J1662" s="371"/>
      <c r="K1662" s="371"/>
      <c r="L1662" s="371"/>
      <c r="M1662" s="371"/>
      <c r="N1662" s="371"/>
      <c r="O1662" s="371"/>
      <c r="P1662" s="371"/>
      <c r="Q1662" s="371"/>
      <c r="R1662" s="38"/>
      <c r="S1662" s="38" t="str">
        <f ca="1">Summon!$I$90</f>
        <v>雷击魔法</v>
      </c>
      <c r="T1662" s="371"/>
      <c r="U1662" s="371"/>
      <c r="V1662" s="371"/>
      <c r="W1662" s="168"/>
    </row>
    <row r="1663" spans="1:23" ht="12.75" x14ac:dyDescent="0.2">
      <c r="A1663" s="168"/>
      <c r="B1663" s="555"/>
      <c r="C1663" s="555"/>
      <c r="D1663" s="555"/>
      <c r="E1663" s="555"/>
      <c r="F1663" s="555"/>
      <c r="G1663" s="555"/>
      <c r="H1663" s="555"/>
      <c r="I1663" s="555"/>
      <c r="J1663" s="555"/>
      <c r="K1663" s="555"/>
      <c r="L1663" s="555"/>
      <c r="M1663" s="555"/>
      <c r="N1663" s="555"/>
      <c r="O1663" s="555"/>
      <c r="P1663" s="555"/>
      <c r="Q1663" s="555"/>
      <c r="R1663" s="173"/>
      <c r="S1663" s="173" t="str">
        <f ca="1">Summon!$I$4</f>
        <v>战斗</v>
      </c>
      <c r="T1663" s="555"/>
      <c r="U1663" s="555"/>
      <c r="V1663" s="555"/>
      <c r="W1663" s="168"/>
    </row>
    <row r="1664" spans="1:23" ht="12.75" x14ac:dyDescent="0.2">
      <c r="A1664" s="168"/>
      <c r="B1664" s="472" t="str">
        <f ca="1">语言!$A$1893</f>
        <v>温厚的老人</v>
      </c>
      <c r="C1664" s="168" t="b">
        <v>0</v>
      </c>
      <c r="D1664" s="40" t="str">
        <f ca="1">道具!$C$6</f>
        <v>ＳＰ恢复的李子</v>
      </c>
      <c r="E1664" s="554" t="b">
        <v>0</v>
      </c>
      <c r="F1664" s="471" t="str">
        <f ca="1">语言!$A$23</f>
        <v>无</v>
      </c>
      <c r="G1664" s="554" t="b">
        <v>0</v>
      </c>
      <c r="H1664" s="556" t="s">
        <v>57</v>
      </c>
      <c r="I1664" s="471">
        <v>3</v>
      </c>
      <c r="J1664" s="471"/>
      <c r="K1664" s="471"/>
      <c r="L1664" s="471"/>
      <c r="M1664" s="471"/>
      <c r="N1664" s="471"/>
      <c r="O1664" s="471" t="str">
        <f ca="1">道具!$C$6</f>
        <v>ＳＰ恢复的李子</v>
      </c>
      <c r="P1664" s="554"/>
      <c r="Q1664" s="559" t="s">
        <v>119</v>
      </c>
      <c r="R1664" s="559" t="s">
        <v>119</v>
      </c>
      <c r="S1664" s="559" t="s">
        <v>119</v>
      </c>
      <c r="T1664" s="559" t="s">
        <v>119</v>
      </c>
      <c r="U1664" s="554"/>
      <c r="V1664" s="471" t="str">
        <f ca="1">"NPC available after "&amp;语言!$A$41&amp;" chapter 1"</f>
        <v>NPC available after 泰里翁 chapter 1</v>
      </c>
      <c r="W1664" s="168"/>
    </row>
    <row r="1665" spans="1:23" ht="12.75" x14ac:dyDescent="0.2">
      <c r="A1665" s="168"/>
      <c r="B1665" s="555"/>
      <c r="C1665" s="171" t="b">
        <v>0</v>
      </c>
      <c r="D1665" s="172" t="str">
        <f ca="1">道具!$C$75</f>
        <v>增强会心的坚果</v>
      </c>
      <c r="E1665" s="555"/>
      <c r="F1665" s="555"/>
      <c r="G1665" s="555"/>
      <c r="H1665" s="555"/>
      <c r="I1665" s="555"/>
      <c r="J1665" s="555"/>
      <c r="K1665" s="555"/>
      <c r="L1665" s="555"/>
      <c r="M1665" s="555"/>
      <c r="N1665" s="555"/>
      <c r="O1665" s="555"/>
      <c r="P1665" s="555"/>
      <c r="Q1665" s="555"/>
      <c r="R1665" s="555"/>
      <c r="S1665" s="555"/>
      <c r="T1665" s="555"/>
      <c r="U1665" s="555"/>
      <c r="V1665" s="555"/>
      <c r="W1665" s="168"/>
    </row>
    <row r="1666" spans="1:23" ht="12.75" x14ac:dyDescent="0.2">
      <c r="A1666" s="168"/>
      <c r="B1666" s="472" t="str">
        <f ca="1">语言!$A$2102</f>
        <v>市民</v>
      </c>
      <c r="C1666" s="168" t="b">
        <v>0</v>
      </c>
      <c r="D1666" s="40" t="str">
        <f ca="1">道具!$C$267</f>
        <v>铁斧</v>
      </c>
      <c r="E1666" s="554" t="b">
        <v>0</v>
      </c>
      <c r="F1666" s="471" t="str">
        <f ca="1">语言!$A$28</f>
        <v>武器店商品追加资讯</v>
      </c>
      <c r="G1666" s="554" t="b">
        <v>0</v>
      </c>
      <c r="H1666" s="556" t="s">
        <v>57</v>
      </c>
      <c r="I1666" s="471">
        <v>3</v>
      </c>
      <c r="J1666" s="471"/>
      <c r="K1666" s="471"/>
      <c r="L1666" s="471"/>
      <c r="M1666" s="471"/>
      <c r="N1666" s="471"/>
      <c r="O1666" s="471" t="str">
        <f ca="1">道具!$C$449</f>
        <v>青铜盔甲</v>
      </c>
      <c r="P1666" s="554"/>
      <c r="Q1666" s="556" t="s">
        <v>57</v>
      </c>
      <c r="R1666" s="38"/>
      <c r="S1666" s="38" t="str">
        <f ca="1">Summon!$I$162</f>
        <v>速度下降</v>
      </c>
      <c r="T1666" s="556">
        <v>8</v>
      </c>
      <c r="U1666" s="554"/>
      <c r="V1666" s="471"/>
      <c r="W1666" s="168"/>
    </row>
    <row r="1667" spans="1:23" ht="12.75" x14ac:dyDescent="0.2">
      <c r="A1667" s="168"/>
      <c r="B1667" s="371"/>
      <c r="C1667" s="168" t="b">
        <v>0</v>
      </c>
      <c r="D1667" s="40" t="str">
        <f ca="1">道具!$C$200</f>
        <v>铁制长枪</v>
      </c>
      <c r="E1667" s="371"/>
      <c r="F1667" s="371"/>
      <c r="G1667" s="371"/>
      <c r="H1667" s="371"/>
      <c r="I1667" s="371"/>
      <c r="J1667" s="371"/>
      <c r="K1667" s="371"/>
      <c r="L1667" s="371"/>
      <c r="M1667" s="371"/>
      <c r="N1667" s="371"/>
      <c r="O1667" s="371"/>
      <c r="P1667" s="371"/>
      <c r="Q1667" s="371"/>
      <c r="R1667" s="38"/>
      <c r="S1667" s="38" t="str">
        <f ca="1">Summon!$I$46</f>
        <v>睡眠猛击</v>
      </c>
      <c r="T1667" s="371"/>
      <c r="U1667" s="371"/>
      <c r="V1667" s="371"/>
      <c r="W1667" s="168"/>
    </row>
    <row r="1668" spans="1:23" ht="12.75" x14ac:dyDescent="0.2">
      <c r="A1668" s="168"/>
      <c r="B1668" s="555"/>
      <c r="C1668" s="171" t="b">
        <v>0</v>
      </c>
      <c r="D1668" s="172" t="str">
        <f ca="1">道具!$C$299</f>
        <v>复合弓</v>
      </c>
      <c r="E1668" s="555"/>
      <c r="F1668" s="555"/>
      <c r="G1668" s="555"/>
      <c r="H1668" s="555"/>
      <c r="I1668" s="555"/>
      <c r="J1668" s="555"/>
      <c r="K1668" s="555"/>
      <c r="L1668" s="555"/>
      <c r="M1668" s="555"/>
      <c r="N1668" s="555"/>
      <c r="O1668" s="555"/>
      <c r="P1668" s="555"/>
      <c r="Q1668" s="555"/>
      <c r="R1668" s="173"/>
      <c r="S1668" s="173" t="str">
        <f ca="1">Summon!$I$4</f>
        <v>战斗</v>
      </c>
      <c r="T1668" s="555"/>
      <c r="U1668" s="555"/>
      <c r="V1668" s="555"/>
      <c r="W1668" s="168"/>
    </row>
    <row r="1669" spans="1:23" ht="12.75" x14ac:dyDescent="0.2">
      <c r="A1669" s="168"/>
      <c r="B1669" s="472" t="str">
        <f ca="1">语言!$A$1800</f>
        <v>驱使野兽的商人</v>
      </c>
      <c r="C1669" s="554" t="b">
        <v>0</v>
      </c>
      <c r="D1669" s="472" t="str">
        <f ca="1">道具!$C$6</f>
        <v>ＳＰ恢复的李子</v>
      </c>
      <c r="E1669" s="554" t="b">
        <v>0</v>
      </c>
      <c r="F1669" s="471" t="str">
        <f ca="1">语言!$A$23</f>
        <v>无</v>
      </c>
      <c r="G1669" s="554" t="b">
        <v>0</v>
      </c>
      <c r="H1669" s="556" t="s">
        <v>57</v>
      </c>
      <c r="I1669" s="471">
        <v>3</v>
      </c>
      <c r="J1669" s="471"/>
      <c r="K1669" s="471"/>
      <c r="L1669" s="471"/>
      <c r="M1669" s="471"/>
      <c r="N1669" s="471"/>
      <c r="O1669" s="471" t="str">
        <f ca="1">道具!$C$6</f>
        <v>ＳＰ恢复的李子</v>
      </c>
      <c r="P1669" s="554"/>
      <c r="Q1669" s="556" t="s">
        <v>57</v>
      </c>
      <c r="R1669" s="38"/>
      <c r="S1669" s="38" t="str">
        <f ca="1">Summon!$I$40</f>
        <v>乱挥</v>
      </c>
      <c r="T1669" s="556">
        <v>8</v>
      </c>
      <c r="U1669" s="554"/>
      <c r="V1669" s="471" t="str">
        <f ca="1">"NPC available after "&amp;语言!$A$41&amp;" chapter 1"</f>
        <v>NPC available after 泰里翁 chapter 1</v>
      </c>
      <c r="W1669" s="168"/>
    </row>
    <row r="1670" spans="1:23" ht="12.75" x14ac:dyDescent="0.2">
      <c r="A1670" s="168"/>
      <c r="B1670" s="555"/>
      <c r="C1670" s="555"/>
      <c r="D1670" s="555"/>
      <c r="E1670" s="555"/>
      <c r="F1670" s="555"/>
      <c r="G1670" s="555"/>
      <c r="H1670" s="555"/>
      <c r="I1670" s="555"/>
      <c r="J1670" s="555"/>
      <c r="K1670" s="555"/>
      <c r="L1670" s="555"/>
      <c r="M1670" s="555"/>
      <c r="N1670" s="555"/>
      <c r="O1670" s="555"/>
      <c r="P1670" s="555"/>
      <c r="Q1670" s="555"/>
      <c r="R1670" s="173"/>
      <c r="S1670" s="173" t="str">
        <f ca="1">Summon!$I$4</f>
        <v>战斗</v>
      </c>
      <c r="T1670" s="555"/>
      <c r="U1670" s="555"/>
      <c r="V1670" s="555"/>
      <c r="W1670" s="168"/>
    </row>
    <row r="1671" spans="1:23" ht="12.75" x14ac:dyDescent="0.2">
      <c r="A1671" s="231"/>
      <c r="B1671" s="172" t="str">
        <f ca="1">语言!$A$2097&amp;" (2)"</f>
        <v>小老虎 (2)</v>
      </c>
      <c r="C1671" s="171"/>
      <c r="D1671" s="182" t="s">
        <v>119</v>
      </c>
      <c r="E1671" s="171" t="b">
        <v>0</v>
      </c>
      <c r="F1671" s="173" t="str">
        <f ca="1">语言!$A$23</f>
        <v>无</v>
      </c>
      <c r="G1671" s="171"/>
      <c r="H1671" s="179" t="s">
        <v>119</v>
      </c>
      <c r="I1671" s="179" t="s">
        <v>119</v>
      </c>
      <c r="J1671" s="179" t="s">
        <v>119</v>
      </c>
      <c r="K1671" s="179" t="s">
        <v>119</v>
      </c>
      <c r="L1671" s="179" t="s">
        <v>119</v>
      </c>
      <c r="M1671" s="179" t="s">
        <v>119</v>
      </c>
      <c r="N1671" s="179" t="s">
        <v>119</v>
      </c>
      <c r="O1671" s="179" t="s">
        <v>119</v>
      </c>
      <c r="P1671" s="171"/>
      <c r="Q1671" s="179" t="s">
        <v>119</v>
      </c>
      <c r="R1671" s="179" t="s">
        <v>119</v>
      </c>
      <c r="S1671" s="179" t="s">
        <v>119</v>
      </c>
      <c r="T1671" s="179" t="s">
        <v>119</v>
      </c>
      <c r="U1671" s="171"/>
      <c r="V1671" s="173" t="str">
        <f ca="1">"NPC at this location after quest: "&amp;支线!$C$146&amp;"
("&amp;语言!$A$44&amp;" / "&amp;语言!$A$48&amp;" solution only)"</f>
        <v>NPC at this location after quest: 无名野兽
(引导 / 诱惑 solution only)</v>
      </c>
      <c r="W1671" s="168"/>
    </row>
    <row r="1672" spans="1:23" ht="12.75" x14ac:dyDescent="0.2">
      <c r="A1672" s="168"/>
      <c r="B1672" s="472" t="str">
        <f ca="1">语言!$A$1975</f>
        <v>商人</v>
      </c>
      <c r="C1672" s="168" t="b">
        <v>0</v>
      </c>
      <c r="D1672" s="40" t="str">
        <f ca="1">道具!$C$30</f>
        <v>火之精灵石</v>
      </c>
      <c r="E1672" s="554" t="b">
        <v>0</v>
      </c>
      <c r="F1672" s="471" t="str">
        <f ca="1">语言!$A$23</f>
        <v>无</v>
      </c>
      <c r="G1672" s="554" t="b">
        <v>0</v>
      </c>
      <c r="H1672" s="556" t="s">
        <v>48</v>
      </c>
      <c r="I1672" s="471">
        <v>2</v>
      </c>
      <c r="J1672" s="471"/>
      <c r="K1672" s="471"/>
      <c r="L1672" s="471"/>
      <c r="M1672" s="471"/>
      <c r="N1672" s="471"/>
      <c r="O1672" s="471" t="str">
        <f ca="1">道具!$C$9</f>
        <v>ＢＰ恢复的石榴</v>
      </c>
      <c r="P1672" s="554"/>
      <c r="Q1672" s="556" t="s">
        <v>48</v>
      </c>
      <c r="R1672" s="38"/>
      <c r="S1672" s="38" t="str">
        <f ca="1">Summon!$I$173</f>
        <v>攻击力提升</v>
      </c>
      <c r="T1672" s="556">
        <v>9</v>
      </c>
      <c r="U1672" s="554"/>
      <c r="V1672" s="471" t="str">
        <f ca="1">"NPC available upon starting "&amp;语言!$A$41&amp;" Chapter 1"</f>
        <v>NPC available upon starting 泰里翁 Chapter 1</v>
      </c>
      <c r="W1672" s="168"/>
    </row>
    <row r="1673" spans="1:23" ht="12.75" x14ac:dyDescent="0.2">
      <c r="A1673" s="168"/>
      <c r="B1673" s="371"/>
      <c r="C1673" s="168" t="b">
        <v>0</v>
      </c>
      <c r="D1673" s="40" t="str">
        <f ca="1">道具!$C$33</f>
        <v>冰之精灵石</v>
      </c>
      <c r="E1673" s="371"/>
      <c r="F1673" s="371"/>
      <c r="G1673" s="371"/>
      <c r="H1673" s="371"/>
      <c r="I1673" s="371"/>
      <c r="J1673" s="371"/>
      <c r="K1673" s="371"/>
      <c r="L1673" s="371"/>
      <c r="M1673" s="371"/>
      <c r="N1673" s="371"/>
      <c r="O1673" s="371"/>
      <c r="P1673" s="371"/>
      <c r="Q1673" s="371"/>
      <c r="R1673" s="38"/>
      <c r="S1673" s="38" t="str">
        <f ca="1">Summon!$I$42</f>
        <v>猛击</v>
      </c>
      <c r="T1673" s="371"/>
      <c r="U1673" s="371"/>
      <c r="V1673" s="371"/>
      <c r="W1673" s="168"/>
    </row>
    <row r="1674" spans="1:23" ht="12.75" x14ac:dyDescent="0.2">
      <c r="A1674" s="168"/>
      <c r="B1674" s="371"/>
      <c r="C1674" s="168" t="b">
        <v>0</v>
      </c>
      <c r="D1674" s="40" t="str">
        <f ca="1">道具!$C$39</f>
        <v>风之精灵石</v>
      </c>
      <c r="E1674" s="371"/>
      <c r="F1674" s="371"/>
      <c r="G1674" s="371"/>
      <c r="H1674" s="371"/>
      <c r="I1674" s="371"/>
      <c r="J1674" s="371"/>
      <c r="K1674" s="371"/>
      <c r="L1674" s="371"/>
      <c r="M1674" s="371"/>
      <c r="N1674" s="371"/>
      <c r="O1674" s="371"/>
      <c r="P1674" s="371"/>
      <c r="Q1674" s="371"/>
      <c r="R1674" s="38"/>
      <c r="S1674" s="38" t="str">
        <f ca="1">Summon!$I$4</f>
        <v>战斗</v>
      </c>
      <c r="T1674" s="371"/>
      <c r="U1674" s="371"/>
      <c r="V1674" s="371"/>
      <c r="W1674" s="168"/>
    </row>
    <row r="1675" spans="1:23" ht="12.75" x14ac:dyDescent="0.2">
      <c r="A1675" s="168"/>
      <c r="B1675" s="371"/>
      <c r="C1675" s="168" t="b">
        <v>0</v>
      </c>
      <c r="D1675" s="40" t="str">
        <f ca="1">道具!$C$46</f>
        <v>暗之精灵石</v>
      </c>
      <c r="E1675" s="371"/>
      <c r="F1675" s="371"/>
      <c r="G1675" s="371"/>
      <c r="H1675" s="371"/>
      <c r="I1675" s="371"/>
      <c r="J1675" s="371"/>
      <c r="K1675" s="371"/>
      <c r="L1675" s="371"/>
      <c r="M1675" s="371"/>
      <c r="N1675" s="371"/>
      <c r="O1675" s="371"/>
      <c r="P1675" s="371"/>
      <c r="Q1675" s="371"/>
      <c r="R1675" s="38"/>
      <c r="S1675" s="38"/>
      <c r="T1675" s="371"/>
      <c r="U1675" s="371"/>
      <c r="V1675" s="371"/>
      <c r="W1675" s="168"/>
    </row>
    <row r="1676" spans="1:23" ht="12.75" x14ac:dyDescent="0.2">
      <c r="A1676" s="168"/>
      <c r="B1676" s="552" t="str">
        <f ca="1">语言!$A$458</f>
        <v>柏达弗尔 -下层-</v>
      </c>
      <c r="C1676" s="371"/>
      <c r="D1676" s="371"/>
      <c r="E1676" s="371"/>
      <c r="F1676" s="371"/>
      <c r="G1676" s="371"/>
      <c r="H1676" s="371"/>
      <c r="I1676" s="371"/>
      <c r="J1676" s="371"/>
      <c r="K1676" s="371"/>
      <c r="L1676" s="371"/>
      <c r="M1676" s="371"/>
      <c r="N1676" s="371"/>
      <c r="O1676" s="371"/>
      <c r="P1676" s="371"/>
      <c r="Q1676" s="371"/>
      <c r="R1676" s="371"/>
      <c r="S1676" s="371"/>
      <c r="T1676" s="371"/>
      <c r="U1676" s="371"/>
      <c r="V1676" s="371"/>
      <c r="W1676" s="168"/>
    </row>
    <row r="1677" spans="1:23" ht="12.75" x14ac:dyDescent="0.2">
      <c r="A1677" s="168"/>
      <c r="B1677" s="472" t="str">
        <f ca="1">语言!$A$2030</f>
        <v>贫民</v>
      </c>
      <c r="C1677" s="554" t="b">
        <v>0</v>
      </c>
      <c r="D1677" s="472" t="str">
        <f ca="1">"* "&amp;道具!$F$43</f>
        <v>* 反乱之斧</v>
      </c>
      <c r="E1677" s="554" t="b">
        <v>0</v>
      </c>
      <c r="F1677" s="471" t="str">
        <f ca="1">语言!$A$23</f>
        <v>无</v>
      </c>
      <c r="G1677" s="554" t="b">
        <v>0</v>
      </c>
      <c r="H1677" s="556" t="s">
        <v>45</v>
      </c>
      <c r="I1677" s="471">
        <v>2</v>
      </c>
      <c r="J1677" s="471"/>
      <c r="K1677" s="471"/>
      <c r="L1677" s="471"/>
      <c r="M1677" s="471"/>
      <c r="N1677" s="471"/>
      <c r="O1677" s="471" t="str">
        <f ca="1">道具!$C$7</f>
        <v>ＳＰ恢复的李子（大）</v>
      </c>
      <c r="P1677" s="554"/>
      <c r="Q1677" s="556" t="s">
        <v>46</v>
      </c>
      <c r="R1677" s="38"/>
      <c r="S1677" s="38" t="str">
        <f ca="1">Summon!$I$118</f>
        <v>恢复ＨＰ的葡萄</v>
      </c>
      <c r="T1677" s="556">
        <v>8</v>
      </c>
      <c r="U1677" s="554"/>
      <c r="V1677" s="471"/>
      <c r="W1677" s="168"/>
    </row>
    <row r="1678" spans="1:23" ht="12.75" x14ac:dyDescent="0.2">
      <c r="A1678" s="168"/>
      <c r="B1678" s="371"/>
      <c r="C1678" s="371"/>
      <c r="D1678" s="371"/>
      <c r="E1678" s="371"/>
      <c r="F1678" s="371"/>
      <c r="G1678" s="371"/>
      <c r="H1678" s="371"/>
      <c r="I1678" s="371"/>
      <c r="J1678" s="371"/>
      <c r="K1678" s="371"/>
      <c r="L1678" s="371"/>
      <c r="M1678" s="371"/>
      <c r="N1678" s="371"/>
      <c r="O1678" s="371"/>
      <c r="P1678" s="371"/>
      <c r="Q1678" s="371"/>
      <c r="R1678" s="38"/>
      <c r="S1678" s="38" t="str">
        <f ca="1">Summon!$I$44</f>
        <v>剧毒猛击</v>
      </c>
      <c r="T1678" s="371"/>
      <c r="U1678" s="371"/>
      <c r="V1678" s="371"/>
      <c r="W1678" s="168"/>
    </row>
    <row r="1679" spans="1:23" ht="12.75" x14ac:dyDescent="0.2">
      <c r="A1679" s="168"/>
      <c r="B1679" s="555"/>
      <c r="C1679" s="555"/>
      <c r="D1679" s="555"/>
      <c r="E1679" s="555"/>
      <c r="F1679" s="555"/>
      <c r="G1679" s="555"/>
      <c r="H1679" s="555"/>
      <c r="I1679" s="555"/>
      <c r="J1679" s="555"/>
      <c r="K1679" s="555"/>
      <c r="L1679" s="555"/>
      <c r="M1679" s="555"/>
      <c r="N1679" s="555"/>
      <c r="O1679" s="555"/>
      <c r="P1679" s="555"/>
      <c r="Q1679" s="555"/>
      <c r="R1679" s="173"/>
      <c r="S1679" s="173" t="str">
        <f ca="1">Summon!$I$4</f>
        <v>战斗</v>
      </c>
      <c r="T1679" s="555"/>
      <c r="U1679" s="555"/>
      <c r="V1679" s="555"/>
      <c r="W1679" s="168"/>
    </row>
    <row r="1680" spans="1:23" ht="22.5" customHeight="1" x14ac:dyDescent="0.2">
      <c r="A1680" s="168"/>
      <c r="B1680" s="472" t="str">
        <f ca="1">语言!$A$2116&amp;" (1)"</f>
        <v>老练的盗贼 (1)</v>
      </c>
      <c r="C1680" s="168" t="b">
        <v>0</v>
      </c>
      <c r="D1680" s="40" t="str">
        <f ca="1">道具!$C$231</f>
        <v>铁制匕首</v>
      </c>
      <c r="E1680" s="554" t="b">
        <v>0</v>
      </c>
      <c r="F1680" s="471" t="str">
        <f ca="1">语言!$A$23</f>
        <v>无</v>
      </c>
      <c r="G1680" s="554" t="b">
        <v>0</v>
      </c>
      <c r="H1680" s="556" t="s">
        <v>57</v>
      </c>
      <c r="I1680" s="471">
        <v>3</v>
      </c>
      <c r="J1680" s="471"/>
      <c r="K1680" s="471"/>
      <c r="L1680" s="471"/>
      <c r="M1680" s="471"/>
      <c r="N1680" s="471"/>
      <c r="O1680" s="471" t="str">
        <f ca="1">道具!$C$3</f>
        <v>ＨＰ恢复的葡萄</v>
      </c>
      <c r="P1680" s="554"/>
      <c r="Q1680" s="556" t="s">
        <v>57</v>
      </c>
      <c r="R1680" s="38"/>
      <c r="S1680" s="38" t="str">
        <f ca="1">Summon!$I$44</f>
        <v>剧毒猛击</v>
      </c>
      <c r="T1680" s="556">
        <v>8</v>
      </c>
      <c r="U1680" s="554"/>
      <c r="V1680" s="471" t="str">
        <f ca="1">"NPC available after "&amp;语言!$A$41&amp;" chapter 1
"&amp;语言!$A$44&amp;" / "&amp;语言!$A$48&amp;" available after quest: "&amp;支线!$C$118&amp;"
Moves to "&amp;语言!$A$395&amp;" after quest: "&amp;支线!$C$118&amp;" ("&amp;语言!$A$44&amp;" / "&amp;语言!$A$48&amp;" solution only)"</f>
        <v>NPC available after 泰里翁 chapter 1
引导 / 诱惑 available after quest: 盗贼的规矩
Moves to 斯托冈德 after quest: 盗贼的规矩 (引导 / 诱惑 solution only)</v>
      </c>
      <c r="W1680" s="168"/>
    </row>
    <row r="1681" spans="1:23" ht="22.5" customHeight="1" x14ac:dyDescent="0.2">
      <c r="A1681" s="168"/>
      <c r="B1681" s="555"/>
      <c r="C1681" s="171" t="b">
        <v>0</v>
      </c>
      <c r="D1681" s="172" t="str">
        <f ca="1">道具!$C$501</f>
        <v>灵敏耳环</v>
      </c>
      <c r="E1681" s="555"/>
      <c r="F1681" s="555"/>
      <c r="G1681" s="555"/>
      <c r="H1681" s="555"/>
      <c r="I1681" s="555"/>
      <c r="J1681" s="555"/>
      <c r="K1681" s="555"/>
      <c r="L1681" s="555"/>
      <c r="M1681" s="555"/>
      <c r="N1681" s="555"/>
      <c r="O1681" s="555"/>
      <c r="P1681" s="555"/>
      <c r="Q1681" s="555"/>
      <c r="R1681" s="173"/>
      <c r="S1681" s="173" t="str">
        <f ca="1">Summon!$I$4</f>
        <v>战斗</v>
      </c>
      <c r="T1681" s="555"/>
      <c r="U1681" s="555"/>
      <c r="V1681" s="555"/>
      <c r="W1681" s="168"/>
    </row>
    <row r="1682" spans="1:23" ht="12.75" x14ac:dyDescent="0.2">
      <c r="A1682" s="168"/>
      <c r="B1682" s="472" t="str">
        <f ca="1">语言!$A$1872&amp;" (2)"</f>
        <v>没存在感的青年 /
新手盗贼 (2)</v>
      </c>
      <c r="C1682" s="554" t="b">
        <v>0</v>
      </c>
      <c r="D1682" s="472" t="str">
        <f ca="1">道具!$C$230</f>
        <v>刺击匕首</v>
      </c>
      <c r="E1682" s="554" t="b">
        <v>0</v>
      </c>
      <c r="F1682" s="471" t="str">
        <f ca="1">语言!$A$23</f>
        <v>无</v>
      </c>
      <c r="G1682" s="554" t="b">
        <v>0</v>
      </c>
      <c r="H1682" s="556" t="s">
        <v>48</v>
      </c>
      <c r="I1682" s="471">
        <v>2</v>
      </c>
      <c r="J1682" s="471"/>
      <c r="K1682" s="471"/>
      <c r="L1682" s="471"/>
      <c r="M1682" s="471"/>
      <c r="N1682" s="471"/>
      <c r="O1682" s="471" t="str">
        <f ca="1">道具!$C$352</f>
        <v>大盾</v>
      </c>
      <c r="P1682" s="554"/>
      <c r="Q1682" s="556" t="s">
        <v>48</v>
      </c>
      <c r="R1682" s="38"/>
      <c r="S1682" s="38" t="str">
        <f ca="1">Summon!$I$52</f>
        <v>重拳</v>
      </c>
      <c r="T1682" s="556">
        <v>9</v>
      </c>
      <c r="U1682" s="554"/>
      <c r="V1682" s="471" t="str">
        <f ca="1">"NPC at this location after quest: "&amp;支线!$C$118&amp;" ("&amp;语言!$A$44&amp;" / "&amp;语言!$A$48&amp;" solution only)"</f>
        <v>NPC at this location after quest: 盗贼的规矩 (引导 / 诱惑 solution only)</v>
      </c>
      <c r="W1682" s="168"/>
    </row>
    <row r="1683" spans="1:23" ht="12.75" x14ac:dyDescent="0.2">
      <c r="A1683" s="168"/>
      <c r="B1683" s="555"/>
      <c r="C1683" s="555"/>
      <c r="D1683" s="555"/>
      <c r="E1683" s="555"/>
      <c r="F1683" s="555"/>
      <c r="G1683" s="555"/>
      <c r="H1683" s="555"/>
      <c r="I1683" s="555"/>
      <c r="J1683" s="555"/>
      <c r="K1683" s="555"/>
      <c r="L1683" s="555"/>
      <c r="M1683" s="555"/>
      <c r="N1683" s="555"/>
      <c r="O1683" s="555"/>
      <c r="P1683" s="555"/>
      <c r="Q1683" s="555"/>
      <c r="R1683" s="173"/>
      <c r="S1683" s="173" t="str">
        <f ca="1">Summon!$I$4</f>
        <v>战斗</v>
      </c>
      <c r="T1683" s="555"/>
      <c r="U1683" s="555"/>
      <c r="V1683" s="555"/>
      <c r="W1683" s="168"/>
    </row>
    <row r="1684" spans="1:23" ht="12.75" x14ac:dyDescent="0.2">
      <c r="A1684" s="168"/>
      <c r="B1684" s="172" t="str">
        <f ca="1">语言!$A$2030</f>
        <v>贫民</v>
      </c>
      <c r="C1684" s="171" t="b">
        <v>0</v>
      </c>
      <c r="D1684" s="172" t="str">
        <f ca="1">"* "&amp;道具!$F$45</f>
        <v>* 反逆之枪</v>
      </c>
      <c r="E1684" s="171" t="b">
        <v>0</v>
      </c>
      <c r="F1684" s="173" t="str">
        <f ca="1">语言!$A$23</f>
        <v>无</v>
      </c>
      <c r="G1684" s="171" t="b">
        <v>0</v>
      </c>
      <c r="H1684" s="175" t="s">
        <v>48</v>
      </c>
      <c r="I1684" s="173">
        <v>2</v>
      </c>
      <c r="J1684" s="173"/>
      <c r="K1684" s="173"/>
      <c r="L1684" s="173"/>
      <c r="M1684" s="173"/>
      <c r="N1684" s="173"/>
      <c r="O1684" s="173" t="str">
        <f ca="1">道具!$C$3</f>
        <v>ＨＰ恢复的葡萄</v>
      </c>
      <c r="P1684" s="171"/>
      <c r="Q1684" s="179" t="s">
        <v>119</v>
      </c>
      <c r="R1684" s="179" t="s">
        <v>119</v>
      </c>
      <c r="S1684" s="179" t="s">
        <v>119</v>
      </c>
      <c r="T1684" s="179" t="s">
        <v>119</v>
      </c>
      <c r="U1684" s="171"/>
      <c r="V1684" s="173"/>
      <c r="W1684" s="168"/>
    </row>
    <row r="1685" spans="1:23" ht="12.75" x14ac:dyDescent="0.2">
      <c r="A1685" s="168"/>
      <c r="B1685" s="472" t="str">
        <f ca="1">语言!$A$2102</f>
        <v>市民</v>
      </c>
      <c r="C1685" s="168" t="b">
        <v>0</v>
      </c>
      <c r="D1685" s="40" t="str">
        <f ca="1">道具!$C$4</f>
        <v>ＨＰ恢复的葡萄（大）</v>
      </c>
      <c r="E1685" s="554" t="b">
        <v>0</v>
      </c>
      <c r="F1685" s="471" t="str">
        <f ca="1">语言!$A$23</f>
        <v>无</v>
      </c>
      <c r="G1685" s="554" t="b">
        <v>0</v>
      </c>
      <c r="H1685" s="556" t="s">
        <v>55</v>
      </c>
      <c r="I1685" s="471">
        <v>6</v>
      </c>
      <c r="J1685" s="471"/>
      <c r="K1685" s="471"/>
      <c r="L1685" s="471"/>
      <c r="M1685" s="471"/>
      <c r="N1685" s="471"/>
      <c r="O1685" s="471" t="str">
        <f ca="1">道具!$C$135</f>
        <v>历战之剑</v>
      </c>
      <c r="P1685" s="554"/>
      <c r="Q1685" s="556" t="s">
        <v>55</v>
      </c>
      <c r="R1685" s="38"/>
      <c r="S1685" s="38" t="str">
        <f ca="1">Summon!$I$25</f>
        <v>斩首</v>
      </c>
      <c r="T1685" s="556">
        <v>4</v>
      </c>
      <c r="U1685" s="554"/>
      <c r="V1685" s="471" t="str">
        <f ca="1">"Behind other NPC ("&amp;语言!$A$47&amp;" / "&amp;语言!$A$51&amp;")"</f>
        <v>Behind other NPC (比试 / 唆使)</v>
      </c>
      <c r="W1685" s="168"/>
    </row>
    <row r="1686" spans="1:23" ht="12.75" x14ac:dyDescent="0.2">
      <c r="A1686" s="168"/>
      <c r="B1686" s="371"/>
      <c r="C1686" s="168" t="b">
        <v>0</v>
      </c>
      <c r="D1686" s="40" t="str">
        <f ca="1">道具!$C$9</f>
        <v>ＢＰ恢复的石榴</v>
      </c>
      <c r="E1686" s="371"/>
      <c r="F1686" s="371"/>
      <c r="G1686" s="371"/>
      <c r="H1686" s="371"/>
      <c r="I1686" s="371"/>
      <c r="J1686" s="371"/>
      <c r="K1686" s="371"/>
      <c r="L1686" s="371"/>
      <c r="M1686" s="371"/>
      <c r="N1686" s="371"/>
      <c r="O1686" s="371"/>
      <c r="P1686" s="371"/>
      <c r="Q1686" s="371"/>
      <c r="R1686" s="38"/>
      <c r="S1686" s="38" t="str">
        <f ca="1">Summon!$I$23</f>
        <v>一闪</v>
      </c>
      <c r="T1686" s="371"/>
      <c r="U1686" s="371"/>
      <c r="V1686" s="371"/>
      <c r="W1686" s="168"/>
    </row>
    <row r="1687" spans="1:23" ht="12.75" x14ac:dyDescent="0.2">
      <c r="A1687" s="168"/>
      <c r="B1687" s="555"/>
      <c r="C1687" s="171"/>
      <c r="D1687" s="172"/>
      <c r="E1687" s="555"/>
      <c r="F1687" s="555"/>
      <c r="G1687" s="555"/>
      <c r="H1687" s="555"/>
      <c r="I1687" s="555"/>
      <c r="J1687" s="555"/>
      <c r="K1687" s="555"/>
      <c r="L1687" s="555"/>
      <c r="M1687" s="555"/>
      <c r="N1687" s="555"/>
      <c r="O1687" s="555"/>
      <c r="P1687" s="555"/>
      <c r="Q1687" s="555"/>
      <c r="R1687" s="173"/>
      <c r="S1687" s="173" t="str">
        <f ca="1">Summon!$I$4</f>
        <v>战斗</v>
      </c>
      <c r="T1687" s="555"/>
      <c r="U1687" s="555"/>
      <c r="V1687" s="555"/>
      <c r="W1687" s="168"/>
    </row>
    <row r="1688" spans="1:23" ht="12.75" x14ac:dyDescent="0.2">
      <c r="A1688" s="168"/>
      <c r="B1688" s="472" t="str">
        <f ca="1">语言!$A$2018</f>
        <v>佣兵奥玛尔</v>
      </c>
      <c r="C1688" s="168" t="b">
        <v>0</v>
      </c>
      <c r="D1688" s="40" t="str">
        <f ca="1">道具!$C$63</f>
        <v>增强属攻的坚果（大）</v>
      </c>
      <c r="E1688" s="554" t="b">
        <v>0</v>
      </c>
      <c r="F1688" s="471" t="str">
        <f ca="1">语言!$A$23</f>
        <v>无</v>
      </c>
      <c r="G1688" s="554" t="b">
        <v>0</v>
      </c>
      <c r="H1688" s="556" t="s">
        <v>47</v>
      </c>
      <c r="I1688" s="471">
        <v>5</v>
      </c>
      <c r="J1688" s="471"/>
      <c r="K1688" s="471"/>
      <c r="L1688" s="471"/>
      <c r="M1688" s="471"/>
      <c r="N1688" s="471"/>
      <c r="O1688" s="471" t="str">
        <f ca="1">道具!$C$38</f>
        <v>雷之精灵石（特大）</v>
      </c>
      <c r="P1688" s="554"/>
      <c r="Q1688" s="556" t="s">
        <v>47</v>
      </c>
      <c r="R1688" s="38"/>
      <c r="S1688" s="38" t="str">
        <f ca="1">Summon!$I$55</f>
        <v>直劈而下</v>
      </c>
      <c r="T1688" s="556">
        <v>6</v>
      </c>
      <c r="U1688" s="554"/>
      <c r="V1688" s="471" t="str">
        <f ca="1">"NPC available after "&amp;语言!$A$37&amp;" chapter 4"</f>
        <v>NPC available after 特蕾莎 chapter 4</v>
      </c>
      <c r="W1688" s="168"/>
    </row>
    <row r="1689" spans="1:23" ht="12.75" x14ac:dyDescent="0.2">
      <c r="A1689" s="168"/>
      <c r="B1689" s="371"/>
      <c r="C1689" s="168" t="b">
        <v>0</v>
      </c>
      <c r="D1689" s="40" t="str">
        <f ca="1">道具!$C$235</f>
        <v>死亡猛击斧</v>
      </c>
      <c r="E1689" s="371"/>
      <c r="F1689" s="371"/>
      <c r="G1689" s="371"/>
      <c r="H1689" s="371"/>
      <c r="I1689" s="371"/>
      <c r="J1689" s="371"/>
      <c r="K1689" s="371"/>
      <c r="L1689" s="371"/>
      <c r="M1689" s="371"/>
      <c r="N1689" s="371"/>
      <c r="O1689" s="371"/>
      <c r="P1689" s="371"/>
      <c r="Q1689" s="371"/>
      <c r="R1689" s="38"/>
      <c r="S1689" s="38" t="str">
        <f ca="1">Summon!$I$173</f>
        <v>攻击力提升</v>
      </c>
      <c r="T1689" s="371"/>
      <c r="U1689" s="371"/>
      <c r="V1689" s="371"/>
      <c r="W1689" s="168"/>
    </row>
    <row r="1690" spans="1:23" ht="12.75" x14ac:dyDescent="0.2">
      <c r="A1690" s="168"/>
      <c r="B1690" s="555"/>
      <c r="C1690" s="171"/>
      <c r="D1690" s="172"/>
      <c r="E1690" s="555"/>
      <c r="F1690" s="555"/>
      <c r="G1690" s="555"/>
      <c r="H1690" s="555"/>
      <c r="I1690" s="555"/>
      <c r="J1690" s="555"/>
      <c r="K1690" s="555"/>
      <c r="L1690" s="555"/>
      <c r="M1690" s="555"/>
      <c r="N1690" s="555"/>
      <c r="O1690" s="555"/>
      <c r="P1690" s="555"/>
      <c r="Q1690" s="555"/>
      <c r="R1690" s="173"/>
      <c r="S1690" s="173" t="str">
        <f ca="1">Summon!$I$4</f>
        <v>战斗</v>
      </c>
      <c r="T1690" s="555"/>
      <c r="U1690" s="555"/>
      <c r="V1690" s="555"/>
      <c r="W1690" s="168"/>
    </row>
    <row r="1691" spans="1:23" ht="12.75" x14ac:dyDescent="0.2">
      <c r="A1691" s="168"/>
      <c r="B1691" s="472" t="str">
        <f ca="1">语言!$A$1990</f>
        <v>大地主莫洛克</v>
      </c>
      <c r="C1691" s="168" t="b">
        <v>0</v>
      </c>
      <c r="D1691" s="40" t="str">
        <f ca="1">道具!$C$100</f>
        <v>看起来像金矿石的东西</v>
      </c>
      <c r="E1691" s="554" t="b">
        <v>0</v>
      </c>
      <c r="F1691" s="471" t="str">
        <f ca="1">语言!$A$23</f>
        <v>无</v>
      </c>
      <c r="G1691" s="554" t="b">
        <v>0</v>
      </c>
      <c r="H1691" s="556" t="s">
        <v>46</v>
      </c>
      <c r="I1691" s="471">
        <v>3</v>
      </c>
      <c r="J1691" s="471"/>
      <c r="K1691" s="471"/>
      <c r="L1691" s="471"/>
      <c r="M1691" s="471"/>
      <c r="N1691" s="471"/>
      <c r="O1691" s="471" t="str">
        <f ca="1">道具!$C$47</f>
        <v>暗之精灵石（大）</v>
      </c>
      <c r="P1691" s="554"/>
      <c r="Q1691" s="556" t="s">
        <v>46</v>
      </c>
      <c r="R1691" s="38"/>
      <c r="S1691" s="38" t="str">
        <f ca="1">Summon!$I$91</f>
        <v>大雷击魔法</v>
      </c>
      <c r="T1691" s="556">
        <v>8</v>
      </c>
      <c r="U1691" s="554"/>
      <c r="V1691" s="471" t="str">
        <f ca="1">"NPC available after "&amp;语言!$A$37&amp;" chapter 4"</f>
        <v>NPC available after 特蕾莎 chapter 4</v>
      </c>
      <c r="W1691" s="168"/>
    </row>
    <row r="1692" spans="1:23" ht="12.75" x14ac:dyDescent="0.2">
      <c r="A1692" s="168"/>
      <c r="B1692" s="371"/>
      <c r="C1692" s="168" t="b">
        <v>0</v>
      </c>
      <c r="D1692" s="40" t="str">
        <f ca="1">道具!$C$116</f>
        <v>稀奇的石头</v>
      </c>
      <c r="E1692" s="371"/>
      <c r="F1692" s="371"/>
      <c r="G1692" s="371"/>
      <c r="H1692" s="371"/>
      <c r="I1692" s="371"/>
      <c r="J1692" s="371"/>
      <c r="K1692" s="371"/>
      <c r="L1692" s="371"/>
      <c r="M1692" s="371"/>
      <c r="N1692" s="371"/>
      <c r="O1692" s="371"/>
      <c r="P1692" s="371"/>
      <c r="Q1692" s="371"/>
      <c r="R1692" s="38"/>
      <c r="S1692" s="38" t="str">
        <f ca="1">Summon!$I$148</f>
        <v>毒粉</v>
      </c>
      <c r="T1692" s="371"/>
      <c r="U1692" s="371"/>
      <c r="V1692" s="371"/>
      <c r="W1692" s="168"/>
    </row>
    <row r="1693" spans="1:23" ht="12.75" x14ac:dyDescent="0.2">
      <c r="A1693" s="168"/>
      <c r="B1693" s="555"/>
      <c r="C1693" s="171" t="b">
        <v>0</v>
      </c>
      <c r="D1693" s="172" t="str">
        <f ca="1">道具!$C$304</f>
        <v>斗智之杖</v>
      </c>
      <c r="E1693" s="555"/>
      <c r="F1693" s="555"/>
      <c r="G1693" s="555"/>
      <c r="H1693" s="555"/>
      <c r="I1693" s="555"/>
      <c r="J1693" s="555"/>
      <c r="K1693" s="555"/>
      <c r="L1693" s="555"/>
      <c r="M1693" s="555"/>
      <c r="N1693" s="555"/>
      <c r="O1693" s="555"/>
      <c r="P1693" s="555"/>
      <c r="Q1693" s="555"/>
      <c r="R1693" s="173"/>
      <c r="S1693" s="173" t="str">
        <f ca="1">Summon!$I$4</f>
        <v>战斗</v>
      </c>
      <c r="T1693" s="555"/>
      <c r="U1693" s="555"/>
      <c r="V1693" s="555"/>
      <c r="W1693" s="168"/>
    </row>
    <row r="1694" spans="1:23" ht="12.75" x14ac:dyDescent="0.2">
      <c r="A1694" s="168"/>
      <c r="B1694" s="472" t="str">
        <f ca="1">语言!$A$2031</f>
        <v>贫民领袖</v>
      </c>
      <c r="C1694" s="554" t="b">
        <v>0</v>
      </c>
      <c r="D1694" s="472" t="str">
        <f ca="1">"* "&amp;道具!$F$44</f>
        <v>* 革命之剑</v>
      </c>
      <c r="E1694" s="554" t="b">
        <v>0</v>
      </c>
      <c r="F1694" s="471" t="str">
        <f ca="1">语言!$A$23</f>
        <v>无</v>
      </c>
      <c r="G1694" s="554" t="b">
        <v>0</v>
      </c>
      <c r="H1694" s="556" t="s">
        <v>46</v>
      </c>
      <c r="I1694" s="471">
        <v>3</v>
      </c>
      <c r="J1694" s="471"/>
      <c r="K1694" s="471"/>
      <c r="L1694" s="471"/>
      <c r="M1694" s="471"/>
      <c r="N1694" s="471"/>
      <c r="O1694" s="471" t="str">
        <f ca="1">道具!$C$3</f>
        <v>ＨＰ恢复的葡萄</v>
      </c>
      <c r="P1694" s="554"/>
      <c r="Q1694" s="556" t="s">
        <v>46</v>
      </c>
      <c r="R1694" s="38"/>
      <c r="S1694" s="38" t="str">
        <f ca="1">Summon!$I$157</f>
        <v>攻击力下降</v>
      </c>
      <c r="T1694" s="556">
        <v>8</v>
      </c>
      <c r="U1694" s="554"/>
      <c r="V1694" s="471" t="str">
        <f ca="1">"NPC available after "&amp;语言!$A$41&amp;" chapter 1"</f>
        <v>NPC available after 泰里翁 chapter 1</v>
      </c>
      <c r="W1694" s="168"/>
    </row>
    <row r="1695" spans="1:23" ht="12.75" x14ac:dyDescent="0.2">
      <c r="A1695" s="168"/>
      <c r="B1695" s="371"/>
      <c r="C1695" s="371"/>
      <c r="D1695" s="371"/>
      <c r="E1695" s="371"/>
      <c r="F1695" s="371"/>
      <c r="G1695" s="371"/>
      <c r="H1695" s="371"/>
      <c r="I1695" s="371"/>
      <c r="J1695" s="371"/>
      <c r="K1695" s="371"/>
      <c r="L1695" s="371"/>
      <c r="M1695" s="371"/>
      <c r="N1695" s="371"/>
      <c r="O1695" s="371"/>
      <c r="P1695" s="371"/>
      <c r="Q1695" s="371"/>
      <c r="R1695" s="38"/>
      <c r="S1695" s="38" t="str">
        <f ca="1">Summon!$I$31</f>
        <v>要害突刺</v>
      </c>
      <c r="T1695" s="371"/>
      <c r="U1695" s="371"/>
      <c r="V1695" s="371"/>
      <c r="W1695" s="168"/>
    </row>
    <row r="1696" spans="1:23" ht="12.75" x14ac:dyDescent="0.2">
      <c r="A1696" s="168"/>
      <c r="B1696" s="555"/>
      <c r="C1696" s="555"/>
      <c r="D1696" s="555"/>
      <c r="E1696" s="555"/>
      <c r="F1696" s="555"/>
      <c r="G1696" s="555"/>
      <c r="H1696" s="555"/>
      <c r="I1696" s="555"/>
      <c r="J1696" s="555"/>
      <c r="K1696" s="555"/>
      <c r="L1696" s="555"/>
      <c r="M1696" s="555"/>
      <c r="N1696" s="555"/>
      <c r="O1696" s="555"/>
      <c r="P1696" s="555"/>
      <c r="Q1696" s="555"/>
      <c r="R1696" s="173"/>
      <c r="S1696" s="173" t="str">
        <f ca="1">Summon!$I$4</f>
        <v>战斗</v>
      </c>
      <c r="T1696" s="555"/>
      <c r="U1696" s="555"/>
      <c r="V1696" s="555"/>
      <c r="W1696" s="168"/>
    </row>
    <row r="1697" spans="1:23" ht="12.75" x14ac:dyDescent="0.2">
      <c r="A1697" s="168"/>
      <c r="B1697" s="472" t="str">
        <f ca="1">语言!$A$2077&amp;" (2)"</f>
        <v>认真的卫兵 (2)</v>
      </c>
      <c r="C1697" s="168" t="b">
        <v>0</v>
      </c>
      <c r="D1697" s="40" t="str">
        <f ca="1">道具!$C$474</f>
        <v>精神项链</v>
      </c>
      <c r="E1697" s="554" t="b">
        <v>0</v>
      </c>
      <c r="F1697" s="471" t="str">
        <f ca="1">语言!$A$23</f>
        <v>无</v>
      </c>
      <c r="G1697" s="554" t="b">
        <v>0</v>
      </c>
      <c r="H1697" s="556" t="s">
        <v>49</v>
      </c>
      <c r="I1697" s="471">
        <v>4</v>
      </c>
      <c r="J1697" s="471"/>
      <c r="K1697" s="471"/>
      <c r="L1697" s="471"/>
      <c r="M1697" s="471"/>
      <c r="N1697" s="471"/>
      <c r="O1697" s="471" t="str">
        <f ca="1">道具!$C$6</f>
        <v>ＳＰ恢复的李子</v>
      </c>
      <c r="P1697" s="554"/>
      <c r="Q1697" s="556" t="s">
        <v>49</v>
      </c>
      <c r="R1697" s="38"/>
      <c r="S1697" s="38" t="str">
        <f ca="1">Summon!$I$20</f>
        <v>横扫</v>
      </c>
      <c r="T1697" s="556">
        <v>7</v>
      </c>
      <c r="U1697" s="554"/>
      <c r="V1697" s="471" t="str">
        <f ca="1">"NPC at this location after quest: "&amp;支线!$C$117&amp;"
("&amp;语言!$A$45&amp;" / "&amp;语言!$A$49&amp;" solution only)"</f>
        <v>NPC at this location after quest: 谋反的火种
(探查 / 打听 solution only)</v>
      </c>
      <c r="W1697" s="168"/>
    </row>
    <row r="1698" spans="1:23" ht="12.75" x14ac:dyDescent="0.2">
      <c r="A1698" s="168"/>
      <c r="B1698" s="371"/>
      <c r="C1698" s="168" t="b">
        <v>0</v>
      </c>
      <c r="D1698" s="40" t="str">
        <f ca="1">道具!$C$497</f>
        <v>精神耳环</v>
      </c>
      <c r="E1698" s="371"/>
      <c r="F1698" s="371"/>
      <c r="G1698" s="371"/>
      <c r="H1698" s="371"/>
      <c r="I1698" s="371"/>
      <c r="J1698" s="371"/>
      <c r="K1698" s="371"/>
      <c r="L1698" s="371"/>
      <c r="M1698" s="371"/>
      <c r="N1698" s="371"/>
      <c r="O1698" s="371"/>
      <c r="P1698" s="371"/>
      <c r="Q1698" s="371"/>
      <c r="R1698" s="38"/>
      <c r="S1698" s="38" t="str">
        <f ca="1">Summon!$I$7</f>
        <v>切块</v>
      </c>
      <c r="T1698" s="371"/>
      <c r="U1698" s="371"/>
      <c r="V1698" s="371"/>
      <c r="W1698" s="168"/>
    </row>
    <row r="1699" spans="1:23" ht="12.75" x14ac:dyDescent="0.2">
      <c r="A1699" s="168"/>
      <c r="B1699" s="555"/>
      <c r="C1699" s="171"/>
      <c r="D1699" s="172"/>
      <c r="E1699" s="555"/>
      <c r="F1699" s="555"/>
      <c r="G1699" s="555"/>
      <c r="H1699" s="555"/>
      <c r="I1699" s="555"/>
      <c r="J1699" s="555"/>
      <c r="K1699" s="555"/>
      <c r="L1699" s="555"/>
      <c r="M1699" s="555"/>
      <c r="N1699" s="555"/>
      <c r="O1699" s="555"/>
      <c r="P1699" s="555"/>
      <c r="Q1699" s="555"/>
      <c r="R1699" s="173"/>
      <c r="S1699" s="173" t="str">
        <f ca="1">Summon!$I$4</f>
        <v>战斗</v>
      </c>
      <c r="T1699" s="555"/>
      <c r="U1699" s="555"/>
      <c r="V1699" s="555"/>
      <c r="W1699" s="168"/>
    </row>
    <row r="1700" spans="1:23" ht="12.75" x14ac:dyDescent="0.2">
      <c r="A1700" s="168"/>
      <c r="B1700" s="472" t="str">
        <f ca="1">语言!$A$1861&amp;" (2)"</f>
        <v>聪颖的贵族 (2)</v>
      </c>
      <c r="C1700" s="554" t="b">
        <v>0</v>
      </c>
      <c r="D1700" s="472" t="str">
        <f ca="1">道具!$C$500</f>
        <v>察知耳环</v>
      </c>
      <c r="E1700" s="554" t="b">
        <v>0</v>
      </c>
      <c r="F1700" s="471" t="str">
        <f ca="1">道具!$I$41</f>
        <v>改善贫民生活计画</v>
      </c>
      <c r="G1700" s="554" t="b">
        <v>0</v>
      </c>
      <c r="H1700" s="556" t="s">
        <v>57</v>
      </c>
      <c r="I1700" s="471">
        <v>3</v>
      </c>
      <c r="J1700" s="471"/>
      <c r="K1700" s="471"/>
      <c r="L1700" s="471"/>
      <c r="M1700" s="471"/>
      <c r="N1700" s="471"/>
      <c r="O1700" s="471" t="str">
        <f ca="1">道具!$C$23</f>
        <v>恐怖治疗药草</v>
      </c>
      <c r="P1700" s="554"/>
      <c r="Q1700" s="556" t="s">
        <v>57</v>
      </c>
      <c r="R1700" s="38"/>
      <c r="S1700" s="38" t="str">
        <f ca="1">Summon!$I$176</f>
        <v>精神提升</v>
      </c>
      <c r="T1700" s="556">
        <v>8</v>
      </c>
      <c r="U1700" s="554"/>
      <c r="V1700" s="471" t="str">
        <f ca="1">"NPC at this location after quest: "&amp;支线!$C$117&amp;"
("&amp;语言!$A$45&amp;" / "&amp;语言!$A$49&amp;" solution only)"</f>
        <v>NPC at this location after quest: 谋反的火种
(探查 / 打听 solution only)</v>
      </c>
      <c r="W1700" s="168"/>
    </row>
    <row r="1701" spans="1:23" ht="12.75" x14ac:dyDescent="0.2">
      <c r="A1701" s="168"/>
      <c r="B1701" s="371"/>
      <c r="C1701" s="371"/>
      <c r="D1701" s="371"/>
      <c r="E1701" s="371"/>
      <c r="F1701" s="371"/>
      <c r="G1701" s="371"/>
      <c r="H1701" s="371"/>
      <c r="I1701" s="371"/>
      <c r="J1701" s="371"/>
      <c r="K1701" s="371"/>
      <c r="L1701" s="371"/>
      <c r="M1701" s="371"/>
      <c r="N1701" s="371"/>
      <c r="O1701" s="371"/>
      <c r="P1701" s="371"/>
      <c r="Q1701" s="371"/>
      <c r="R1701" s="38"/>
      <c r="S1701" s="38" t="str">
        <f ca="1">Summon!$I$90</f>
        <v>雷击魔法</v>
      </c>
      <c r="T1701" s="371"/>
      <c r="U1701" s="371"/>
      <c r="V1701" s="371"/>
      <c r="W1701" s="168"/>
    </row>
    <row r="1702" spans="1:23" ht="12.75" x14ac:dyDescent="0.2">
      <c r="A1702" s="168"/>
      <c r="B1702" s="555"/>
      <c r="C1702" s="555"/>
      <c r="D1702" s="555"/>
      <c r="E1702" s="555"/>
      <c r="F1702" s="555"/>
      <c r="G1702" s="555"/>
      <c r="H1702" s="555"/>
      <c r="I1702" s="555"/>
      <c r="J1702" s="555"/>
      <c r="K1702" s="555"/>
      <c r="L1702" s="555"/>
      <c r="M1702" s="555"/>
      <c r="N1702" s="555"/>
      <c r="O1702" s="555"/>
      <c r="P1702" s="555"/>
      <c r="Q1702" s="555"/>
      <c r="R1702" s="173"/>
      <c r="S1702" s="173" t="str">
        <f ca="1">Summon!$I$4</f>
        <v>战斗</v>
      </c>
      <c r="T1702" s="555"/>
      <c r="U1702" s="555"/>
      <c r="V1702" s="555"/>
      <c r="W1702" s="168"/>
    </row>
    <row r="1703" spans="1:23" ht="12.75" x14ac:dyDescent="0.2">
      <c r="A1703" s="168"/>
      <c r="B1703" s="472" t="str">
        <f ca="1">语言!$A$2121</f>
        <v>狂剑瓦雷斯</v>
      </c>
      <c r="C1703" s="168" t="b">
        <v>0</v>
      </c>
      <c r="D1703" s="40" t="str">
        <f ca="1">道具!$C$76</f>
        <v>增强会心的坚果（大）</v>
      </c>
      <c r="E1703" s="554" t="b">
        <v>0</v>
      </c>
      <c r="F1703" s="471" t="str">
        <f ca="1">语言!$A$23</f>
        <v>无</v>
      </c>
      <c r="G1703" s="554" t="b">
        <v>0</v>
      </c>
      <c r="H1703" s="556" t="s">
        <v>46</v>
      </c>
      <c r="I1703" s="471">
        <v>3</v>
      </c>
      <c r="J1703" s="471"/>
      <c r="K1703" s="471"/>
      <c r="L1703" s="471"/>
      <c r="M1703" s="471"/>
      <c r="N1703" s="471"/>
      <c r="O1703" s="471" t="str">
        <f ca="1">道具!$C$5</f>
        <v>ＨＰ全体恢复的葡萄</v>
      </c>
      <c r="P1703" s="554"/>
      <c r="Q1703" s="556" t="s">
        <v>46</v>
      </c>
      <c r="R1703" s="38"/>
      <c r="S1703" s="38" t="str">
        <f ca="1">Summon!$I$21</f>
        <v>乱斩</v>
      </c>
      <c r="T1703" s="556">
        <v>8</v>
      </c>
      <c r="U1703" s="554"/>
      <c r="V1703" s="471" t="str">
        <f ca="1">"NPC available after "&amp;语言!$A$38&amp;" chapter 4"</f>
        <v>NPC available after 欧尔贝克 chapter 4</v>
      </c>
      <c r="W1703" s="168"/>
    </row>
    <row r="1704" spans="1:23" ht="12.75" x14ac:dyDescent="0.2">
      <c r="A1704" s="168"/>
      <c r="B1704" s="371"/>
      <c r="C1704" s="168" t="b">
        <v>0</v>
      </c>
      <c r="D1704" s="40" t="str">
        <f ca="1">道具!$C$378</f>
        <v>高速头盔</v>
      </c>
      <c r="E1704" s="371"/>
      <c r="F1704" s="371"/>
      <c r="G1704" s="371"/>
      <c r="H1704" s="371"/>
      <c r="I1704" s="371"/>
      <c r="J1704" s="371"/>
      <c r="K1704" s="371"/>
      <c r="L1704" s="371"/>
      <c r="M1704" s="371"/>
      <c r="N1704" s="371"/>
      <c r="O1704" s="371"/>
      <c r="P1704" s="371"/>
      <c r="Q1704" s="371"/>
      <c r="R1704" s="38"/>
      <c r="S1704" s="38" t="str">
        <f ca="1">Summon!$I$154</f>
        <v>起开</v>
      </c>
      <c r="T1704" s="371"/>
      <c r="U1704" s="371"/>
      <c r="V1704" s="371"/>
      <c r="W1704" s="168"/>
    </row>
    <row r="1705" spans="1:23" ht="12.75" x14ac:dyDescent="0.2">
      <c r="A1705" s="168"/>
      <c r="B1705" s="555"/>
      <c r="C1705" s="171"/>
      <c r="D1705" s="172"/>
      <c r="E1705" s="555"/>
      <c r="F1705" s="555"/>
      <c r="G1705" s="555"/>
      <c r="H1705" s="555"/>
      <c r="I1705" s="555"/>
      <c r="J1705" s="555"/>
      <c r="K1705" s="555"/>
      <c r="L1705" s="555"/>
      <c r="M1705" s="555"/>
      <c r="N1705" s="555"/>
      <c r="O1705" s="555"/>
      <c r="P1705" s="555"/>
      <c r="Q1705" s="555"/>
      <c r="R1705" s="173"/>
      <c r="S1705" s="173" t="str">
        <f ca="1">Summon!$I$4</f>
        <v>战斗</v>
      </c>
      <c r="T1705" s="555"/>
      <c r="U1705" s="555"/>
      <c r="V1705" s="555"/>
      <c r="W1705" s="168"/>
    </row>
    <row r="1706" spans="1:23" ht="12.75" x14ac:dyDescent="0.2">
      <c r="A1706" s="168"/>
      <c r="B1706" s="40" t="str">
        <f ca="1">语言!$A$2125</f>
        <v>富商</v>
      </c>
      <c r="C1706" s="168" t="b">
        <v>0</v>
      </c>
      <c r="D1706" s="40" t="str">
        <f ca="1">"* "&amp;道具!$F$18</f>
        <v>* 信用证明书</v>
      </c>
      <c r="E1706" s="168" t="b">
        <v>0</v>
      </c>
      <c r="F1706" s="38" t="str">
        <f ca="1">语言!$A$23</f>
        <v>无</v>
      </c>
      <c r="G1706" s="168"/>
      <c r="H1706" s="177" t="s">
        <v>119</v>
      </c>
      <c r="I1706" s="177" t="s">
        <v>119</v>
      </c>
      <c r="J1706" s="177" t="s">
        <v>119</v>
      </c>
      <c r="K1706" s="177" t="s">
        <v>119</v>
      </c>
      <c r="L1706" s="177" t="s">
        <v>119</v>
      </c>
      <c r="M1706" s="177" t="s">
        <v>119</v>
      </c>
      <c r="N1706" s="177" t="s">
        <v>119</v>
      </c>
      <c r="O1706" s="177" t="s">
        <v>119</v>
      </c>
      <c r="P1706" s="168"/>
      <c r="Q1706" s="177" t="s">
        <v>119</v>
      </c>
      <c r="R1706" s="177" t="s">
        <v>119</v>
      </c>
      <c r="S1706" s="177" t="s">
        <v>119</v>
      </c>
      <c r="T1706" s="177" t="s">
        <v>119</v>
      </c>
      <c r="U1706" s="168"/>
      <c r="V1706" s="38" t="str">
        <f ca="1">"NPC available only during "&amp;语言!$A$41&amp;" Chapter 1"</f>
        <v>NPC available only during 泰里翁 Chapter 1</v>
      </c>
      <c r="W1706" s="168"/>
    </row>
    <row r="1707" spans="1:23" ht="12.75" x14ac:dyDescent="0.2">
      <c r="A1707" s="168"/>
      <c r="B1707" s="552" t="str">
        <f ca="1">语言!$A$459</f>
        <v>柏达弗尔 -宅邸前-</v>
      </c>
      <c r="C1707" s="371"/>
      <c r="D1707" s="371"/>
      <c r="E1707" s="371"/>
      <c r="F1707" s="371"/>
      <c r="G1707" s="371"/>
      <c r="H1707" s="371"/>
      <c r="I1707" s="371"/>
      <c r="J1707" s="371"/>
      <c r="K1707" s="371"/>
      <c r="L1707" s="371"/>
      <c r="M1707" s="371"/>
      <c r="N1707" s="371"/>
      <c r="O1707" s="371"/>
      <c r="P1707" s="371"/>
      <c r="Q1707" s="371"/>
      <c r="R1707" s="371"/>
      <c r="S1707" s="371"/>
      <c r="T1707" s="371"/>
      <c r="U1707" s="371"/>
      <c r="V1707" s="371"/>
      <c r="W1707" s="168"/>
    </row>
    <row r="1708" spans="1:23" ht="12.75" x14ac:dyDescent="0.2">
      <c r="A1708" s="168"/>
      <c r="B1708" s="472" t="str">
        <f ca="1">语言!$A$1963&amp;" (1)"</f>
        <v>莉布拉克 (1)</v>
      </c>
      <c r="C1708" s="554"/>
      <c r="D1708" s="560" t="s">
        <v>119</v>
      </c>
      <c r="E1708" s="554"/>
      <c r="F1708" s="559" t="s">
        <v>119</v>
      </c>
      <c r="G1708" s="554"/>
      <c r="H1708" s="559" t="s">
        <v>119</v>
      </c>
      <c r="I1708" s="559" t="s">
        <v>119</v>
      </c>
      <c r="J1708" s="559" t="s">
        <v>119</v>
      </c>
      <c r="K1708" s="559" t="s">
        <v>119</v>
      </c>
      <c r="L1708" s="559" t="s">
        <v>119</v>
      </c>
      <c r="M1708" s="559" t="s">
        <v>119</v>
      </c>
      <c r="N1708" s="559" t="s">
        <v>119</v>
      </c>
      <c r="O1708" s="559" t="s">
        <v>119</v>
      </c>
      <c r="P1708" s="554"/>
      <c r="Q1708" s="559" t="s">
        <v>119</v>
      </c>
      <c r="R1708" s="559" t="s">
        <v>119</v>
      </c>
      <c r="S1708" s="559" t="s">
        <v>119</v>
      </c>
      <c r="T1708" s="559" t="s">
        <v>119</v>
      </c>
      <c r="U1708" s="554"/>
      <c r="V1708" s="471" t="str">
        <f ca="1">"NPC available after "&amp;语言!$A$41&amp;" chapter 1
Moves to "&amp;语言!$A$441&amp;" after quest: "&amp;支线!$C$116</f>
        <v>NPC available after 泰里翁 chapter 1
Moves to 圣特布里吉 after quest: 命中注定之人（１）</v>
      </c>
      <c r="W1708" s="168"/>
    </row>
    <row r="1709" spans="1:23" ht="12.75" x14ac:dyDescent="0.2">
      <c r="A1709" s="168"/>
      <c r="B1709" s="555"/>
      <c r="C1709" s="555"/>
      <c r="D1709" s="555"/>
      <c r="E1709" s="555"/>
      <c r="F1709" s="555"/>
      <c r="G1709" s="555"/>
      <c r="H1709" s="555"/>
      <c r="I1709" s="555"/>
      <c r="J1709" s="555"/>
      <c r="K1709" s="555"/>
      <c r="L1709" s="555"/>
      <c r="M1709" s="555"/>
      <c r="N1709" s="555"/>
      <c r="O1709" s="555"/>
      <c r="P1709" s="555"/>
      <c r="Q1709" s="555"/>
      <c r="R1709" s="555"/>
      <c r="S1709" s="555"/>
      <c r="T1709" s="555"/>
      <c r="U1709" s="555"/>
      <c r="V1709" s="555"/>
      <c r="W1709" s="168"/>
    </row>
    <row r="1710" spans="1:23" ht="12.75" x14ac:dyDescent="0.2">
      <c r="A1710" s="168"/>
      <c r="B1710" s="472" t="str">
        <f ca="1">语言!$A$1766&amp;" (1)"</f>
        <v>阿尔法丝 (1)</v>
      </c>
      <c r="C1710" s="168" t="b">
        <v>0</v>
      </c>
      <c r="D1710" s="40" t="str">
        <f ca="1">道具!$C$23</f>
        <v>恐怖治疗药草</v>
      </c>
      <c r="E1710" s="554"/>
      <c r="F1710" s="559" t="s">
        <v>119</v>
      </c>
      <c r="G1710" s="554" t="b">
        <v>0</v>
      </c>
      <c r="H1710" s="556" t="s">
        <v>49</v>
      </c>
      <c r="I1710" s="471">
        <v>4</v>
      </c>
      <c r="J1710" s="471"/>
      <c r="K1710" s="471"/>
      <c r="L1710" s="471"/>
      <c r="M1710" s="471"/>
      <c r="N1710" s="471"/>
      <c r="O1710" s="471" t="str">
        <f ca="1">道具!$C$137</f>
        <v>魔力之剑</v>
      </c>
      <c r="P1710" s="554"/>
      <c r="Q1710" s="559" t="s">
        <v>119</v>
      </c>
      <c r="R1710" s="559" t="s">
        <v>119</v>
      </c>
      <c r="S1710" s="559" t="s">
        <v>119</v>
      </c>
      <c r="T1710" s="559" t="s">
        <v>119</v>
      </c>
      <c r="U1710" s="554"/>
      <c r="V1710" s="471" t="str">
        <f ca="1">"NPC available after "&amp;语言!$A$41&amp;" chapter 1
Can't "&amp;语言!$A$46&amp;", only "&amp;语言!$A$50&amp;"
Moves to "&amp;语言!$A$441&amp;" upon starting quest: "&amp;支线!$C$102</f>
        <v>NPC available after 泰里翁 chapter 1
Can't 购买, only 偷取
Moves to 圣特布里吉 upon starting quest: 命中注定之人（２）</v>
      </c>
      <c r="W1710" s="168"/>
    </row>
    <row r="1711" spans="1:23" ht="12.75" x14ac:dyDescent="0.2">
      <c r="A1711" s="168"/>
      <c r="B1711" s="371"/>
      <c r="C1711" s="168" t="b">
        <v>0</v>
      </c>
      <c r="D1711" s="40" t="str">
        <f ca="1">道具!$C$4</f>
        <v>ＨＰ恢复的葡萄（大）</v>
      </c>
      <c r="E1711" s="371"/>
      <c r="F1711" s="371"/>
      <c r="G1711" s="371"/>
      <c r="H1711" s="371"/>
      <c r="I1711" s="371"/>
      <c r="J1711" s="371"/>
      <c r="K1711" s="371"/>
      <c r="L1711" s="371"/>
      <c r="M1711" s="371"/>
      <c r="N1711" s="371"/>
      <c r="O1711" s="371"/>
      <c r="P1711" s="371"/>
      <c r="Q1711" s="371"/>
      <c r="R1711" s="371"/>
      <c r="S1711" s="371"/>
      <c r="T1711" s="371"/>
      <c r="U1711" s="371"/>
      <c r="V1711" s="371"/>
      <c r="W1711" s="168"/>
    </row>
    <row r="1712" spans="1:23" ht="25.5" x14ac:dyDescent="0.2">
      <c r="A1712" s="168"/>
      <c r="B1712" s="555"/>
      <c r="C1712" s="171" t="b">
        <v>0</v>
      </c>
      <c r="D1712" s="172" t="str">
        <f ca="1">道具!$C$11</f>
        <v>ＢＰ恢复的石榴（特大）</v>
      </c>
      <c r="E1712" s="555"/>
      <c r="F1712" s="555"/>
      <c r="G1712" s="555"/>
      <c r="H1712" s="555"/>
      <c r="I1712" s="555"/>
      <c r="J1712" s="555"/>
      <c r="K1712" s="555"/>
      <c r="L1712" s="555"/>
      <c r="M1712" s="555"/>
      <c r="N1712" s="555"/>
      <c r="O1712" s="555"/>
      <c r="P1712" s="555"/>
      <c r="Q1712" s="555"/>
      <c r="R1712" s="555"/>
      <c r="S1712" s="555"/>
      <c r="T1712" s="555"/>
      <c r="U1712" s="555"/>
      <c r="V1712" s="555"/>
      <c r="W1712" s="168"/>
    </row>
    <row r="1713" spans="1:23" ht="12.75" x14ac:dyDescent="0.2">
      <c r="A1713" s="168"/>
      <c r="B1713" s="472" t="str">
        <f ca="1">语言!$A$1903</f>
        <v>卫兵</v>
      </c>
      <c r="C1713" s="168" t="b">
        <v>0</v>
      </c>
      <c r="D1713" s="40" t="str">
        <f ca="1">道具!$C$22</f>
        <v>睡眠治疗药草</v>
      </c>
      <c r="E1713" s="554" t="b">
        <v>0</v>
      </c>
      <c r="F1713" s="471" t="str">
        <f ca="1">语言!$A$23</f>
        <v>无</v>
      </c>
      <c r="G1713" s="554" t="b">
        <v>0</v>
      </c>
      <c r="H1713" s="556" t="s">
        <v>49</v>
      </c>
      <c r="I1713" s="471">
        <v>4</v>
      </c>
      <c r="J1713" s="471"/>
      <c r="K1713" s="471"/>
      <c r="L1713" s="471"/>
      <c r="M1713" s="471"/>
      <c r="N1713" s="471"/>
      <c r="O1713" s="471" t="str">
        <f ca="1">道具!$C$3</f>
        <v>ＨＰ恢复的葡萄</v>
      </c>
      <c r="P1713" s="554"/>
      <c r="Q1713" s="556" t="s">
        <v>49</v>
      </c>
      <c r="R1713" s="38"/>
      <c r="S1713" s="38" t="str">
        <f ca="1">Summon!$I$45</f>
        <v>失明猛击</v>
      </c>
      <c r="T1713" s="556">
        <v>7</v>
      </c>
      <c r="U1713" s="554"/>
      <c r="V1713" s="471"/>
      <c r="W1713" s="168"/>
    </row>
    <row r="1714" spans="1:23" ht="12.75" x14ac:dyDescent="0.2">
      <c r="A1714" s="168"/>
      <c r="B1714" s="371"/>
      <c r="C1714" s="168" t="b">
        <v>0</v>
      </c>
      <c r="D1714" s="40" t="str">
        <f ca="1">道具!$C$22</f>
        <v>睡眠治疗药草</v>
      </c>
      <c r="E1714" s="371"/>
      <c r="F1714" s="371"/>
      <c r="G1714" s="371"/>
      <c r="H1714" s="371"/>
      <c r="I1714" s="371"/>
      <c r="J1714" s="371"/>
      <c r="K1714" s="371"/>
      <c r="L1714" s="371"/>
      <c r="M1714" s="371"/>
      <c r="N1714" s="371"/>
      <c r="O1714" s="371"/>
      <c r="P1714" s="371"/>
      <c r="Q1714" s="371"/>
      <c r="R1714" s="38"/>
      <c r="S1714" s="38" t="str">
        <f ca="1">Summon!$I$42</f>
        <v>猛击</v>
      </c>
      <c r="T1714" s="371"/>
      <c r="U1714" s="371"/>
      <c r="V1714" s="371"/>
      <c r="W1714" s="168"/>
    </row>
    <row r="1715" spans="1:23" ht="12.75" x14ac:dyDescent="0.2">
      <c r="A1715" s="168"/>
      <c r="B1715" s="555"/>
      <c r="C1715" s="171" t="b">
        <v>0</v>
      </c>
      <c r="D1715" s="172" t="str">
        <f ca="1">道具!$C$22</f>
        <v>睡眠治疗药草</v>
      </c>
      <c r="E1715" s="555"/>
      <c r="F1715" s="555"/>
      <c r="G1715" s="555"/>
      <c r="H1715" s="555"/>
      <c r="I1715" s="555"/>
      <c r="J1715" s="555"/>
      <c r="K1715" s="555"/>
      <c r="L1715" s="555"/>
      <c r="M1715" s="555"/>
      <c r="N1715" s="555"/>
      <c r="O1715" s="555"/>
      <c r="P1715" s="555"/>
      <c r="Q1715" s="555"/>
      <c r="R1715" s="173"/>
      <c r="S1715" s="173" t="str">
        <f ca="1">Summon!$I$4</f>
        <v>战斗</v>
      </c>
      <c r="T1715" s="555"/>
      <c r="U1715" s="555"/>
      <c r="V1715" s="555"/>
      <c r="W1715" s="168"/>
    </row>
    <row r="1716" spans="1:23" ht="12.75" x14ac:dyDescent="0.2">
      <c r="A1716" s="168"/>
      <c r="B1716" s="472" t="str">
        <f ca="1">语言!$A$1903</f>
        <v>卫兵</v>
      </c>
      <c r="C1716" s="168" t="b">
        <v>0</v>
      </c>
      <c r="D1716" s="40" t="str">
        <f ca="1">道具!$C$6</f>
        <v>ＳＰ恢复的李子</v>
      </c>
      <c r="E1716" s="554" t="b">
        <v>0</v>
      </c>
      <c r="F1716" s="471" t="str">
        <f ca="1">语言!$A$23</f>
        <v>无</v>
      </c>
      <c r="G1716" s="554" t="b">
        <v>0</v>
      </c>
      <c r="H1716" s="556" t="s">
        <v>47</v>
      </c>
      <c r="I1716" s="471">
        <v>4</v>
      </c>
      <c r="J1716" s="471"/>
      <c r="K1716" s="471"/>
      <c r="L1716" s="471"/>
      <c r="M1716" s="471"/>
      <c r="N1716" s="471"/>
      <c r="O1716" s="471" t="str">
        <f ca="1">道具!$C$14</f>
        <v>复活的橄榄</v>
      </c>
      <c r="P1716" s="554"/>
      <c r="Q1716" s="556" t="s">
        <v>47</v>
      </c>
      <c r="R1716" s="38"/>
      <c r="S1716" s="38" t="str">
        <f ca="1">Summon!$I$9</f>
        <v>高速推进</v>
      </c>
      <c r="T1716" s="556">
        <v>6</v>
      </c>
      <c r="U1716" s="554"/>
      <c r="V1716" s="471"/>
      <c r="W1716" s="168"/>
    </row>
    <row r="1717" spans="1:23" ht="12.75" x14ac:dyDescent="0.2">
      <c r="A1717" s="168"/>
      <c r="B1717" s="371"/>
      <c r="C1717" s="168" t="b">
        <v>0</v>
      </c>
      <c r="D1717" s="40" t="str">
        <f ca="1">道具!$C$7</f>
        <v>ＳＰ恢复的李子（大）</v>
      </c>
      <c r="E1717" s="371"/>
      <c r="F1717" s="371"/>
      <c r="G1717" s="371"/>
      <c r="H1717" s="371"/>
      <c r="I1717" s="371"/>
      <c r="J1717" s="371"/>
      <c r="K1717" s="371"/>
      <c r="L1717" s="371"/>
      <c r="M1717" s="371"/>
      <c r="N1717" s="371"/>
      <c r="O1717" s="371"/>
      <c r="P1717" s="371"/>
      <c r="Q1717" s="371"/>
      <c r="R1717" s="38"/>
      <c r="S1717" s="38" t="str">
        <f ca="1">Summon!$I$6</f>
        <v>斩击</v>
      </c>
      <c r="T1717" s="371"/>
      <c r="U1717" s="371"/>
      <c r="V1717" s="371"/>
      <c r="W1717" s="168"/>
    </row>
    <row r="1718" spans="1:23" ht="12.75" x14ac:dyDescent="0.2">
      <c r="A1718" s="168"/>
      <c r="B1718" s="555"/>
      <c r="C1718" s="171"/>
      <c r="D1718" s="172"/>
      <c r="E1718" s="555"/>
      <c r="F1718" s="555"/>
      <c r="G1718" s="555"/>
      <c r="H1718" s="555"/>
      <c r="I1718" s="555"/>
      <c r="J1718" s="555"/>
      <c r="K1718" s="555"/>
      <c r="L1718" s="555"/>
      <c r="M1718" s="555"/>
      <c r="N1718" s="555"/>
      <c r="O1718" s="555"/>
      <c r="P1718" s="555"/>
      <c r="Q1718" s="555"/>
      <c r="R1718" s="173"/>
      <c r="S1718" s="173" t="str">
        <f ca="1">Summon!$I$4</f>
        <v>战斗</v>
      </c>
      <c r="T1718" s="555"/>
      <c r="U1718" s="555"/>
      <c r="V1718" s="555"/>
      <c r="W1718" s="168"/>
    </row>
    <row r="1719" spans="1:23" ht="12.75" x14ac:dyDescent="0.2">
      <c r="A1719" s="168"/>
      <c r="B1719" s="472" t="str">
        <f ca="1">语言!$A$1905</f>
        <v>卫兵队长</v>
      </c>
      <c r="C1719" s="554" t="b">
        <v>0</v>
      </c>
      <c r="D1719" s="472" t="str">
        <f ca="1">道具!$C$520</f>
        <v>睡眠耐性石</v>
      </c>
      <c r="E1719" s="554" t="b">
        <v>0</v>
      </c>
      <c r="F1719" s="471" t="str">
        <f ca="1">语言!$A$23</f>
        <v>无</v>
      </c>
      <c r="G1719" s="554" t="b">
        <v>0</v>
      </c>
      <c r="H1719" s="556" t="s">
        <v>44</v>
      </c>
      <c r="I1719" s="471">
        <v>6</v>
      </c>
      <c r="J1719" s="471"/>
      <c r="K1719" s="471"/>
      <c r="L1719" s="471"/>
      <c r="M1719" s="471"/>
      <c r="N1719" s="471"/>
      <c r="O1719" s="471" t="str">
        <f ca="1">道具!$C$202</f>
        <v>历战短剑</v>
      </c>
      <c r="P1719" s="554"/>
      <c r="Q1719" s="556" t="s">
        <v>44</v>
      </c>
      <c r="R1719" s="38"/>
      <c r="S1719" s="38" t="str">
        <f ca="1">Summon!$I$25</f>
        <v>斩首</v>
      </c>
      <c r="T1719" s="556">
        <v>5</v>
      </c>
      <c r="U1719" s="554"/>
      <c r="V1719" s="471"/>
      <c r="W1719" s="168"/>
    </row>
    <row r="1720" spans="1:23" ht="12.75" x14ac:dyDescent="0.2">
      <c r="A1720" s="168"/>
      <c r="B1720" s="371"/>
      <c r="C1720" s="371"/>
      <c r="D1720" s="371"/>
      <c r="E1720" s="371"/>
      <c r="F1720" s="371"/>
      <c r="G1720" s="371"/>
      <c r="H1720" s="371"/>
      <c r="I1720" s="371"/>
      <c r="J1720" s="371"/>
      <c r="K1720" s="371"/>
      <c r="L1720" s="371"/>
      <c r="M1720" s="371"/>
      <c r="N1720" s="371"/>
      <c r="O1720" s="371"/>
      <c r="P1720" s="371"/>
      <c r="Q1720" s="371"/>
      <c r="R1720" s="38"/>
      <c r="S1720" s="38" t="str">
        <f ca="1">Summon!$I$9</f>
        <v>高速推进</v>
      </c>
      <c r="T1720" s="371"/>
      <c r="U1720" s="371"/>
      <c r="V1720" s="371"/>
      <c r="W1720" s="168"/>
    </row>
    <row r="1721" spans="1:23" ht="12.75" x14ac:dyDescent="0.2">
      <c r="A1721" s="168"/>
      <c r="B1721" s="555"/>
      <c r="C1721" s="555"/>
      <c r="D1721" s="555"/>
      <c r="E1721" s="555"/>
      <c r="F1721" s="555"/>
      <c r="G1721" s="555"/>
      <c r="H1721" s="555"/>
      <c r="I1721" s="555"/>
      <c r="J1721" s="555"/>
      <c r="K1721" s="555"/>
      <c r="L1721" s="555"/>
      <c r="M1721" s="555"/>
      <c r="N1721" s="555"/>
      <c r="O1721" s="555"/>
      <c r="P1721" s="555"/>
      <c r="Q1721" s="555"/>
      <c r="R1721" s="173"/>
      <c r="S1721" s="173" t="str">
        <f ca="1">Summon!$I$4</f>
        <v>战斗</v>
      </c>
      <c r="T1721" s="555"/>
      <c r="U1721" s="555"/>
      <c r="V1721" s="555"/>
      <c r="W1721" s="168"/>
    </row>
    <row r="1722" spans="1:23" ht="12.75" x14ac:dyDescent="0.2">
      <c r="A1722" s="168"/>
      <c r="B1722" s="472" t="str">
        <f ca="1">语言!$A$1903</f>
        <v>卫兵</v>
      </c>
      <c r="C1722" s="168" t="b">
        <v>0</v>
      </c>
      <c r="D1722" s="40" t="str">
        <f ca="1">道具!$C$3</f>
        <v>ＨＰ恢复的葡萄</v>
      </c>
      <c r="E1722" s="554" t="b">
        <v>0</v>
      </c>
      <c r="F1722" s="471" t="str">
        <f ca="1">语言!$A$33&amp;"
"&amp;道具!$C$198</f>
        <v>隐藏道具的资讯
战争长枪</v>
      </c>
      <c r="G1722" s="554" t="b">
        <v>0</v>
      </c>
      <c r="H1722" s="556" t="s">
        <v>47</v>
      </c>
      <c r="I1722" s="471">
        <v>4</v>
      </c>
      <c r="J1722" s="471"/>
      <c r="K1722" s="471"/>
      <c r="L1722" s="471"/>
      <c r="M1722" s="471"/>
      <c r="N1722" s="471"/>
      <c r="O1722" s="471" t="str">
        <f ca="1">道具!$C$3</f>
        <v>ＨＰ恢复的葡萄</v>
      </c>
      <c r="P1722" s="554"/>
      <c r="Q1722" s="556" t="s">
        <v>47</v>
      </c>
      <c r="R1722" s="38"/>
      <c r="S1722" s="38" t="str">
        <f ca="1">Summon!$I$23</f>
        <v>一闪</v>
      </c>
      <c r="T1722" s="556">
        <v>6</v>
      </c>
      <c r="U1722" s="554"/>
      <c r="V1722" s="471"/>
      <c r="W1722" s="168"/>
    </row>
    <row r="1723" spans="1:23" ht="12.75" x14ac:dyDescent="0.2">
      <c r="A1723" s="168"/>
      <c r="B1723" s="371"/>
      <c r="C1723" s="168" t="b">
        <v>0</v>
      </c>
      <c r="D1723" s="40" t="str">
        <f ca="1">道具!$C$4</f>
        <v>ＨＰ恢复的葡萄（大）</v>
      </c>
      <c r="E1723" s="371"/>
      <c r="F1723" s="371"/>
      <c r="G1723" s="371"/>
      <c r="H1723" s="371"/>
      <c r="I1723" s="371"/>
      <c r="J1723" s="371"/>
      <c r="K1723" s="371"/>
      <c r="L1723" s="371"/>
      <c r="M1723" s="371"/>
      <c r="N1723" s="371"/>
      <c r="O1723" s="371"/>
      <c r="P1723" s="371"/>
      <c r="Q1723" s="371"/>
      <c r="R1723" s="38"/>
      <c r="S1723" s="38" t="str">
        <f ca="1">Summon!$I$6</f>
        <v>斩击</v>
      </c>
      <c r="T1723" s="371"/>
      <c r="U1723" s="371"/>
      <c r="V1723" s="371"/>
      <c r="W1723" s="168"/>
    </row>
    <row r="1724" spans="1:23" ht="12.75" x14ac:dyDescent="0.2">
      <c r="A1724" s="168"/>
      <c r="B1724" s="555"/>
      <c r="C1724" s="171"/>
      <c r="D1724" s="172"/>
      <c r="E1724" s="555"/>
      <c r="F1724" s="555"/>
      <c r="G1724" s="555"/>
      <c r="H1724" s="555"/>
      <c r="I1724" s="555"/>
      <c r="J1724" s="555"/>
      <c r="K1724" s="555"/>
      <c r="L1724" s="555"/>
      <c r="M1724" s="555"/>
      <c r="N1724" s="555"/>
      <c r="O1724" s="555"/>
      <c r="P1724" s="555"/>
      <c r="Q1724" s="555"/>
      <c r="R1724" s="173"/>
      <c r="S1724" s="173" t="str">
        <f ca="1">Summon!$I$4</f>
        <v>战斗</v>
      </c>
      <c r="T1724" s="555"/>
      <c r="U1724" s="555"/>
      <c r="V1724" s="555"/>
      <c r="W1724" s="168"/>
    </row>
    <row r="1725" spans="1:23" ht="12.75" x14ac:dyDescent="0.2">
      <c r="A1725" s="168"/>
      <c r="B1725" s="472" t="str">
        <f ca="1">语言!$A$1903</f>
        <v>卫兵</v>
      </c>
      <c r="C1725" s="168" t="b">
        <v>0</v>
      </c>
      <c r="D1725" s="40" t="str">
        <f ca="1">道具!$C$102</f>
        <v>骨头</v>
      </c>
      <c r="E1725" s="554" t="b">
        <v>0</v>
      </c>
      <c r="F1725" s="471" t="str">
        <f ca="1">语言!$A$31</f>
        <v>「比试」必须等级降低资讯</v>
      </c>
      <c r="G1725" s="554" t="b">
        <v>0</v>
      </c>
      <c r="H1725" s="556" t="s">
        <v>50</v>
      </c>
      <c r="I1725" s="471">
        <v>4</v>
      </c>
      <c r="J1725" s="471"/>
      <c r="K1725" s="471"/>
      <c r="L1725" s="471"/>
      <c r="M1725" s="471"/>
      <c r="N1725" s="471"/>
      <c r="O1725" s="471" t="str">
        <f ca="1">道具!$C$18</f>
        <v>毒治疗药草</v>
      </c>
      <c r="P1725" s="554"/>
      <c r="Q1725" s="556" t="s">
        <v>50</v>
      </c>
      <c r="R1725" s="38"/>
      <c r="S1725" s="38" t="str">
        <f ca="1">Summon!$I$21</f>
        <v>乱斩</v>
      </c>
      <c r="T1725" s="556">
        <v>7</v>
      </c>
      <c r="U1725" s="554"/>
      <c r="V1725" s="471"/>
      <c r="W1725" s="168"/>
    </row>
    <row r="1726" spans="1:23" ht="12.75" x14ac:dyDescent="0.2">
      <c r="A1726" s="168"/>
      <c r="B1726" s="371"/>
      <c r="C1726" s="168" t="b">
        <v>0</v>
      </c>
      <c r="D1726" s="40" t="str">
        <f ca="1">道具!$C$9</f>
        <v>ＢＰ恢复的石榴</v>
      </c>
      <c r="E1726" s="371"/>
      <c r="F1726" s="371"/>
      <c r="G1726" s="371"/>
      <c r="H1726" s="371"/>
      <c r="I1726" s="371"/>
      <c r="J1726" s="371"/>
      <c r="K1726" s="371"/>
      <c r="L1726" s="371"/>
      <c r="M1726" s="371"/>
      <c r="N1726" s="371"/>
      <c r="O1726" s="371"/>
      <c r="P1726" s="371"/>
      <c r="Q1726" s="371"/>
      <c r="R1726" s="38"/>
      <c r="S1726" s="38" t="str">
        <f ca="1">Summon!$I$6</f>
        <v>斩击</v>
      </c>
      <c r="T1726" s="371"/>
      <c r="U1726" s="371"/>
      <c r="V1726" s="371"/>
      <c r="W1726" s="168"/>
    </row>
    <row r="1727" spans="1:23" ht="12.75" x14ac:dyDescent="0.2">
      <c r="A1727" s="168"/>
      <c r="B1727" s="555"/>
      <c r="C1727" s="171"/>
      <c r="D1727" s="172"/>
      <c r="E1727" s="555"/>
      <c r="F1727" s="555"/>
      <c r="G1727" s="555"/>
      <c r="H1727" s="555"/>
      <c r="I1727" s="555"/>
      <c r="J1727" s="555"/>
      <c r="K1727" s="555"/>
      <c r="L1727" s="555"/>
      <c r="M1727" s="555"/>
      <c r="N1727" s="555"/>
      <c r="O1727" s="555"/>
      <c r="P1727" s="555"/>
      <c r="Q1727" s="555"/>
      <c r="R1727" s="173"/>
      <c r="S1727" s="173" t="str">
        <f ca="1">Summon!$I$4</f>
        <v>战斗</v>
      </c>
      <c r="T1727" s="555"/>
      <c r="U1727" s="555"/>
      <c r="V1727" s="555"/>
      <c r="W1727" s="168"/>
    </row>
    <row r="1728" spans="1:23" ht="12.75" x14ac:dyDescent="0.2">
      <c r="A1728" s="168"/>
      <c r="B1728" s="472" t="str">
        <f ca="1">语言!$A$1906</f>
        <v>看门狗</v>
      </c>
      <c r="C1728" s="554"/>
      <c r="D1728" s="560" t="s">
        <v>119</v>
      </c>
      <c r="E1728" s="554" t="b">
        <v>0</v>
      </c>
      <c r="F1728" s="471" t="str">
        <f ca="1">语言!$A$33&amp;"
"&amp;道具!$C$104</f>
        <v>隐藏道具的资讯
脏脏的布球</v>
      </c>
      <c r="G1728" s="554"/>
      <c r="H1728" s="559" t="s">
        <v>119</v>
      </c>
      <c r="I1728" s="559" t="s">
        <v>119</v>
      </c>
      <c r="J1728" s="559" t="s">
        <v>119</v>
      </c>
      <c r="K1728" s="559" t="s">
        <v>119</v>
      </c>
      <c r="L1728" s="559" t="s">
        <v>119</v>
      </c>
      <c r="M1728" s="559" t="s">
        <v>119</v>
      </c>
      <c r="N1728" s="559" t="s">
        <v>119</v>
      </c>
      <c r="O1728" s="559" t="s">
        <v>119</v>
      </c>
      <c r="P1728" s="554"/>
      <c r="Q1728" s="559" t="s">
        <v>119</v>
      </c>
      <c r="R1728" s="559" t="s">
        <v>119</v>
      </c>
      <c r="S1728" s="559" t="s">
        <v>119</v>
      </c>
      <c r="T1728" s="559" t="s">
        <v>119</v>
      </c>
      <c r="U1728" s="554"/>
      <c r="V1728" s="471"/>
      <c r="W1728" s="168"/>
    </row>
    <row r="1729" spans="1:23" ht="12.75" x14ac:dyDescent="0.2">
      <c r="A1729" s="168"/>
      <c r="B1729" s="555"/>
      <c r="C1729" s="555"/>
      <c r="D1729" s="555"/>
      <c r="E1729" s="555"/>
      <c r="F1729" s="555"/>
      <c r="G1729" s="555"/>
      <c r="H1729" s="555"/>
      <c r="I1729" s="555"/>
      <c r="J1729" s="555"/>
      <c r="K1729" s="555"/>
      <c r="L1729" s="555"/>
      <c r="M1729" s="555"/>
      <c r="N1729" s="555"/>
      <c r="O1729" s="555"/>
      <c r="P1729" s="555"/>
      <c r="Q1729" s="555"/>
      <c r="R1729" s="555"/>
      <c r="S1729" s="555"/>
      <c r="T1729" s="555"/>
      <c r="U1729" s="555"/>
      <c r="V1729" s="555"/>
      <c r="W1729" s="168"/>
    </row>
    <row r="1730" spans="1:23" ht="12.75" x14ac:dyDescent="0.2">
      <c r="A1730" s="168"/>
      <c r="B1730" s="472" t="str">
        <f ca="1">语言!$A$1906</f>
        <v>看门狗</v>
      </c>
      <c r="C1730" s="554"/>
      <c r="D1730" s="560" t="s">
        <v>119</v>
      </c>
      <c r="E1730" s="554" t="b">
        <v>0</v>
      </c>
      <c r="F1730" s="471" t="str">
        <f ca="1">语言!$A$33&amp;"
"&amp;道具!$C$103</f>
        <v>隐藏道具的资讯
磨损的鞋子</v>
      </c>
      <c r="G1730" s="554"/>
      <c r="H1730" s="559" t="s">
        <v>119</v>
      </c>
      <c r="I1730" s="559" t="s">
        <v>119</v>
      </c>
      <c r="J1730" s="559" t="s">
        <v>119</v>
      </c>
      <c r="K1730" s="559" t="s">
        <v>119</v>
      </c>
      <c r="L1730" s="559" t="s">
        <v>119</v>
      </c>
      <c r="M1730" s="559" t="s">
        <v>119</v>
      </c>
      <c r="N1730" s="559" t="s">
        <v>119</v>
      </c>
      <c r="O1730" s="559" t="s">
        <v>119</v>
      </c>
      <c r="P1730" s="554"/>
      <c r="Q1730" s="559" t="s">
        <v>119</v>
      </c>
      <c r="R1730" s="559" t="s">
        <v>119</v>
      </c>
      <c r="S1730" s="559" t="s">
        <v>119</v>
      </c>
      <c r="T1730" s="559" t="s">
        <v>119</v>
      </c>
      <c r="U1730" s="554"/>
      <c r="V1730" s="471"/>
      <c r="W1730" s="168"/>
    </row>
    <row r="1731" spans="1:23" ht="12.75" x14ac:dyDescent="0.2">
      <c r="A1731" s="168"/>
      <c r="B1731" s="555"/>
      <c r="C1731" s="555"/>
      <c r="D1731" s="555"/>
      <c r="E1731" s="555"/>
      <c r="F1731" s="555"/>
      <c r="G1731" s="555"/>
      <c r="H1731" s="555"/>
      <c r="I1731" s="555"/>
      <c r="J1731" s="555"/>
      <c r="K1731" s="555"/>
      <c r="L1731" s="555"/>
      <c r="M1731" s="555"/>
      <c r="N1731" s="555"/>
      <c r="O1731" s="555"/>
      <c r="P1731" s="555"/>
      <c r="Q1731" s="555"/>
      <c r="R1731" s="555"/>
      <c r="S1731" s="555"/>
      <c r="T1731" s="555"/>
      <c r="U1731" s="555"/>
      <c r="V1731" s="555"/>
      <c r="W1731" s="168"/>
    </row>
    <row r="1732" spans="1:23" ht="12.75" x14ac:dyDescent="0.2">
      <c r="A1732" s="168"/>
      <c r="B1732" s="472" t="str">
        <f ca="1">语言!$A$1906</f>
        <v>看门狗</v>
      </c>
      <c r="C1732" s="554"/>
      <c r="D1732" s="560" t="s">
        <v>119</v>
      </c>
      <c r="E1732" s="554" t="b">
        <v>0</v>
      </c>
      <c r="F1732" s="471" t="str">
        <f ca="1">语言!$A$33&amp;"
"&amp;道具!$C$349</f>
        <v>隐藏道具的资讯
闪避之盾</v>
      </c>
      <c r="G1732" s="554"/>
      <c r="H1732" s="559" t="s">
        <v>119</v>
      </c>
      <c r="I1732" s="559" t="s">
        <v>119</v>
      </c>
      <c r="J1732" s="559" t="s">
        <v>119</v>
      </c>
      <c r="K1732" s="559" t="s">
        <v>119</v>
      </c>
      <c r="L1732" s="559" t="s">
        <v>119</v>
      </c>
      <c r="M1732" s="559" t="s">
        <v>119</v>
      </c>
      <c r="N1732" s="559" t="s">
        <v>119</v>
      </c>
      <c r="O1732" s="559" t="s">
        <v>119</v>
      </c>
      <c r="P1732" s="554"/>
      <c r="Q1732" s="559" t="s">
        <v>119</v>
      </c>
      <c r="R1732" s="559" t="s">
        <v>119</v>
      </c>
      <c r="S1732" s="559" t="s">
        <v>119</v>
      </c>
      <c r="T1732" s="559" t="s">
        <v>119</v>
      </c>
      <c r="U1732" s="554"/>
      <c r="V1732" s="471"/>
      <c r="W1732" s="168"/>
    </row>
    <row r="1733" spans="1:23" ht="12.75" x14ac:dyDescent="0.2">
      <c r="A1733" s="168"/>
      <c r="B1733" s="555"/>
      <c r="C1733" s="555"/>
      <c r="D1733" s="555"/>
      <c r="E1733" s="555"/>
      <c r="F1733" s="555"/>
      <c r="G1733" s="555"/>
      <c r="H1733" s="555"/>
      <c r="I1733" s="555"/>
      <c r="J1733" s="555"/>
      <c r="K1733" s="555"/>
      <c r="L1733" s="555"/>
      <c r="M1733" s="555"/>
      <c r="N1733" s="555"/>
      <c r="O1733" s="555"/>
      <c r="P1733" s="555"/>
      <c r="Q1733" s="555"/>
      <c r="R1733" s="555"/>
      <c r="S1733" s="555"/>
      <c r="T1733" s="555"/>
      <c r="U1733" s="555"/>
      <c r="V1733" s="555"/>
      <c r="W1733" s="168"/>
    </row>
    <row r="1734" spans="1:23" ht="12.75" x14ac:dyDescent="0.2">
      <c r="A1734" s="168"/>
      <c r="B1734" s="472" t="str">
        <f ca="1">语言!$A$1834&amp;" (2)"</f>
        <v>寇蒂莉亚 (2)</v>
      </c>
      <c r="C1734" s="168" t="b">
        <v>0</v>
      </c>
      <c r="D1734" s="40" t="str">
        <f ca="1">道具!$C$5</f>
        <v>ＨＰ全体恢复的葡萄</v>
      </c>
      <c r="E1734" s="554" t="b">
        <v>0</v>
      </c>
      <c r="F1734" s="471" t="str">
        <f ca="1">语言!$A$23</f>
        <v>无</v>
      </c>
      <c r="G1734" s="554"/>
      <c r="H1734" s="559" t="s">
        <v>119</v>
      </c>
      <c r="I1734" s="559" t="s">
        <v>119</v>
      </c>
      <c r="J1734" s="559" t="s">
        <v>119</v>
      </c>
      <c r="K1734" s="559" t="s">
        <v>119</v>
      </c>
      <c r="L1734" s="559" t="s">
        <v>119</v>
      </c>
      <c r="M1734" s="559" t="s">
        <v>119</v>
      </c>
      <c r="N1734" s="559" t="s">
        <v>119</v>
      </c>
      <c r="O1734" s="559" t="s">
        <v>119</v>
      </c>
      <c r="P1734" s="554"/>
      <c r="Q1734" s="559" t="s">
        <v>119</v>
      </c>
      <c r="R1734" s="559" t="s">
        <v>119</v>
      </c>
      <c r="S1734" s="559" t="s">
        <v>119</v>
      </c>
      <c r="T1734" s="559" t="s">
        <v>119</v>
      </c>
      <c r="U1734" s="554"/>
      <c r="V1734" s="471" t="str">
        <f ca="1">"NPC at this location after quest: "&amp;支线!$C$56</f>
        <v>NPC at this location after quest: 寇蒂莉亚与诺雅，在那之后</v>
      </c>
      <c r="W1734" s="168"/>
    </row>
    <row r="1735" spans="1:23" ht="12.75" x14ac:dyDescent="0.2">
      <c r="A1735" s="168"/>
      <c r="B1735" s="371"/>
      <c r="C1735" s="168" t="b">
        <v>0</v>
      </c>
      <c r="D1735" s="40" t="str">
        <f ca="1">道具!$C$48</f>
        <v>暗之精灵石（特大）</v>
      </c>
      <c r="E1735" s="371"/>
      <c r="F1735" s="371"/>
      <c r="G1735" s="371"/>
      <c r="H1735" s="371"/>
      <c r="I1735" s="371"/>
      <c r="J1735" s="371"/>
      <c r="K1735" s="371"/>
      <c r="L1735" s="371"/>
      <c r="M1735" s="371"/>
      <c r="N1735" s="371"/>
      <c r="O1735" s="371"/>
      <c r="P1735" s="371"/>
      <c r="Q1735" s="371"/>
      <c r="R1735" s="371"/>
      <c r="S1735" s="371"/>
      <c r="T1735" s="371"/>
      <c r="U1735" s="371"/>
      <c r="V1735" s="371"/>
      <c r="W1735" s="168"/>
    </row>
    <row r="1736" spans="1:23" ht="12.75" x14ac:dyDescent="0.2">
      <c r="A1736" s="168"/>
      <c r="B1736" s="555"/>
      <c r="C1736" s="171" t="b">
        <v>0</v>
      </c>
      <c r="D1736" s="172" t="str">
        <f ca="1">道具!$C$120</f>
        <v>放了银块的皮袋</v>
      </c>
      <c r="E1736" s="555"/>
      <c r="F1736" s="555"/>
      <c r="G1736" s="555"/>
      <c r="H1736" s="555"/>
      <c r="I1736" s="555"/>
      <c r="J1736" s="555"/>
      <c r="K1736" s="555"/>
      <c r="L1736" s="555"/>
      <c r="M1736" s="555"/>
      <c r="N1736" s="555"/>
      <c r="O1736" s="555"/>
      <c r="P1736" s="555"/>
      <c r="Q1736" s="555"/>
      <c r="R1736" s="555"/>
      <c r="S1736" s="555"/>
      <c r="T1736" s="555"/>
      <c r="U1736" s="555"/>
      <c r="V1736" s="555"/>
      <c r="W1736" s="168"/>
    </row>
    <row r="1737" spans="1:23" ht="12.75" x14ac:dyDescent="0.2">
      <c r="A1737" s="168"/>
      <c r="B1737" s="472" t="str">
        <f ca="1">语言!$A$1914</f>
        <v>希斯柯特</v>
      </c>
      <c r="C1737" s="554" t="b">
        <v>0</v>
      </c>
      <c r="D1737" s="472" t="str">
        <f ca="1">道具!$C$161</f>
        <v>猎鹰军刀</v>
      </c>
      <c r="E1737" s="554" t="b">
        <v>0</v>
      </c>
      <c r="F1737" s="471" t="str">
        <f ca="1">语言!$A$23</f>
        <v>无</v>
      </c>
      <c r="G1737" s="554" t="b">
        <v>0</v>
      </c>
      <c r="H1737" s="556" t="s">
        <v>50</v>
      </c>
      <c r="I1737" s="471">
        <v>4</v>
      </c>
      <c r="J1737" s="471"/>
      <c r="K1737" s="471"/>
      <c r="L1737" s="471"/>
      <c r="M1737" s="471"/>
      <c r="N1737" s="471"/>
      <c r="O1737" s="471" t="str">
        <f ca="1">道具!$C$9</f>
        <v>ＢＰ恢复的石榴</v>
      </c>
      <c r="P1737" s="554"/>
      <c r="Q1737" s="556" t="s">
        <v>50</v>
      </c>
      <c r="R1737" s="38"/>
      <c r="S1737" s="38" t="str">
        <f ca="1">Summon!$I$27</f>
        <v>二连扫</v>
      </c>
      <c r="T1737" s="556">
        <v>7</v>
      </c>
      <c r="U1737" s="554"/>
      <c r="V1737" s="471" t="str">
        <f ca="1">"NPC available after "&amp;语言!$A$41&amp;" chapter 4
"&amp;语言!$A$44&amp;" / "&amp;语言!$A$48&amp;" available after quest: "&amp;支线!$C$119</f>
        <v>NPC available after 泰里翁 chapter 4
引导 / 诱惑 available after quest: 希斯柯特，在那之后</v>
      </c>
      <c r="W1737" s="168"/>
    </row>
    <row r="1738" spans="1:23" ht="12.75" x14ac:dyDescent="0.2">
      <c r="A1738" s="168"/>
      <c r="B1738" s="371"/>
      <c r="C1738" s="371"/>
      <c r="D1738" s="371"/>
      <c r="E1738" s="371"/>
      <c r="F1738" s="371"/>
      <c r="G1738" s="371"/>
      <c r="H1738" s="371"/>
      <c r="I1738" s="371"/>
      <c r="J1738" s="371"/>
      <c r="K1738" s="371"/>
      <c r="L1738" s="371"/>
      <c r="M1738" s="371"/>
      <c r="N1738" s="371"/>
      <c r="O1738" s="371"/>
      <c r="P1738" s="371"/>
      <c r="Q1738" s="371"/>
      <c r="R1738" s="38"/>
      <c r="S1738" s="38" t="str">
        <f ca="1">Summon!$I$17</f>
        <v>连续斩</v>
      </c>
      <c r="T1738" s="371"/>
      <c r="U1738" s="371"/>
      <c r="V1738" s="371"/>
      <c r="W1738" s="168"/>
    </row>
    <row r="1739" spans="1:23" ht="12.75" x14ac:dyDescent="0.2">
      <c r="A1739" s="168"/>
      <c r="B1739" s="555"/>
      <c r="C1739" s="555"/>
      <c r="D1739" s="555"/>
      <c r="E1739" s="555"/>
      <c r="F1739" s="555"/>
      <c r="G1739" s="555"/>
      <c r="H1739" s="555"/>
      <c r="I1739" s="555"/>
      <c r="J1739" s="555"/>
      <c r="K1739" s="555"/>
      <c r="L1739" s="555"/>
      <c r="M1739" s="555"/>
      <c r="N1739" s="555"/>
      <c r="O1739" s="555"/>
      <c r="P1739" s="555"/>
      <c r="Q1739" s="555"/>
      <c r="R1739" s="173"/>
      <c r="S1739" s="173" t="str">
        <f ca="1">Summon!$I$4</f>
        <v>战斗</v>
      </c>
      <c r="T1739" s="555"/>
      <c r="U1739" s="555"/>
      <c r="V1739" s="555"/>
      <c r="W1739" s="168"/>
    </row>
    <row r="1740" spans="1:23" ht="12.75" x14ac:dyDescent="0.2">
      <c r="A1740" s="168"/>
      <c r="B1740" s="472" t="str">
        <f ca="1">语言!$A$1903</f>
        <v>卫兵</v>
      </c>
      <c r="C1740" s="168" t="b">
        <v>0</v>
      </c>
      <c r="D1740" s="40" t="str">
        <f ca="1">道具!$C$84</f>
        <v>糖果</v>
      </c>
      <c r="E1740" s="554" t="b">
        <v>0</v>
      </c>
      <c r="F1740" s="471" t="str">
        <f ca="1">语言!$A$23</f>
        <v>无</v>
      </c>
      <c r="G1740" s="554" t="b">
        <v>0</v>
      </c>
      <c r="H1740" s="556" t="s">
        <v>50</v>
      </c>
      <c r="I1740" s="471">
        <v>4</v>
      </c>
      <c r="J1740" s="471"/>
      <c r="K1740" s="471"/>
      <c r="L1740" s="471"/>
      <c r="M1740" s="471"/>
      <c r="N1740" s="471"/>
      <c r="O1740" s="471" t="str">
        <f ca="1">道具!$C$19</f>
        <v>沉默治疗药草</v>
      </c>
      <c r="P1740" s="554"/>
      <c r="Q1740" s="556" t="s">
        <v>50</v>
      </c>
      <c r="R1740" s="38"/>
      <c r="S1740" s="38" t="str">
        <f ca="1">Summon!$I$68</f>
        <v>恐慌之矢</v>
      </c>
      <c r="T1740" s="556">
        <v>7</v>
      </c>
      <c r="U1740" s="554"/>
      <c r="V1740" s="471" t="str">
        <f ca="1">"NPC available upon starting "&amp;语言!$A$41&amp;" Chapter 1"</f>
        <v>NPC available upon starting 泰里翁 Chapter 1</v>
      </c>
      <c r="W1740" s="168"/>
    </row>
    <row r="1741" spans="1:23" ht="12.75" x14ac:dyDescent="0.2">
      <c r="A1741" s="168"/>
      <c r="B1741" s="371"/>
      <c r="C1741" s="168" t="b">
        <v>0</v>
      </c>
      <c r="D1741" s="40" t="str">
        <f ca="1">道具!$C$91</f>
        <v>树木果实</v>
      </c>
      <c r="E1741" s="371"/>
      <c r="F1741" s="371"/>
      <c r="G1741" s="371"/>
      <c r="H1741" s="371"/>
      <c r="I1741" s="371"/>
      <c r="J1741" s="371"/>
      <c r="K1741" s="371"/>
      <c r="L1741" s="371"/>
      <c r="M1741" s="371"/>
      <c r="N1741" s="371"/>
      <c r="O1741" s="371"/>
      <c r="P1741" s="371"/>
      <c r="Q1741" s="371"/>
      <c r="R1741" s="38"/>
      <c r="S1741" s="38" t="str">
        <f ca="1">Summon!$I$64</f>
        <v>精准射击</v>
      </c>
      <c r="T1741" s="371"/>
      <c r="U1741" s="371"/>
      <c r="V1741" s="371"/>
      <c r="W1741" s="168"/>
    </row>
    <row r="1742" spans="1:23" ht="12.75" x14ac:dyDescent="0.2">
      <c r="A1742" s="168"/>
      <c r="B1742" s="371"/>
      <c r="C1742" s="168"/>
      <c r="D1742" s="40"/>
      <c r="E1742" s="371"/>
      <c r="F1742" s="371"/>
      <c r="G1742" s="371"/>
      <c r="H1742" s="371"/>
      <c r="I1742" s="371"/>
      <c r="J1742" s="371"/>
      <c r="K1742" s="371"/>
      <c r="L1742" s="371"/>
      <c r="M1742" s="371"/>
      <c r="N1742" s="371"/>
      <c r="O1742" s="371"/>
      <c r="P1742" s="371"/>
      <c r="Q1742" s="371"/>
      <c r="R1742" s="38"/>
      <c r="S1742" s="38" t="str">
        <f ca="1">Summon!$I$4</f>
        <v>战斗</v>
      </c>
      <c r="T1742" s="371"/>
      <c r="U1742" s="371"/>
      <c r="V1742" s="371"/>
      <c r="W1742" s="168"/>
    </row>
    <row r="1743" spans="1:23" ht="18" x14ac:dyDescent="0.2">
      <c r="A1743" s="232"/>
      <c r="B1743" s="551" t="str">
        <f ca="1">语言!$A$323&amp;" 2"</f>
        <v>Tier 2</v>
      </c>
      <c r="C1743" s="371"/>
      <c r="D1743" s="371"/>
      <c r="E1743" s="371"/>
      <c r="F1743" s="371"/>
      <c r="G1743" s="371"/>
      <c r="H1743" s="371"/>
      <c r="I1743" s="371"/>
      <c r="J1743" s="371"/>
      <c r="K1743" s="371"/>
      <c r="L1743" s="371"/>
      <c r="M1743" s="371"/>
      <c r="N1743" s="371"/>
      <c r="O1743" s="371"/>
      <c r="P1743" s="371"/>
      <c r="Q1743" s="371"/>
      <c r="R1743" s="371"/>
      <c r="S1743" s="371"/>
      <c r="T1743" s="371"/>
      <c r="U1743" s="371"/>
      <c r="V1743" s="371"/>
      <c r="W1743" s="232"/>
    </row>
    <row r="1744" spans="1:23" ht="12.75" x14ac:dyDescent="0.2">
      <c r="A1744" s="168"/>
      <c r="B1744" s="552" t="str">
        <f ca="1">语言!$A$464</f>
        <v>库欧利克雷斯特</v>
      </c>
      <c r="C1744" s="371"/>
      <c r="D1744" s="371"/>
      <c r="E1744" s="371"/>
      <c r="F1744" s="371"/>
      <c r="G1744" s="371"/>
      <c r="H1744" s="371"/>
      <c r="I1744" s="371"/>
      <c r="J1744" s="371"/>
      <c r="K1744" s="371"/>
      <c r="L1744" s="371"/>
      <c r="M1744" s="371"/>
      <c r="N1744" s="371"/>
      <c r="O1744" s="371"/>
      <c r="P1744" s="371"/>
      <c r="Q1744" s="371"/>
      <c r="R1744" s="371"/>
      <c r="S1744" s="371"/>
      <c r="T1744" s="371"/>
      <c r="U1744" s="371"/>
      <c r="V1744" s="371"/>
      <c r="W1744" s="168"/>
    </row>
    <row r="1745" spans="1:23" ht="12.75" x14ac:dyDescent="0.2">
      <c r="A1745" s="168"/>
      <c r="B1745" s="472" t="str">
        <f ca="1">语言!$A$2102</f>
        <v>市民</v>
      </c>
      <c r="C1745" s="168" t="b">
        <v>0</v>
      </c>
      <c r="D1745" s="40" t="str">
        <f ca="1">道具!$C$263</f>
        <v>重斧</v>
      </c>
      <c r="E1745" s="554" t="b">
        <v>0</v>
      </c>
      <c r="F1745" s="471" t="str">
        <f ca="1">语言!$A$25</f>
        <v>「购买」杀价机率ＵＰ资讯</v>
      </c>
      <c r="G1745" s="554" t="b">
        <v>0</v>
      </c>
      <c r="H1745" s="556" t="s">
        <v>46</v>
      </c>
      <c r="I1745" s="471">
        <v>3</v>
      </c>
      <c r="J1745" s="471"/>
      <c r="K1745" s="471"/>
      <c r="L1745" s="471"/>
      <c r="M1745" s="471"/>
      <c r="N1745" s="471"/>
      <c r="O1745" s="471" t="str">
        <f ca="1">道具!$C$531</f>
        <v>秘药的素材（扩散）</v>
      </c>
      <c r="P1745" s="554"/>
      <c r="Q1745" s="556" t="s">
        <v>46</v>
      </c>
      <c r="R1745" s="38"/>
      <c r="S1745" s="38" t="str">
        <f ca="1">Summon!$I$40</f>
        <v>乱挥</v>
      </c>
      <c r="T1745" s="556">
        <v>8</v>
      </c>
      <c r="U1745" s="554"/>
      <c r="V1745" s="471"/>
      <c r="W1745" s="168"/>
    </row>
    <row r="1746" spans="1:23" ht="12.75" x14ac:dyDescent="0.2">
      <c r="A1746" s="168"/>
      <c r="B1746" s="371"/>
      <c r="C1746" s="168" t="b">
        <v>0</v>
      </c>
      <c r="D1746" s="40" t="str">
        <f ca="1">道具!$C$393</f>
        <v>铁制头盔</v>
      </c>
      <c r="E1746" s="371"/>
      <c r="F1746" s="371"/>
      <c r="G1746" s="371"/>
      <c r="H1746" s="371"/>
      <c r="I1746" s="371"/>
      <c r="J1746" s="371"/>
      <c r="K1746" s="371"/>
      <c r="L1746" s="371"/>
      <c r="M1746" s="371"/>
      <c r="N1746" s="371"/>
      <c r="O1746" s="371"/>
      <c r="P1746" s="371"/>
      <c r="Q1746" s="371"/>
      <c r="R1746" s="38"/>
      <c r="S1746" s="38" t="str">
        <f ca="1">Summon!$I$30</f>
        <v>突刺</v>
      </c>
      <c r="T1746" s="371"/>
      <c r="U1746" s="371"/>
      <c r="V1746" s="371"/>
      <c r="W1746" s="168"/>
    </row>
    <row r="1747" spans="1:23" ht="12.75" x14ac:dyDescent="0.2">
      <c r="A1747" s="168"/>
      <c r="B1747" s="555"/>
      <c r="C1747" s="171"/>
      <c r="D1747" s="172"/>
      <c r="E1747" s="555"/>
      <c r="F1747" s="555"/>
      <c r="G1747" s="555"/>
      <c r="H1747" s="555"/>
      <c r="I1747" s="555"/>
      <c r="J1747" s="555"/>
      <c r="K1747" s="555"/>
      <c r="L1747" s="555"/>
      <c r="M1747" s="555"/>
      <c r="N1747" s="555"/>
      <c r="O1747" s="555"/>
      <c r="P1747" s="555"/>
      <c r="Q1747" s="555"/>
      <c r="R1747" s="173"/>
      <c r="S1747" s="173" t="str">
        <f ca="1">Summon!$I$4</f>
        <v>战斗</v>
      </c>
      <c r="T1747" s="555"/>
      <c r="U1747" s="555"/>
      <c r="V1747" s="555"/>
      <c r="W1747" s="168"/>
    </row>
    <row r="1748" spans="1:23" ht="12.75" x14ac:dyDescent="0.2">
      <c r="A1748" s="168"/>
      <c r="B1748" s="472" t="str">
        <f ca="1">语言!$A$1890</f>
        <v>善治</v>
      </c>
      <c r="C1748" s="554" t="b">
        <v>0</v>
      </c>
      <c r="D1748" s="472" t="str">
        <f ca="1">道具!$F$54</f>
        <v>善治的地毯</v>
      </c>
      <c r="E1748" s="554" t="b">
        <v>0</v>
      </c>
      <c r="F1748" s="471" t="str">
        <f ca="1">语言!$A$23</f>
        <v>无</v>
      </c>
      <c r="G1748" s="554" t="b">
        <v>0</v>
      </c>
      <c r="H1748" s="556" t="s">
        <v>48</v>
      </c>
      <c r="I1748" s="471">
        <v>2</v>
      </c>
      <c r="J1748" s="471"/>
      <c r="K1748" s="471"/>
      <c r="L1748" s="471"/>
      <c r="M1748" s="471"/>
      <c r="N1748" s="471"/>
      <c r="O1748" s="471" t="str">
        <f ca="1">道具!$C$14</f>
        <v>复活的橄榄</v>
      </c>
      <c r="P1748" s="554"/>
      <c r="Q1748" s="556" t="s">
        <v>48</v>
      </c>
      <c r="R1748" s="38"/>
      <c r="S1748" s="38" t="str">
        <f ca="1">Summon!$I$78</f>
        <v>火焰魔法</v>
      </c>
      <c r="T1748" s="556">
        <v>9</v>
      </c>
      <c r="U1748" s="554"/>
      <c r="V1748" s="471"/>
      <c r="W1748" s="168"/>
    </row>
    <row r="1749" spans="1:23" ht="12.75" x14ac:dyDescent="0.2">
      <c r="A1749" s="168"/>
      <c r="B1749" s="555"/>
      <c r="C1749" s="555"/>
      <c r="D1749" s="555"/>
      <c r="E1749" s="555"/>
      <c r="F1749" s="555"/>
      <c r="G1749" s="555"/>
      <c r="H1749" s="555"/>
      <c r="I1749" s="555"/>
      <c r="J1749" s="555"/>
      <c r="K1749" s="555"/>
      <c r="L1749" s="555"/>
      <c r="M1749" s="555"/>
      <c r="N1749" s="555"/>
      <c r="O1749" s="555"/>
      <c r="P1749" s="555"/>
      <c r="Q1749" s="555"/>
      <c r="R1749" s="173"/>
      <c r="S1749" s="173" t="str">
        <f ca="1">Summon!$I$4</f>
        <v>战斗</v>
      </c>
      <c r="T1749" s="555"/>
      <c r="U1749" s="555"/>
      <c r="V1749" s="555"/>
      <c r="W1749" s="168"/>
    </row>
    <row r="1750" spans="1:23" ht="12.75" x14ac:dyDescent="0.2">
      <c r="A1750" s="168"/>
      <c r="B1750" s="472" t="str">
        <f ca="1">语言!$A$2102</f>
        <v>市民</v>
      </c>
      <c r="C1750" s="168" t="b">
        <v>0</v>
      </c>
      <c r="D1750" s="40" t="str">
        <f ca="1">道具!$C$99</f>
        <v>金矿石般的东西</v>
      </c>
      <c r="E1750" s="554" t="b">
        <v>0</v>
      </c>
      <c r="F1750" s="471" t="str">
        <f ca="1">道具!$I$63&amp;" /
"&amp;语言!$A$23</f>
        <v>目击证词 /
无</v>
      </c>
      <c r="G1750" s="554" t="b">
        <v>0</v>
      </c>
      <c r="H1750" s="556" t="s">
        <v>48</v>
      </c>
      <c r="I1750" s="471">
        <v>2</v>
      </c>
      <c r="J1750" s="471"/>
      <c r="K1750" s="471"/>
      <c r="L1750" s="471"/>
      <c r="M1750" s="471"/>
      <c r="N1750" s="471"/>
      <c r="O1750" s="471" t="str">
        <f ca="1">道具!$C$34</f>
        <v>冰之精灵石（大）</v>
      </c>
      <c r="P1750" s="554"/>
      <c r="Q1750" s="556" t="s">
        <v>48</v>
      </c>
      <c r="R1750" s="38"/>
      <c r="S1750" s="38" t="str">
        <f ca="1">Summon!$I$42</f>
        <v>猛击</v>
      </c>
      <c r="T1750" s="556">
        <v>9</v>
      </c>
      <c r="U1750" s="554"/>
      <c r="V1750" s="471" t="str">
        <f ca="1">"NPC available upon starting "&amp;语言!$A$36&amp;" chapter 2"</f>
        <v>NPC available upon starting 赛拉斯 chapter 2</v>
      </c>
      <c r="W1750" s="168"/>
    </row>
    <row r="1751" spans="1:23" ht="12.75" x14ac:dyDescent="0.2">
      <c r="A1751" s="168"/>
      <c r="B1751" s="371"/>
      <c r="C1751" s="168" t="b">
        <v>0</v>
      </c>
      <c r="D1751" s="40" t="str">
        <f ca="1">道具!$C$99</f>
        <v>金矿石般的东西</v>
      </c>
      <c r="E1751" s="371"/>
      <c r="F1751" s="371"/>
      <c r="G1751" s="371"/>
      <c r="H1751" s="371"/>
      <c r="I1751" s="371"/>
      <c r="J1751" s="371"/>
      <c r="K1751" s="371"/>
      <c r="L1751" s="371"/>
      <c r="M1751" s="371"/>
      <c r="N1751" s="371"/>
      <c r="O1751" s="371"/>
      <c r="P1751" s="371"/>
      <c r="Q1751" s="371"/>
      <c r="R1751" s="38"/>
      <c r="S1751" s="38" t="str">
        <f ca="1">Summon!$I$4</f>
        <v>战斗</v>
      </c>
      <c r="T1751" s="371"/>
      <c r="U1751" s="371"/>
      <c r="V1751" s="371"/>
      <c r="W1751" s="168"/>
    </row>
    <row r="1752" spans="1:23" ht="12.75" x14ac:dyDescent="0.2">
      <c r="A1752" s="168"/>
      <c r="B1752" s="555"/>
      <c r="C1752" s="171" t="b">
        <v>0</v>
      </c>
      <c r="D1752" s="172" t="str">
        <f ca="1">道具!$C$99</f>
        <v>金矿石般的东西</v>
      </c>
      <c r="E1752" s="555"/>
      <c r="F1752" s="555"/>
      <c r="G1752" s="555"/>
      <c r="H1752" s="555"/>
      <c r="I1752" s="555"/>
      <c r="J1752" s="555"/>
      <c r="K1752" s="555"/>
      <c r="L1752" s="555"/>
      <c r="M1752" s="555"/>
      <c r="N1752" s="555"/>
      <c r="O1752" s="555"/>
      <c r="P1752" s="555"/>
      <c r="Q1752" s="555"/>
      <c r="R1752" s="173"/>
      <c r="S1752" s="173"/>
      <c r="T1752" s="555"/>
      <c r="U1752" s="555"/>
      <c r="V1752" s="555"/>
      <c r="W1752" s="168"/>
    </row>
    <row r="1753" spans="1:23" ht="12.75" x14ac:dyDescent="0.2">
      <c r="A1753" s="168"/>
      <c r="B1753" s="472" t="str">
        <f ca="1">语言!$A$2102</f>
        <v>市民</v>
      </c>
      <c r="C1753" s="168" t="b">
        <v>0</v>
      </c>
      <c r="D1753" s="40" t="str">
        <f ca="1">道具!$C$257</f>
        <v>维京斧</v>
      </c>
      <c r="E1753" s="554" t="b">
        <v>0</v>
      </c>
      <c r="F1753" s="471" t="str">
        <f ca="1">道具!$I$53&amp;" /
"&amp;语言!$A$23</f>
        <v>下水道的情报 /
无</v>
      </c>
      <c r="G1753" s="554" t="b">
        <v>0</v>
      </c>
      <c r="H1753" s="556" t="s">
        <v>57</v>
      </c>
      <c r="I1753" s="471">
        <v>3</v>
      </c>
      <c r="J1753" s="471"/>
      <c r="K1753" s="471"/>
      <c r="L1753" s="471"/>
      <c r="M1753" s="471"/>
      <c r="N1753" s="471"/>
      <c r="O1753" s="471" t="str">
        <f ca="1">道具!$C$9</f>
        <v>ＢＰ恢复的石榴</v>
      </c>
      <c r="P1753" s="554"/>
      <c r="Q1753" s="556" t="s">
        <v>57</v>
      </c>
      <c r="R1753" s="38"/>
      <c r="S1753" s="38" t="str">
        <f ca="1">Summon!$I$42</f>
        <v>猛击</v>
      </c>
      <c r="T1753" s="556">
        <v>8</v>
      </c>
      <c r="U1753" s="554"/>
      <c r="V1753" s="471" t="str">
        <f ca="1">"NPC available upon starting "&amp;语言!$A$36&amp;" chapter 2"</f>
        <v>NPC available upon starting 赛拉斯 chapter 2</v>
      </c>
      <c r="W1753" s="168"/>
    </row>
    <row r="1754" spans="1:23" ht="12.75" x14ac:dyDescent="0.2">
      <c r="A1754" s="168"/>
      <c r="B1754" s="555"/>
      <c r="C1754" s="171" t="b">
        <v>0</v>
      </c>
      <c r="D1754" s="172" t="str">
        <f ca="1">道具!$C$387</f>
        <v>大头盔</v>
      </c>
      <c r="E1754" s="555"/>
      <c r="F1754" s="555"/>
      <c r="G1754" s="555"/>
      <c r="H1754" s="555"/>
      <c r="I1754" s="555"/>
      <c r="J1754" s="555"/>
      <c r="K1754" s="555"/>
      <c r="L1754" s="555"/>
      <c r="M1754" s="555"/>
      <c r="N1754" s="555"/>
      <c r="O1754" s="555"/>
      <c r="P1754" s="555"/>
      <c r="Q1754" s="555"/>
      <c r="R1754" s="173"/>
      <c r="S1754" s="173" t="str">
        <f ca="1">Summon!$I$4</f>
        <v>战斗</v>
      </c>
      <c r="T1754" s="555"/>
      <c r="U1754" s="555"/>
      <c r="V1754" s="555"/>
      <c r="W1754" s="168"/>
    </row>
    <row r="1755" spans="1:23" ht="12.75" x14ac:dyDescent="0.2">
      <c r="A1755" s="168"/>
      <c r="B1755" s="472" t="str">
        <f ca="1">语言!$A$1852&amp;" (2)"</f>
        <v>寻蛋的少女 /
艾蜜莉 (2)</v>
      </c>
      <c r="C1755" s="168" t="b">
        <v>0</v>
      </c>
      <c r="D1755" s="40" t="str">
        <f ca="1">道具!$C$14</f>
        <v>复活的橄榄</v>
      </c>
      <c r="E1755" s="554" t="b">
        <v>0</v>
      </c>
      <c r="F1755" s="471" t="str">
        <f ca="1">语言!$A$23</f>
        <v>无</v>
      </c>
      <c r="G1755" s="554"/>
      <c r="H1755" s="559" t="s">
        <v>119</v>
      </c>
      <c r="I1755" s="559" t="s">
        <v>119</v>
      </c>
      <c r="J1755" s="559" t="s">
        <v>119</v>
      </c>
      <c r="K1755" s="559" t="s">
        <v>119</v>
      </c>
      <c r="L1755" s="559" t="s">
        <v>119</v>
      </c>
      <c r="M1755" s="559" t="s">
        <v>119</v>
      </c>
      <c r="N1755" s="559" t="s">
        <v>119</v>
      </c>
      <c r="O1755" s="559" t="s">
        <v>119</v>
      </c>
      <c r="P1755" s="554"/>
      <c r="Q1755" s="559" t="s">
        <v>119</v>
      </c>
      <c r="R1755" s="559" t="s">
        <v>119</v>
      </c>
      <c r="S1755" s="559" t="s">
        <v>119</v>
      </c>
      <c r="T1755" s="559" t="s">
        <v>119</v>
      </c>
      <c r="U1755" s="554"/>
      <c r="V1755" s="471" t="str">
        <f ca="1">"NPC at this location after quest: "&amp;支线!$C$115&amp;"
Moves to "&amp;语言!$A$471&amp;" after quest: "&amp;支线!$C$121</f>
        <v>NPC at this location after quest: 托付龙蛋的少女艾蜜莉（１）
Moves to 欧亚威尔 after quest: 托付龙蛋的少女艾蜜莉（２）</v>
      </c>
      <c r="W1755" s="168"/>
    </row>
    <row r="1756" spans="1:23" ht="12.75" x14ac:dyDescent="0.2">
      <c r="A1756" s="168"/>
      <c r="B1756" s="371"/>
      <c r="C1756" s="168" t="b">
        <v>0</v>
      </c>
      <c r="D1756" s="40" t="str">
        <f ca="1">道具!$C$91</f>
        <v>树木果实</v>
      </c>
      <c r="E1756" s="371"/>
      <c r="F1756" s="371"/>
      <c r="G1756" s="371"/>
      <c r="H1756" s="371"/>
      <c r="I1756" s="371"/>
      <c r="J1756" s="371"/>
      <c r="K1756" s="371"/>
      <c r="L1756" s="371"/>
      <c r="M1756" s="371"/>
      <c r="N1756" s="371"/>
      <c r="O1756" s="371"/>
      <c r="P1756" s="371"/>
      <c r="Q1756" s="371"/>
      <c r="R1756" s="371"/>
      <c r="S1756" s="371"/>
      <c r="T1756" s="371"/>
      <c r="U1756" s="371"/>
      <c r="V1756" s="371"/>
      <c r="W1756" s="168"/>
    </row>
    <row r="1757" spans="1:23" ht="12.75" x14ac:dyDescent="0.2">
      <c r="A1757" s="168"/>
      <c r="B1757" s="371"/>
      <c r="C1757" s="168" t="b">
        <v>0</v>
      </c>
      <c r="D1757" s="40" t="str">
        <f ca="1">道具!$C$98</f>
        <v>貌似金矿石的东西</v>
      </c>
      <c r="E1757" s="371"/>
      <c r="F1757" s="371"/>
      <c r="G1757" s="371"/>
      <c r="H1757" s="371"/>
      <c r="I1757" s="371"/>
      <c r="J1757" s="371"/>
      <c r="K1757" s="371"/>
      <c r="L1757" s="371"/>
      <c r="M1757" s="371"/>
      <c r="N1757" s="371"/>
      <c r="O1757" s="371"/>
      <c r="P1757" s="371"/>
      <c r="Q1757" s="371"/>
      <c r="R1757" s="371"/>
      <c r="S1757" s="371"/>
      <c r="T1757" s="371"/>
      <c r="U1757" s="371"/>
      <c r="V1757" s="371"/>
      <c r="W1757" s="168"/>
    </row>
    <row r="1758" spans="1:23" ht="12.75" x14ac:dyDescent="0.2">
      <c r="A1758" s="168"/>
      <c r="B1758" s="555"/>
      <c r="C1758" s="171" t="b">
        <v>0</v>
      </c>
      <c r="D1758" s="172" t="str">
        <f ca="1">道具!$C$16</f>
        <v>复活的橄榄（大）</v>
      </c>
      <c r="E1758" s="555"/>
      <c r="F1758" s="555"/>
      <c r="G1758" s="555"/>
      <c r="H1758" s="555"/>
      <c r="I1758" s="555"/>
      <c r="J1758" s="555"/>
      <c r="K1758" s="555"/>
      <c r="L1758" s="555"/>
      <c r="M1758" s="555"/>
      <c r="N1758" s="555"/>
      <c r="O1758" s="555"/>
      <c r="P1758" s="555"/>
      <c r="Q1758" s="555"/>
      <c r="R1758" s="555"/>
      <c r="S1758" s="555"/>
      <c r="T1758" s="555"/>
      <c r="U1758" s="555"/>
      <c r="V1758" s="555"/>
      <c r="W1758" s="168"/>
    </row>
    <row r="1759" spans="1:23" ht="12.75" x14ac:dyDescent="0.2">
      <c r="A1759" s="168"/>
      <c r="B1759" s="472" t="str">
        <f ca="1">语言!$A$1946</f>
        <v>工人</v>
      </c>
      <c r="C1759" s="168" t="b">
        <v>0</v>
      </c>
      <c r="D1759" s="40" t="str">
        <f ca="1">道具!$C$100</f>
        <v>看起来像金矿石的东西</v>
      </c>
      <c r="E1759" s="554" t="b">
        <v>0</v>
      </c>
      <c r="F1759" s="471" t="str">
        <f ca="1">语言!$A$23</f>
        <v>无</v>
      </c>
      <c r="G1759" s="554" t="b">
        <v>0</v>
      </c>
      <c r="H1759" s="556" t="s">
        <v>51</v>
      </c>
      <c r="I1759" s="471">
        <v>5</v>
      </c>
      <c r="J1759" s="471"/>
      <c r="K1759" s="471"/>
      <c r="L1759" s="471"/>
      <c r="M1759" s="471"/>
      <c r="N1759" s="471"/>
      <c r="O1759" s="471" t="str">
        <f ca="1">道具!$C$207</f>
        <v>万速匕首</v>
      </c>
      <c r="P1759" s="554"/>
      <c r="Q1759" s="559" t="s">
        <v>119</v>
      </c>
      <c r="R1759" s="559" t="s">
        <v>119</v>
      </c>
      <c r="S1759" s="559" t="s">
        <v>119</v>
      </c>
      <c r="T1759" s="559" t="s">
        <v>119</v>
      </c>
      <c r="U1759" s="554"/>
      <c r="V1759" s="471" t="str">
        <f ca="1">道具!$C$100&amp;" Not for Sale"</f>
        <v>看起来像金矿石的东西 Not for Sale</v>
      </c>
      <c r="W1759" s="168"/>
    </row>
    <row r="1760" spans="1:23" ht="12.75" x14ac:dyDescent="0.2">
      <c r="A1760" s="168"/>
      <c r="B1760" s="555"/>
      <c r="C1760" s="171" t="b">
        <v>0</v>
      </c>
      <c r="D1760" s="172" t="str">
        <f ca="1">道具!$C$100</f>
        <v>看起来像金矿石的东西</v>
      </c>
      <c r="E1760" s="555"/>
      <c r="F1760" s="555"/>
      <c r="G1760" s="555"/>
      <c r="H1760" s="555"/>
      <c r="I1760" s="555"/>
      <c r="J1760" s="555"/>
      <c r="K1760" s="555"/>
      <c r="L1760" s="555"/>
      <c r="M1760" s="555"/>
      <c r="N1760" s="555"/>
      <c r="O1760" s="555"/>
      <c r="P1760" s="555"/>
      <c r="Q1760" s="555"/>
      <c r="R1760" s="555"/>
      <c r="S1760" s="555"/>
      <c r="T1760" s="555"/>
      <c r="U1760" s="555"/>
      <c r="V1760" s="555"/>
      <c r="W1760" s="168"/>
    </row>
    <row r="1761" spans="1:23" ht="12.75" x14ac:dyDescent="0.2">
      <c r="A1761" s="168"/>
      <c r="B1761" s="472" t="str">
        <f ca="1">语言!$A$1854</f>
        <v>老婆婆</v>
      </c>
      <c r="C1761" s="554" t="b">
        <v>0</v>
      </c>
      <c r="D1761" s="472" t="str">
        <f ca="1">道具!$C$175</f>
        <v>禁忌之枪</v>
      </c>
      <c r="E1761" s="554" t="b">
        <v>0</v>
      </c>
      <c r="F1761" s="471" t="str">
        <f ca="1">语言!$A$33&amp;"
"&amp;道具!$C$32</f>
        <v>隐藏道具的资讯
火之精灵石（特大）</v>
      </c>
      <c r="G1761" s="554" t="b">
        <v>0</v>
      </c>
      <c r="H1761" s="556" t="s">
        <v>48</v>
      </c>
      <c r="I1761" s="471">
        <v>2</v>
      </c>
      <c r="J1761" s="471"/>
      <c r="K1761" s="471"/>
      <c r="L1761" s="471"/>
      <c r="M1761" s="471"/>
      <c r="N1761" s="471"/>
      <c r="O1761" s="471" t="str">
        <f ca="1">道具!$C$7</f>
        <v>ＳＰ恢复的李子（大）</v>
      </c>
      <c r="P1761" s="554"/>
      <c r="Q1761" s="556" t="s">
        <v>48</v>
      </c>
      <c r="R1761" s="38"/>
      <c r="S1761" s="38" t="str">
        <f ca="1">Summon!$I$123</f>
        <v>恢复全体ＨＰ的技能</v>
      </c>
      <c r="T1761" s="556">
        <v>9</v>
      </c>
      <c r="U1761" s="554"/>
      <c r="V1761" s="471" t="str">
        <f ca="1">"Behind other NPC ("&amp;语言!$A$47&amp;" / "&amp;语言!$A$51&amp;")
Can't "&amp;语言!$A$50&amp;" "&amp;道具!$C$175&amp;", only "&amp;语言!$A$46</f>
        <v>Behind other NPC (比试 / 唆使)
Can't 偷取 禁忌之枪, only 购买</v>
      </c>
      <c r="W1761" s="168"/>
    </row>
    <row r="1762" spans="1:23" ht="12.75" x14ac:dyDescent="0.2">
      <c r="A1762" s="168"/>
      <c r="B1762" s="371"/>
      <c r="C1762" s="371"/>
      <c r="D1762" s="371"/>
      <c r="E1762" s="371"/>
      <c r="F1762" s="371"/>
      <c r="G1762" s="371"/>
      <c r="H1762" s="371"/>
      <c r="I1762" s="371"/>
      <c r="J1762" s="371"/>
      <c r="K1762" s="371"/>
      <c r="L1762" s="371"/>
      <c r="M1762" s="371"/>
      <c r="N1762" s="371"/>
      <c r="O1762" s="371"/>
      <c r="P1762" s="371"/>
      <c r="Q1762" s="371"/>
      <c r="R1762" s="38"/>
      <c r="S1762" s="38" t="str">
        <f ca="1">Summon!$I$64</f>
        <v>精准射击</v>
      </c>
      <c r="T1762" s="371"/>
      <c r="U1762" s="371"/>
      <c r="V1762" s="371"/>
      <c r="W1762" s="168"/>
    </row>
    <row r="1763" spans="1:23" ht="12.75" x14ac:dyDescent="0.2">
      <c r="A1763" s="168"/>
      <c r="B1763" s="555"/>
      <c r="C1763" s="555"/>
      <c r="D1763" s="555"/>
      <c r="E1763" s="555"/>
      <c r="F1763" s="555"/>
      <c r="G1763" s="555"/>
      <c r="H1763" s="555"/>
      <c r="I1763" s="555"/>
      <c r="J1763" s="555"/>
      <c r="K1763" s="555"/>
      <c r="L1763" s="555"/>
      <c r="M1763" s="555"/>
      <c r="N1763" s="555"/>
      <c r="O1763" s="555"/>
      <c r="P1763" s="555"/>
      <c r="Q1763" s="555"/>
      <c r="R1763" s="173"/>
      <c r="S1763" s="173" t="str">
        <f ca="1">Summon!$I$4</f>
        <v>战斗</v>
      </c>
      <c r="T1763" s="555"/>
      <c r="U1763" s="555"/>
      <c r="V1763" s="555"/>
      <c r="W1763" s="168"/>
    </row>
    <row r="1764" spans="1:23" ht="12.75" x14ac:dyDescent="0.2">
      <c r="A1764" s="168"/>
      <c r="B1764" s="472" t="str">
        <f ca="1">语言!$A$2102</f>
        <v>市民</v>
      </c>
      <c r="C1764" s="168" t="b">
        <v>0</v>
      </c>
      <c r="D1764" s="40" t="str">
        <f ca="1">道具!$C$12</f>
        <v>ＨＰ／ＳＰ恢复的果酱</v>
      </c>
      <c r="E1764" s="554" t="b">
        <v>0</v>
      </c>
      <c r="F1764" s="471" t="str">
        <f ca="1">语言!$A$30</f>
        <v>「诱惑」成功机率ＵＰ资讯</v>
      </c>
      <c r="G1764" s="554" t="b">
        <v>0</v>
      </c>
      <c r="H1764" s="556" t="s">
        <v>48</v>
      </c>
      <c r="I1764" s="471">
        <v>2</v>
      </c>
      <c r="J1764" s="471"/>
      <c r="K1764" s="471"/>
      <c r="L1764" s="471"/>
      <c r="M1764" s="471"/>
      <c r="N1764" s="471"/>
      <c r="O1764" s="471" t="str">
        <f ca="1">道具!$C$19</f>
        <v>沉默治疗药草</v>
      </c>
      <c r="P1764" s="554"/>
      <c r="Q1764" s="556" t="s">
        <v>48</v>
      </c>
      <c r="R1764" s="38"/>
      <c r="S1764" s="38" t="str">
        <f ca="1">Summon!$I$136</f>
        <v>毒治疗药</v>
      </c>
      <c r="T1764" s="556">
        <v>9</v>
      </c>
      <c r="U1764" s="554"/>
      <c r="V1764" s="471"/>
      <c r="W1764" s="168"/>
    </row>
    <row r="1765" spans="1:23" ht="12.75" x14ac:dyDescent="0.2">
      <c r="A1765" s="168"/>
      <c r="B1765" s="371"/>
      <c r="C1765" s="168" t="b">
        <v>0</v>
      </c>
      <c r="D1765" s="40" t="str">
        <f ca="1">道具!$C$57</f>
        <v>增强物攻的坚果（大）</v>
      </c>
      <c r="E1765" s="371"/>
      <c r="F1765" s="371"/>
      <c r="G1765" s="371"/>
      <c r="H1765" s="371"/>
      <c r="I1765" s="371"/>
      <c r="J1765" s="371"/>
      <c r="K1765" s="371"/>
      <c r="L1765" s="371"/>
      <c r="M1765" s="371"/>
      <c r="N1765" s="371"/>
      <c r="O1765" s="371"/>
      <c r="P1765" s="371"/>
      <c r="Q1765" s="371"/>
      <c r="R1765" s="38"/>
      <c r="S1765" s="38" t="str">
        <f ca="1">Summon!$I$45</f>
        <v>失明猛击</v>
      </c>
      <c r="T1765" s="371"/>
      <c r="U1765" s="371"/>
      <c r="V1765" s="371"/>
      <c r="W1765" s="168"/>
    </row>
    <row r="1766" spans="1:23" ht="12.75" x14ac:dyDescent="0.2">
      <c r="A1766" s="168"/>
      <c r="B1766" s="555"/>
      <c r="C1766" s="171"/>
      <c r="D1766" s="172"/>
      <c r="E1766" s="555"/>
      <c r="F1766" s="555"/>
      <c r="G1766" s="555"/>
      <c r="H1766" s="555"/>
      <c r="I1766" s="555"/>
      <c r="J1766" s="555"/>
      <c r="K1766" s="555"/>
      <c r="L1766" s="555"/>
      <c r="M1766" s="555"/>
      <c r="N1766" s="555"/>
      <c r="O1766" s="555"/>
      <c r="P1766" s="555"/>
      <c r="Q1766" s="555"/>
      <c r="R1766" s="173"/>
      <c r="S1766" s="173" t="str">
        <f ca="1">Summon!$I$4</f>
        <v>战斗</v>
      </c>
      <c r="T1766" s="555"/>
      <c r="U1766" s="555"/>
      <c r="V1766" s="555"/>
      <c r="W1766" s="168"/>
    </row>
    <row r="1767" spans="1:23" ht="12.75" x14ac:dyDescent="0.2">
      <c r="A1767" s="168"/>
      <c r="B1767" s="172" t="str">
        <f ca="1">语言!$A$2010&amp;" (1)"</f>
        <v>学者奥黛特 (1)</v>
      </c>
      <c r="C1767" s="171"/>
      <c r="D1767" s="182" t="s">
        <v>119</v>
      </c>
      <c r="E1767" s="171" t="b">
        <v>0</v>
      </c>
      <c r="F1767" s="173" t="str">
        <f ca="1">道具!$I$61</f>
        <v>事件的发生地点</v>
      </c>
      <c r="G1767" s="171"/>
      <c r="H1767" s="179" t="s">
        <v>119</v>
      </c>
      <c r="I1767" s="179" t="s">
        <v>119</v>
      </c>
      <c r="J1767" s="179" t="s">
        <v>119</v>
      </c>
      <c r="K1767" s="179" t="s">
        <v>119</v>
      </c>
      <c r="L1767" s="179" t="s">
        <v>119</v>
      </c>
      <c r="M1767" s="179" t="s">
        <v>119</v>
      </c>
      <c r="N1767" s="179" t="s">
        <v>119</v>
      </c>
      <c r="O1767" s="179" t="s">
        <v>119</v>
      </c>
      <c r="P1767" s="171"/>
      <c r="Q1767" s="179" t="s">
        <v>119</v>
      </c>
      <c r="R1767" s="179" t="s">
        <v>119</v>
      </c>
      <c r="S1767" s="179" t="s">
        <v>119</v>
      </c>
      <c r="T1767" s="179" t="s">
        <v>119</v>
      </c>
      <c r="U1767" s="171"/>
      <c r="V1767" s="173" t="str">
        <f ca="1">"NPC available only during "&amp;语言!$A$36&amp;" chapter 2"</f>
        <v>NPC available only during 赛拉斯 chapter 2</v>
      </c>
      <c r="W1767" s="168"/>
    </row>
    <row r="1768" spans="1:23" ht="12.75" x14ac:dyDescent="0.2">
      <c r="A1768" s="168"/>
      <c r="B1768" s="472" t="str">
        <f ca="1">语言!$A$2010&amp;" (2)"</f>
        <v>学者奥黛特 (2)</v>
      </c>
      <c r="C1768" s="168" t="b">
        <v>0</v>
      </c>
      <c r="D1768" s="40" t="str">
        <f ca="1">道具!$C$31</f>
        <v>火之精灵石（大）</v>
      </c>
      <c r="E1768" s="554" t="b">
        <v>0</v>
      </c>
      <c r="F1768" s="471" t="str">
        <f ca="1">道具!$I$62</f>
        <v>不去扫墓的理由</v>
      </c>
      <c r="G1768" s="554" t="b">
        <v>0</v>
      </c>
      <c r="H1768" s="556" t="s">
        <v>49</v>
      </c>
      <c r="I1768" s="471">
        <v>4</v>
      </c>
      <c r="J1768" s="471"/>
      <c r="K1768" s="471"/>
      <c r="L1768" s="471"/>
      <c r="M1768" s="471"/>
      <c r="N1768" s="471"/>
      <c r="O1768" s="471" t="str">
        <f ca="1">道具!$C$31</f>
        <v>火之精灵石（大）</v>
      </c>
      <c r="P1768" s="554"/>
      <c r="Q1768" s="556" t="s">
        <v>49</v>
      </c>
      <c r="R1768" s="38"/>
      <c r="S1768" s="38" t="str">
        <f ca="1">Summon!$I$80</f>
        <v>大火焰魔法</v>
      </c>
      <c r="T1768" s="556">
        <v>7</v>
      </c>
      <c r="U1768" s="554"/>
      <c r="V1768" s="471" t="str">
        <f ca="1">"NPC available upon starting quest: "&amp;支线!$C$124&amp;"
"&amp;语言!$A$44&amp;" / "&amp;语言!$A$48&amp;" available after quest: "&amp;支线!$C$124</f>
        <v>NPC available upon starting quest: 雷布洛与奥黛特，在那之后
引导 / 诱惑 available after quest: 雷布洛与奥黛特，在那之后</v>
      </c>
      <c r="W1768" s="168"/>
    </row>
    <row r="1769" spans="1:23" ht="12.75" x14ac:dyDescent="0.2">
      <c r="A1769" s="168"/>
      <c r="B1769" s="371"/>
      <c r="C1769" s="168" t="b">
        <v>0</v>
      </c>
      <c r="D1769" s="40" t="str">
        <f ca="1">道具!$C$493</f>
        <v>灵敏戒指</v>
      </c>
      <c r="E1769" s="371"/>
      <c r="F1769" s="371"/>
      <c r="G1769" s="371"/>
      <c r="H1769" s="371"/>
      <c r="I1769" s="371"/>
      <c r="J1769" s="371"/>
      <c r="K1769" s="371"/>
      <c r="L1769" s="371"/>
      <c r="M1769" s="371"/>
      <c r="N1769" s="371"/>
      <c r="O1769" s="371"/>
      <c r="P1769" s="371"/>
      <c r="Q1769" s="371"/>
      <c r="R1769" s="38"/>
      <c r="S1769" s="38" t="str">
        <f ca="1">Summon!$I$78</f>
        <v>火焰魔法</v>
      </c>
      <c r="T1769" s="371"/>
      <c r="U1769" s="371"/>
      <c r="V1769" s="371"/>
      <c r="W1769" s="168"/>
    </row>
    <row r="1770" spans="1:23" ht="12.75" x14ac:dyDescent="0.2">
      <c r="A1770" s="168"/>
      <c r="B1770" s="555"/>
      <c r="C1770" s="171" t="b">
        <v>0</v>
      </c>
      <c r="D1770" s="172" t="str">
        <f ca="1">道具!$C$324</f>
        <v>长柄权杖</v>
      </c>
      <c r="E1770" s="555"/>
      <c r="F1770" s="555"/>
      <c r="G1770" s="555"/>
      <c r="H1770" s="555"/>
      <c r="I1770" s="555"/>
      <c r="J1770" s="555"/>
      <c r="K1770" s="555"/>
      <c r="L1770" s="555"/>
      <c r="M1770" s="555"/>
      <c r="N1770" s="555"/>
      <c r="O1770" s="555"/>
      <c r="P1770" s="555"/>
      <c r="Q1770" s="555"/>
      <c r="R1770" s="173"/>
      <c r="S1770" s="173" t="str">
        <f ca="1">Summon!$I$4</f>
        <v>战斗</v>
      </c>
      <c r="T1770" s="555"/>
      <c r="U1770" s="555"/>
      <c r="V1770" s="555"/>
      <c r="W1770" s="168"/>
    </row>
    <row r="1771" spans="1:23" ht="12.75" x14ac:dyDescent="0.2">
      <c r="A1771" s="168"/>
      <c r="B1771" s="472" t="str">
        <f ca="1">语言!$A$2102</f>
        <v>市民</v>
      </c>
      <c r="C1771" s="168" t="b">
        <v>0</v>
      </c>
      <c r="D1771" s="40" t="str">
        <f ca="1">道具!$C$120</f>
        <v>放了银块的皮袋</v>
      </c>
      <c r="E1771" s="554" t="b">
        <v>0</v>
      </c>
      <c r="F1771" s="471" t="str">
        <f ca="1">语言!$A$28</f>
        <v>武器店商品追加资讯</v>
      </c>
      <c r="G1771" s="554" t="b">
        <v>0</v>
      </c>
      <c r="H1771" s="556" t="s">
        <v>57</v>
      </c>
      <c r="I1771" s="471">
        <v>3</v>
      </c>
      <c r="J1771" s="471"/>
      <c r="K1771" s="471"/>
      <c r="L1771" s="471"/>
      <c r="M1771" s="471"/>
      <c r="N1771" s="471"/>
      <c r="O1771" s="471" t="str">
        <f ca="1">道具!$C$35</f>
        <v>冰之精灵石（特大）</v>
      </c>
      <c r="P1771" s="554"/>
      <c r="Q1771" s="556" t="s">
        <v>57</v>
      </c>
      <c r="R1771" s="38"/>
      <c r="S1771" s="38" t="str">
        <f ca="1">Summon!$I$173</f>
        <v>攻击力提升</v>
      </c>
      <c r="T1771" s="556">
        <v>8</v>
      </c>
      <c r="U1771" s="554"/>
      <c r="V1771" s="471"/>
      <c r="W1771" s="168"/>
    </row>
    <row r="1772" spans="1:23" ht="12.75" x14ac:dyDescent="0.2">
      <c r="A1772" s="168"/>
      <c r="B1772" s="371"/>
      <c r="C1772" s="168" t="b">
        <v>0</v>
      </c>
      <c r="D1772" s="40" t="str">
        <f ca="1">道具!$C$490</f>
        <v>守护戒指</v>
      </c>
      <c r="E1772" s="371"/>
      <c r="F1772" s="371"/>
      <c r="G1772" s="371"/>
      <c r="H1772" s="371"/>
      <c r="I1772" s="371"/>
      <c r="J1772" s="371"/>
      <c r="K1772" s="371"/>
      <c r="L1772" s="371"/>
      <c r="M1772" s="371"/>
      <c r="N1772" s="371"/>
      <c r="O1772" s="371"/>
      <c r="P1772" s="371"/>
      <c r="Q1772" s="371"/>
      <c r="R1772" s="38"/>
      <c r="S1772" s="38" t="str">
        <f ca="1">Summon!$I$31</f>
        <v>要害突刺</v>
      </c>
      <c r="T1772" s="371"/>
      <c r="U1772" s="371"/>
      <c r="V1772" s="371"/>
      <c r="W1772" s="168"/>
    </row>
    <row r="1773" spans="1:23" ht="12.75" x14ac:dyDescent="0.2">
      <c r="A1773" s="168"/>
      <c r="B1773" s="555"/>
      <c r="C1773" s="171" t="b">
        <v>0</v>
      </c>
      <c r="D1773" s="172" t="str">
        <f ca="1">道具!$C$487</f>
        <v>会心手环</v>
      </c>
      <c r="E1773" s="555"/>
      <c r="F1773" s="555"/>
      <c r="G1773" s="555"/>
      <c r="H1773" s="555"/>
      <c r="I1773" s="555"/>
      <c r="J1773" s="555"/>
      <c r="K1773" s="555"/>
      <c r="L1773" s="555"/>
      <c r="M1773" s="555"/>
      <c r="N1773" s="555"/>
      <c r="O1773" s="555"/>
      <c r="P1773" s="555"/>
      <c r="Q1773" s="555"/>
      <c r="R1773" s="173"/>
      <c r="S1773" s="173" t="str">
        <f ca="1">Summon!$I$4</f>
        <v>战斗</v>
      </c>
      <c r="T1773" s="555"/>
      <c r="U1773" s="555"/>
      <c r="V1773" s="555"/>
      <c r="W1773" s="168"/>
    </row>
    <row r="1774" spans="1:23" ht="12.75" x14ac:dyDescent="0.2">
      <c r="A1774" s="168"/>
      <c r="B1774" s="472" t="str">
        <f ca="1">语言!$A$1946</f>
        <v>工人</v>
      </c>
      <c r="C1774" s="168" t="b">
        <v>0</v>
      </c>
      <c r="D1774" s="40" t="str">
        <f ca="1">道具!$C$98</f>
        <v>貌似金矿石的东西</v>
      </c>
      <c r="E1774" s="554" t="b">
        <v>0</v>
      </c>
      <c r="F1774" s="471" t="str">
        <f ca="1">语言!$A$33&amp;"
"&amp;道具!$C$99</f>
        <v>隐藏道具的资讯
金矿石般的东西</v>
      </c>
      <c r="G1774" s="554" t="b">
        <v>0</v>
      </c>
      <c r="H1774" s="556" t="s">
        <v>49</v>
      </c>
      <c r="I1774" s="471">
        <v>4</v>
      </c>
      <c r="J1774" s="471"/>
      <c r="K1774" s="471"/>
      <c r="L1774" s="471"/>
      <c r="M1774" s="471"/>
      <c r="N1774" s="471"/>
      <c r="O1774" s="471" t="str">
        <f ca="1">道具!$C$37</f>
        <v>雷之精灵石（大）</v>
      </c>
      <c r="P1774" s="554"/>
      <c r="Q1774" s="556" t="s">
        <v>49</v>
      </c>
      <c r="R1774" s="38"/>
      <c r="S1774" s="38" t="str">
        <f ca="1">Summon!$I$136</f>
        <v>毒治疗药</v>
      </c>
      <c r="T1774" s="556">
        <v>7</v>
      </c>
      <c r="U1774" s="554"/>
      <c r="V1774" s="471"/>
      <c r="W1774" s="168"/>
    </row>
    <row r="1775" spans="1:23" ht="12.75" x14ac:dyDescent="0.2">
      <c r="A1775" s="168"/>
      <c r="B1775" s="371"/>
      <c r="C1775" s="168" t="b">
        <v>0</v>
      </c>
      <c r="D1775" s="40" t="str">
        <f ca="1">道具!$C$37</f>
        <v>雷之精灵石（大）</v>
      </c>
      <c r="E1775" s="371"/>
      <c r="F1775" s="371"/>
      <c r="G1775" s="371"/>
      <c r="H1775" s="371"/>
      <c r="I1775" s="371"/>
      <c r="J1775" s="371"/>
      <c r="K1775" s="371"/>
      <c r="L1775" s="371"/>
      <c r="M1775" s="371"/>
      <c r="N1775" s="371"/>
      <c r="O1775" s="371"/>
      <c r="P1775" s="371"/>
      <c r="Q1775" s="371"/>
      <c r="R1775" s="38"/>
      <c r="S1775" s="38" t="str">
        <f ca="1">Summon!$I$44</f>
        <v>剧毒猛击</v>
      </c>
      <c r="T1775" s="371"/>
      <c r="U1775" s="371"/>
      <c r="V1775" s="371"/>
      <c r="W1775" s="168"/>
    </row>
    <row r="1776" spans="1:23" ht="12.75" x14ac:dyDescent="0.2">
      <c r="A1776" s="168"/>
      <c r="B1776" s="371"/>
      <c r="C1776" s="168" t="b">
        <v>0</v>
      </c>
      <c r="D1776" s="40" t="str">
        <f ca="1">道具!$C$38</f>
        <v>雷之精灵石（特大）</v>
      </c>
      <c r="E1776" s="371"/>
      <c r="F1776" s="371"/>
      <c r="G1776" s="371"/>
      <c r="H1776" s="371"/>
      <c r="I1776" s="371"/>
      <c r="J1776" s="371"/>
      <c r="K1776" s="371"/>
      <c r="L1776" s="371"/>
      <c r="M1776" s="371"/>
      <c r="N1776" s="371"/>
      <c r="O1776" s="371"/>
      <c r="P1776" s="371"/>
      <c r="Q1776" s="371"/>
      <c r="R1776" s="38"/>
      <c r="S1776" s="38" t="str">
        <f ca="1">Summon!$I$4</f>
        <v>战斗</v>
      </c>
      <c r="T1776" s="371"/>
      <c r="U1776" s="371"/>
      <c r="V1776" s="371"/>
      <c r="W1776" s="168"/>
    </row>
    <row r="1777" spans="1:23" ht="12.75" x14ac:dyDescent="0.2">
      <c r="A1777" s="168"/>
      <c r="B1777" s="552" t="str">
        <f ca="1">语言!$A$465</f>
        <v>库欧利克雷斯特 -矿山-</v>
      </c>
      <c r="C1777" s="371"/>
      <c r="D1777" s="371"/>
      <c r="E1777" s="371"/>
      <c r="F1777" s="371"/>
      <c r="G1777" s="371"/>
      <c r="H1777" s="371"/>
      <c r="I1777" s="371"/>
      <c r="J1777" s="371"/>
      <c r="K1777" s="371"/>
      <c r="L1777" s="371"/>
      <c r="M1777" s="371"/>
      <c r="N1777" s="371"/>
      <c r="O1777" s="371"/>
      <c r="P1777" s="371"/>
      <c r="Q1777" s="371"/>
      <c r="R1777" s="371"/>
      <c r="S1777" s="371"/>
      <c r="T1777" s="371"/>
      <c r="U1777" s="371"/>
      <c r="V1777" s="371"/>
      <c r="W1777" s="168"/>
    </row>
    <row r="1778" spans="1:23" ht="12.75" x14ac:dyDescent="0.2">
      <c r="A1778" s="168"/>
      <c r="B1778" s="472" t="str">
        <f ca="1">语言!$A$1947</f>
        <v>工人</v>
      </c>
      <c r="C1778" s="168" t="b">
        <v>0</v>
      </c>
      <c r="D1778" s="40" t="str">
        <f ca="1">道具!$C$533</f>
        <v>含毒的素材（扩散）</v>
      </c>
      <c r="E1778" s="554" t="b">
        <v>0</v>
      </c>
      <c r="F1778" s="471" t="str">
        <f ca="1">语言!$A$33&amp;"
"&amp;道具!$C$12</f>
        <v>隐藏道具的资讯
ＨＰ／ＳＰ恢复的果酱</v>
      </c>
      <c r="G1778" s="554" t="b">
        <v>0</v>
      </c>
      <c r="H1778" s="556" t="s">
        <v>48</v>
      </c>
      <c r="I1778" s="471">
        <v>2</v>
      </c>
      <c r="J1778" s="471"/>
      <c r="K1778" s="471"/>
      <c r="L1778" s="471"/>
      <c r="M1778" s="471"/>
      <c r="N1778" s="471"/>
      <c r="O1778" s="471" t="str">
        <f ca="1">道具!$C$4</f>
        <v>ＨＰ恢复的葡萄（大）</v>
      </c>
      <c r="P1778" s="554"/>
      <c r="Q1778" s="556" t="s">
        <v>48</v>
      </c>
      <c r="R1778" s="38"/>
      <c r="S1778" s="38" t="str">
        <f ca="1">Summon!$I$147</f>
        <v>混乱药</v>
      </c>
      <c r="T1778" s="556">
        <v>9</v>
      </c>
      <c r="U1778" s="554"/>
      <c r="V1778" s="471"/>
      <c r="W1778" s="168"/>
    </row>
    <row r="1779" spans="1:23" ht="12.75" x14ac:dyDescent="0.2">
      <c r="A1779" s="168"/>
      <c r="B1779" s="371"/>
      <c r="C1779" s="168" t="b">
        <v>0</v>
      </c>
      <c r="D1779" s="40" t="str">
        <f ca="1">道具!$C$534</f>
        <v>超含毒的素材</v>
      </c>
      <c r="E1779" s="371"/>
      <c r="F1779" s="371"/>
      <c r="G1779" s="371"/>
      <c r="H1779" s="371"/>
      <c r="I1779" s="371"/>
      <c r="J1779" s="371"/>
      <c r="K1779" s="371"/>
      <c r="L1779" s="371"/>
      <c r="M1779" s="371"/>
      <c r="N1779" s="371"/>
      <c r="O1779" s="371"/>
      <c r="P1779" s="371"/>
      <c r="Q1779" s="371"/>
      <c r="R1779" s="38"/>
      <c r="S1779" s="38" t="str">
        <f ca="1">Summon!$I$36</f>
        <v>连环突刺</v>
      </c>
      <c r="T1779" s="371"/>
      <c r="U1779" s="371"/>
      <c r="V1779" s="371"/>
      <c r="W1779" s="168"/>
    </row>
    <row r="1780" spans="1:23" ht="12.75" x14ac:dyDescent="0.2">
      <c r="A1780" s="168"/>
      <c r="B1780" s="555"/>
      <c r="C1780" s="171" t="b">
        <v>0</v>
      </c>
      <c r="D1780" s="172" t="str">
        <f ca="1">道具!$C$544</f>
        <v>神秘之花</v>
      </c>
      <c r="E1780" s="555"/>
      <c r="F1780" s="555"/>
      <c r="G1780" s="555"/>
      <c r="H1780" s="555"/>
      <c r="I1780" s="555"/>
      <c r="J1780" s="555"/>
      <c r="K1780" s="555"/>
      <c r="L1780" s="555"/>
      <c r="M1780" s="555"/>
      <c r="N1780" s="555"/>
      <c r="O1780" s="555"/>
      <c r="P1780" s="555"/>
      <c r="Q1780" s="555"/>
      <c r="R1780" s="173"/>
      <c r="S1780" s="173" t="str">
        <f ca="1">Summon!$I$4</f>
        <v>战斗</v>
      </c>
      <c r="T1780" s="555"/>
      <c r="U1780" s="555"/>
      <c r="V1780" s="555"/>
      <c r="W1780" s="168"/>
    </row>
    <row r="1781" spans="1:23" ht="12.75" x14ac:dyDescent="0.2">
      <c r="A1781" s="168"/>
      <c r="B1781" s="472" t="str">
        <f ca="1">语言!$A$1947</f>
        <v>工人</v>
      </c>
      <c r="C1781" s="554" t="b">
        <v>0</v>
      </c>
      <c r="D1781" s="472" t="str">
        <f ca="1">道具!$C$94</f>
        <v>空空的钱包</v>
      </c>
      <c r="E1781" s="554" t="b">
        <v>0</v>
      </c>
      <c r="F1781" s="471" t="str">
        <f ca="1">语言!$A$24</f>
        <v>旅店的折扣资讯</v>
      </c>
      <c r="G1781" s="554" t="b">
        <v>0</v>
      </c>
      <c r="H1781" s="556" t="s">
        <v>57</v>
      </c>
      <c r="I1781" s="471">
        <v>3</v>
      </c>
      <c r="J1781" s="471"/>
      <c r="K1781" s="471"/>
      <c r="L1781" s="471"/>
      <c r="M1781" s="471"/>
      <c r="N1781" s="471"/>
      <c r="O1781" s="471" t="str">
        <f ca="1">道具!$C$7</f>
        <v>ＳＰ恢复的李子（大）</v>
      </c>
      <c r="P1781" s="554"/>
      <c r="Q1781" s="556" t="s">
        <v>57</v>
      </c>
      <c r="R1781" s="38"/>
      <c r="S1781" s="38" t="str">
        <f ca="1">Summon!$I$174</f>
        <v>防御力提升</v>
      </c>
      <c r="T1781" s="556">
        <v>8</v>
      </c>
      <c r="U1781" s="554"/>
      <c r="V1781" s="471"/>
      <c r="W1781" s="168"/>
    </row>
    <row r="1782" spans="1:23" ht="12.75" x14ac:dyDescent="0.2">
      <c r="A1782" s="168"/>
      <c r="B1782" s="371"/>
      <c r="C1782" s="371"/>
      <c r="D1782" s="371"/>
      <c r="E1782" s="371"/>
      <c r="F1782" s="371"/>
      <c r="G1782" s="371"/>
      <c r="H1782" s="371"/>
      <c r="I1782" s="371"/>
      <c r="J1782" s="371"/>
      <c r="K1782" s="371"/>
      <c r="L1782" s="371"/>
      <c r="M1782" s="371"/>
      <c r="N1782" s="371"/>
      <c r="O1782" s="371"/>
      <c r="P1782" s="371"/>
      <c r="Q1782" s="371"/>
      <c r="R1782" s="38"/>
      <c r="S1782" s="38" t="str">
        <f ca="1">Summon!$I$40</f>
        <v>乱挥</v>
      </c>
      <c r="T1782" s="371"/>
      <c r="U1782" s="371"/>
      <c r="V1782" s="371"/>
      <c r="W1782" s="168"/>
    </row>
    <row r="1783" spans="1:23" ht="12.75" x14ac:dyDescent="0.2">
      <c r="A1783" s="168"/>
      <c r="B1783" s="555"/>
      <c r="C1783" s="555"/>
      <c r="D1783" s="555"/>
      <c r="E1783" s="555"/>
      <c r="F1783" s="555"/>
      <c r="G1783" s="555"/>
      <c r="H1783" s="555"/>
      <c r="I1783" s="555"/>
      <c r="J1783" s="555"/>
      <c r="K1783" s="555"/>
      <c r="L1783" s="555"/>
      <c r="M1783" s="555"/>
      <c r="N1783" s="555"/>
      <c r="O1783" s="555"/>
      <c r="P1783" s="555"/>
      <c r="Q1783" s="555"/>
      <c r="R1783" s="173"/>
      <c r="S1783" s="173" t="str">
        <f ca="1">Summon!$I$4</f>
        <v>战斗</v>
      </c>
      <c r="T1783" s="555"/>
      <c r="U1783" s="555"/>
      <c r="V1783" s="555"/>
      <c r="W1783" s="168"/>
    </row>
    <row r="1784" spans="1:23" ht="22.5" customHeight="1" x14ac:dyDescent="0.2">
      <c r="A1784" s="168"/>
      <c r="B1784" s="604" t="str">
        <f ca="1">语言!$A$2032&amp;" (2)"</f>
        <v>烦恼的少女 /
年轻女歌手 /
梦想家少女 (2)</v>
      </c>
      <c r="C1784" s="168" t="b">
        <v>0</v>
      </c>
      <c r="D1784" s="40" t="str">
        <f ca="1">道具!$C$528</f>
        <v>药的素材</v>
      </c>
      <c r="E1784" s="554" t="b">
        <v>0</v>
      </c>
      <c r="F1784" s="471" t="str">
        <f ca="1">语言!$A$23</f>
        <v>无</v>
      </c>
      <c r="G1784" s="554" t="b">
        <v>0</v>
      </c>
      <c r="H1784" s="556" t="s">
        <v>45</v>
      </c>
      <c r="I1784" s="471">
        <v>2</v>
      </c>
      <c r="J1784" s="471"/>
      <c r="K1784" s="471"/>
      <c r="L1784" s="471"/>
      <c r="M1784" s="471"/>
      <c r="N1784" s="471"/>
      <c r="O1784" s="471" t="str">
        <f ca="1">道具!$C$4</f>
        <v>ＨＰ恢复的葡萄（大）</v>
      </c>
      <c r="P1784" s="554"/>
      <c r="Q1784" s="556" t="s">
        <v>45</v>
      </c>
      <c r="R1784" s="38"/>
      <c r="S1784" s="38" t="str">
        <f ca="1">Summon!$I$6</f>
        <v>斩击</v>
      </c>
      <c r="T1784" s="556">
        <v>9</v>
      </c>
      <c r="U1784" s="554"/>
      <c r="V1784" s="471" t="str">
        <f ca="1">"NPC at this location after quest: "&amp;支线!$C$15&amp;" ("&amp;语言!$A$44&amp;" / "&amp;语言!$A$48&amp;" solution only)"</f>
        <v>NPC at this location after quest: 年轻人的旅途 (引导 / 诱惑 solution only)</v>
      </c>
      <c r="W1784" s="168"/>
    </row>
    <row r="1785" spans="1:23" ht="22.5" customHeight="1" x14ac:dyDescent="0.2">
      <c r="A1785" s="168"/>
      <c r="B1785" s="555"/>
      <c r="C1785" s="171" t="b">
        <v>0</v>
      </c>
      <c r="D1785" s="172" t="str">
        <f ca="1">道具!$C$221</f>
        <v>新月匕首</v>
      </c>
      <c r="E1785" s="555"/>
      <c r="F1785" s="555"/>
      <c r="G1785" s="555"/>
      <c r="H1785" s="555"/>
      <c r="I1785" s="555"/>
      <c r="J1785" s="555"/>
      <c r="K1785" s="555"/>
      <c r="L1785" s="555"/>
      <c r="M1785" s="555"/>
      <c r="N1785" s="555"/>
      <c r="O1785" s="555"/>
      <c r="P1785" s="555"/>
      <c r="Q1785" s="555"/>
      <c r="R1785" s="173"/>
      <c r="S1785" s="173" t="str">
        <f ca="1">Summon!$I$4</f>
        <v>战斗</v>
      </c>
      <c r="T1785" s="555"/>
      <c r="U1785" s="555"/>
      <c r="V1785" s="555"/>
      <c r="W1785" s="168"/>
    </row>
    <row r="1786" spans="1:23" ht="12.75" x14ac:dyDescent="0.2">
      <c r="A1786" s="168"/>
      <c r="B1786" s="472" t="str">
        <f ca="1">语言!$A$2089</f>
        <v>酒馆的老板</v>
      </c>
      <c r="C1786" s="554" t="b">
        <v>0</v>
      </c>
      <c r="D1786" s="472" t="str">
        <f ca="1">道具!$C$90</f>
        <v>原石</v>
      </c>
      <c r="E1786" s="554" t="b">
        <v>0</v>
      </c>
      <c r="F1786" s="471" t="str">
        <f ca="1">语言!$A$23</f>
        <v>无</v>
      </c>
      <c r="G1786" s="554" t="b">
        <v>0</v>
      </c>
      <c r="H1786" s="556" t="s">
        <v>48</v>
      </c>
      <c r="I1786" s="471">
        <v>2</v>
      </c>
      <c r="J1786" s="471"/>
      <c r="K1786" s="471"/>
      <c r="L1786" s="471"/>
      <c r="M1786" s="471"/>
      <c r="N1786" s="471"/>
      <c r="O1786" s="471" t="str">
        <f ca="1">道具!$C$47</f>
        <v>暗之精灵石（大）</v>
      </c>
      <c r="P1786" s="554"/>
      <c r="Q1786" s="556" t="s">
        <v>48</v>
      </c>
      <c r="R1786" s="38"/>
      <c r="S1786" s="38" t="str">
        <f ca="1">Summon!$I$61</f>
        <v>全力斩击</v>
      </c>
      <c r="T1786" s="556">
        <v>9</v>
      </c>
      <c r="U1786" s="554"/>
      <c r="V1786" s="471"/>
      <c r="W1786" s="168"/>
    </row>
    <row r="1787" spans="1:23" ht="12.75" x14ac:dyDescent="0.2">
      <c r="A1787" s="168"/>
      <c r="B1787" s="555"/>
      <c r="C1787" s="555"/>
      <c r="D1787" s="555"/>
      <c r="E1787" s="555"/>
      <c r="F1787" s="555"/>
      <c r="G1787" s="555"/>
      <c r="H1787" s="555"/>
      <c r="I1787" s="555"/>
      <c r="J1787" s="555"/>
      <c r="K1787" s="555"/>
      <c r="L1787" s="555"/>
      <c r="M1787" s="555"/>
      <c r="N1787" s="555"/>
      <c r="O1787" s="555"/>
      <c r="P1787" s="555"/>
      <c r="Q1787" s="555"/>
      <c r="R1787" s="173"/>
      <c r="S1787" s="173" t="str">
        <f ca="1">Summon!$I$4</f>
        <v>战斗</v>
      </c>
      <c r="T1787" s="555"/>
      <c r="U1787" s="555"/>
      <c r="V1787" s="555"/>
      <c r="W1787" s="168"/>
    </row>
    <row r="1788" spans="1:23" ht="12.75" x14ac:dyDescent="0.2">
      <c r="A1788" s="168"/>
      <c r="B1788" s="472" t="str">
        <f ca="1">语言!$A$1930</f>
        <v>普通主妇</v>
      </c>
      <c r="C1788" s="554" t="b">
        <v>0</v>
      </c>
      <c r="D1788" s="472" t="str">
        <f ca="1">道具!$C$221</f>
        <v>新月匕首</v>
      </c>
      <c r="E1788" s="554" t="b">
        <v>0</v>
      </c>
      <c r="F1788" s="471" t="str">
        <f ca="1">语言!$A$23</f>
        <v>无</v>
      </c>
      <c r="G1788" s="554" t="b">
        <v>0</v>
      </c>
      <c r="H1788" s="556" t="s">
        <v>45</v>
      </c>
      <c r="I1788" s="471">
        <v>2</v>
      </c>
      <c r="J1788" s="471"/>
      <c r="K1788" s="471"/>
      <c r="L1788" s="471"/>
      <c r="M1788" s="471"/>
      <c r="N1788" s="471"/>
      <c r="O1788" s="471" t="str">
        <f ca="1">道具!$C$530</f>
        <v>秘药的素材</v>
      </c>
      <c r="P1788" s="554"/>
      <c r="Q1788" s="556" t="s">
        <v>45</v>
      </c>
      <c r="R1788" s="38"/>
      <c r="S1788" s="38" t="str">
        <f ca="1">Summon!$I$165</f>
        <v>研磨</v>
      </c>
      <c r="T1788" s="556">
        <v>9</v>
      </c>
      <c r="U1788" s="554"/>
      <c r="V1788" s="471"/>
      <c r="W1788" s="168"/>
    </row>
    <row r="1789" spans="1:23" ht="12.75" x14ac:dyDescent="0.2">
      <c r="A1789" s="168"/>
      <c r="B1789" s="371"/>
      <c r="C1789" s="371"/>
      <c r="D1789" s="371"/>
      <c r="E1789" s="371"/>
      <c r="F1789" s="371"/>
      <c r="G1789" s="371"/>
      <c r="H1789" s="371"/>
      <c r="I1789" s="371"/>
      <c r="J1789" s="371"/>
      <c r="K1789" s="371"/>
      <c r="L1789" s="371"/>
      <c r="M1789" s="371"/>
      <c r="N1789" s="371"/>
      <c r="O1789" s="371"/>
      <c r="P1789" s="371"/>
      <c r="Q1789" s="371"/>
      <c r="R1789" s="38"/>
      <c r="S1789" s="38" t="str">
        <f ca="1">Summon!$I$42</f>
        <v>猛击</v>
      </c>
      <c r="T1789" s="371"/>
      <c r="U1789" s="371"/>
      <c r="V1789" s="371"/>
      <c r="W1789" s="168"/>
    </row>
    <row r="1790" spans="1:23" ht="12.75" x14ac:dyDescent="0.2">
      <c r="A1790" s="168"/>
      <c r="B1790" s="555"/>
      <c r="C1790" s="555"/>
      <c r="D1790" s="555"/>
      <c r="E1790" s="555"/>
      <c r="F1790" s="555"/>
      <c r="G1790" s="555"/>
      <c r="H1790" s="555"/>
      <c r="I1790" s="555"/>
      <c r="J1790" s="555"/>
      <c r="K1790" s="555"/>
      <c r="L1790" s="555"/>
      <c r="M1790" s="555"/>
      <c r="N1790" s="555"/>
      <c r="O1790" s="555"/>
      <c r="P1790" s="555"/>
      <c r="Q1790" s="555"/>
      <c r="R1790" s="173"/>
      <c r="S1790" s="173" t="str">
        <f ca="1">Summon!$I$4</f>
        <v>战斗</v>
      </c>
      <c r="T1790" s="555"/>
      <c r="U1790" s="555"/>
      <c r="V1790" s="555"/>
      <c r="W1790" s="168"/>
    </row>
    <row r="1791" spans="1:23" ht="12.75" x14ac:dyDescent="0.2">
      <c r="A1791" s="168"/>
      <c r="B1791" s="472" t="str">
        <f ca="1">语言!$A$1946</f>
        <v>工人</v>
      </c>
      <c r="C1791" s="168" t="b">
        <v>0</v>
      </c>
      <c r="D1791" s="40" t="str">
        <f ca="1">道具!$C$89</f>
        <v>鱼齿</v>
      </c>
      <c r="E1791" s="554" t="b">
        <v>0</v>
      </c>
      <c r="F1791" s="471" t="str">
        <f ca="1">语言!$A$33&amp;"
"&amp;道具!$C$16</f>
        <v>隐藏道具的资讯
复活的橄榄（大）</v>
      </c>
      <c r="G1791" s="554" t="b">
        <v>0</v>
      </c>
      <c r="H1791" s="556" t="s">
        <v>48</v>
      </c>
      <c r="I1791" s="471">
        <v>2</v>
      </c>
      <c r="J1791" s="471"/>
      <c r="K1791" s="471"/>
      <c r="L1791" s="471"/>
      <c r="M1791" s="471"/>
      <c r="N1791" s="471"/>
      <c r="O1791" s="471" t="str">
        <f ca="1">道具!$C$7</f>
        <v>ＳＰ恢复的李子（大）</v>
      </c>
      <c r="P1791" s="554"/>
      <c r="Q1791" s="556" t="s">
        <v>48</v>
      </c>
      <c r="R1791" s="38"/>
      <c r="S1791" s="38" t="str">
        <f ca="1">Summon!$I$180</f>
        <v>暴击提升</v>
      </c>
      <c r="T1791" s="556">
        <v>9</v>
      </c>
      <c r="U1791" s="554"/>
      <c r="V1791" s="471" t="str">
        <f ca="1">"Temporarily unavailable during "&amp;语言!$A$37&amp;" chapter 2"</f>
        <v>Temporarily unavailable during 特蕾莎 chapter 2</v>
      </c>
      <c r="W1791" s="168"/>
    </row>
    <row r="1792" spans="1:23" ht="12.75" x14ac:dyDescent="0.2">
      <c r="A1792" s="168"/>
      <c r="B1792" s="371"/>
      <c r="C1792" s="168" t="b">
        <v>0</v>
      </c>
      <c r="D1792" s="40" t="str">
        <f ca="1">道具!$C$32</f>
        <v>火之精灵石（特大）</v>
      </c>
      <c r="E1792" s="371"/>
      <c r="F1792" s="371"/>
      <c r="G1792" s="371"/>
      <c r="H1792" s="371"/>
      <c r="I1792" s="371"/>
      <c r="J1792" s="371"/>
      <c r="K1792" s="371"/>
      <c r="L1792" s="371"/>
      <c r="M1792" s="371"/>
      <c r="N1792" s="371"/>
      <c r="O1792" s="371"/>
      <c r="P1792" s="371"/>
      <c r="Q1792" s="371"/>
      <c r="R1792" s="38"/>
      <c r="S1792" s="38" t="str">
        <f ca="1">Summon!$I$31</f>
        <v>要害突刺</v>
      </c>
      <c r="T1792" s="371"/>
      <c r="U1792" s="371"/>
      <c r="V1792" s="371"/>
      <c r="W1792" s="168"/>
    </row>
    <row r="1793" spans="1:23" ht="12.75" x14ac:dyDescent="0.2">
      <c r="A1793" s="168"/>
      <c r="B1793" s="555"/>
      <c r="C1793" s="171" t="b">
        <v>0</v>
      </c>
      <c r="D1793" s="172" t="str">
        <f ca="1">道具!$C$35</f>
        <v>冰之精灵石（特大）</v>
      </c>
      <c r="E1793" s="555"/>
      <c r="F1793" s="555"/>
      <c r="G1793" s="555"/>
      <c r="H1793" s="555"/>
      <c r="I1793" s="555"/>
      <c r="J1793" s="555"/>
      <c r="K1793" s="555"/>
      <c r="L1793" s="555"/>
      <c r="M1793" s="555"/>
      <c r="N1793" s="555"/>
      <c r="O1793" s="555"/>
      <c r="P1793" s="555"/>
      <c r="Q1793" s="555"/>
      <c r="R1793" s="173"/>
      <c r="S1793" s="173" t="str">
        <f ca="1">Summon!$I$4</f>
        <v>战斗</v>
      </c>
      <c r="T1793" s="555"/>
      <c r="U1793" s="555"/>
      <c r="V1793" s="555"/>
      <c r="W1793" s="168"/>
    </row>
    <row r="1794" spans="1:23" ht="25.5" x14ac:dyDescent="0.2">
      <c r="A1794" s="168"/>
      <c r="B1794" s="472" t="str">
        <f ca="1">语言!$A$1947</f>
        <v>工人</v>
      </c>
      <c r="C1794" s="168" t="b">
        <v>0</v>
      </c>
      <c r="D1794" s="40" t="str">
        <f ca="1">"* "&amp;道具!$F$12</f>
        <v>* 垃圾石 / 碧闪石</v>
      </c>
      <c r="E1794" s="554" t="b">
        <v>0</v>
      </c>
      <c r="F1794" s="471" t="str">
        <f ca="1">语言!$A$23</f>
        <v>无</v>
      </c>
      <c r="G1794" s="554" t="b">
        <v>0</v>
      </c>
      <c r="H1794" s="556" t="s">
        <v>49</v>
      </c>
      <c r="I1794" s="471">
        <v>4</v>
      </c>
      <c r="J1794" s="471"/>
      <c r="K1794" s="471"/>
      <c r="L1794" s="471"/>
      <c r="M1794" s="471"/>
      <c r="N1794" s="471"/>
      <c r="O1794" s="471" t="str">
        <f ca="1">道具!$C$20</f>
        <v>黑暗治疗药草</v>
      </c>
      <c r="P1794" s="554"/>
      <c r="Q1794" s="556" t="s">
        <v>49</v>
      </c>
      <c r="R1794" s="38"/>
      <c r="S1794" s="38" t="str">
        <f ca="1">Summon!$I$54</f>
        <v>能量拳</v>
      </c>
      <c r="T1794" s="556">
        <v>7</v>
      </c>
      <c r="U1794" s="554"/>
      <c r="V1794" s="471" t="str">
        <f ca="1">"NPC available upon starting "&amp;语言!$A$37&amp;" chapter 2
Fully unlocked after "&amp;语言!$A$37&amp;" chapter 2"</f>
        <v>NPC available upon starting 特蕾莎 chapter 2
Fully unlocked after 特蕾莎 chapter 2</v>
      </c>
      <c r="W1794" s="168"/>
    </row>
    <row r="1795" spans="1:23" ht="12.75" x14ac:dyDescent="0.2">
      <c r="A1795" s="168"/>
      <c r="B1795" s="371"/>
      <c r="C1795" s="168" t="b">
        <v>0</v>
      </c>
      <c r="D1795" s="40" t="str">
        <f ca="1">道具!$C$47</f>
        <v>暗之精灵石（大）</v>
      </c>
      <c r="E1795" s="371"/>
      <c r="F1795" s="371"/>
      <c r="G1795" s="371"/>
      <c r="H1795" s="371"/>
      <c r="I1795" s="371"/>
      <c r="J1795" s="371"/>
      <c r="K1795" s="371"/>
      <c r="L1795" s="371"/>
      <c r="M1795" s="371"/>
      <c r="N1795" s="371"/>
      <c r="O1795" s="371"/>
      <c r="P1795" s="371"/>
      <c r="Q1795" s="371"/>
      <c r="R1795" s="38"/>
      <c r="S1795" s="38" t="str">
        <f ca="1">Summon!$I$4</f>
        <v>战斗</v>
      </c>
      <c r="T1795" s="371"/>
      <c r="U1795" s="371"/>
      <c r="V1795" s="371"/>
      <c r="W1795" s="168"/>
    </row>
    <row r="1796" spans="1:23" ht="12.75" x14ac:dyDescent="0.2">
      <c r="A1796" s="168"/>
      <c r="B1796" s="555"/>
      <c r="C1796" s="171" t="b">
        <v>0</v>
      </c>
      <c r="D1796" s="172" t="str">
        <f ca="1">道具!$C$90</f>
        <v>原石</v>
      </c>
      <c r="E1796" s="555"/>
      <c r="F1796" s="555"/>
      <c r="G1796" s="555"/>
      <c r="H1796" s="555"/>
      <c r="I1796" s="555"/>
      <c r="J1796" s="555"/>
      <c r="K1796" s="555"/>
      <c r="L1796" s="555"/>
      <c r="M1796" s="555"/>
      <c r="N1796" s="555"/>
      <c r="O1796" s="555"/>
      <c r="P1796" s="555"/>
      <c r="Q1796" s="555"/>
      <c r="R1796" s="173"/>
      <c r="S1796" s="173"/>
      <c r="T1796" s="555"/>
      <c r="U1796" s="555"/>
      <c r="V1796" s="555"/>
      <c r="W1796" s="168"/>
    </row>
    <row r="1797" spans="1:23" ht="12.75" x14ac:dyDescent="0.2">
      <c r="A1797" s="168"/>
      <c r="B1797" s="472" t="str">
        <f ca="1">语言!$A$1946</f>
        <v>工人</v>
      </c>
      <c r="C1797" s="168" t="b">
        <v>0</v>
      </c>
      <c r="D1797" s="40" t="str">
        <f ca="1">道具!$C$98</f>
        <v>貌似金矿石的东西</v>
      </c>
      <c r="E1797" s="554" t="b">
        <v>0</v>
      </c>
      <c r="F1797" s="471" t="str">
        <f ca="1">语言!$A$23</f>
        <v>无</v>
      </c>
      <c r="G1797" s="554" t="b">
        <v>0</v>
      </c>
      <c r="H1797" s="556" t="s">
        <v>48</v>
      </c>
      <c r="I1797" s="471">
        <v>2</v>
      </c>
      <c r="J1797" s="471"/>
      <c r="K1797" s="471"/>
      <c r="L1797" s="471"/>
      <c r="M1797" s="471"/>
      <c r="N1797" s="471"/>
      <c r="O1797" s="471" t="str">
        <f ca="1">道具!$C$266</f>
        <v>魔咒手斧</v>
      </c>
      <c r="P1797" s="554"/>
      <c r="Q1797" s="556" t="s">
        <v>48</v>
      </c>
      <c r="R1797" s="38"/>
      <c r="S1797" s="38" t="str">
        <f ca="1">Summon!$I$118</f>
        <v>恢复ＨＰ的葡萄</v>
      </c>
      <c r="T1797" s="556">
        <v>9</v>
      </c>
      <c r="U1797" s="554"/>
      <c r="V1797" s="471" t="str">
        <f ca="1">"Temporarily unavailable during "&amp;语言!$A$37&amp;" chapter 2"</f>
        <v>Temporarily unavailable during 特蕾莎 chapter 2</v>
      </c>
      <c r="W1797" s="168"/>
    </row>
    <row r="1798" spans="1:23" ht="12.75" x14ac:dyDescent="0.2">
      <c r="A1798" s="168"/>
      <c r="B1798" s="371"/>
      <c r="C1798" s="168" t="b">
        <v>0</v>
      </c>
      <c r="D1798" s="40" t="str">
        <f ca="1">道具!$C$44</f>
        <v>光之精灵石（大）</v>
      </c>
      <c r="E1798" s="371"/>
      <c r="F1798" s="371"/>
      <c r="G1798" s="371"/>
      <c r="H1798" s="371"/>
      <c r="I1798" s="371"/>
      <c r="J1798" s="371"/>
      <c r="K1798" s="371"/>
      <c r="L1798" s="371"/>
      <c r="M1798" s="371"/>
      <c r="N1798" s="371"/>
      <c r="O1798" s="371"/>
      <c r="P1798" s="371"/>
      <c r="Q1798" s="371"/>
      <c r="R1798" s="38"/>
      <c r="S1798" s="38" t="str">
        <f ca="1">Summon!$I$61</f>
        <v>全力斩击</v>
      </c>
      <c r="T1798" s="371"/>
      <c r="U1798" s="371"/>
      <c r="V1798" s="371"/>
      <c r="W1798" s="168"/>
    </row>
    <row r="1799" spans="1:23" ht="12.75" x14ac:dyDescent="0.2">
      <c r="A1799" s="168"/>
      <c r="B1799" s="555"/>
      <c r="C1799" s="171" t="b">
        <v>0</v>
      </c>
      <c r="D1799" s="172" t="str">
        <f ca="1">道具!$C$45</f>
        <v>光之精灵石（特大）</v>
      </c>
      <c r="E1799" s="555"/>
      <c r="F1799" s="555"/>
      <c r="G1799" s="555"/>
      <c r="H1799" s="555"/>
      <c r="I1799" s="555"/>
      <c r="J1799" s="555"/>
      <c r="K1799" s="555"/>
      <c r="L1799" s="555"/>
      <c r="M1799" s="555"/>
      <c r="N1799" s="555"/>
      <c r="O1799" s="555"/>
      <c r="P1799" s="555"/>
      <c r="Q1799" s="555"/>
      <c r="R1799" s="173"/>
      <c r="S1799" s="173" t="str">
        <f ca="1">Summon!$I$4</f>
        <v>战斗</v>
      </c>
      <c r="T1799" s="555"/>
      <c r="U1799" s="555"/>
      <c r="V1799" s="555"/>
      <c r="W1799" s="168"/>
    </row>
    <row r="1800" spans="1:23" ht="12.75" x14ac:dyDescent="0.2">
      <c r="A1800" s="168"/>
      <c r="B1800" s="472" t="str">
        <f ca="1">语言!$A$1946</f>
        <v>工人</v>
      </c>
      <c r="C1800" s="168" t="b">
        <v>0</v>
      </c>
      <c r="D1800" s="40" t="str">
        <f ca="1">道具!$C$90</f>
        <v>原石</v>
      </c>
      <c r="E1800" s="554" t="b">
        <v>0</v>
      </c>
      <c r="F1800" s="471" t="str">
        <f ca="1">语言!$A$33&amp;"
"&amp;道具!$C$100</f>
        <v>隐藏道具的资讯
看起来像金矿石的东西</v>
      </c>
      <c r="G1800" s="554" t="b">
        <v>0</v>
      </c>
      <c r="H1800" s="556" t="s">
        <v>50</v>
      </c>
      <c r="I1800" s="471">
        <v>4</v>
      </c>
      <c r="J1800" s="471"/>
      <c r="K1800" s="471"/>
      <c r="L1800" s="471"/>
      <c r="M1800" s="471"/>
      <c r="N1800" s="471"/>
      <c r="O1800" s="471" t="str">
        <f ca="1">道具!$C$40</f>
        <v>风之精灵石（大）</v>
      </c>
      <c r="P1800" s="554"/>
      <c r="Q1800" s="556" t="s">
        <v>50</v>
      </c>
      <c r="R1800" s="38"/>
      <c r="S1800" s="38" t="str">
        <f ca="1">Summon!$I$34</f>
        <v>无双突刺</v>
      </c>
      <c r="T1800" s="556">
        <v>7</v>
      </c>
      <c r="U1800" s="554"/>
      <c r="V1800" s="471" t="str">
        <f ca="1">"Temporarily unavailable during "&amp;语言!$A$37&amp;" chapter 2"</f>
        <v>Temporarily unavailable during 特蕾莎 chapter 2</v>
      </c>
      <c r="W1800" s="168"/>
    </row>
    <row r="1801" spans="1:23" ht="12.75" x14ac:dyDescent="0.2">
      <c r="A1801" s="168"/>
      <c r="B1801" s="371"/>
      <c r="C1801" s="168" t="b">
        <v>0</v>
      </c>
      <c r="D1801" s="40" t="str">
        <f ca="1">道具!$C$40</f>
        <v>风之精灵石（大）</v>
      </c>
      <c r="E1801" s="371"/>
      <c r="F1801" s="371"/>
      <c r="G1801" s="371"/>
      <c r="H1801" s="371"/>
      <c r="I1801" s="371"/>
      <c r="J1801" s="371"/>
      <c r="K1801" s="371"/>
      <c r="L1801" s="371"/>
      <c r="M1801" s="371"/>
      <c r="N1801" s="371"/>
      <c r="O1801" s="371"/>
      <c r="P1801" s="371"/>
      <c r="Q1801" s="371"/>
      <c r="R1801" s="38"/>
      <c r="S1801" s="38" t="str">
        <f ca="1">Summon!$I$31</f>
        <v>要害突刺</v>
      </c>
      <c r="T1801" s="371"/>
      <c r="U1801" s="371"/>
      <c r="V1801" s="371"/>
      <c r="W1801" s="168"/>
    </row>
    <row r="1802" spans="1:23" ht="12.75" x14ac:dyDescent="0.2">
      <c r="A1802" s="168"/>
      <c r="B1802" s="555"/>
      <c r="C1802" s="171" t="b">
        <v>0</v>
      </c>
      <c r="D1802" s="172" t="str">
        <f ca="1">道具!$C$42</f>
        <v>风之精灵石（特大）</v>
      </c>
      <c r="E1802" s="555"/>
      <c r="F1802" s="555"/>
      <c r="G1802" s="555"/>
      <c r="H1802" s="555"/>
      <c r="I1802" s="555"/>
      <c r="J1802" s="555"/>
      <c r="K1802" s="555"/>
      <c r="L1802" s="555"/>
      <c r="M1802" s="555"/>
      <c r="N1802" s="555"/>
      <c r="O1802" s="555"/>
      <c r="P1802" s="555"/>
      <c r="Q1802" s="555"/>
      <c r="R1802" s="173"/>
      <c r="S1802" s="173" t="str">
        <f ca="1">Summon!$I$4</f>
        <v>战斗</v>
      </c>
      <c r="T1802" s="555"/>
      <c r="U1802" s="555"/>
      <c r="V1802" s="555"/>
      <c r="W1802" s="168"/>
    </row>
    <row r="1803" spans="1:23" ht="12.75" x14ac:dyDescent="0.2">
      <c r="A1803" s="168"/>
      <c r="B1803" s="472" t="str">
        <f ca="1">语言!$A$2091</f>
        <v>蛋名人</v>
      </c>
      <c r="C1803" s="168" t="b">
        <v>0</v>
      </c>
      <c r="D1803" s="40" t="str">
        <f ca="1">道具!$C$48</f>
        <v>暗之精灵石（特大）</v>
      </c>
      <c r="E1803" s="554" t="b">
        <v>0</v>
      </c>
      <c r="F1803" s="471" t="str">
        <f ca="1">语言!$A$23</f>
        <v>无</v>
      </c>
      <c r="G1803" s="554" t="b">
        <v>0</v>
      </c>
      <c r="H1803" s="556" t="s">
        <v>45</v>
      </c>
      <c r="I1803" s="471">
        <v>2</v>
      </c>
      <c r="J1803" s="471"/>
      <c r="K1803" s="471"/>
      <c r="L1803" s="471"/>
      <c r="M1803" s="471"/>
      <c r="N1803" s="471"/>
      <c r="O1803" s="471" t="str">
        <f ca="1">道具!$C$48</f>
        <v>暗之精灵石（特大）</v>
      </c>
      <c r="P1803" s="554"/>
      <c r="Q1803" s="556" t="s">
        <v>45</v>
      </c>
      <c r="R1803" s="38"/>
      <c r="S1803" s="38" t="str">
        <f ca="1">Summon!$I$72</f>
        <v>殴打</v>
      </c>
      <c r="T1803" s="556">
        <v>9</v>
      </c>
      <c r="U1803" s="554"/>
      <c r="V1803" s="471" t="str">
        <f ca="1">"NPC available after quest: "&amp;支线!$C$115</f>
        <v>NPC available after quest: 托付龙蛋的少女艾蜜莉（１）</v>
      </c>
      <c r="W1803" s="168"/>
    </row>
    <row r="1804" spans="1:23" ht="12.75" x14ac:dyDescent="0.2">
      <c r="A1804" s="168"/>
      <c r="B1804" s="555"/>
      <c r="C1804" s="171" t="b">
        <v>0</v>
      </c>
      <c r="D1804" s="172" t="str">
        <f ca="1">道具!$C$324</f>
        <v>长柄权杖</v>
      </c>
      <c r="E1804" s="555"/>
      <c r="F1804" s="555"/>
      <c r="G1804" s="555"/>
      <c r="H1804" s="555"/>
      <c r="I1804" s="555"/>
      <c r="J1804" s="555"/>
      <c r="K1804" s="555"/>
      <c r="L1804" s="555"/>
      <c r="M1804" s="555"/>
      <c r="N1804" s="555"/>
      <c r="O1804" s="555"/>
      <c r="P1804" s="555"/>
      <c r="Q1804" s="555"/>
      <c r="R1804" s="173"/>
      <c r="S1804" s="173" t="str">
        <f ca="1">Summon!$I$4</f>
        <v>战斗</v>
      </c>
      <c r="T1804" s="555"/>
      <c r="U1804" s="555"/>
      <c r="V1804" s="555"/>
      <c r="W1804" s="168"/>
    </row>
    <row r="1805" spans="1:23" ht="25.5" x14ac:dyDescent="0.2">
      <c r="A1805" s="168"/>
      <c r="B1805" s="472" t="str">
        <f ca="1">语言!$A$1946</f>
        <v>工人</v>
      </c>
      <c r="C1805" s="168" t="b">
        <v>0</v>
      </c>
      <c r="D1805" s="40" t="str">
        <f ca="1">"* "&amp;道具!$F$12</f>
        <v>* 垃圾石 / 碧闪石</v>
      </c>
      <c r="E1805" s="554" t="b">
        <v>0</v>
      </c>
      <c r="F1805" s="471" t="str">
        <f ca="1">语言!$A$23</f>
        <v>无</v>
      </c>
      <c r="G1805" s="554" t="b">
        <v>0</v>
      </c>
      <c r="H1805" s="556" t="s">
        <v>46</v>
      </c>
      <c r="I1805" s="471">
        <v>3</v>
      </c>
      <c r="J1805" s="471"/>
      <c r="K1805" s="471"/>
      <c r="L1805" s="471"/>
      <c r="M1805" s="471"/>
      <c r="N1805" s="471"/>
      <c r="O1805" s="471" t="str">
        <f ca="1">道具!$C$38</f>
        <v>雷之精灵石（特大）</v>
      </c>
      <c r="P1805" s="554"/>
      <c r="Q1805" s="556" t="s">
        <v>46</v>
      </c>
      <c r="R1805" s="38"/>
      <c r="S1805" s="38" t="str">
        <f ca="1">Summon!$I$118</f>
        <v>恢复ＨＰ的葡萄</v>
      </c>
      <c r="T1805" s="556">
        <v>8</v>
      </c>
      <c r="U1805" s="554"/>
      <c r="V1805" s="471" t="str">
        <f ca="1">"NPC available upon starting "&amp;语言!$A$37&amp;" chapter 2
Fully unlocked after "&amp;语言!$A$37&amp;" chapter 2"</f>
        <v>NPC available upon starting 特蕾莎 chapter 2
Fully unlocked after 特蕾莎 chapter 2</v>
      </c>
      <c r="W1805" s="168"/>
    </row>
    <row r="1806" spans="1:23" ht="12.75" x14ac:dyDescent="0.2">
      <c r="A1806" s="168"/>
      <c r="B1806" s="371"/>
      <c r="C1806" s="168" t="b">
        <v>0</v>
      </c>
      <c r="D1806" s="40" t="str">
        <f ca="1">道具!$C$31</f>
        <v>火之精灵石（大）</v>
      </c>
      <c r="E1806" s="371"/>
      <c r="F1806" s="371"/>
      <c r="G1806" s="371"/>
      <c r="H1806" s="371"/>
      <c r="I1806" s="371"/>
      <c r="J1806" s="371"/>
      <c r="K1806" s="371"/>
      <c r="L1806" s="371"/>
      <c r="M1806" s="371"/>
      <c r="N1806" s="371"/>
      <c r="O1806" s="371"/>
      <c r="P1806" s="371"/>
      <c r="Q1806" s="371"/>
      <c r="R1806" s="38"/>
      <c r="S1806" s="38" t="str">
        <f ca="1">Summon!$I$6</f>
        <v>斩击</v>
      </c>
      <c r="T1806" s="371"/>
      <c r="U1806" s="371"/>
      <c r="V1806" s="371"/>
      <c r="W1806" s="168"/>
    </row>
    <row r="1807" spans="1:23" ht="12.75" x14ac:dyDescent="0.2">
      <c r="A1807" s="168"/>
      <c r="B1807" s="555"/>
      <c r="C1807" s="171" t="b">
        <v>0</v>
      </c>
      <c r="D1807" s="172" t="str">
        <f ca="1">道具!$C$44</f>
        <v>光之精灵石（大）</v>
      </c>
      <c r="E1807" s="555"/>
      <c r="F1807" s="555"/>
      <c r="G1807" s="555"/>
      <c r="H1807" s="555"/>
      <c r="I1807" s="555"/>
      <c r="J1807" s="555"/>
      <c r="K1807" s="555"/>
      <c r="L1807" s="555"/>
      <c r="M1807" s="555"/>
      <c r="N1807" s="555"/>
      <c r="O1807" s="555"/>
      <c r="P1807" s="555"/>
      <c r="Q1807" s="555"/>
      <c r="R1807" s="173"/>
      <c r="S1807" s="173" t="str">
        <f ca="1">Summon!$I$4</f>
        <v>战斗</v>
      </c>
      <c r="T1807" s="555"/>
      <c r="U1807" s="555"/>
      <c r="V1807" s="555"/>
      <c r="W1807" s="168"/>
    </row>
    <row r="1808" spans="1:23" ht="12.75" x14ac:dyDescent="0.2">
      <c r="A1808" s="168"/>
      <c r="B1808" s="472" t="str">
        <f ca="1">语言!$A$1984</f>
        <v>开采工人</v>
      </c>
      <c r="C1808" s="168" t="b">
        <v>0</v>
      </c>
      <c r="D1808" s="40" t="str">
        <f ca="1">道具!$C$268</f>
        <v>手斧</v>
      </c>
      <c r="E1808" s="554" t="b">
        <v>0</v>
      </c>
      <c r="F1808" s="471" t="str">
        <f ca="1">语言!$A$23</f>
        <v>无</v>
      </c>
      <c r="G1808" s="554" t="b">
        <v>0</v>
      </c>
      <c r="H1808" s="556" t="s">
        <v>46</v>
      </c>
      <c r="I1808" s="471">
        <v>3</v>
      </c>
      <c r="J1808" s="471"/>
      <c r="K1808" s="471"/>
      <c r="L1808" s="471"/>
      <c r="M1808" s="471"/>
      <c r="N1808" s="471"/>
      <c r="O1808" s="471" t="str">
        <f ca="1">道具!$C$44</f>
        <v>光之精灵石（大）</v>
      </c>
      <c r="P1808" s="554"/>
      <c r="Q1808" s="556" t="s">
        <v>46</v>
      </c>
      <c r="R1808" s="38"/>
      <c r="S1808" s="38" t="str">
        <f ca="1">Summon!$I$40</f>
        <v>乱挥</v>
      </c>
      <c r="T1808" s="556">
        <v>8</v>
      </c>
      <c r="U1808" s="554"/>
      <c r="V1808" s="471"/>
      <c r="W1808" s="168"/>
    </row>
    <row r="1809" spans="1:23" ht="12.75" x14ac:dyDescent="0.2">
      <c r="A1809" s="168"/>
      <c r="B1809" s="371"/>
      <c r="C1809" s="168" t="b">
        <v>0</v>
      </c>
      <c r="D1809" s="40" t="str">
        <f ca="1">道具!$C$393</f>
        <v>铁制头盔</v>
      </c>
      <c r="E1809" s="371"/>
      <c r="F1809" s="371"/>
      <c r="G1809" s="371"/>
      <c r="H1809" s="371"/>
      <c r="I1809" s="371"/>
      <c r="J1809" s="371"/>
      <c r="K1809" s="371"/>
      <c r="L1809" s="371"/>
      <c r="M1809" s="371"/>
      <c r="N1809" s="371"/>
      <c r="O1809" s="371"/>
      <c r="P1809" s="371"/>
      <c r="Q1809" s="371"/>
      <c r="R1809" s="38"/>
      <c r="S1809" s="38" t="str">
        <f ca="1">Summon!$I$30</f>
        <v>突刺</v>
      </c>
      <c r="T1809" s="371"/>
      <c r="U1809" s="371"/>
      <c r="V1809" s="371"/>
      <c r="W1809" s="168"/>
    </row>
    <row r="1810" spans="1:23" ht="12.75" x14ac:dyDescent="0.2">
      <c r="A1810" s="168"/>
      <c r="B1810" s="555"/>
      <c r="C1810" s="171"/>
      <c r="D1810" s="172"/>
      <c r="E1810" s="555"/>
      <c r="F1810" s="555"/>
      <c r="G1810" s="555"/>
      <c r="H1810" s="555"/>
      <c r="I1810" s="555"/>
      <c r="J1810" s="555"/>
      <c r="K1810" s="555"/>
      <c r="L1810" s="555"/>
      <c r="M1810" s="555"/>
      <c r="N1810" s="555"/>
      <c r="O1810" s="555"/>
      <c r="P1810" s="555"/>
      <c r="Q1810" s="555"/>
      <c r="R1810" s="173"/>
      <c r="S1810" s="173" t="str">
        <f ca="1">Summon!$I$4</f>
        <v>战斗</v>
      </c>
      <c r="T1810" s="555"/>
      <c r="U1810" s="555"/>
      <c r="V1810" s="555"/>
      <c r="W1810" s="168"/>
    </row>
    <row r="1811" spans="1:23" ht="12.75" x14ac:dyDescent="0.2">
      <c r="A1811" s="168"/>
      <c r="B1811" s="472" t="str">
        <f ca="1">语言!$A$1946</f>
        <v>工人</v>
      </c>
      <c r="C1811" s="168" t="b">
        <v>0</v>
      </c>
      <c r="D1811" s="40" t="str">
        <f ca="1">道具!$C$100</f>
        <v>看起来像金矿石的东西</v>
      </c>
      <c r="E1811" s="554" t="b">
        <v>0</v>
      </c>
      <c r="F1811" s="471" t="str">
        <f ca="1">语言!$A$23</f>
        <v>无</v>
      </c>
      <c r="G1811" s="554" t="b">
        <v>0</v>
      </c>
      <c r="H1811" s="556" t="s">
        <v>46</v>
      </c>
      <c r="I1811" s="471">
        <v>3</v>
      </c>
      <c r="J1811" s="471"/>
      <c r="K1811" s="471"/>
      <c r="L1811" s="471"/>
      <c r="M1811" s="471"/>
      <c r="N1811" s="471"/>
      <c r="O1811" s="471" t="str">
        <f ca="1">道具!$C$439</f>
        <v>铁制盔甲</v>
      </c>
      <c r="P1811" s="554"/>
      <c r="Q1811" s="556" t="s">
        <v>46</v>
      </c>
      <c r="R1811" s="38"/>
      <c r="S1811" s="38" t="str">
        <f ca="1">Summon!$I$48</f>
        <v>连掷短剑</v>
      </c>
      <c r="T1811" s="556">
        <v>8</v>
      </c>
      <c r="U1811" s="554"/>
      <c r="V1811" s="471" t="str">
        <f ca="1">"Temporarily unavailable during "&amp;语言!$A$37&amp;" chapter 2"</f>
        <v>Temporarily unavailable during 特蕾莎 chapter 2</v>
      </c>
      <c r="W1811" s="168"/>
    </row>
    <row r="1812" spans="1:23" ht="12.75" x14ac:dyDescent="0.2">
      <c r="A1812" s="168"/>
      <c r="B1812" s="371"/>
      <c r="C1812" s="168" t="b">
        <v>0</v>
      </c>
      <c r="D1812" s="40" t="str">
        <f ca="1">道具!$C$42</f>
        <v>风之精灵石（特大）</v>
      </c>
      <c r="E1812" s="371"/>
      <c r="F1812" s="371"/>
      <c r="G1812" s="371"/>
      <c r="H1812" s="371"/>
      <c r="I1812" s="371"/>
      <c r="J1812" s="371"/>
      <c r="K1812" s="371"/>
      <c r="L1812" s="371"/>
      <c r="M1812" s="371"/>
      <c r="N1812" s="371"/>
      <c r="O1812" s="371"/>
      <c r="P1812" s="371"/>
      <c r="Q1812" s="371"/>
      <c r="R1812" s="38"/>
      <c r="S1812" s="38" t="str">
        <f ca="1">Summon!$I$42</f>
        <v>猛击</v>
      </c>
      <c r="T1812" s="371"/>
      <c r="U1812" s="371"/>
      <c r="V1812" s="371"/>
      <c r="W1812" s="168"/>
    </row>
    <row r="1813" spans="1:23" ht="12.75" x14ac:dyDescent="0.2">
      <c r="A1813" s="168"/>
      <c r="B1813" s="555"/>
      <c r="C1813" s="171" t="b">
        <v>0</v>
      </c>
      <c r="D1813" s="172" t="str">
        <f ca="1">道具!$C$369</f>
        <v>静寂头巾</v>
      </c>
      <c r="E1813" s="555"/>
      <c r="F1813" s="555"/>
      <c r="G1813" s="555"/>
      <c r="H1813" s="555"/>
      <c r="I1813" s="555"/>
      <c r="J1813" s="555"/>
      <c r="K1813" s="555"/>
      <c r="L1813" s="555"/>
      <c r="M1813" s="555"/>
      <c r="N1813" s="555"/>
      <c r="O1813" s="555"/>
      <c r="P1813" s="555"/>
      <c r="Q1813" s="555"/>
      <c r="R1813" s="173"/>
      <c r="S1813" s="173" t="str">
        <f ca="1">Summon!$I$4</f>
        <v>战斗</v>
      </c>
      <c r="T1813" s="555"/>
      <c r="U1813" s="555"/>
      <c r="V1813" s="555"/>
      <c r="W1813" s="168"/>
    </row>
    <row r="1814" spans="1:23" ht="25.5" x14ac:dyDescent="0.2">
      <c r="A1814" s="168"/>
      <c r="B1814" s="472" t="str">
        <f ca="1">语言!$A$1946</f>
        <v>工人</v>
      </c>
      <c r="C1814" s="168" t="b">
        <v>0</v>
      </c>
      <c r="D1814" s="40" t="str">
        <f ca="1">"* "&amp;道具!$F$12</f>
        <v>* 垃圾石 / 碧闪石</v>
      </c>
      <c r="E1814" s="554" t="b">
        <v>0</v>
      </c>
      <c r="F1814" s="471" t="str">
        <f ca="1">语言!$A$23</f>
        <v>无</v>
      </c>
      <c r="G1814" s="554" t="b">
        <v>0</v>
      </c>
      <c r="H1814" s="556" t="s">
        <v>47</v>
      </c>
      <c r="I1814" s="471">
        <v>4</v>
      </c>
      <c r="J1814" s="471"/>
      <c r="K1814" s="471"/>
      <c r="L1814" s="471"/>
      <c r="M1814" s="471"/>
      <c r="N1814" s="471"/>
      <c r="O1814" s="471" t="str">
        <f ca="1">道具!$C$42</f>
        <v>风之精灵石（特大）</v>
      </c>
      <c r="P1814" s="554"/>
      <c r="Q1814" s="556" t="s">
        <v>47</v>
      </c>
      <c r="R1814" s="38"/>
      <c r="S1814" s="38" t="str">
        <f ca="1">Summon!$I$158</f>
        <v>防御力下降</v>
      </c>
      <c r="T1814" s="556">
        <v>6</v>
      </c>
      <c r="U1814" s="554"/>
      <c r="V1814" s="471" t="str">
        <f ca="1">"NPC available upon starting "&amp;语言!$A$37&amp;" chapter 2
Fully unlocked after "&amp;语言!$A$37&amp;" chapter 2"</f>
        <v>NPC available upon starting 特蕾莎 chapter 2
Fully unlocked after 特蕾莎 chapter 2</v>
      </c>
      <c r="W1814" s="168"/>
    </row>
    <row r="1815" spans="1:23" ht="12.75" x14ac:dyDescent="0.2">
      <c r="A1815" s="168"/>
      <c r="B1815" s="371"/>
      <c r="C1815" s="168" t="b">
        <v>0</v>
      </c>
      <c r="D1815" s="40" t="str">
        <f ca="1">道具!$C$100</f>
        <v>看起来像金矿石的东西</v>
      </c>
      <c r="E1815" s="371"/>
      <c r="F1815" s="371"/>
      <c r="G1815" s="371"/>
      <c r="H1815" s="371"/>
      <c r="I1815" s="371"/>
      <c r="J1815" s="371"/>
      <c r="K1815" s="371"/>
      <c r="L1815" s="371"/>
      <c r="M1815" s="371"/>
      <c r="N1815" s="371"/>
      <c r="O1815" s="371"/>
      <c r="P1815" s="371"/>
      <c r="Q1815" s="371"/>
      <c r="R1815" s="38"/>
      <c r="S1815" s="38" t="str">
        <f ca="1">Summon!$I$32</f>
        <v>高速推进</v>
      </c>
      <c r="T1815" s="371"/>
      <c r="U1815" s="371"/>
      <c r="V1815" s="371"/>
      <c r="W1815" s="168"/>
    </row>
    <row r="1816" spans="1:23" ht="12.75" x14ac:dyDescent="0.2">
      <c r="A1816" s="168"/>
      <c r="B1816" s="371"/>
      <c r="C1816" s="168" t="b">
        <v>0</v>
      </c>
      <c r="D1816" s="40" t="str">
        <f ca="1">道具!$C$116</f>
        <v>稀奇的石头</v>
      </c>
      <c r="E1816" s="371"/>
      <c r="F1816" s="371"/>
      <c r="G1816" s="371"/>
      <c r="H1816" s="371"/>
      <c r="I1816" s="371"/>
      <c r="J1816" s="371"/>
      <c r="K1816" s="371"/>
      <c r="L1816" s="371"/>
      <c r="M1816" s="371"/>
      <c r="N1816" s="371"/>
      <c r="O1816" s="371"/>
      <c r="P1816" s="371"/>
      <c r="Q1816" s="371"/>
      <c r="R1816" s="38"/>
      <c r="S1816" s="38" t="str">
        <f ca="1">Summon!$I$4</f>
        <v>战斗</v>
      </c>
      <c r="T1816" s="371"/>
      <c r="U1816" s="371"/>
      <c r="V1816" s="371"/>
      <c r="W1816" s="168"/>
    </row>
    <row r="1817" spans="1:23" ht="18" x14ac:dyDescent="0.2">
      <c r="A1817" s="232"/>
      <c r="B1817" s="551" t="str">
        <f ca="1">语言!$A$323&amp;" 3"</f>
        <v>Tier 3</v>
      </c>
      <c r="C1817" s="371"/>
      <c r="D1817" s="371"/>
      <c r="E1817" s="371"/>
      <c r="F1817" s="371"/>
      <c r="G1817" s="371"/>
      <c r="H1817" s="371"/>
      <c r="I1817" s="371"/>
      <c r="J1817" s="371"/>
      <c r="K1817" s="371"/>
      <c r="L1817" s="371"/>
      <c r="M1817" s="371"/>
      <c r="N1817" s="371"/>
      <c r="O1817" s="371"/>
      <c r="P1817" s="371"/>
      <c r="Q1817" s="371"/>
      <c r="R1817" s="371"/>
      <c r="S1817" s="371"/>
      <c r="T1817" s="371"/>
      <c r="U1817" s="371"/>
      <c r="V1817" s="371"/>
      <c r="W1817" s="232"/>
    </row>
    <row r="1818" spans="1:23" ht="12.75" x14ac:dyDescent="0.2">
      <c r="A1818" s="168"/>
      <c r="B1818" s="552" t="str">
        <f ca="1">语言!$A$471</f>
        <v>欧亚威尔</v>
      </c>
      <c r="C1818" s="371"/>
      <c r="D1818" s="371"/>
      <c r="E1818" s="371"/>
      <c r="F1818" s="371"/>
      <c r="G1818" s="371"/>
      <c r="H1818" s="371"/>
      <c r="I1818" s="371"/>
      <c r="J1818" s="371"/>
      <c r="K1818" s="371"/>
      <c r="L1818" s="371"/>
      <c r="M1818" s="371"/>
      <c r="N1818" s="371"/>
      <c r="O1818" s="371"/>
      <c r="P1818" s="371"/>
      <c r="Q1818" s="371"/>
      <c r="R1818" s="371"/>
      <c r="S1818" s="371"/>
      <c r="T1818" s="371"/>
      <c r="U1818" s="371"/>
      <c r="V1818" s="371"/>
      <c r="W1818" s="168"/>
    </row>
    <row r="1819" spans="1:23" ht="12.75" x14ac:dyDescent="0.2">
      <c r="A1819" s="168"/>
      <c r="B1819" s="472" t="str">
        <f ca="1">语言!$A$2120</f>
        <v>村民</v>
      </c>
      <c r="C1819" s="168" t="b">
        <v>0</v>
      </c>
      <c r="D1819" s="40" t="str">
        <f ca="1">道具!$C$5</f>
        <v>ＨＰ全体恢复的葡萄</v>
      </c>
      <c r="E1819" s="554" t="b">
        <v>0</v>
      </c>
      <c r="F1819" s="471" t="str">
        <f ca="1">语言!$A$27</f>
        <v>杂货店商品追加资讯</v>
      </c>
      <c r="G1819" s="554" t="b">
        <v>0</v>
      </c>
      <c r="H1819" s="556" t="s">
        <v>47</v>
      </c>
      <c r="I1819" s="471">
        <v>4</v>
      </c>
      <c r="J1819" s="471"/>
      <c r="K1819" s="471"/>
      <c r="L1819" s="471"/>
      <c r="M1819" s="471"/>
      <c r="N1819" s="471"/>
      <c r="O1819" s="471" t="str">
        <f ca="1">道具!$C$532</f>
        <v>含毒的素材</v>
      </c>
      <c r="P1819" s="554"/>
      <c r="Q1819" s="556" t="s">
        <v>47</v>
      </c>
      <c r="R1819" s="38"/>
      <c r="S1819" s="38" t="str">
        <f ca="1">Summon!$I$143</f>
        <v>暗暗药</v>
      </c>
      <c r="T1819" s="556">
        <v>6</v>
      </c>
      <c r="U1819" s="554"/>
      <c r="V1819" s="471"/>
      <c r="W1819" s="168"/>
    </row>
    <row r="1820" spans="1:23" ht="12.75" x14ac:dyDescent="0.2">
      <c r="A1820" s="168"/>
      <c r="B1820" s="371"/>
      <c r="C1820" s="168" t="b">
        <v>0</v>
      </c>
      <c r="D1820" s="40" t="str">
        <f ca="1">道具!$C$8</f>
        <v>ＳＰ全体恢复的李子</v>
      </c>
      <c r="E1820" s="371"/>
      <c r="F1820" s="371"/>
      <c r="G1820" s="371"/>
      <c r="H1820" s="371"/>
      <c r="I1820" s="371"/>
      <c r="J1820" s="371"/>
      <c r="K1820" s="371"/>
      <c r="L1820" s="371"/>
      <c r="M1820" s="371"/>
      <c r="N1820" s="371"/>
      <c r="O1820" s="371"/>
      <c r="P1820" s="371"/>
      <c r="Q1820" s="371"/>
      <c r="R1820" s="38"/>
      <c r="S1820" s="38" t="str">
        <f ca="1">Summon!$I$20</f>
        <v>横扫</v>
      </c>
      <c r="T1820" s="371"/>
      <c r="U1820" s="371"/>
      <c r="V1820" s="371"/>
      <c r="W1820" s="168"/>
    </row>
    <row r="1821" spans="1:23" ht="12.75" x14ac:dyDescent="0.2">
      <c r="A1821" s="168"/>
      <c r="B1821" s="555"/>
      <c r="C1821" s="171" t="b">
        <v>0</v>
      </c>
      <c r="D1821" s="172" t="str">
        <f ca="1">道具!$C$12</f>
        <v>ＨＰ／ＳＰ恢复的果酱</v>
      </c>
      <c r="E1821" s="555"/>
      <c r="F1821" s="555"/>
      <c r="G1821" s="555"/>
      <c r="H1821" s="555"/>
      <c r="I1821" s="555"/>
      <c r="J1821" s="555"/>
      <c r="K1821" s="555"/>
      <c r="L1821" s="555"/>
      <c r="M1821" s="555"/>
      <c r="N1821" s="555"/>
      <c r="O1821" s="555"/>
      <c r="P1821" s="555"/>
      <c r="Q1821" s="555"/>
      <c r="R1821" s="173"/>
      <c r="S1821" s="173" t="str">
        <f ca="1">Summon!$I$4</f>
        <v>战斗</v>
      </c>
      <c r="T1821" s="555"/>
      <c r="U1821" s="555"/>
      <c r="V1821" s="555"/>
      <c r="W1821" s="168"/>
    </row>
    <row r="1822" spans="1:23" ht="12.75" x14ac:dyDescent="0.2">
      <c r="A1822" s="168"/>
      <c r="B1822" s="472" t="str">
        <f ca="1">语言!$A$2008</f>
        <v>充满疑惑的居民</v>
      </c>
      <c r="C1822" s="554" t="b">
        <v>0</v>
      </c>
      <c r="D1822" s="472" t="str">
        <f ca="1">道具!$C$477</f>
        <v>察知项链</v>
      </c>
      <c r="E1822" s="554" t="b">
        <v>0</v>
      </c>
      <c r="F1822" s="471" t="str">
        <f ca="1">语言!$A$33&amp;"
"&amp;道具!$C$7</f>
        <v>隐藏道具的资讯
ＳＰ恢复的李子（大）</v>
      </c>
      <c r="G1822" s="554" t="b">
        <v>0</v>
      </c>
      <c r="H1822" s="556" t="s">
        <v>57</v>
      </c>
      <c r="I1822" s="471">
        <v>3</v>
      </c>
      <c r="J1822" s="471"/>
      <c r="K1822" s="471"/>
      <c r="L1822" s="471"/>
      <c r="M1822" s="471"/>
      <c r="N1822" s="471"/>
      <c r="O1822" s="471" t="str">
        <f ca="1">道具!$C$532</f>
        <v>含毒的素材</v>
      </c>
      <c r="P1822" s="554"/>
      <c r="Q1822" s="556" t="s">
        <v>57</v>
      </c>
      <c r="R1822" s="38"/>
      <c r="S1822" s="38" t="str">
        <f ca="1">Summon!$I$44</f>
        <v>剧毒猛击</v>
      </c>
      <c r="T1822" s="556">
        <v>8</v>
      </c>
      <c r="U1822" s="554"/>
      <c r="V1822" s="471"/>
      <c r="W1822" s="168"/>
    </row>
    <row r="1823" spans="1:23" ht="12.75" x14ac:dyDescent="0.2">
      <c r="A1823" s="168"/>
      <c r="B1823" s="371"/>
      <c r="C1823" s="371"/>
      <c r="D1823" s="371"/>
      <c r="E1823" s="371"/>
      <c r="F1823" s="371"/>
      <c r="G1823" s="371"/>
      <c r="H1823" s="371"/>
      <c r="I1823" s="371"/>
      <c r="J1823" s="371"/>
      <c r="K1823" s="371"/>
      <c r="L1823" s="371"/>
      <c r="M1823" s="371"/>
      <c r="N1823" s="371"/>
      <c r="O1823" s="371"/>
      <c r="P1823" s="371"/>
      <c r="Q1823" s="371"/>
      <c r="R1823" s="38"/>
      <c r="S1823" s="38" t="str">
        <f ca="1">Summon!$I$42</f>
        <v>猛击</v>
      </c>
      <c r="T1823" s="371"/>
      <c r="U1823" s="371"/>
      <c r="V1823" s="371"/>
      <c r="W1823" s="168"/>
    </row>
    <row r="1824" spans="1:23" ht="12.75" x14ac:dyDescent="0.2">
      <c r="A1824" s="168"/>
      <c r="B1824" s="555"/>
      <c r="C1824" s="555"/>
      <c r="D1824" s="555"/>
      <c r="E1824" s="555"/>
      <c r="F1824" s="555"/>
      <c r="G1824" s="555"/>
      <c r="H1824" s="555"/>
      <c r="I1824" s="555"/>
      <c r="J1824" s="555"/>
      <c r="K1824" s="555"/>
      <c r="L1824" s="555"/>
      <c r="M1824" s="555"/>
      <c r="N1824" s="555"/>
      <c r="O1824" s="555"/>
      <c r="P1824" s="555"/>
      <c r="Q1824" s="555"/>
      <c r="R1824" s="173"/>
      <c r="S1824" s="173" t="str">
        <f ca="1">Summon!$I$4</f>
        <v>战斗</v>
      </c>
      <c r="T1824" s="555"/>
      <c r="U1824" s="555"/>
      <c r="V1824" s="555"/>
      <c r="W1824" s="168"/>
    </row>
    <row r="1825" spans="1:23" ht="12.75" x14ac:dyDescent="0.2">
      <c r="A1825" s="168"/>
      <c r="B1825" s="480" t="str">
        <f ca="1">语言!$A$1852&amp;" (3)"</f>
        <v>寻蛋的少女 /
艾蜜莉 (3)</v>
      </c>
      <c r="C1825" s="168" t="b">
        <v>0</v>
      </c>
      <c r="D1825" s="40" t="str">
        <f ca="1">道具!$C$14</f>
        <v>复活的橄榄</v>
      </c>
      <c r="E1825" s="554" t="b">
        <v>0</v>
      </c>
      <c r="F1825" s="471" t="str">
        <f ca="1">语言!$A$23</f>
        <v>无</v>
      </c>
      <c r="G1825" s="554"/>
      <c r="H1825" s="559" t="s">
        <v>119</v>
      </c>
      <c r="I1825" s="559" t="s">
        <v>119</v>
      </c>
      <c r="J1825" s="559" t="s">
        <v>119</v>
      </c>
      <c r="K1825" s="559" t="s">
        <v>119</v>
      </c>
      <c r="L1825" s="559" t="s">
        <v>119</v>
      </c>
      <c r="M1825" s="559" t="s">
        <v>119</v>
      </c>
      <c r="N1825" s="559" t="s">
        <v>119</v>
      </c>
      <c r="O1825" s="559" t="s">
        <v>119</v>
      </c>
      <c r="P1825" s="554"/>
      <c r="Q1825" s="559" t="s">
        <v>119</v>
      </c>
      <c r="R1825" s="559" t="s">
        <v>119</v>
      </c>
      <c r="S1825" s="559" t="s">
        <v>119</v>
      </c>
      <c r="T1825" s="559" t="s">
        <v>119</v>
      </c>
      <c r="U1825" s="554"/>
      <c r="V1825" s="471" t="str">
        <f ca="1">"NPC at this location after quest: "&amp;支线!$C$121&amp;"
Disapear after quest: "&amp;支线!$C$126</f>
        <v>NPC at this location after quest: 托付龙蛋的少女艾蜜莉（２）
Disapear after quest: 托付龙蛋的少女艾蜜莉（３）</v>
      </c>
      <c r="W1825" s="168"/>
    </row>
    <row r="1826" spans="1:23" ht="12.75" x14ac:dyDescent="0.2">
      <c r="A1826" s="168"/>
      <c r="B1826" s="371"/>
      <c r="C1826" s="168" t="b">
        <v>0</v>
      </c>
      <c r="D1826" s="39" t="str">
        <f ca="1">道具!$C$91</f>
        <v>树木果实</v>
      </c>
      <c r="E1826" s="371"/>
      <c r="F1826" s="371"/>
      <c r="G1826" s="371"/>
      <c r="H1826" s="371"/>
      <c r="I1826" s="371"/>
      <c r="J1826" s="371"/>
      <c r="K1826" s="371"/>
      <c r="L1826" s="371"/>
      <c r="M1826" s="371"/>
      <c r="N1826" s="371"/>
      <c r="O1826" s="371"/>
      <c r="P1826" s="371"/>
      <c r="Q1826" s="371"/>
      <c r="R1826" s="371"/>
      <c r="S1826" s="371"/>
      <c r="T1826" s="371"/>
      <c r="U1826" s="371"/>
      <c r="V1826" s="371"/>
      <c r="W1826" s="168"/>
    </row>
    <row r="1827" spans="1:23" ht="12.75" x14ac:dyDescent="0.2">
      <c r="A1827" s="168"/>
      <c r="B1827" s="371"/>
      <c r="C1827" s="168" t="b">
        <v>0</v>
      </c>
      <c r="D1827" s="39" t="str">
        <f ca="1">道具!$C$98</f>
        <v>貌似金矿石的东西</v>
      </c>
      <c r="E1827" s="371"/>
      <c r="F1827" s="371"/>
      <c r="G1827" s="371"/>
      <c r="H1827" s="371"/>
      <c r="I1827" s="371"/>
      <c r="J1827" s="371"/>
      <c r="K1827" s="371"/>
      <c r="L1827" s="371"/>
      <c r="M1827" s="371"/>
      <c r="N1827" s="371"/>
      <c r="O1827" s="371"/>
      <c r="P1827" s="371"/>
      <c r="Q1827" s="371"/>
      <c r="R1827" s="371"/>
      <c r="S1827" s="371"/>
      <c r="T1827" s="371"/>
      <c r="U1827" s="371"/>
      <c r="V1827" s="371"/>
      <c r="W1827" s="168"/>
    </row>
    <row r="1828" spans="1:23" ht="12.75" x14ac:dyDescent="0.2">
      <c r="A1828" s="168"/>
      <c r="B1828" s="371"/>
      <c r="C1828" s="168" t="b">
        <v>0</v>
      </c>
      <c r="D1828" s="40" t="str">
        <f ca="1">道具!$C$16</f>
        <v>复活的橄榄（大）</v>
      </c>
      <c r="E1828" s="371"/>
      <c r="F1828" s="371"/>
      <c r="G1828" s="371"/>
      <c r="H1828" s="371"/>
      <c r="I1828" s="371"/>
      <c r="J1828" s="371"/>
      <c r="K1828" s="371"/>
      <c r="L1828" s="371"/>
      <c r="M1828" s="371"/>
      <c r="N1828" s="371"/>
      <c r="O1828" s="371"/>
      <c r="P1828" s="371"/>
      <c r="Q1828" s="371"/>
      <c r="R1828" s="371"/>
      <c r="S1828" s="371"/>
      <c r="T1828" s="371"/>
      <c r="U1828" s="371"/>
      <c r="V1828" s="371"/>
      <c r="W1828" s="168"/>
    </row>
    <row r="1829" spans="1:23" ht="12.75" x14ac:dyDescent="0.2">
      <c r="A1829" s="168"/>
      <c r="B1829" s="555"/>
      <c r="C1829" s="171" t="b">
        <v>0</v>
      </c>
      <c r="D1829" s="172" t="str">
        <f ca="1">道具!$C$536</f>
        <v>超含毒的素材（扩散）</v>
      </c>
      <c r="E1829" s="555"/>
      <c r="F1829" s="555"/>
      <c r="G1829" s="555"/>
      <c r="H1829" s="555"/>
      <c r="I1829" s="555"/>
      <c r="J1829" s="555"/>
      <c r="K1829" s="555"/>
      <c r="L1829" s="555"/>
      <c r="M1829" s="555"/>
      <c r="N1829" s="555"/>
      <c r="O1829" s="555"/>
      <c r="P1829" s="555"/>
      <c r="Q1829" s="555"/>
      <c r="R1829" s="555"/>
      <c r="S1829" s="555"/>
      <c r="T1829" s="555"/>
      <c r="U1829" s="555"/>
      <c r="V1829" s="555"/>
      <c r="W1829" s="168"/>
    </row>
    <row r="1830" spans="1:23" ht="12.75" x14ac:dyDescent="0.2">
      <c r="A1830" s="168"/>
      <c r="B1830" s="472" t="str">
        <f ca="1">语言!$A$1854</f>
        <v>老婆婆</v>
      </c>
      <c r="C1830" s="168" t="b">
        <v>0</v>
      </c>
      <c r="D1830" s="40" t="str">
        <f ca="1">道具!$C$17</f>
        <v>复活的橄榄（特大）</v>
      </c>
      <c r="E1830" s="554" t="b">
        <v>0</v>
      </c>
      <c r="F1830" s="471" t="str">
        <f ca="1">语言!$A$23</f>
        <v>无</v>
      </c>
      <c r="G1830" s="554" t="b">
        <v>0</v>
      </c>
      <c r="H1830" s="556" t="s">
        <v>50</v>
      </c>
      <c r="I1830" s="471">
        <v>4</v>
      </c>
      <c r="J1830" s="471"/>
      <c r="K1830" s="471"/>
      <c r="L1830" s="471"/>
      <c r="M1830" s="471"/>
      <c r="N1830" s="471"/>
      <c r="O1830" s="471" t="str">
        <f ca="1">道具!$C$7</f>
        <v>ＳＰ恢复的李子（大）</v>
      </c>
      <c r="P1830" s="554"/>
      <c r="Q1830" s="559" t="s">
        <v>119</v>
      </c>
      <c r="R1830" s="559" t="s">
        <v>119</v>
      </c>
      <c r="S1830" s="559" t="s">
        <v>119</v>
      </c>
      <c r="T1830" s="559" t="s">
        <v>119</v>
      </c>
      <c r="U1830" s="554"/>
      <c r="V1830" s="471"/>
      <c r="W1830" s="168"/>
    </row>
    <row r="1831" spans="1:23" ht="12.75" x14ac:dyDescent="0.2">
      <c r="A1831" s="168"/>
      <c r="B1831" s="371"/>
      <c r="C1831" s="168" t="b">
        <v>0</v>
      </c>
      <c r="D1831" s="40" t="str">
        <f ca="1">道具!$C$37</f>
        <v>雷之精灵石（大）</v>
      </c>
      <c r="E1831" s="371"/>
      <c r="F1831" s="371"/>
      <c r="G1831" s="371"/>
      <c r="H1831" s="371"/>
      <c r="I1831" s="371"/>
      <c r="J1831" s="371"/>
      <c r="K1831" s="371"/>
      <c r="L1831" s="371"/>
      <c r="M1831" s="371"/>
      <c r="N1831" s="371"/>
      <c r="O1831" s="371"/>
      <c r="P1831" s="371"/>
      <c r="Q1831" s="371"/>
      <c r="R1831" s="371"/>
      <c r="S1831" s="371"/>
      <c r="T1831" s="371"/>
      <c r="U1831" s="371"/>
      <c r="V1831" s="371"/>
      <c r="W1831" s="168"/>
    </row>
    <row r="1832" spans="1:23" ht="12.75" x14ac:dyDescent="0.2">
      <c r="A1832" s="168"/>
      <c r="B1832" s="371"/>
      <c r="C1832" s="168" t="b">
        <v>0</v>
      </c>
      <c r="D1832" s="40" t="str">
        <f ca="1">道具!$C$37</f>
        <v>雷之精灵石（大）</v>
      </c>
      <c r="E1832" s="371"/>
      <c r="F1832" s="371"/>
      <c r="G1832" s="371"/>
      <c r="H1832" s="371"/>
      <c r="I1832" s="371"/>
      <c r="J1832" s="371"/>
      <c r="K1832" s="371"/>
      <c r="L1832" s="371"/>
      <c r="M1832" s="371"/>
      <c r="N1832" s="371"/>
      <c r="O1832" s="371"/>
      <c r="P1832" s="371"/>
      <c r="Q1832" s="371"/>
      <c r="R1832" s="371"/>
      <c r="S1832" s="371"/>
      <c r="T1832" s="371"/>
      <c r="U1832" s="371"/>
      <c r="V1832" s="371"/>
      <c r="W1832" s="168"/>
    </row>
    <row r="1833" spans="1:23" ht="12.75" x14ac:dyDescent="0.2">
      <c r="A1833" s="168"/>
      <c r="B1833" s="555"/>
      <c r="C1833" s="171" t="b">
        <v>0</v>
      </c>
      <c r="D1833" s="172" t="str">
        <f ca="1">道具!$C$38</f>
        <v>雷之精灵石（特大）</v>
      </c>
      <c r="E1833" s="555"/>
      <c r="F1833" s="555"/>
      <c r="G1833" s="555"/>
      <c r="H1833" s="555"/>
      <c r="I1833" s="555"/>
      <c r="J1833" s="555"/>
      <c r="K1833" s="555"/>
      <c r="L1833" s="555"/>
      <c r="M1833" s="555"/>
      <c r="N1833" s="555"/>
      <c r="O1833" s="555"/>
      <c r="P1833" s="555"/>
      <c r="Q1833" s="555"/>
      <c r="R1833" s="555"/>
      <c r="S1833" s="555"/>
      <c r="T1833" s="555"/>
      <c r="U1833" s="555"/>
      <c r="V1833" s="555"/>
      <c r="W1833" s="168"/>
    </row>
    <row r="1834" spans="1:23" ht="12.75" x14ac:dyDescent="0.2">
      <c r="A1834" s="168"/>
      <c r="B1834" s="472" t="str">
        <f ca="1">语言!$A$2014</f>
        <v>老人</v>
      </c>
      <c r="C1834" s="168" t="b">
        <v>0</v>
      </c>
      <c r="D1834" s="40" t="str">
        <f ca="1">道具!$C$53</f>
        <v>增强ＳＰ的坚果（大）</v>
      </c>
      <c r="E1834" s="554" t="b">
        <v>0</v>
      </c>
      <c r="F1834" s="471" t="str">
        <f ca="1">语言!$A$33&amp;"
"&amp;道具!$C$244</f>
        <v>隐藏道具的资讯
山丘猛击斧</v>
      </c>
      <c r="G1834" s="554" t="b">
        <v>0</v>
      </c>
      <c r="H1834" s="556" t="s">
        <v>50</v>
      </c>
      <c r="I1834" s="471">
        <v>4</v>
      </c>
      <c r="J1834" s="471"/>
      <c r="K1834" s="471"/>
      <c r="L1834" s="471"/>
      <c r="M1834" s="471"/>
      <c r="N1834" s="471"/>
      <c r="O1834" s="471" t="str">
        <f ca="1">道具!$C$4</f>
        <v>ＨＰ恢复的葡萄（大）</v>
      </c>
      <c r="P1834" s="554"/>
      <c r="Q1834" s="556" t="s">
        <v>50</v>
      </c>
      <c r="R1834" s="38"/>
      <c r="S1834" s="38" t="str">
        <f ca="1">Summon!$I$80</f>
        <v>大火焰魔法</v>
      </c>
      <c r="T1834" s="556">
        <v>7</v>
      </c>
      <c r="U1834" s="554"/>
      <c r="V1834" s="471" t="str">
        <f ca="1">"Behind other NPC ("&amp;语言!$A$47&amp;" / "&amp;语言!$A$51&amp;")"</f>
        <v>Behind other NPC (比试 / 唆使)</v>
      </c>
      <c r="W1834" s="168"/>
    </row>
    <row r="1835" spans="1:23" ht="12.75" x14ac:dyDescent="0.2">
      <c r="A1835" s="168"/>
      <c r="B1835" s="371"/>
      <c r="C1835" s="168" t="b">
        <v>0</v>
      </c>
      <c r="D1835" s="40" t="str">
        <f ca="1">道具!$C$57</f>
        <v>增强物攻的坚果（大）</v>
      </c>
      <c r="E1835" s="371"/>
      <c r="F1835" s="371"/>
      <c r="G1835" s="371"/>
      <c r="H1835" s="371"/>
      <c r="I1835" s="371"/>
      <c r="J1835" s="371"/>
      <c r="K1835" s="371"/>
      <c r="L1835" s="371"/>
      <c r="M1835" s="371"/>
      <c r="N1835" s="371"/>
      <c r="O1835" s="371"/>
      <c r="P1835" s="371"/>
      <c r="Q1835" s="371"/>
      <c r="R1835" s="38"/>
      <c r="S1835" s="38" t="str">
        <f ca="1">Summon!$I$78</f>
        <v>火焰魔法</v>
      </c>
      <c r="T1835" s="371"/>
      <c r="U1835" s="371"/>
      <c r="V1835" s="371"/>
      <c r="W1835" s="168"/>
    </row>
    <row r="1836" spans="1:23" ht="12.75" x14ac:dyDescent="0.2">
      <c r="A1836" s="168"/>
      <c r="B1836" s="555"/>
      <c r="C1836" s="171" t="b">
        <v>0</v>
      </c>
      <c r="D1836" s="172" t="str">
        <f ca="1">道具!$C$63</f>
        <v>增强属攻的坚果（大）</v>
      </c>
      <c r="E1836" s="555"/>
      <c r="F1836" s="555"/>
      <c r="G1836" s="555"/>
      <c r="H1836" s="555"/>
      <c r="I1836" s="555"/>
      <c r="J1836" s="555"/>
      <c r="K1836" s="555"/>
      <c r="L1836" s="555"/>
      <c r="M1836" s="555"/>
      <c r="N1836" s="555"/>
      <c r="O1836" s="555"/>
      <c r="P1836" s="555"/>
      <c r="Q1836" s="555"/>
      <c r="R1836" s="173"/>
      <c r="S1836" s="173" t="str">
        <f ca="1">Summon!$I$4</f>
        <v>战斗</v>
      </c>
      <c r="T1836" s="555"/>
      <c r="U1836" s="555"/>
      <c r="V1836" s="555"/>
      <c r="W1836" s="168"/>
    </row>
    <row r="1837" spans="1:23" ht="12.75" x14ac:dyDescent="0.2">
      <c r="A1837" s="168"/>
      <c r="B1837" s="172" t="str">
        <f ca="1">语言!$A$2027</f>
        <v>患者</v>
      </c>
      <c r="C1837" s="171"/>
      <c r="D1837" s="182" t="s">
        <v>119</v>
      </c>
      <c r="E1837" s="171" t="b">
        <v>0</v>
      </c>
      <c r="F1837" s="173" t="str">
        <f ca="1">道具!$I$38</f>
        <v>欧根的胡言乱语</v>
      </c>
      <c r="G1837" s="171"/>
      <c r="H1837" s="179" t="s">
        <v>119</v>
      </c>
      <c r="I1837" s="179" t="s">
        <v>119</v>
      </c>
      <c r="J1837" s="179" t="s">
        <v>119</v>
      </c>
      <c r="K1837" s="179" t="s">
        <v>119</v>
      </c>
      <c r="L1837" s="179" t="s">
        <v>119</v>
      </c>
      <c r="M1837" s="179" t="s">
        <v>119</v>
      </c>
      <c r="N1837" s="179" t="s">
        <v>119</v>
      </c>
      <c r="O1837" s="179" t="s">
        <v>119</v>
      </c>
      <c r="P1837" s="171"/>
      <c r="Q1837" s="179" t="s">
        <v>119</v>
      </c>
      <c r="R1837" s="179" t="s">
        <v>119</v>
      </c>
      <c r="S1837" s="179" t="s">
        <v>119</v>
      </c>
      <c r="T1837" s="179" t="s">
        <v>119</v>
      </c>
      <c r="U1837" s="171"/>
      <c r="V1837" s="173" t="str">
        <f ca="1">"NPC available during "&amp;语言!$A$40&amp;" chapter 4"</f>
        <v>NPC available during 亚芬 chapter 4</v>
      </c>
      <c r="W1837" s="168"/>
    </row>
    <row r="1838" spans="1:23" ht="12.75" x14ac:dyDescent="0.2">
      <c r="A1838" s="168"/>
      <c r="B1838" s="472" t="str">
        <f ca="1">语言!$A$2120</f>
        <v>村民</v>
      </c>
      <c r="C1838" s="168" t="b">
        <v>0</v>
      </c>
      <c r="D1838" s="40" t="str">
        <f ca="1">道具!$C$543</f>
        <v>橄榄花</v>
      </c>
      <c r="E1838" s="554" t="b">
        <v>0</v>
      </c>
      <c r="F1838" s="471" t="str">
        <f ca="1">语言!$A$23</f>
        <v>无</v>
      </c>
      <c r="G1838" s="554" t="b">
        <v>0</v>
      </c>
      <c r="H1838" s="556" t="s">
        <v>50</v>
      </c>
      <c r="I1838" s="471">
        <v>4</v>
      </c>
      <c r="J1838" s="471"/>
      <c r="K1838" s="471"/>
      <c r="L1838" s="471"/>
      <c r="M1838" s="471"/>
      <c r="N1838" s="471"/>
      <c r="O1838" s="471" t="str">
        <f ca="1">道具!$C$4</f>
        <v>ＨＰ恢复的葡萄（大）</v>
      </c>
      <c r="P1838" s="554"/>
      <c r="Q1838" s="556" t="s">
        <v>50</v>
      </c>
      <c r="R1838" s="38"/>
      <c r="S1838" s="38" t="str">
        <f ca="1">Summon!$I$58</f>
        <v>七零八落斩</v>
      </c>
      <c r="T1838" s="556">
        <v>7</v>
      </c>
      <c r="U1838" s="554"/>
      <c r="V1838" s="471"/>
      <c r="W1838" s="168"/>
    </row>
    <row r="1839" spans="1:23" ht="12.75" x14ac:dyDescent="0.2">
      <c r="A1839" s="168"/>
      <c r="B1839" s="371"/>
      <c r="C1839" s="168" t="b">
        <v>0</v>
      </c>
      <c r="D1839" s="40" t="str">
        <f ca="1">道具!$C$543</f>
        <v>橄榄花</v>
      </c>
      <c r="E1839" s="371"/>
      <c r="F1839" s="371"/>
      <c r="G1839" s="371"/>
      <c r="H1839" s="371"/>
      <c r="I1839" s="371"/>
      <c r="J1839" s="371"/>
      <c r="K1839" s="371"/>
      <c r="L1839" s="371"/>
      <c r="M1839" s="371"/>
      <c r="N1839" s="371"/>
      <c r="O1839" s="371"/>
      <c r="P1839" s="371"/>
      <c r="Q1839" s="371"/>
      <c r="R1839" s="38"/>
      <c r="S1839" s="38" t="str">
        <f ca="1">Summon!$I$4</f>
        <v>战斗</v>
      </c>
      <c r="T1839" s="371"/>
      <c r="U1839" s="371"/>
      <c r="V1839" s="371"/>
      <c r="W1839" s="168"/>
    </row>
    <row r="1840" spans="1:23" ht="12.75" x14ac:dyDescent="0.2">
      <c r="A1840" s="168"/>
      <c r="B1840" s="555"/>
      <c r="C1840" s="171" t="b">
        <v>0</v>
      </c>
      <c r="D1840" s="172" t="str">
        <f ca="1">道具!$C$543</f>
        <v>橄榄花</v>
      </c>
      <c r="E1840" s="555"/>
      <c r="F1840" s="555"/>
      <c r="G1840" s="555"/>
      <c r="H1840" s="555"/>
      <c r="I1840" s="555"/>
      <c r="J1840" s="555"/>
      <c r="K1840" s="555"/>
      <c r="L1840" s="555"/>
      <c r="M1840" s="555"/>
      <c r="N1840" s="555"/>
      <c r="O1840" s="555"/>
      <c r="P1840" s="555"/>
      <c r="Q1840" s="555"/>
      <c r="R1840" s="173"/>
      <c r="S1840" s="173"/>
      <c r="T1840" s="555"/>
      <c r="U1840" s="555"/>
      <c r="V1840" s="555"/>
      <c r="W1840" s="168"/>
    </row>
    <row r="1841" spans="1:23" ht="22.5" customHeight="1" x14ac:dyDescent="0.2">
      <c r="A1841" s="168"/>
      <c r="B1841" s="472" t="str">
        <f ca="1">语言!$A$1986</f>
        <v>后悔的母亲 /
高兴的母亲</v>
      </c>
      <c r="C1841" s="168" t="b">
        <v>0</v>
      </c>
      <c r="D1841" s="40" t="str">
        <f ca="1">道具!$C$540</f>
        <v>葡萄树液</v>
      </c>
      <c r="E1841" s="554" t="b">
        <v>0</v>
      </c>
      <c r="F1841" s="471" t="str">
        <f ca="1">语言!$A$33&amp;"
"&amp;道具!$C$8</f>
        <v>隐藏道具的资讯
ＳＰ全体恢复的李子</v>
      </c>
      <c r="G1841" s="554" t="b">
        <v>0</v>
      </c>
      <c r="H1841" s="556" t="s">
        <v>45</v>
      </c>
      <c r="I1841" s="471">
        <v>2</v>
      </c>
      <c r="J1841" s="471"/>
      <c r="K1841" s="471"/>
      <c r="L1841" s="471"/>
      <c r="M1841" s="471"/>
      <c r="N1841" s="471"/>
      <c r="O1841" s="471" t="str">
        <f ca="1">道具!$C$396&amp;" /
"&amp;道具!$C$528</f>
        <v>羽毛帽 /
药的素材</v>
      </c>
      <c r="P1841" s="554"/>
      <c r="Q1841" s="556" t="s">
        <v>45</v>
      </c>
      <c r="R1841" s="38"/>
      <c r="S1841" s="38" t="str">
        <f ca="1">Summon!$I$42</f>
        <v>猛击</v>
      </c>
      <c r="T1841" s="556">
        <v>9</v>
      </c>
      <c r="U1841" s="554"/>
      <c r="V1841" s="471" t="str">
        <f ca="1">语言!$A$44&amp;" / "&amp;语言!$A$48&amp;" available after quest: "&amp;支线!$C$127&amp;"
Drop "&amp;道具!$C$396&amp;" as Miserable Mother
Drop "&amp;道具!$C$528&amp;" as Proud Mother"</f>
        <v>引导 / 诱惑 available after quest: 不成器的儿子
Drop 羽毛帽 as Miserable Mother
Drop 药的素材 as Proud Mother</v>
      </c>
      <c r="W1841" s="168"/>
    </row>
    <row r="1842" spans="1:23" ht="22.5" customHeight="1" x14ac:dyDescent="0.2">
      <c r="A1842" s="168"/>
      <c r="B1842" s="555"/>
      <c r="C1842" s="171" t="b">
        <v>0</v>
      </c>
      <c r="D1842" s="172" t="str">
        <f ca="1">道具!$C$541</f>
        <v>李子树液</v>
      </c>
      <c r="E1842" s="555"/>
      <c r="F1842" s="555"/>
      <c r="G1842" s="555"/>
      <c r="H1842" s="555"/>
      <c r="I1842" s="555"/>
      <c r="J1842" s="555"/>
      <c r="K1842" s="555"/>
      <c r="L1842" s="555"/>
      <c r="M1842" s="555"/>
      <c r="N1842" s="555"/>
      <c r="O1842" s="555"/>
      <c r="P1842" s="555"/>
      <c r="Q1842" s="555"/>
      <c r="R1842" s="173"/>
      <c r="S1842" s="173" t="str">
        <f ca="1">Summon!$I$4</f>
        <v>战斗</v>
      </c>
      <c r="T1842" s="555"/>
      <c r="U1842" s="555"/>
      <c r="V1842" s="555"/>
      <c r="W1842" s="168"/>
    </row>
    <row r="1843" spans="1:23" ht="12.75" x14ac:dyDescent="0.2">
      <c r="A1843" s="168"/>
      <c r="B1843" s="472" t="str">
        <f ca="1">语言!$A$1763</f>
        <v>爽朗的行商人</v>
      </c>
      <c r="C1843" s="168" t="b">
        <v>0</v>
      </c>
      <c r="D1843" s="40" t="str">
        <f ca="1">道具!$C$85</f>
        <v>玻璃珠</v>
      </c>
      <c r="E1843" s="554" t="b">
        <v>0</v>
      </c>
      <c r="F1843" s="471" t="str">
        <f ca="1">道具!$I$15</f>
        <v>克里夫兰多的龙</v>
      </c>
      <c r="G1843" s="554" t="b">
        <v>0</v>
      </c>
      <c r="H1843" s="556" t="s">
        <v>48</v>
      </c>
      <c r="I1843" s="471">
        <v>2</v>
      </c>
      <c r="J1843" s="471"/>
      <c r="K1843" s="471"/>
      <c r="L1843" s="471"/>
      <c r="M1843" s="471"/>
      <c r="N1843" s="471"/>
      <c r="O1843" s="471" t="str">
        <f ca="1">道具!$C$533</f>
        <v>含毒的素材（扩散）</v>
      </c>
      <c r="P1843" s="554"/>
      <c r="Q1843" s="556" t="s">
        <v>48</v>
      </c>
      <c r="R1843" s="38"/>
      <c r="S1843" s="38" t="str">
        <f ca="1">Summon!$I$162</f>
        <v>速度下降</v>
      </c>
      <c r="T1843" s="556">
        <v>9</v>
      </c>
      <c r="U1843" s="554"/>
      <c r="V1843" s="471"/>
      <c r="W1843" s="168"/>
    </row>
    <row r="1844" spans="1:23" ht="12.75" x14ac:dyDescent="0.2">
      <c r="A1844" s="168"/>
      <c r="B1844" s="371"/>
      <c r="C1844" s="168" t="b">
        <v>0</v>
      </c>
      <c r="D1844" s="40" t="str">
        <f ca="1">道具!$C$97</f>
        <v>大鸟的羽毛</v>
      </c>
      <c r="E1844" s="371"/>
      <c r="F1844" s="371"/>
      <c r="G1844" s="371"/>
      <c r="H1844" s="371"/>
      <c r="I1844" s="371"/>
      <c r="J1844" s="371"/>
      <c r="K1844" s="371"/>
      <c r="L1844" s="371"/>
      <c r="M1844" s="371"/>
      <c r="N1844" s="371"/>
      <c r="O1844" s="371"/>
      <c r="P1844" s="371"/>
      <c r="Q1844" s="371"/>
      <c r="R1844" s="38"/>
      <c r="S1844" s="38" t="str">
        <f ca="1">Summon!$I$31</f>
        <v>要害突刺</v>
      </c>
      <c r="T1844" s="371"/>
      <c r="U1844" s="371"/>
      <c r="V1844" s="371"/>
      <c r="W1844" s="168"/>
    </row>
    <row r="1845" spans="1:23" ht="12.75" x14ac:dyDescent="0.2">
      <c r="A1845" s="168"/>
      <c r="B1845" s="555"/>
      <c r="C1845" s="171" t="b">
        <v>0</v>
      </c>
      <c r="D1845" s="172" t="str">
        <f ca="1">道具!$C$116</f>
        <v>稀奇的石头</v>
      </c>
      <c r="E1845" s="555"/>
      <c r="F1845" s="555"/>
      <c r="G1845" s="555"/>
      <c r="H1845" s="555"/>
      <c r="I1845" s="555"/>
      <c r="J1845" s="555"/>
      <c r="K1845" s="555"/>
      <c r="L1845" s="555"/>
      <c r="M1845" s="555"/>
      <c r="N1845" s="555"/>
      <c r="O1845" s="555"/>
      <c r="P1845" s="555"/>
      <c r="Q1845" s="555"/>
      <c r="R1845" s="173"/>
      <c r="S1845" s="173" t="str">
        <f ca="1">Summon!$I$4</f>
        <v>战斗</v>
      </c>
      <c r="T1845" s="555"/>
      <c r="U1845" s="555"/>
      <c r="V1845" s="555"/>
      <c r="W1845" s="168"/>
    </row>
    <row r="1846" spans="1:23" ht="12.75" x14ac:dyDescent="0.2">
      <c r="A1846" s="168"/>
      <c r="B1846" s="472" t="str">
        <f ca="1">语言!$A$2120</f>
        <v>村民</v>
      </c>
      <c r="C1846" s="168" t="b">
        <v>0</v>
      </c>
      <c r="D1846" s="40" t="str">
        <f ca="1">道具!$C$32</f>
        <v>火之精灵石（特大）</v>
      </c>
      <c r="E1846" s="554" t="b">
        <v>0</v>
      </c>
      <c r="F1846" s="471" t="str">
        <f ca="1">语言!$A$33&amp;"
"&amp;道具!$C$13</f>
        <v>隐藏道具的资讯
ＨＰ／ＳＰ／ＢＰ恢复的果酱</v>
      </c>
      <c r="G1846" s="554" t="b">
        <v>0</v>
      </c>
      <c r="H1846" s="556" t="s">
        <v>47</v>
      </c>
      <c r="I1846" s="471">
        <v>4</v>
      </c>
      <c r="J1846" s="471"/>
      <c r="K1846" s="471"/>
      <c r="L1846" s="471"/>
      <c r="M1846" s="471"/>
      <c r="N1846" s="471"/>
      <c r="O1846" s="471" t="str">
        <f ca="1">道具!$C$7</f>
        <v>ＳＰ恢复的李子（大）</v>
      </c>
      <c r="P1846" s="554"/>
      <c r="Q1846" s="559" t="s">
        <v>119</v>
      </c>
      <c r="R1846" s="559" t="s">
        <v>119</v>
      </c>
      <c r="S1846" s="559" t="s">
        <v>119</v>
      </c>
      <c r="T1846" s="559" t="s">
        <v>119</v>
      </c>
      <c r="U1846" s="554"/>
      <c r="V1846" s="471"/>
      <c r="W1846" s="168"/>
    </row>
    <row r="1847" spans="1:23" ht="12.75" x14ac:dyDescent="0.2">
      <c r="A1847" s="168"/>
      <c r="B1847" s="555"/>
      <c r="C1847" s="171" t="b">
        <v>0</v>
      </c>
      <c r="D1847" s="172" t="str">
        <f ca="1">道具!$C$513</f>
        <v>火之避邪符</v>
      </c>
      <c r="E1847" s="555"/>
      <c r="F1847" s="555"/>
      <c r="G1847" s="555"/>
      <c r="H1847" s="555"/>
      <c r="I1847" s="555"/>
      <c r="J1847" s="555"/>
      <c r="K1847" s="555"/>
      <c r="L1847" s="555"/>
      <c r="M1847" s="555"/>
      <c r="N1847" s="555"/>
      <c r="O1847" s="555"/>
      <c r="P1847" s="555"/>
      <c r="Q1847" s="555"/>
      <c r="R1847" s="555"/>
      <c r="S1847" s="555"/>
      <c r="T1847" s="555"/>
      <c r="U1847" s="555"/>
      <c r="V1847" s="555"/>
      <c r="W1847" s="168"/>
    </row>
    <row r="1848" spans="1:23" ht="12.75" x14ac:dyDescent="0.2">
      <c r="A1848" s="168"/>
      <c r="B1848" s="472" t="str">
        <f ca="1">语言!$A$2120</f>
        <v>村民</v>
      </c>
      <c r="C1848" s="168" t="b">
        <v>0</v>
      </c>
      <c r="D1848" s="40" t="str">
        <f ca="1">道具!$C$4</f>
        <v>ＨＰ恢复的葡萄（大）</v>
      </c>
      <c r="E1848" s="554" t="b">
        <v>0</v>
      </c>
      <c r="F1848" s="471" t="str">
        <f ca="1">语言!$A$24</f>
        <v>旅店的折扣资讯</v>
      </c>
      <c r="G1848" s="554" t="b">
        <v>0</v>
      </c>
      <c r="H1848" s="556" t="s">
        <v>51</v>
      </c>
      <c r="I1848" s="471">
        <v>5</v>
      </c>
      <c r="J1848" s="471"/>
      <c r="K1848" s="471"/>
      <c r="L1848" s="471"/>
      <c r="M1848" s="471"/>
      <c r="N1848" s="471"/>
      <c r="O1848" s="471" t="str">
        <f ca="1">道具!$C$531</f>
        <v>秘药的素材（扩散）</v>
      </c>
      <c r="P1848" s="554"/>
      <c r="Q1848" s="556" t="s">
        <v>51</v>
      </c>
      <c r="R1848" s="38"/>
      <c r="S1848" s="38" t="str">
        <f ca="1">Summon!$I$180</f>
        <v>暴击提升</v>
      </c>
      <c r="T1848" s="556">
        <v>6</v>
      </c>
      <c r="U1848" s="554"/>
      <c r="V1848" s="471"/>
      <c r="W1848" s="168"/>
    </row>
    <row r="1849" spans="1:23" ht="12.75" x14ac:dyDescent="0.2">
      <c r="A1849" s="168"/>
      <c r="B1849" s="371"/>
      <c r="C1849" s="168" t="b">
        <v>0</v>
      </c>
      <c r="D1849" s="40" t="str">
        <f ca="1">道具!$C$7</f>
        <v>ＳＰ恢复的李子（大）</v>
      </c>
      <c r="E1849" s="371"/>
      <c r="F1849" s="371"/>
      <c r="G1849" s="371"/>
      <c r="H1849" s="371"/>
      <c r="I1849" s="371"/>
      <c r="J1849" s="371"/>
      <c r="K1849" s="371"/>
      <c r="L1849" s="371"/>
      <c r="M1849" s="371"/>
      <c r="N1849" s="371"/>
      <c r="O1849" s="371"/>
      <c r="P1849" s="371"/>
      <c r="Q1849" s="371"/>
      <c r="R1849" s="38"/>
      <c r="S1849" s="38" t="str">
        <f ca="1">Summon!$I$147</f>
        <v>混乱药</v>
      </c>
      <c r="T1849" s="371"/>
      <c r="U1849" s="371"/>
      <c r="V1849" s="371"/>
      <c r="W1849" s="168"/>
    </row>
    <row r="1850" spans="1:23" ht="25.5" x14ac:dyDescent="0.2">
      <c r="A1850" s="168"/>
      <c r="B1850" s="555"/>
      <c r="C1850" s="171" t="b">
        <v>0</v>
      </c>
      <c r="D1850" s="172" t="str">
        <f ca="1">道具!$C$10</f>
        <v>ＢＰ恢复的石榴（大）</v>
      </c>
      <c r="E1850" s="555"/>
      <c r="F1850" s="555"/>
      <c r="G1850" s="555"/>
      <c r="H1850" s="555"/>
      <c r="I1850" s="555"/>
      <c r="J1850" s="555"/>
      <c r="K1850" s="555"/>
      <c r="L1850" s="555"/>
      <c r="M1850" s="555"/>
      <c r="N1850" s="555"/>
      <c r="O1850" s="555"/>
      <c r="P1850" s="555"/>
      <c r="Q1850" s="555"/>
      <c r="R1850" s="173"/>
      <c r="S1850" s="173" t="str">
        <f ca="1">Summon!$I$4</f>
        <v>战斗</v>
      </c>
      <c r="T1850" s="555"/>
      <c r="U1850" s="555"/>
      <c r="V1850" s="555"/>
      <c r="W1850" s="168"/>
    </row>
    <row r="1851" spans="1:23" ht="12.75" x14ac:dyDescent="0.2">
      <c r="A1851" s="168"/>
      <c r="B1851" s="472" t="str">
        <f ca="1">语言!$A$1951</f>
        <v>怕麻烦的男子</v>
      </c>
      <c r="C1851" s="168" t="b">
        <v>0</v>
      </c>
      <c r="D1851" s="40" t="str">
        <f ca="1">道具!$C$537</f>
        <v>毒利米树之叶</v>
      </c>
      <c r="E1851" s="554" t="b">
        <v>0</v>
      </c>
      <c r="F1851" s="471" t="str">
        <f ca="1">语言!$A$33&amp;"
"&amp;道具!$C$94</f>
        <v>隐藏道具的资讯
空空的钱包</v>
      </c>
      <c r="G1851" s="554" t="b">
        <v>0</v>
      </c>
      <c r="H1851" s="556" t="s">
        <v>49</v>
      </c>
      <c r="I1851" s="471">
        <v>4</v>
      </c>
      <c r="J1851" s="471"/>
      <c r="K1851" s="471"/>
      <c r="L1851" s="471"/>
      <c r="M1851" s="471"/>
      <c r="N1851" s="471"/>
      <c r="O1851" s="471" t="str">
        <f ca="1">道具!$C$531</f>
        <v>秘药的素材（扩散）</v>
      </c>
      <c r="P1851" s="554"/>
      <c r="Q1851" s="556" t="s">
        <v>49</v>
      </c>
      <c r="R1851" s="38"/>
      <c r="S1851" s="38" t="str">
        <f ca="1">Summon!$I$173</f>
        <v>攻击力提升</v>
      </c>
      <c r="T1851" s="556">
        <v>7</v>
      </c>
      <c r="U1851" s="554"/>
      <c r="V1851" s="471"/>
      <c r="W1851" s="168"/>
    </row>
    <row r="1852" spans="1:23" ht="12.75" x14ac:dyDescent="0.2">
      <c r="A1852" s="168"/>
      <c r="B1852" s="371"/>
      <c r="C1852" s="168" t="b">
        <v>0</v>
      </c>
      <c r="D1852" s="40" t="str">
        <f ca="1">道具!$C$538</f>
        <v>睡眠花之叶</v>
      </c>
      <c r="E1852" s="371"/>
      <c r="F1852" s="371"/>
      <c r="G1852" s="371"/>
      <c r="H1852" s="371"/>
      <c r="I1852" s="371"/>
      <c r="J1852" s="371"/>
      <c r="K1852" s="371"/>
      <c r="L1852" s="371"/>
      <c r="M1852" s="371"/>
      <c r="N1852" s="371"/>
      <c r="O1852" s="371"/>
      <c r="P1852" s="371"/>
      <c r="Q1852" s="371"/>
      <c r="R1852" s="38"/>
      <c r="S1852" s="38" t="str">
        <f ca="1">Summon!$I$61</f>
        <v>全力斩击</v>
      </c>
      <c r="T1852" s="371"/>
      <c r="U1852" s="371"/>
      <c r="V1852" s="371"/>
      <c r="W1852" s="168"/>
    </row>
    <row r="1853" spans="1:23" ht="12.75" x14ac:dyDescent="0.2">
      <c r="A1853" s="168"/>
      <c r="B1853" s="555"/>
      <c r="C1853" s="171" t="b">
        <v>0</v>
      </c>
      <c r="D1853" s="172" t="str">
        <f ca="1">道具!$C$539</f>
        <v>混乱多之叶</v>
      </c>
      <c r="E1853" s="555"/>
      <c r="F1853" s="555"/>
      <c r="G1853" s="555"/>
      <c r="H1853" s="555"/>
      <c r="I1853" s="555"/>
      <c r="J1853" s="555"/>
      <c r="K1853" s="555"/>
      <c r="L1853" s="555"/>
      <c r="M1853" s="555"/>
      <c r="N1853" s="555"/>
      <c r="O1853" s="555"/>
      <c r="P1853" s="555"/>
      <c r="Q1853" s="555"/>
      <c r="R1853" s="173"/>
      <c r="S1853" s="173" t="str">
        <f ca="1">Summon!$I$4</f>
        <v>战斗</v>
      </c>
      <c r="T1853" s="555"/>
      <c r="U1853" s="555"/>
      <c r="V1853" s="555"/>
      <c r="W1853" s="168"/>
    </row>
    <row r="1854" spans="1:23" ht="12.75" x14ac:dyDescent="0.2">
      <c r="A1854" s="168"/>
      <c r="B1854" s="472" t="str">
        <f ca="1">语言!$A$2080</f>
        <v>无路可退的商人 /
向前迈进的商人</v>
      </c>
      <c r="C1854" s="168" t="b">
        <v>0</v>
      </c>
      <c r="D1854" s="40" t="str">
        <f ca="1">道具!$C$17</f>
        <v>复活的橄榄（特大）</v>
      </c>
      <c r="E1854" s="554" t="b">
        <v>0</v>
      </c>
      <c r="F1854" s="471" t="str">
        <f ca="1">语言!$A$23</f>
        <v>无</v>
      </c>
      <c r="G1854" s="554" t="b">
        <v>0</v>
      </c>
      <c r="H1854" s="556" t="s">
        <v>57</v>
      </c>
      <c r="I1854" s="471">
        <v>3</v>
      </c>
      <c r="J1854" s="471"/>
      <c r="K1854" s="471"/>
      <c r="L1854" s="471"/>
      <c r="M1854" s="471"/>
      <c r="N1854" s="471"/>
      <c r="O1854" s="471" t="str">
        <f ca="1">道具!$C$450</f>
        <v>青铜背心</v>
      </c>
      <c r="P1854" s="554"/>
      <c r="Q1854" s="556" t="s">
        <v>57</v>
      </c>
      <c r="R1854" s="38"/>
      <c r="S1854" s="38" t="str">
        <f ca="1">Summon!$I$143</f>
        <v>暗暗药</v>
      </c>
      <c r="T1854" s="556">
        <v>8</v>
      </c>
      <c r="U1854" s="554"/>
      <c r="V1854" s="471" t="str">
        <f ca="1">"Name changes after quest: "&amp;支线!$C$128</f>
        <v>Name changes after quest: 无路可退的男子</v>
      </c>
      <c r="W1854" s="168"/>
    </row>
    <row r="1855" spans="1:23" ht="12.75" x14ac:dyDescent="0.2">
      <c r="A1855" s="168"/>
      <c r="B1855" s="371"/>
      <c r="C1855" s="168" t="b">
        <v>0</v>
      </c>
      <c r="D1855" s="40" t="str">
        <f ca="1">道具!$C$94</f>
        <v>空空的钱包</v>
      </c>
      <c r="E1855" s="371"/>
      <c r="F1855" s="371"/>
      <c r="G1855" s="371"/>
      <c r="H1855" s="371"/>
      <c r="I1855" s="371"/>
      <c r="J1855" s="371"/>
      <c r="K1855" s="371"/>
      <c r="L1855" s="371"/>
      <c r="M1855" s="371"/>
      <c r="N1855" s="371"/>
      <c r="O1855" s="371"/>
      <c r="P1855" s="371"/>
      <c r="Q1855" s="371"/>
      <c r="R1855" s="38"/>
      <c r="S1855" s="38" t="str">
        <f ca="1">Summon!$I$40</f>
        <v>乱挥</v>
      </c>
      <c r="T1855" s="371"/>
      <c r="U1855" s="371"/>
      <c r="V1855" s="371"/>
      <c r="W1855" s="168"/>
    </row>
    <row r="1856" spans="1:23" ht="12.75" x14ac:dyDescent="0.2">
      <c r="A1856" s="168"/>
      <c r="B1856" s="371"/>
      <c r="C1856" s="168"/>
      <c r="D1856" s="40"/>
      <c r="E1856" s="371"/>
      <c r="F1856" s="371"/>
      <c r="G1856" s="371"/>
      <c r="H1856" s="371"/>
      <c r="I1856" s="371"/>
      <c r="J1856" s="371"/>
      <c r="K1856" s="371"/>
      <c r="L1856" s="371"/>
      <c r="M1856" s="371"/>
      <c r="N1856" s="371"/>
      <c r="O1856" s="371"/>
      <c r="P1856" s="371"/>
      <c r="Q1856" s="371"/>
      <c r="R1856" s="38"/>
      <c r="S1856" s="38" t="str">
        <f ca="1">Summon!$I$4</f>
        <v>战斗</v>
      </c>
      <c r="T1856" s="371"/>
      <c r="U1856" s="371"/>
      <c r="V1856" s="371"/>
      <c r="W1856" s="168"/>
    </row>
    <row r="1857" spans="1:23" ht="12.75" x14ac:dyDescent="0.2">
      <c r="A1857" s="168"/>
      <c r="B1857" s="552" t="str">
        <f ca="1">语言!$A$472</f>
        <v>南欧亚威尔崖道</v>
      </c>
      <c r="C1857" s="371"/>
      <c r="D1857" s="371"/>
      <c r="E1857" s="371"/>
      <c r="F1857" s="371"/>
      <c r="G1857" s="371"/>
      <c r="H1857" s="371"/>
      <c r="I1857" s="371"/>
      <c r="J1857" s="371"/>
      <c r="K1857" s="371"/>
      <c r="L1857" s="371"/>
      <c r="M1857" s="371"/>
      <c r="N1857" s="371"/>
      <c r="O1857" s="371"/>
      <c r="P1857" s="371"/>
      <c r="Q1857" s="371"/>
      <c r="R1857" s="371"/>
      <c r="S1857" s="371"/>
      <c r="T1857" s="371"/>
      <c r="U1857" s="371"/>
      <c r="V1857" s="371"/>
      <c r="W1857" s="168"/>
    </row>
    <row r="1858" spans="1:23" ht="12.75" x14ac:dyDescent="0.2">
      <c r="A1858" s="168"/>
      <c r="B1858" s="472" t="str">
        <f ca="1">语言!$A$1993&amp;" (1)"</f>
        <v>神秘骑士 /
塞凡提斯 (1)</v>
      </c>
      <c r="C1858" s="554" t="b">
        <v>0</v>
      </c>
      <c r="D1858" s="472" t="str">
        <f ca="1">道具!$C$240</f>
        <v>符文手斧</v>
      </c>
      <c r="E1858" s="554" t="b">
        <v>0</v>
      </c>
      <c r="F1858" s="471" t="str">
        <f ca="1">语言!$A$23</f>
        <v>无</v>
      </c>
      <c r="G1858" s="554" t="b">
        <v>0</v>
      </c>
      <c r="H1858" s="556" t="s">
        <v>57</v>
      </c>
      <c r="I1858" s="471">
        <v>3</v>
      </c>
      <c r="J1858" s="471"/>
      <c r="K1858" s="471"/>
      <c r="L1858" s="471"/>
      <c r="M1858" s="471"/>
      <c r="N1858" s="471"/>
      <c r="O1858" s="471" t="str">
        <f ca="1">道具!$C$13</f>
        <v>ＨＰ／ＳＰ／ＢＰ恢复的果酱</v>
      </c>
      <c r="P1858" s="554"/>
      <c r="Q1858" s="556" t="s">
        <v>57</v>
      </c>
      <c r="R1858" s="38"/>
      <c r="S1858" s="174" t="str">
        <f ca="1">Summon!$I$30</f>
        <v>突刺</v>
      </c>
      <c r="T1858" s="556">
        <v>8</v>
      </c>
      <c r="U1858" s="554"/>
      <c r="V1858" s="471" t="str">
        <f ca="1">语言!$A$44&amp;" / "&amp;语言!$A$48&amp;" available after quest: "&amp;支线!$C$109&amp;"
Moves to "&amp;语言!$A$449&amp;" after quest: "&amp;支线!$C$109&amp;"
("&amp;语言!$A$47&amp;" / "&amp;语言!$A$51&amp;" solution only)"</f>
        <v>引导 / 诱惑 available after quest: 梦想家贵族
Moves to 利维福德 after quest: 梦想家贵族
(比试 / 唆使 solution only)</v>
      </c>
      <c r="W1858" s="168"/>
    </row>
    <row r="1859" spans="1:23" ht="12.75" x14ac:dyDescent="0.2">
      <c r="A1859" s="168"/>
      <c r="B1859" s="371"/>
      <c r="C1859" s="371"/>
      <c r="D1859" s="371"/>
      <c r="E1859" s="371"/>
      <c r="F1859" s="371"/>
      <c r="G1859" s="371"/>
      <c r="H1859" s="371"/>
      <c r="I1859" s="371"/>
      <c r="J1859" s="371"/>
      <c r="K1859" s="371"/>
      <c r="L1859" s="371"/>
      <c r="M1859" s="371"/>
      <c r="N1859" s="371"/>
      <c r="O1859" s="371"/>
      <c r="P1859" s="371"/>
      <c r="Q1859" s="371"/>
      <c r="R1859" s="38"/>
      <c r="S1859" s="174" t="str">
        <f ca="1">Summon!$I$36</f>
        <v>连环突刺</v>
      </c>
      <c r="T1859" s="371"/>
      <c r="U1859" s="371"/>
      <c r="V1859" s="371"/>
      <c r="W1859" s="168"/>
    </row>
    <row r="1860" spans="1:23" ht="12.75" x14ac:dyDescent="0.2">
      <c r="A1860" s="168"/>
      <c r="B1860" s="555"/>
      <c r="C1860" s="555"/>
      <c r="D1860" s="555"/>
      <c r="E1860" s="555"/>
      <c r="F1860" s="555"/>
      <c r="G1860" s="555"/>
      <c r="H1860" s="555"/>
      <c r="I1860" s="555"/>
      <c r="J1860" s="555"/>
      <c r="K1860" s="555"/>
      <c r="L1860" s="555"/>
      <c r="M1860" s="555"/>
      <c r="N1860" s="555"/>
      <c r="O1860" s="555"/>
      <c r="P1860" s="555"/>
      <c r="Q1860" s="555"/>
      <c r="R1860" s="173"/>
      <c r="S1860" s="176" t="str">
        <f ca="1">Summon!$I$4</f>
        <v>战斗</v>
      </c>
      <c r="T1860" s="555"/>
      <c r="U1860" s="555"/>
      <c r="V1860" s="555"/>
      <c r="W1860" s="168"/>
    </row>
    <row r="1861" spans="1:23" ht="12.75" x14ac:dyDescent="0.2">
      <c r="A1861" s="168"/>
      <c r="B1861" s="472" t="str">
        <f ca="1">语言!$A$1862&amp;" (2)"</f>
        <v>想当随从的青年 /
青年随从 (2)</v>
      </c>
      <c r="C1861" s="554" t="b">
        <v>0</v>
      </c>
      <c r="D1861" s="472" t="str">
        <f ca="1">道具!$C$544</f>
        <v>神秘之花</v>
      </c>
      <c r="E1861" s="554" t="b">
        <v>0</v>
      </c>
      <c r="F1861" s="471" t="str">
        <f ca="1">语言!$A$23</f>
        <v>无</v>
      </c>
      <c r="G1861" s="554" t="b">
        <v>0</v>
      </c>
      <c r="H1861" s="556" t="s">
        <v>57</v>
      </c>
      <c r="I1861" s="471">
        <v>3</v>
      </c>
      <c r="J1861" s="471"/>
      <c r="K1861" s="471"/>
      <c r="L1861" s="471"/>
      <c r="M1861" s="471"/>
      <c r="N1861" s="471"/>
      <c r="O1861" s="471" t="str">
        <f ca="1">道具!$C$86</f>
        <v>手帕</v>
      </c>
      <c r="P1861" s="554"/>
      <c r="Q1861" s="556" t="s">
        <v>57</v>
      </c>
      <c r="R1861" s="38"/>
      <c r="S1861" s="38" t="str">
        <f ca="1">Summon!$I$9</f>
        <v>高速推进</v>
      </c>
      <c r="T1861" s="556">
        <v>8</v>
      </c>
      <c r="U1861" s="554"/>
      <c r="V1861" s="471" t="str">
        <f ca="1">"NPC at this location after quest: "&amp;支线!$C$109&amp;" ("&amp;语言!$A$44&amp;" / "&amp;语言!$A$48&amp;" solution only)"</f>
        <v>NPC at this location after quest: 梦想家贵族 (引导 / 诱惑 solution only)</v>
      </c>
      <c r="W1861" s="168"/>
    </row>
    <row r="1862" spans="1:23" ht="12.75" x14ac:dyDescent="0.2">
      <c r="A1862" s="168"/>
      <c r="B1862" s="371"/>
      <c r="C1862" s="371"/>
      <c r="D1862" s="371"/>
      <c r="E1862" s="371"/>
      <c r="F1862" s="371"/>
      <c r="G1862" s="371"/>
      <c r="H1862" s="371"/>
      <c r="I1862" s="371"/>
      <c r="J1862" s="371"/>
      <c r="K1862" s="371"/>
      <c r="L1862" s="371"/>
      <c r="M1862" s="371"/>
      <c r="N1862" s="371"/>
      <c r="O1862" s="371"/>
      <c r="P1862" s="371"/>
      <c r="Q1862" s="371"/>
      <c r="R1862" s="38"/>
      <c r="S1862" s="38" t="str">
        <f ca="1">Summon!$I$6</f>
        <v>斩击</v>
      </c>
      <c r="T1862" s="371"/>
      <c r="U1862" s="371"/>
      <c r="V1862" s="371"/>
      <c r="W1862" s="168"/>
    </row>
    <row r="1863" spans="1:23" ht="12.75" x14ac:dyDescent="0.2">
      <c r="A1863" s="168"/>
      <c r="B1863" s="371"/>
      <c r="C1863" s="371"/>
      <c r="D1863" s="371"/>
      <c r="E1863" s="371"/>
      <c r="F1863" s="371"/>
      <c r="G1863" s="371"/>
      <c r="H1863" s="371"/>
      <c r="I1863" s="371"/>
      <c r="J1863" s="371"/>
      <c r="K1863" s="371"/>
      <c r="L1863" s="371"/>
      <c r="M1863" s="371"/>
      <c r="N1863" s="371"/>
      <c r="O1863" s="371"/>
      <c r="P1863" s="371"/>
      <c r="Q1863" s="371"/>
      <c r="R1863" s="38"/>
      <c r="S1863" s="38" t="str">
        <f ca="1">Summon!$I$4</f>
        <v>战斗</v>
      </c>
      <c r="T1863" s="371"/>
      <c r="U1863" s="371"/>
      <c r="V1863" s="371"/>
      <c r="W1863" s="168"/>
    </row>
    <row r="1864" spans="1:23" ht="12.75" x14ac:dyDescent="0.2">
      <c r="A1864" s="168"/>
      <c r="B1864" s="169" t="str">
        <f ca="1">语言!$A$473</f>
        <v>龙咏神殿</v>
      </c>
      <c r="C1864" s="183"/>
      <c r="D1864" s="169"/>
      <c r="E1864" s="183"/>
      <c r="F1864" s="183"/>
      <c r="G1864" s="183"/>
      <c r="H1864" s="184"/>
      <c r="I1864" s="183"/>
      <c r="J1864" s="183"/>
      <c r="K1864" s="183"/>
      <c r="L1864" s="183"/>
      <c r="M1864" s="183"/>
      <c r="N1864" s="183"/>
      <c r="O1864" s="183"/>
      <c r="P1864" s="183"/>
      <c r="Q1864" s="184"/>
      <c r="R1864" s="183"/>
      <c r="S1864" s="183"/>
      <c r="T1864" s="184"/>
      <c r="U1864" s="183"/>
      <c r="V1864" s="183"/>
      <c r="W1864" s="168"/>
    </row>
    <row r="1865" spans="1:23" ht="12.75" x14ac:dyDescent="0.2">
      <c r="A1865" s="168"/>
      <c r="B1865" s="480" t="str">
        <f ca="1">语言!$A$1840</f>
        <v>神秘的神官</v>
      </c>
      <c r="C1865" s="168" t="b">
        <v>0</v>
      </c>
      <c r="D1865" s="40" t="str">
        <f ca="1">道具!$C$529</f>
        <v>药的素材（扩散）</v>
      </c>
      <c r="E1865" s="554" t="b">
        <v>0</v>
      </c>
      <c r="F1865" s="471" t="str">
        <f ca="1">语言!$A$23</f>
        <v>无</v>
      </c>
      <c r="G1865" s="554" t="b">
        <v>0</v>
      </c>
      <c r="H1865" s="556" t="s">
        <v>51</v>
      </c>
      <c r="I1865" s="471">
        <v>5</v>
      </c>
      <c r="J1865" s="471"/>
      <c r="K1865" s="471"/>
      <c r="L1865" s="471"/>
      <c r="M1865" s="471"/>
      <c r="N1865" s="471"/>
      <c r="O1865" s="471" t="str">
        <f ca="1">"* "&amp;道具!$F$77</f>
        <v>* 龙蛋</v>
      </c>
      <c r="P1865" s="554"/>
      <c r="Q1865" s="559" t="s">
        <v>119</v>
      </c>
      <c r="R1865" s="559" t="s">
        <v>119</v>
      </c>
      <c r="S1865" s="559" t="s">
        <v>119</v>
      </c>
      <c r="T1865" s="559" t="s">
        <v>119</v>
      </c>
      <c r="U1865" s="554"/>
      <c r="V1865" s="471" t="str">
        <f ca="1">"NPC available after quest: "&amp;支线!$C$121&amp;"
Disapear after "&amp;语言!$A$47&amp;" / "&amp;语言!$A$51</f>
        <v>NPC available after quest: 托付龙蛋的少女艾蜜莉（２）
Disapear after 比试 / 唆使</v>
      </c>
      <c r="W1865" s="168"/>
    </row>
    <row r="1866" spans="1:23" ht="12.75" x14ac:dyDescent="0.2">
      <c r="A1866" s="168"/>
      <c r="B1866" s="371"/>
      <c r="C1866" s="168" t="b">
        <v>0</v>
      </c>
      <c r="D1866" s="40" t="str">
        <f ca="1">道具!$C$532</f>
        <v>含毒的素材</v>
      </c>
      <c r="E1866" s="371"/>
      <c r="F1866" s="371"/>
      <c r="G1866" s="371"/>
      <c r="H1866" s="371"/>
      <c r="I1866" s="371"/>
      <c r="J1866" s="371"/>
      <c r="K1866" s="371"/>
      <c r="L1866" s="371"/>
      <c r="M1866" s="371"/>
      <c r="N1866" s="371"/>
      <c r="O1866" s="371"/>
      <c r="P1866" s="371"/>
      <c r="Q1866" s="371"/>
      <c r="R1866" s="371"/>
      <c r="S1866" s="371"/>
      <c r="T1866" s="371"/>
      <c r="U1866" s="371"/>
      <c r="V1866" s="371"/>
      <c r="W1866" s="168"/>
    </row>
    <row r="1867" spans="1:23" ht="12.75" x14ac:dyDescent="0.2">
      <c r="A1867" s="168"/>
      <c r="B1867" s="185"/>
      <c r="C1867" s="168"/>
      <c r="D1867" s="185"/>
      <c r="E1867" s="168"/>
      <c r="F1867" s="168"/>
      <c r="G1867" s="168"/>
      <c r="H1867" s="186"/>
      <c r="I1867" s="168"/>
      <c r="J1867" s="168"/>
      <c r="K1867" s="168"/>
      <c r="L1867" s="168"/>
      <c r="M1867" s="168"/>
      <c r="N1867" s="168"/>
      <c r="O1867" s="168"/>
      <c r="P1867" s="168"/>
      <c r="Q1867" s="186"/>
      <c r="R1867" s="168"/>
      <c r="S1867" s="168"/>
      <c r="T1867" s="186"/>
      <c r="U1867" s="168"/>
      <c r="V1867" s="168"/>
      <c r="W1867" s="168"/>
    </row>
    <row r="1868" spans="1:23" ht="23.25" x14ac:dyDescent="0.2">
      <c r="A1868" s="580" t="str">
        <f ca="1">语言!$A$476</f>
        <v>伍多兰多地区</v>
      </c>
      <c r="B1868" s="371"/>
      <c r="C1868" s="540"/>
      <c r="D1868" s="371"/>
      <c r="E1868" s="371"/>
      <c r="F1868" s="371"/>
      <c r="G1868" s="371"/>
      <c r="H1868" s="371"/>
      <c r="I1868" s="371"/>
      <c r="J1868" s="371"/>
      <c r="K1868" s="371"/>
      <c r="L1868" s="371"/>
      <c r="M1868" s="371"/>
      <c r="N1868" s="371"/>
      <c r="O1868" s="371"/>
      <c r="P1868" s="371"/>
      <c r="Q1868" s="371"/>
      <c r="R1868" s="371"/>
      <c r="S1868" s="371"/>
      <c r="T1868" s="371"/>
      <c r="U1868" s="371"/>
      <c r="V1868" s="371"/>
      <c r="W1868" s="371"/>
    </row>
    <row r="1869" spans="1:23" ht="12.75" x14ac:dyDescent="0.2">
      <c r="A1869" s="147"/>
      <c r="B1869" s="548" t="str">
        <f ca="1">语言!$A$323&amp;" 1"</f>
        <v>Tier 1</v>
      </c>
      <c r="C1869" s="371"/>
      <c r="D1869" s="371"/>
      <c r="E1869" s="371"/>
      <c r="F1869" s="371"/>
      <c r="G1869" s="371"/>
      <c r="H1869" s="371"/>
      <c r="I1869" s="371"/>
      <c r="J1869" s="371"/>
      <c r="K1869" s="371"/>
      <c r="L1869" s="371"/>
      <c r="M1869" s="371"/>
      <c r="N1869" s="371"/>
      <c r="O1869" s="371"/>
      <c r="P1869" s="371"/>
      <c r="Q1869" s="371"/>
      <c r="R1869" s="371"/>
      <c r="S1869" s="371"/>
      <c r="T1869" s="371"/>
      <c r="U1869" s="371"/>
      <c r="V1869" s="371"/>
      <c r="W1869" s="147"/>
    </row>
    <row r="1870" spans="1:23" ht="12.75" x14ac:dyDescent="0.2">
      <c r="A1870" s="147"/>
      <c r="B1870" s="547" t="str">
        <f ca="1">语言!$A$477</f>
        <v>希・沃尔基</v>
      </c>
      <c r="C1870" s="371"/>
      <c r="D1870" s="371"/>
      <c r="E1870" s="371"/>
      <c r="F1870" s="371"/>
      <c r="G1870" s="371"/>
      <c r="H1870" s="371"/>
      <c r="I1870" s="371"/>
      <c r="J1870" s="371"/>
      <c r="K1870" s="371"/>
      <c r="L1870" s="371"/>
      <c r="M1870" s="371"/>
      <c r="N1870" s="371"/>
      <c r="O1870" s="371"/>
      <c r="P1870" s="371"/>
      <c r="Q1870" s="371"/>
      <c r="R1870" s="371"/>
      <c r="S1870" s="371"/>
      <c r="T1870" s="371"/>
      <c r="U1870" s="371"/>
      <c r="V1870" s="371"/>
      <c r="W1870" s="147"/>
    </row>
    <row r="1871" spans="1:23" ht="12.75" x14ac:dyDescent="0.2">
      <c r="A1871" s="148"/>
      <c r="B1871" s="410" t="str">
        <f ca="1">语言!$A$2120</f>
        <v>村民</v>
      </c>
      <c r="C1871" s="543" t="b">
        <v>0</v>
      </c>
      <c r="D1871" s="410" t="str">
        <f ca="1">道具!$C$390</f>
        <v>帽盔</v>
      </c>
      <c r="E1871" s="543" t="b">
        <v>0</v>
      </c>
      <c r="F1871" s="409" t="str">
        <f ca="1">语言!$A$32</f>
        <v>「唆使」先制化的资讯</v>
      </c>
      <c r="G1871" s="543" t="b">
        <v>0</v>
      </c>
      <c r="H1871" s="545" t="s">
        <v>45</v>
      </c>
      <c r="I1871" s="409">
        <v>1</v>
      </c>
      <c r="J1871" s="409"/>
      <c r="K1871" s="409"/>
      <c r="L1871" s="409"/>
      <c r="M1871" s="409"/>
      <c r="N1871" s="409"/>
      <c r="O1871" s="409" t="str">
        <f ca="1">道具!$C$3</f>
        <v>ＨＰ恢复的葡萄</v>
      </c>
      <c r="P1871" s="543"/>
      <c r="Q1871" s="545" t="s">
        <v>45</v>
      </c>
      <c r="R1871" s="24"/>
      <c r="S1871" s="24" t="str">
        <f ca="1">Summon!$I$98</f>
        <v>光明魔法</v>
      </c>
      <c r="T1871" s="545">
        <v>9</v>
      </c>
      <c r="U1871" s="543"/>
      <c r="V1871" s="409"/>
      <c r="W1871" s="148"/>
    </row>
    <row r="1872" spans="1:23" ht="12.75" x14ac:dyDescent="0.2">
      <c r="A1872" s="148"/>
      <c r="B1872" s="544"/>
      <c r="C1872" s="544"/>
      <c r="D1872" s="544"/>
      <c r="E1872" s="544"/>
      <c r="F1872" s="544"/>
      <c r="G1872" s="544"/>
      <c r="H1872" s="544"/>
      <c r="I1872" s="544"/>
      <c r="J1872" s="544"/>
      <c r="K1872" s="544"/>
      <c r="L1872" s="544"/>
      <c r="M1872" s="544"/>
      <c r="N1872" s="544"/>
      <c r="O1872" s="544"/>
      <c r="P1872" s="544"/>
      <c r="Q1872" s="544"/>
      <c r="R1872" s="150"/>
      <c r="S1872" s="150" t="str">
        <f ca="1">Summon!$I$4</f>
        <v>战斗</v>
      </c>
      <c r="T1872" s="544"/>
      <c r="U1872" s="544"/>
      <c r="V1872" s="544"/>
      <c r="W1872" s="148"/>
    </row>
    <row r="1873" spans="1:23" ht="12.75" x14ac:dyDescent="0.2">
      <c r="A1873" s="148"/>
      <c r="B1873" s="410" t="str">
        <f ca="1">语言!$A$1878</f>
        <v>年轻猎人</v>
      </c>
      <c r="C1873" s="148" t="b">
        <v>0</v>
      </c>
      <c r="D1873" s="25" t="str">
        <f ca="1">道具!$C$6</f>
        <v>ＳＰ恢复的李子</v>
      </c>
      <c r="E1873" s="543" t="b">
        <v>0</v>
      </c>
      <c r="F1873" s="409" t="str">
        <f ca="1">语言!$A$23</f>
        <v>无</v>
      </c>
      <c r="G1873" s="543" t="b">
        <v>0</v>
      </c>
      <c r="H1873" s="545" t="s">
        <v>45</v>
      </c>
      <c r="I1873" s="582">
        <v>1</v>
      </c>
      <c r="J1873" s="409"/>
      <c r="K1873" s="409"/>
      <c r="L1873" s="409"/>
      <c r="M1873" s="409"/>
      <c r="N1873" s="409"/>
      <c r="O1873" s="581" t="str">
        <f ca="1">道具!$C$20</f>
        <v>黑暗治疗药草</v>
      </c>
      <c r="P1873" s="543"/>
      <c r="Q1873" s="545" t="s">
        <v>45</v>
      </c>
      <c r="R1873" s="24"/>
      <c r="S1873" s="24" t="str">
        <f ca="1">Summon!$I$52</f>
        <v>重拳</v>
      </c>
      <c r="T1873" s="545">
        <v>9</v>
      </c>
      <c r="U1873" s="543"/>
      <c r="V1873" s="409" t="str">
        <f ca="1">"Can't "&amp;语言!$A$47&amp;", only "&amp;语言!$A$51&amp;"
"&amp;语言!$A$44&amp;" / "&amp;语言!$A$48&amp;" available after "&amp;语言!$A$42&amp;" chapter 1"</f>
        <v>Can't 比试, only 唆使
引导 / 诱惑 available after 海茵特 chapter 1</v>
      </c>
      <c r="W1873" s="148"/>
    </row>
    <row r="1874" spans="1:23" ht="12.75" x14ac:dyDescent="0.2">
      <c r="A1874" s="148"/>
      <c r="B1874" s="371"/>
      <c r="C1874" s="148" t="b">
        <v>0</v>
      </c>
      <c r="D1874" s="25" t="str">
        <f ca="1">道具!$C$7</f>
        <v>ＳＰ恢复的李子（大）</v>
      </c>
      <c r="E1874" s="371"/>
      <c r="F1874" s="371"/>
      <c r="G1874" s="371"/>
      <c r="H1874" s="371"/>
      <c r="I1874" s="371"/>
      <c r="J1874" s="371"/>
      <c r="K1874" s="371"/>
      <c r="L1874" s="371"/>
      <c r="M1874" s="371"/>
      <c r="N1874" s="371"/>
      <c r="O1874" s="371"/>
      <c r="P1874" s="371"/>
      <c r="Q1874" s="371"/>
      <c r="R1874" s="24"/>
      <c r="S1874" s="24" t="str">
        <f ca="1">Summon!$I$4</f>
        <v>战斗</v>
      </c>
      <c r="T1874" s="371"/>
      <c r="U1874" s="371"/>
      <c r="V1874" s="371"/>
      <c r="W1874" s="148"/>
    </row>
    <row r="1875" spans="1:23" ht="12.75" x14ac:dyDescent="0.2">
      <c r="A1875" s="148"/>
      <c r="B1875" s="544"/>
      <c r="C1875" s="152" t="b">
        <v>0</v>
      </c>
      <c r="D1875" s="151" t="str">
        <f ca="1">道具!$C$501</f>
        <v>灵敏耳环</v>
      </c>
      <c r="E1875" s="544"/>
      <c r="F1875" s="544"/>
      <c r="G1875" s="544"/>
      <c r="H1875" s="544"/>
      <c r="I1875" s="544"/>
      <c r="J1875" s="544"/>
      <c r="K1875" s="544"/>
      <c r="L1875" s="544"/>
      <c r="M1875" s="544"/>
      <c r="N1875" s="544"/>
      <c r="O1875" s="544"/>
      <c r="P1875" s="544"/>
      <c r="Q1875" s="544"/>
      <c r="R1875" s="150"/>
      <c r="S1875" s="150"/>
      <c r="T1875" s="544"/>
      <c r="U1875" s="544"/>
      <c r="V1875" s="544"/>
      <c r="W1875" s="148"/>
    </row>
    <row r="1876" spans="1:23" ht="12.75" x14ac:dyDescent="0.2">
      <c r="A1876" s="148"/>
      <c r="B1876" s="410" t="str">
        <f ca="1">语言!$A$1784&amp;" (1)"</f>
        <v>阿什兰 (1)</v>
      </c>
      <c r="C1876" s="543" t="b">
        <v>0</v>
      </c>
      <c r="D1876" s="410" t="str">
        <f ca="1">道具!$C$497</f>
        <v>精神耳环</v>
      </c>
      <c r="E1876" s="543" t="b">
        <v>0</v>
      </c>
      <c r="F1876" s="409" t="str">
        <f ca="1">语言!$A$23</f>
        <v>无</v>
      </c>
      <c r="G1876" s="543" t="b">
        <v>0</v>
      </c>
      <c r="H1876" s="545" t="s">
        <v>57</v>
      </c>
      <c r="I1876" s="409">
        <v>3</v>
      </c>
      <c r="J1876" s="409"/>
      <c r="K1876" s="409"/>
      <c r="L1876" s="409"/>
      <c r="M1876" s="409"/>
      <c r="N1876" s="409"/>
      <c r="O1876" s="409" t="str">
        <f ca="1">道具!$C$389</f>
        <v>黑帽</v>
      </c>
      <c r="P1876" s="543"/>
      <c r="Q1876" s="545" t="s">
        <v>57</v>
      </c>
      <c r="R1876" s="24"/>
      <c r="S1876" s="155" t="str">
        <f ca="1">Summon!$I$65</f>
        <v>剧毒之矢</v>
      </c>
      <c r="T1876" s="545">
        <v>8</v>
      </c>
      <c r="U1876" s="543"/>
      <c r="V1876" s="409" t="str">
        <f ca="1">"NPC available after "&amp;语言!$A$42&amp;" chapter 1
Moves to "&amp;语言!$A$483&amp;" after quest: "&amp;支线!$C$132</f>
        <v>NPC available after 海茵特 chapter 1
Moves to 维克塔霍洛 after quest: 魔物操控人的末裔阿什兰（１）</v>
      </c>
      <c r="W1876" s="148"/>
    </row>
    <row r="1877" spans="1:23" ht="12.75" x14ac:dyDescent="0.2">
      <c r="A1877" s="148"/>
      <c r="B1877" s="371"/>
      <c r="C1877" s="371"/>
      <c r="D1877" s="371"/>
      <c r="E1877" s="371"/>
      <c r="F1877" s="371"/>
      <c r="G1877" s="371"/>
      <c r="H1877" s="371"/>
      <c r="I1877" s="371"/>
      <c r="J1877" s="371"/>
      <c r="K1877" s="371"/>
      <c r="L1877" s="371"/>
      <c r="M1877" s="371"/>
      <c r="N1877" s="371"/>
      <c r="O1877" s="371"/>
      <c r="P1877" s="371"/>
      <c r="Q1877" s="371"/>
      <c r="R1877" s="24"/>
      <c r="S1877" s="155" t="str">
        <f ca="1">Summon!$I$64</f>
        <v>精准射击</v>
      </c>
      <c r="T1877" s="371"/>
      <c r="U1877" s="371"/>
      <c r="V1877" s="371"/>
      <c r="W1877" s="148"/>
    </row>
    <row r="1878" spans="1:23" ht="12.75" x14ac:dyDescent="0.2">
      <c r="A1878" s="148"/>
      <c r="B1878" s="544"/>
      <c r="C1878" s="544"/>
      <c r="D1878" s="544"/>
      <c r="E1878" s="544"/>
      <c r="F1878" s="544"/>
      <c r="G1878" s="544"/>
      <c r="H1878" s="544"/>
      <c r="I1878" s="544"/>
      <c r="J1878" s="544"/>
      <c r="K1878" s="544"/>
      <c r="L1878" s="544"/>
      <c r="M1878" s="544"/>
      <c r="N1878" s="544"/>
      <c r="O1878" s="544"/>
      <c r="P1878" s="544"/>
      <c r="Q1878" s="544"/>
      <c r="R1878" s="150"/>
      <c r="S1878" s="156" t="str">
        <f ca="1">Summon!$I$4</f>
        <v>战斗</v>
      </c>
      <c r="T1878" s="544"/>
      <c r="U1878" s="544"/>
      <c r="V1878" s="544"/>
      <c r="W1878" s="148"/>
    </row>
    <row r="1879" spans="1:23" ht="12.75" x14ac:dyDescent="0.2">
      <c r="A1879" s="148"/>
      <c r="B1879" s="410" t="str">
        <f ca="1">语言!$A$2057</f>
        <v>野兽调查员</v>
      </c>
      <c r="C1879" s="148" t="b">
        <v>0</v>
      </c>
      <c r="D1879" s="25" t="str">
        <f ca="1">道具!$C$6</f>
        <v>ＳＰ恢复的李子</v>
      </c>
      <c r="E1879" s="543" t="b">
        <v>0</v>
      </c>
      <c r="F1879" s="409" t="str">
        <f ca="1">道具!$I$30</f>
        <v>养虎的方法</v>
      </c>
      <c r="G1879" s="543" t="b">
        <v>0</v>
      </c>
      <c r="H1879" s="545" t="s">
        <v>48</v>
      </c>
      <c r="I1879" s="409">
        <v>2</v>
      </c>
      <c r="J1879" s="409"/>
      <c r="K1879" s="409"/>
      <c r="L1879" s="409"/>
      <c r="M1879" s="409"/>
      <c r="N1879" s="409"/>
      <c r="O1879" s="409" t="str">
        <f ca="1">道具!$C$3</f>
        <v>ＨＰ恢复的葡萄</v>
      </c>
      <c r="P1879" s="543"/>
      <c r="Q1879" s="546" t="s">
        <v>119</v>
      </c>
      <c r="R1879" s="546" t="s">
        <v>119</v>
      </c>
      <c r="S1879" s="546" t="s">
        <v>119</v>
      </c>
      <c r="T1879" s="546" t="s">
        <v>119</v>
      </c>
      <c r="U1879" s="543"/>
      <c r="V1879" s="409" t="str">
        <f ca="1">"NPC available after "&amp;语言!$A$42&amp;" chapter 1"</f>
        <v>NPC available after 海茵特 chapter 1</v>
      </c>
      <c r="W1879" s="148"/>
    </row>
    <row r="1880" spans="1:23" ht="12.75" x14ac:dyDescent="0.2">
      <c r="A1880" s="148"/>
      <c r="B1880" s="544"/>
      <c r="C1880" s="152" t="b">
        <v>0</v>
      </c>
      <c r="D1880" s="151" t="str">
        <f ca="1">道具!$C$9</f>
        <v>ＢＰ恢复的石榴</v>
      </c>
      <c r="E1880" s="544"/>
      <c r="F1880" s="544"/>
      <c r="G1880" s="544"/>
      <c r="H1880" s="544"/>
      <c r="I1880" s="544"/>
      <c r="J1880" s="544"/>
      <c r="K1880" s="544"/>
      <c r="L1880" s="544"/>
      <c r="M1880" s="544"/>
      <c r="N1880" s="544"/>
      <c r="O1880" s="544"/>
      <c r="P1880" s="544"/>
      <c r="Q1880" s="544"/>
      <c r="R1880" s="544"/>
      <c r="S1880" s="544"/>
      <c r="T1880" s="544"/>
      <c r="U1880" s="544"/>
      <c r="V1880" s="544"/>
      <c r="W1880" s="148"/>
    </row>
    <row r="1881" spans="1:23" ht="12.75" x14ac:dyDescent="0.2">
      <c r="A1881" s="148"/>
      <c r="B1881" s="410" t="str">
        <f ca="1">语言!$A$1878</f>
        <v>年轻猎人</v>
      </c>
      <c r="C1881" s="148" t="b">
        <v>0</v>
      </c>
      <c r="D1881" s="25" t="str">
        <f ca="1">道具!$C$3</f>
        <v>ＨＰ恢复的葡萄</v>
      </c>
      <c r="E1881" s="543" t="b">
        <v>0</v>
      </c>
      <c r="F1881" s="409" t="str">
        <f ca="1">语言!$A$23</f>
        <v>无</v>
      </c>
      <c r="G1881" s="543" t="b">
        <v>0</v>
      </c>
      <c r="H1881" s="545" t="s">
        <v>45</v>
      </c>
      <c r="I1881" s="582">
        <v>1</v>
      </c>
      <c r="J1881" s="409"/>
      <c r="K1881" s="409"/>
      <c r="L1881" s="409"/>
      <c r="M1881" s="409"/>
      <c r="N1881" s="581"/>
      <c r="O1881" s="409" t="str">
        <f ca="1">道具!$C$3</f>
        <v>ＨＰ恢复的葡萄</v>
      </c>
      <c r="P1881" s="543"/>
      <c r="Q1881" s="545" t="s">
        <v>45</v>
      </c>
      <c r="R1881" s="24"/>
      <c r="S1881" s="24" t="str">
        <f ca="1">Summon!$I$52</f>
        <v>重拳</v>
      </c>
      <c r="T1881" s="545">
        <v>9</v>
      </c>
      <c r="U1881" s="543"/>
      <c r="V1881" s="409" t="str">
        <f ca="1">"Can't "&amp;语言!$A$47&amp;", only "&amp;语言!$A$51&amp;"
"&amp;语言!$A$44&amp;" / "&amp;语言!$A$48&amp;" available after "&amp;语言!$A$42&amp;" chapter 1"</f>
        <v>Can't 比试, only 唆使
引导 / 诱惑 available after 海茵特 chapter 1</v>
      </c>
      <c r="W1881" s="148"/>
    </row>
    <row r="1882" spans="1:23" ht="12.75" x14ac:dyDescent="0.2">
      <c r="A1882" s="148"/>
      <c r="B1882" s="371"/>
      <c r="C1882" s="148" t="b">
        <v>0</v>
      </c>
      <c r="D1882" s="25" t="str">
        <f ca="1">道具!$C$14</f>
        <v>复活的橄榄</v>
      </c>
      <c r="E1882" s="371"/>
      <c r="F1882" s="371"/>
      <c r="G1882" s="371"/>
      <c r="H1882" s="371"/>
      <c r="I1882" s="371"/>
      <c r="J1882" s="371"/>
      <c r="K1882" s="371"/>
      <c r="L1882" s="371"/>
      <c r="M1882" s="371"/>
      <c r="N1882" s="371"/>
      <c r="O1882" s="371"/>
      <c r="P1882" s="371"/>
      <c r="Q1882" s="371"/>
      <c r="R1882" s="24"/>
      <c r="S1882" s="24" t="str">
        <f ca="1">Summon!$I$61</f>
        <v>全力斩击</v>
      </c>
      <c r="T1882" s="371"/>
      <c r="U1882" s="371"/>
      <c r="V1882" s="371"/>
      <c r="W1882" s="148"/>
    </row>
    <row r="1883" spans="1:23" ht="12.75" x14ac:dyDescent="0.2">
      <c r="A1883" s="148"/>
      <c r="B1883" s="544"/>
      <c r="C1883" s="152"/>
      <c r="D1883" s="151"/>
      <c r="E1883" s="544"/>
      <c r="F1883" s="544"/>
      <c r="G1883" s="544"/>
      <c r="H1883" s="544"/>
      <c r="I1883" s="544"/>
      <c r="J1883" s="544"/>
      <c r="K1883" s="544"/>
      <c r="L1883" s="544"/>
      <c r="M1883" s="544"/>
      <c r="N1883" s="544"/>
      <c r="O1883" s="544"/>
      <c r="P1883" s="544"/>
      <c r="Q1883" s="544"/>
      <c r="R1883" s="150"/>
      <c r="S1883" s="150" t="str">
        <f ca="1">Summon!$I$4</f>
        <v>战斗</v>
      </c>
      <c r="T1883" s="544"/>
      <c r="U1883" s="544"/>
      <c r="V1883" s="544"/>
      <c r="W1883" s="148"/>
    </row>
    <row r="1884" spans="1:23" ht="12.75" x14ac:dyDescent="0.2">
      <c r="A1884" s="148"/>
      <c r="B1884" s="410" t="str">
        <f ca="1">语言!$A$1920</f>
        <v>猎人</v>
      </c>
      <c r="C1884" s="148" t="b">
        <v>0</v>
      </c>
      <c r="D1884" s="25" t="str">
        <f ca="1">道具!$C$3</f>
        <v>ＨＰ恢复的葡萄</v>
      </c>
      <c r="E1884" s="543" t="b">
        <v>0</v>
      </c>
      <c r="F1884" s="409" t="str">
        <f ca="1">语言!$A$33&amp;"
1 000$"</f>
        <v>隐藏道具的资讯
1 000$</v>
      </c>
      <c r="G1884" s="543" t="b">
        <v>0</v>
      </c>
      <c r="H1884" s="545" t="s">
        <v>45</v>
      </c>
      <c r="I1884" s="582">
        <v>1</v>
      </c>
      <c r="J1884" s="409"/>
      <c r="K1884" s="409"/>
      <c r="L1884" s="409"/>
      <c r="M1884" s="409"/>
      <c r="N1884" s="409"/>
      <c r="O1884" s="409" t="str">
        <f ca="1">道具!$C$3</f>
        <v>ＨＰ恢复的葡萄</v>
      </c>
      <c r="P1884" s="543"/>
      <c r="Q1884" s="545" t="s">
        <v>45</v>
      </c>
      <c r="R1884" s="24"/>
      <c r="S1884" s="24" t="str">
        <f ca="1">Summon!$I$64</f>
        <v>精准射击</v>
      </c>
      <c r="T1884" s="545">
        <v>9</v>
      </c>
      <c r="U1884" s="543"/>
      <c r="V1884" s="409" t="str">
        <f ca="1">"Can't "&amp;语言!$A$47&amp;", only "&amp;语言!$A$51</f>
        <v>Can't 比试, only 唆使</v>
      </c>
      <c r="W1884" s="148"/>
    </row>
    <row r="1885" spans="1:23" ht="12.75" x14ac:dyDescent="0.2">
      <c r="A1885" s="148"/>
      <c r="B1885" s="371"/>
      <c r="C1885" s="148" t="b">
        <v>0</v>
      </c>
      <c r="D1885" s="25" t="str">
        <f ca="1">道具!$C$540</f>
        <v>葡萄树液</v>
      </c>
      <c r="E1885" s="371"/>
      <c r="F1885" s="371"/>
      <c r="G1885" s="371"/>
      <c r="H1885" s="371"/>
      <c r="I1885" s="371"/>
      <c r="J1885" s="371"/>
      <c r="K1885" s="371"/>
      <c r="L1885" s="371"/>
      <c r="M1885" s="371"/>
      <c r="N1885" s="371"/>
      <c r="O1885" s="371"/>
      <c r="P1885" s="371"/>
      <c r="Q1885" s="371"/>
      <c r="R1885" s="24"/>
      <c r="S1885" s="24" t="str">
        <f ca="1">Summon!$I$4</f>
        <v>战斗</v>
      </c>
      <c r="T1885" s="371"/>
      <c r="U1885" s="371"/>
      <c r="V1885" s="371"/>
      <c r="W1885" s="148"/>
    </row>
    <row r="1886" spans="1:23" ht="12.75" x14ac:dyDescent="0.2">
      <c r="A1886" s="148"/>
      <c r="B1886" s="544"/>
      <c r="C1886" s="152" t="b">
        <v>0</v>
      </c>
      <c r="D1886" s="151" t="str">
        <f ca="1">道具!$C$265</f>
        <v>战斧</v>
      </c>
      <c r="E1886" s="544"/>
      <c r="F1886" s="544"/>
      <c r="G1886" s="544"/>
      <c r="H1886" s="544"/>
      <c r="I1886" s="544"/>
      <c r="J1886" s="544"/>
      <c r="K1886" s="544"/>
      <c r="L1886" s="544"/>
      <c r="M1886" s="544"/>
      <c r="N1886" s="544"/>
      <c r="O1886" s="544"/>
      <c r="P1886" s="544"/>
      <c r="Q1886" s="544"/>
      <c r="R1886" s="150"/>
      <c r="S1886" s="150"/>
      <c r="T1886" s="544"/>
      <c r="U1886" s="544"/>
      <c r="V1886" s="544"/>
      <c r="W1886" s="148"/>
    </row>
    <row r="1887" spans="1:23" ht="12.75" x14ac:dyDescent="0.2">
      <c r="A1887" s="148"/>
      <c r="B1887" s="410" t="str">
        <f ca="1">语言!$A$2016</f>
        <v>讲述传说的老人</v>
      </c>
      <c r="C1887" s="148" t="b">
        <v>0</v>
      </c>
      <c r="D1887" s="25" t="str">
        <f ca="1">道具!$C$4</f>
        <v>ＨＰ恢复的葡萄（大）</v>
      </c>
      <c r="E1887" s="543" t="b">
        <v>0</v>
      </c>
      <c r="F1887" s="409" t="str">
        <f ca="1">道具!$I$44</f>
        <v>魔物操控人的传说</v>
      </c>
      <c r="G1887" s="543" t="b">
        <v>0</v>
      </c>
      <c r="H1887" s="545" t="s">
        <v>55</v>
      </c>
      <c r="I1887" s="409">
        <v>6</v>
      </c>
      <c r="J1887" s="409"/>
      <c r="K1887" s="409"/>
      <c r="L1887" s="409"/>
      <c r="M1887" s="409"/>
      <c r="N1887" s="409"/>
      <c r="O1887" s="409" t="str">
        <f ca="1">道具!$C$269</f>
        <v>历战之弓</v>
      </c>
      <c r="P1887" s="543"/>
      <c r="Q1887" s="546" t="s">
        <v>119</v>
      </c>
      <c r="R1887" s="546" t="s">
        <v>119</v>
      </c>
      <c r="S1887" s="546" t="s">
        <v>119</v>
      </c>
      <c r="T1887" s="546" t="s">
        <v>119</v>
      </c>
      <c r="U1887" s="543"/>
      <c r="V1887" s="409" t="str">
        <f ca="1">"NPC available after "&amp;语言!$A$42&amp;" chapter 1"</f>
        <v>NPC available after 海茵特 chapter 1</v>
      </c>
      <c r="W1887" s="148"/>
    </row>
    <row r="1888" spans="1:23" ht="12.75" x14ac:dyDescent="0.2">
      <c r="A1888" s="148"/>
      <c r="B1888" s="544"/>
      <c r="C1888" s="152" t="b">
        <v>0</v>
      </c>
      <c r="D1888" s="151" t="str">
        <f ca="1">道具!$C$502</f>
        <v>会心耳环</v>
      </c>
      <c r="E1888" s="544"/>
      <c r="F1888" s="544"/>
      <c r="G1888" s="544"/>
      <c r="H1888" s="544"/>
      <c r="I1888" s="544"/>
      <c r="J1888" s="544"/>
      <c r="K1888" s="544"/>
      <c r="L1888" s="544"/>
      <c r="M1888" s="544"/>
      <c r="N1888" s="544"/>
      <c r="O1888" s="544"/>
      <c r="P1888" s="544"/>
      <c r="Q1888" s="544"/>
      <c r="R1888" s="544"/>
      <c r="S1888" s="544"/>
      <c r="T1888" s="544"/>
      <c r="U1888" s="544"/>
      <c r="V1888" s="544"/>
      <c r="W1888" s="148"/>
    </row>
    <row r="1889" spans="1:23" ht="12.75" x14ac:dyDescent="0.2">
      <c r="A1889" s="148"/>
      <c r="B1889" s="151" t="str">
        <f ca="1">语言!$A$1916</f>
        <v>贵族史研究家</v>
      </c>
      <c r="C1889" s="152" t="b">
        <v>0</v>
      </c>
      <c r="D1889" s="151" t="str">
        <f ca="1">道具!$C$17</f>
        <v>复活的橄榄（特大）</v>
      </c>
      <c r="E1889" s="152" t="b">
        <v>0</v>
      </c>
      <c r="F1889" s="150" t="str">
        <f ca="1">道具!$I$8</f>
        <v>拜伦家的祖谱</v>
      </c>
      <c r="G1889" s="152" t="b">
        <v>0</v>
      </c>
      <c r="H1889" s="233" t="s">
        <v>48</v>
      </c>
      <c r="I1889" s="150">
        <v>2</v>
      </c>
      <c r="J1889" s="150"/>
      <c r="K1889" s="150"/>
      <c r="L1889" s="150"/>
      <c r="M1889" s="150"/>
      <c r="N1889" s="150"/>
      <c r="O1889" s="150" t="str">
        <f ca="1">道具!$C$17</f>
        <v>复活的橄榄（特大）</v>
      </c>
      <c r="P1889" s="152"/>
      <c r="Q1889" s="153" t="s">
        <v>119</v>
      </c>
      <c r="R1889" s="153" t="s">
        <v>119</v>
      </c>
      <c r="S1889" s="153" t="s">
        <v>119</v>
      </c>
      <c r="T1889" s="153" t="s">
        <v>119</v>
      </c>
      <c r="U1889" s="152"/>
      <c r="V1889" s="150" t="str">
        <f ca="1">"NPC available after "&amp;语言!$A$42&amp;" chapter 1"</f>
        <v>NPC available after 海茵特 chapter 1</v>
      </c>
      <c r="W1889" s="148"/>
    </row>
    <row r="1890" spans="1:23" ht="12.75" x14ac:dyDescent="0.2">
      <c r="A1890" s="148"/>
      <c r="B1890" s="410" t="str">
        <f ca="1">语言!$A$1787</f>
        <v>见习猎人 /
新手猎人 /
见习商人</v>
      </c>
      <c r="C1890" s="543" t="b">
        <v>0</v>
      </c>
      <c r="D1890" s="410" t="str">
        <f ca="1">道具!$C$14</f>
        <v>复活的橄榄</v>
      </c>
      <c r="E1890" s="543" t="b">
        <v>0</v>
      </c>
      <c r="F1890" s="409" t="str">
        <f ca="1">语言!$A$33&amp;"
"&amp;道具!$C$33</f>
        <v>隐藏道具的资讯
冰之精灵石</v>
      </c>
      <c r="G1890" s="543" t="b">
        <v>0</v>
      </c>
      <c r="H1890" s="545" t="s">
        <v>45</v>
      </c>
      <c r="I1890" s="409">
        <v>2</v>
      </c>
      <c r="J1890" s="409"/>
      <c r="K1890" s="409"/>
      <c r="L1890" s="409"/>
      <c r="M1890" s="409"/>
      <c r="N1890" s="409"/>
      <c r="O1890" s="409" t="str">
        <f ca="1">道具!$C$14</f>
        <v>复活的橄榄</v>
      </c>
      <c r="P1890" s="543"/>
      <c r="Q1890" s="545" t="s">
        <v>45</v>
      </c>
      <c r="R1890" s="24"/>
      <c r="S1890" s="24" t="str">
        <f ca="1">Summon!$I$64</f>
        <v>精准射击</v>
      </c>
      <c r="T1890" s="545">
        <v>9</v>
      </c>
      <c r="U1890" s="543"/>
      <c r="V1890" s="409" t="str">
        <f ca="1">"NPC available after "&amp;语言!$A$42&amp;" chapter 1
3 Different "&amp;语言!$A$47&amp;" / "&amp;语言!$A$51&amp;" &amp; "&amp;语言!$A$44&amp;" / "&amp;语言!$A$48&amp;" as a result of how you
complete quest: "&amp;支线!$C$133</f>
        <v>NPC available after 海茵特 chapter 1
3 Different 比试 / 唆使 &amp; 引导 / 诱惑 as a result of how you
complete quest: 成人的仪式</v>
      </c>
      <c r="W1890" s="148"/>
    </row>
    <row r="1891" spans="1:23" ht="12.75" x14ac:dyDescent="0.2">
      <c r="A1891" s="148"/>
      <c r="B1891" s="371"/>
      <c r="C1891" s="371"/>
      <c r="D1891" s="371"/>
      <c r="E1891" s="371"/>
      <c r="F1891" s="371"/>
      <c r="G1891" s="371"/>
      <c r="H1891" s="371"/>
      <c r="I1891" s="371"/>
      <c r="J1891" s="371"/>
      <c r="K1891" s="371"/>
      <c r="L1891" s="371"/>
      <c r="M1891" s="371"/>
      <c r="N1891" s="371"/>
      <c r="O1891" s="371"/>
      <c r="P1891" s="371"/>
      <c r="Q1891" s="371"/>
      <c r="R1891" s="24"/>
      <c r="S1891" s="24" t="str">
        <f ca="1">Summon!$I$4</f>
        <v>战斗</v>
      </c>
      <c r="T1891" s="371"/>
      <c r="U1891" s="371"/>
      <c r="V1891" s="371"/>
      <c r="W1891" s="148"/>
    </row>
    <row r="1892" spans="1:23" ht="12.75" x14ac:dyDescent="0.2">
      <c r="A1892" s="148"/>
      <c r="B1892" s="371"/>
      <c r="C1892" s="371"/>
      <c r="D1892" s="371"/>
      <c r="E1892" s="371"/>
      <c r="F1892" s="371"/>
      <c r="G1892" s="543" t="b">
        <v>0</v>
      </c>
      <c r="H1892" s="545" t="s">
        <v>48</v>
      </c>
      <c r="I1892" s="409">
        <v>2</v>
      </c>
      <c r="J1892" s="409"/>
      <c r="K1892" s="409"/>
      <c r="L1892" s="409"/>
      <c r="M1892" s="409"/>
      <c r="N1892" s="409"/>
      <c r="O1892" s="409" t="str">
        <f ca="1">道具!$C$14</f>
        <v>复活的橄榄</v>
      </c>
      <c r="P1892" s="543"/>
      <c r="Q1892" s="545" t="s">
        <v>48</v>
      </c>
      <c r="R1892" s="24"/>
      <c r="S1892" s="24" t="str">
        <f ca="1">Summon!$I$70</f>
        <v>乱射</v>
      </c>
      <c r="T1892" s="545">
        <v>9</v>
      </c>
      <c r="U1892" s="371"/>
      <c r="V1892" s="371"/>
      <c r="W1892" s="148"/>
    </row>
    <row r="1893" spans="1:23" ht="12.75" x14ac:dyDescent="0.2">
      <c r="A1893" s="148"/>
      <c r="B1893" s="371"/>
      <c r="C1893" s="543" t="b">
        <v>0</v>
      </c>
      <c r="D1893" s="410" t="str">
        <f ca="1">道具!$C$543</f>
        <v>橄榄花</v>
      </c>
      <c r="E1893" s="371"/>
      <c r="F1893" s="371"/>
      <c r="G1893" s="371"/>
      <c r="H1893" s="371"/>
      <c r="I1893" s="371"/>
      <c r="J1893" s="371"/>
      <c r="K1893" s="371"/>
      <c r="L1893" s="371"/>
      <c r="M1893" s="371"/>
      <c r="N1893" s="371"/>
      <c r="O1893" s="371"/>
      <c r="P1893" s="371"/>
      <c r="Q1893" s="371"/>
      <c r="R1893" s="24"/>
      <c r="S1893" s="24" t="str">
        <f ca="1">Summon!$I$64</f>
        <v>精准射击</v>
      </c>
      <c r="T1893" s="371"/>
      <c r="U1893" s="371"/>
      <c r="V1893" s="371"/>
      <c r="W1893" s="148"/>
    </row>
    <row r="1894" spans="1:23" ht="12.75" x14ac:dyDescent="0.2">
      <c r="A1894" s="148"/>
      <c r="B1894" s="371"/>
      <c r="C1894" s="371"/>
      <c r="D1894" s="371"/>
      <c r="E1894" s="371"/>
      <c r="F1894" s="371"/>
      <c r="G1894" s="371"/>
      <c r="H1894" s="371"/>
      <c r="I1894" s="371"/>
      <c r="J1894" s="371"/>
      <c r="K1894" s="371"/>
      <c r="L1894" s="371"/>
      <c r="M1894" s="371"/>
      <c r="N1894" s="371"/>
      <c r="O1894" s="371"/>
      <c r="P1894" s="371"/>
      <c r="Q1894" s="371"/>
      <c r="R1894" s="24"/>
      <c r="S1894" s="24" t="str">
        <f ca="1">Summon!$I$4</f>
        <v>战斗</v>
      </c>
      <c r="T1894" s="149"/>
      <c r="U1894" s="371"/>
      <c r="V1894" s="371"/>
      <c r="W1894" s="148"/>
    </row>
    <row r="1895" spans="1:23" ht="12.75" x14ac:dyDescent="0.2">
      <c r="A1895" s="148"/>
      <c r="B1895" s="371"/>
      <c r="C1895" s="371"/>
      <c r="D1895" s="371"/>
      <c r="E1895" s="371"/>
      <c r="F1895" s="371"/>
      <c r="G1895" s="543" t="b">
        <v>0</v>
      </c>
      <c r="H1895" s="545" t="s">
        <v>45</v>
      </c>
      <c r="I1895" s="409">
        <v>2</v>
      </c>
      <c r="J1895" s="409"/>
      <c r="K1895" s="409"/>
      <c r="L1895" s="409"/>
      <c r="M1895" s="409"/>
      <c r="N1895" s="409"/>
      <c r="O1895" s="409" t="str">
        <f ca="1">道具!$C$14</f>
        <v>复活的橄榄</v>
      </c>
      <c r="P1895" s="543"/>
      <c r="Q1895" s="545" t="s">
        <v>45</v>
      </c>
      <c r="R1895" s="24"/>
      <c r="S1895" s="24" t="str">
        <f ca="1">Summon!$I$147</f>
        <v>混乱药</v>
      </c>
      <c r="T1895" s="545">
        <v>9</v>
      </c>
      <c r="U1895" s="371"/>
      <c r="V1895" s="371"/>
      <c r="W1895" s="148"/>
    </row>
    <row r="1896" spans="1:23" ht="12.75" x14ac:dyDescent="0.2">
      <c r="A1896" s="148"/>
      <c r="B1896" s="544"/>
      <c r="C1896" s="152"/>
      <c r="D1896" s="151"/>
      <c r="E1896" s="544"/>
      <c r="F1896" s="544"/>
      <c r="G1896" s="544"/>
      <c r="H1896" s="544"/>
      <c r="I1896" s="544"/>
      <c r="J1896" s="544"/>
      <c r="K1896" s="544"/>
      <c r="L1896" s="544"/>
      <c r="M1896" s="544"/>
      <c r="N1896" s="544"/>
      <c r="O1896" s="544"/>
      <c r="P1896" s="544"/>
      <c r="Q1896" s="544"/>
      <c r="R1896" s="150"/>
      <c r="S1896" s="150" t="str">
        <f ca="1">Summon!$I$4</f>
        <v>战斗</v>
      </c>
      <c r="T1896" s="544"/>
      <c r="U1896" s="544"/>
      <c r="V1896" s="544"/>
      <c r="W1896" s="148"/>
    </row>
    <row r="1897" spans="1:23" ht="12.75" x14ac:dyDescent="0.2">
      <c r="A1897" s="148"/>
      <c r="B1897" s="410" t="str">
        <f ca="1">语言!$A$1801</f>
        <v>猛兽猎人巴纳德</v>
      </c>
      <c r="C1897" s="543" t="b">
        <v>0</v>
      </c>
      <c r="D1897" s="410" t="str">
        <f ca="1">道具!$C$409</f>
        <v>告解盔甲</v>
      </c>
      <c r="E1897" s="543" t="b">
        <v>0</v>
      </c>
      <c r="F1897" s="409" t="str">
        <f ca="1">语言!$A$23</f>
        <v>无</v>
      </c>
      <c r="G1897" s="543" t="b">
        <v>0</v>
      </c>
      <c r="H1897" s="545" t="s">
        <v>46</v>
      </c>
      <c r="I1897" s="409">
        <v>3</v>
      </c>
      <c r="J1897" s="409"/>
      <c r="K1897" s="409"/>
      <c r="L1897" s="409"/>
      <c r="M1897" s="409"/>
      <c r="N1897" s="409"/>
      <c r="O1897" s="409" t="str">
        <f ca="1">道具!$C$40</f>
        <v>风之精灵石（大）</v>
      </c>
      <c r="P1897" s="543"/>
      <c r="Q1897" s="545" t="s">
        <v>46</v>
      </c>
      <c r="R1897" s="24"/>
      <c r="S1897" s="24" t="str">
        <f ca="1">Summon!$I$70</f>
        <v>乱射</v>
      </c>
      <c r="T1897" s="545">
        <v>8</v>
      </c>
      <c r="U1897" s="543"/>
      <c r="V1897" s="409" t="str">
        <f ca="1">"NPC available after "&amp;语言!$A$38&amp;" chapter 4"</f>
        <v>NPC available after 欧尔贝克 chapter 4</v>
      </c>
      <c r="W1897" s="148"/>
    </row>
    <row r="1898" spans="1:23" ht="12.75" x14ac:dyDescent="0.2">
      <c r="A1898" s="148"/>
      <c r="B1898" s="371"/>
      <c r="C1898" s="371"/>
      <c r="D1898" s="371"/>
      <c r="E1898" s="371"/>
      <c r="F1898" s="371"/>
      <c r="G1898" s="371"/>
      <c r="H1898" s="371"/>
      <c r="I1898" s="371"/>
      <c r="J1898" s="371"/>
      <c r="K1898" s="371"/>
      <c r="L1898" s="371"/>
      <c r="M1898" s="371"/>
      <c r="N1898" s="371"/>
      <c r="O1898" s="371"/>
      <c r="P1898" s="371"/>
      <c r="Q1898" s="371"/>
      <c r="R1898" s="24"/>
      <c r="S1898" s="24" t="str">
        <f ca="1">Summon!$I$64</f>
        <v>精准射击</v>
      </c>
      <c r="T1898" s="371"/>
      <c r="U1898" s="371"/>
      <c r="V1898" s="371"/>
      <c r="W1898" s="148"/>
    </row>
    <row r="1899" spans="1:23" ht="12.75" x14ac:dyDescent="0.2">
      <c r="A1899" s="148"/>
      <c r="B1899" s="544"/>
      <c r="C1899" s="544"/>
      <c r="D1899" s="544"/>
      <c r="E1899" s="544"/>
      <c r="F1899" s="544"/>
      <c r="G1899" s="544"/>
      <c r="H1899" s="544"/>
      <c r="I1899" s="544"/>
      <c r="J1899" s="544"/>
      <c r="K1899" s="544"/>
      <c r="L1899" s="544"/>
      <c r="M1899" s="544"/>
      <c r="N1899" s="544"/>
      <c r="O1899" s="544"/>
      <c r="P1899" s="544"/>
      <c r="Q1899" s="544"/>
      <c r="R1899" s="150"/>
      <c r="S1899" s="150" t="str">
        <f ca="1">Summon!$I$4</f>
        <v>战斗</v>
      </c>
      <c r="T1899" s="544"/>
      <c r="U1899" s="544"/>
      <c r="V1899" s="544"/>
      <c r="W1899" s="148"/>
    </row>
    <row r="1900" spans="1:23" ht="12.75" x14ac:dyDescent="0.2">
      <c r="A1900" s="148"/>
      <c r="B1900" s="151" t="str">
        <f ca="1">语言!$A$2120</f>
        <v>村民</v>
      </c>
      <c r="C1900" s="152" t="b">
        <v>0</v>
      </c>
      <c r="D1900" s="151" t="str">
        <f ca="1">道具!$C$94</f>
        <v>空空的钱包</v>
      </c>
      <c r="E1900" s="152" t="b">
        <v>0</v>
      </c>
      <c r="F1900" s="150" t="str">
        <f ca="1">语言!$A$24</f>
        <v>旅店的折扣资讯</v>
      </c>
      <c r="G1900" s="152" t="b">
        <v>0</v>
      </c>
      <c r="H1900" s="233" t="s">
        <v>45</v>
      </c>
      <c r="I1900" s="150">
        <v>1</v>
      </c>
      <c r="J1900" s="150"/>
      <c r="K1900" s="150"/>
      <c r="L1900" s="150"/>
      <c r="M1900" s="150"/>
      <c r="N1900" s="150"/>
      <c r="O1900" s="150" t="str">
        <f ca="1">道具!$C$537</f>
        <v>毒利米树之叶</v>
      </c>
      <c r="P1900" s="152"/>
      <c r="Q1900" s="153" t="s">
        <v>119</v>
      </c>
      <c r="R1900" s="153" t="s">
        <v>119</v>
      </c>
      <c r="S1900" s="153" t="s">
        <v>119</v>
      </c>
      <c r="T1900" s="153" t="s">
        <v>119</v>
      </c>
      <c r="U1900" s="152"/>
      <c r="V1900" s="150"/>
      <c r="W1900" s="148"/>
    </row>
    <row r="1901" spans="1:23" ht="12.75" x14ac:dyDescent="0.2">
      <c r="A1901" s="148"/>
      <c r="B1901" s="410" t="str">
        <f ca="1">语言!$A$1812</f>
        <v>少年</v>
      </c>
      <c r="C1901" s="543" t="b">
        <v>0</v>
      </c>
      <c r="D1901" s="410" t="str">
        <f ca="1">道具!$C$500</f>
        <v>察知耳环</v>
      </c>
      <c r="E1901" s="543" t="b">
        <v>0</v>
      </c>
      <c r="F1901" s="409" t="str">
        <f ca="1">语言!$A$23</f>
        <v>无</v>
      </c>
      <c r="G1901" s="543"/>
      <c r="H1901" s="546" t="s">
        <v>119</v>
      </c>
      <c r="I1901" s="546" t="s">
        <v>119</v>
      </c>
      <c r="J1901" s="546" t="s">
        <v>119</v>
      </c>
      <c r="K1901" s="546" t="s">
        <v>119</v>
      </c>
      <c r="L1901" s="546" t="s">
        <v>119</v>
      </c>
      <c r="M1901" s="546" t="s">
        <v>119</v>
      </c>
      <c r="N1901" s="546" t="s">
        <v>119</v>
      </c>
      <c r="O1901" s="546" t="s">
        <v>119</v>
      </c>
      <c r="P1901" s="543"/>
      <c r="Q1901" s="546" t="s">
        <v>119</v>
      </c>
      <c r="R1901" s="546" t="s">
        <v>119</v>
      </c>
      <c r="S1901" s="546" t="s">
        <v>119</v>
      </c>
      <c r="T1901" s="546" t="s">
        <v>119</v>
      </c>
      <c r="U1901" s="543"/>
      <c r="V1901" s="409" t="str">
        <f ca="1">"Behind other NPC ("&amp;语言!$A$47&amp;" / "&amp;语言!$A$51&amp;")"</f>
        <v>Behind other NPC (比试 / 唆使)</v>
      </c>
      <c r="W1901" s="148"/>
    </row>
    <row r="1902" spans="1:23" ht="12.75" x14ac:dyDescent="0.2">
      <c r="A1902" s="148"/>
      <c r="B1902" s="544"/>
      <c r="C1902" s="544"/>
      <c r="D1902" s="544"/>
      <c r="E1902" s="544"/>
      <c r="F1902" s="544"/>
      <c r="G1902" s="544"/>
      <c r="H1902" s="544"/>
      <c r="I1902" s="544"/>
      <c r="J1902" s="544"/>
      <c r="K1902" s="544"/>
      <c r="L1902" s="544"/>
      <c r="M1902" s="544"/>
      <c r="N1902" s="544"/>
      <c r="O1902" s="544"/>
      <c r="P1902" s="544"/>
      <c r="Q1902" s="544"/>
      <c r="R1902" s="544"/>
      <c r="S1902" s="544"/>
      <c r="T1902" s="544"/>
      <c r="U1902" s="544"/>
      <c r="V1902" s="544"/>
      <c r="W1902" s="148"/>
    </row>
    <row r="1903" spans="1:23" ht="12.75" x14ac:dyDescent="0.2">
      <c r="A1903" s="148"/>
      <c r="B1903" s="410" t="str">
        <f ca="1">语言!$A$1892&amp;" (1)"</f>
        <v>好脾气的妻子 (1)</v>
      </c>
      <c r="C1903" s="148" t="b">
        <v>0</v>
      </c>
      <c r="D1903" s="25" t="str">
        <f ca="1">道具!$C$3</f>
        <v>ＨＰ恢复的葡萄</v>
      </c>
      <c r="E1903" s="543" t="b">
        <v>0</v>
      </c>
      <c r="F1903" s="409" t="str">
        <f ca="1">语言!$A$23</f>
        <v>无</v>
      </c>
      <c r="G1903" s="543" t="b">
        <v>0</v>
      </c>
      <c r="H1903" s="545" t="s">
        <v>45</v>
      </c>
      <c r="I1903" s="409">
        <v>2</v>
      </c>
      <c r="J1903" s="409"/>
      <c r="K1903" s="409"/>
      <c r="L1903" s="409"/>
      <c r="M1903" s="409"/>
      <c r="N1903" s="409"/>
      <c r="O1903" s="409" t="str">
        <f ca="1">道具!$C$3</f>
        <v>ＨＰ恢复的葡萄</v>
      </c>
      <c r="P1903" s="543"/>
      <c r="Q1903" s="545" t="s">
        <v>45</v>
      </c>
      <c r="R1903" s="24"/>
      <c r="S1903" s="24" t="str">
        <f ca="1">Summon!$I$42</f>
        <v>猛击</v>
      </c>
      <c r="T1903" s="545">
        <v>9</v>
      </c>
      <c r="U1903" s="543"/>
      <c r="V1903" s="409" t="str">
        <f ca="1">"NPC available after "&amp;语言!$A$42&amp;" chapter 1
Moves to "&amp;语言!$A$457&amp;" after quest: "&amp;支线!$C$134</f>
        <v>NPC available after 海茵特 chapter 1
Moves to 柏达弗尔 after quest: 森林的指路牌</v>
      </c>
      <c r="W1903" s="148"/>
    </row>
    <row r="1904" spans="1:23" ht="12.75" x14ac:dyDescent="0.2">
      <c r="A1904" s="148"/>
      <c r="B1904" s="544"/>
      <c r="C1904" s="152" t="b">
        <v>0</v>
      </c>
      <c r="D1904" s="151" t="str">
        <f ca="1">道具!$C$9</f>
        <v>ＢＰ恢复的石榴</v>
      </c>
      <c r="E1904" s="544"/>
      <c r="F1904" s="544"/>
      <c r="G1904" s="544"/>
      <c r="H1904" s="544"/>
      <c r="I1904" s="544"/>
      <c r="J1904" s="544"/>
      <c r="K1904" s="544"/>
      <c r="L1904" s="544"/>
      <c r="M1904" s="544"/>
      <c r="N1904" s="544"/>
      <c r="O1904" s="544"/>
      <c r="P1904" s="544"/>
      <c r="Q1904" s="544"/>
      <c r="R1904" s="150"/>
      <c r="S1904" s="150" t="str">
        <f ca="1">Summon!$I$4</f>
        <v>战斗</v>
      </c>
      <c r="T1904" s="544"/>
      <c r="U1904" s="544"/>
      <c r="V1904" s="544"/>
      <c r="W1904" s="148"/>
    </row>
    <row r="1905" spans="1:23" ht="12.75" x14ac:dyDescent="0.2">
      <c r="A1905" s="148"/>
      <c r="B1905" s="410" t="str">
        <f ca="1">语言!$A$2119</f>
        <v>村长</v>
      </c>
      <c r="C1905" s="148" t="b">
        <v>0</v>
      </c>
      <c r="D1905" s="25" t="str">
        <f ca="1">道具!$C$4</f>
        <v>ＨＰ恢复的葡萄（大）</v>
      </c>
      <c r="E1905" s="543" t="b">
        <v>0</v>
      </c>
      <c r="F1905" s="409" t="str">
        <f ca="1">语言!$A$33&amp;"
"&amp;道具!$C$14</f>
        <v>隐藏道具的资讯
复活的橄榄</v>
      </c>
      <c r="G1905" s="543" t="b">
        <v>0</v>
      </c>
      <c r="H1905" s="545" t="s">
        <v>45</v>
      </c>
      <c r="I1905" s="409">
        <v>1</v>
      </c>
      <c r="J1905" s="409"/>
      <c r="K1905" s="409"/>
      <c r="L1905" s="409"/>
      <c r="M1905" s="409"/>
      <c r="N1905" s="409"/>
      <c r="O1905" s="409" t="str">
        <f ca="1">道具!$C$4</f>
        <v>ＨＰ恢复的葡萄（大）</v>
      </c>
      <c r="P1905" s="543"/>
      <c r="Q1905" s="545" t="s">
        <v>45</v>
      </c>
      <c r="R1905" s="24"/>
      <c r="S1905" s="24" t="str">
        <f ca="1">Summon!$I$44</f>
        <v>剧毒猛击</v>
      </c>
      <c r="T1905" s="545">
        <v>9</v>
      </c>
      <c r="U1905" s="543"/>
      <c r="V1905" s="409"/>
      <c r="W1905" s="148"/>
    </row>
    <row r="1906" spans="1:23" ht="12.75" x14ac:dyDescent="0.2">
      <c r="A1906" s="148"/>
      <c r="B1906" s="371"/>
      <c r="C1906" s="148" t="b">
        <v>0</v>
      </c>
      <c r="D1906" s="25" t="str">
        <f ca="1">道具!$C$296</f>
        <v>魔咒弓</v>
      </c>
      <c r="E1906" s="371"/>
      <c r="F1906" s="371"/>
      <c r="G1906" s="371"/>
      <c r="H1906" s="371"/>
      <c r="I1906" s="371"/>
      <c r="J1906" s="371"/>
      <c r="K1906" s="371"/>
      <c r="L1906" s="371"/>
      <c r="M1906" s="371"/>
      <c r="N1906" s="371"/>
      <c r="O1906" s="371"/>
      <c r="P1906" s="371"/>
      <c r="Q1906" s="371"/>
      <c r="R1906" s="24"/>
      <c r="S1906" s="24" t="str">
        <f ca="1">Summon!$I$42</f>
        <v>猛击</v>
      </c>
      <c r="T1906" s="371"/>
      <c r="U1906" s="371"/>
      <c r="V1906" s="371"/>
      <c r="W1906" s="148"/>
    </row>
    <row r="1907" spans="1:23" ht="12.75" x14ac:dyDescent="0.2">
      <c r="A1907" s="148"/>
      <c r="B1907" s="544"/>
      <c r="C1907" s="152"/>
      <c r="D1907" s="151"/>
      <c r="E1907" s="544"/>
      <c r="F1907" s="544"/>
      <c r="G1907" s="544"/>
      <c r="H1907" s="544"/>
      <c r="I1907" s="544"/>
      <c r="J1907" s="544"/>
      <c r="K1907" s="544"/>
      <c r="L1907" s="544"/>
      <c r="M1907" s="544"/>
      <c r="N1907" s="544"/>
      <c r="O1907" s="544"/>
      <c r="P1907" s="544"/>
      <c r="Q1907" s="544"/>
      <c r="R1907" s="150"/>
      <c r="S1907" s="150" t="str">
        <f ca="1">Summon!$I$4</f>
        <v>战斗</v>
      </c>
      <c r="T1907" s="544"/>
      <c r="U1907" s="544"/>
      <c r="V1907" s="544"/>
      <c r="W1907" s="148"/>
    </row>
    <row r="1908" spans="1:23" ht="12.75" x14ac:dyDescent="0.2">
      <c r="A1908" s="147"/>
      <c r="B1908" s="480" t="str">
        <f ca="1">语言!$A$1959</f>
        <v>贵族奇兰的使者</v>
      </c>
      <c r="C1908" s="543" t="b">
        <v>0</v>
      </c>
      <c r="D1908" s="410" t="str">
        <f ca="1">道具!$C$3</f>
        <v>ＨＰ恢复的葡萄</v>
      </c>
      <c r="E1908" s="543" t="b">
        <v>0</v>
      </c>
      <c r="F1908" s="401" t="str">
        <f ca="1">语言!$A$33&amp;"
"&amp;道具!$C$7</f>
        <v>隐藏道具的资讯
ＳＰ恢复的李子（大）</v>
      </c>
      <c r="G1908" s="543" t="b">
        <v>0</v>
      </c>
      <c r="H1908" s="545" t="s">
        <v>45</v>
      </c>
      <c r="I1908" s="409">
        <v>1</v>
      </c>
      <c r="J1908" s="409"/>
      <c r="K1908" s="409"/>
      <c r="L1908" s="409"/>
      <c r="M1908" s="409"/>
      <c r="N1908" s="409"/>
      <c r="O1908" s="409" t="str">
        <f ca="1">道具!$C$3</f>
        <v>ＨＰ恢复的葡萄</v>
      </c>
      <c r="P1908" s="543"/>
      <c r="Q1908" s="546" t="s">
        <v>119</v>
      </c>
      <c r="R1908" s="546" t="s">
        <v>119</v>
      </c>
      <c r="S1908" s="546" t="s">
        <v>119</v>
      </c>
      <c r="T1908" s="546" t="s">
        <v>119</v>
      </c>
      <c r="U1908" s="543"/>
      <c r="V1908" s="409" t="str">
        <f ca="1">"NPC available only during "&amp;语言!$A$42&amp;" Chapter 1"</f>
        <v>NPC available only during 海茵特 Chapter 1</v>
      </c>
      <c r="W1908" s="148"/>
    </row>
    <row r="1909" spans="1:23" ht="12.75" x14ac:dyDescent="0.2">
      <c r="A1909" s="148"/>
      <c r="B1909" s="544"/>
      <c r="C1909" s="544"/>
      <c r="D1909" s="544"/>
      <c r="E1909" s="544"/>
      <c r="F1909" s="544"/>
      <c r="G1909" s="544"/>
      <c r="H1909" s="544"/>
      <c r="I1909" s="544"/>
      <c r="J1909" s="544"/>
      <c r="K1909" s="544"/>
      <c r="L1909" s="544"/>
      <c r="M1909" s="544"/>
      <c r="N1909" s="544"/>
      <c r="O1909" s="544"/>
      <c r="P1909" s="544"/>
      <c r="Q1909" s="544"/>
      <c r="R1909" s="544"/>
      <c r="S1909" s="544"/>
      <c r="T1909" s="544"/>
      <c r="U1909" s="544"/>
      <c r="V1909" s="544"/>
      <c r="W1909" s="148"/>
    </row>
    <row r="1910" spans="1:23" ht="12.75" x14ac:dyDescent="0.2">
      <c r="A1910" s="148"/>
      <c r="B1910" s="410" t="str">
        <f ca="1">语言!$A$2134</f>
        <v>闪达</v>
      </c>
      <c r="C1910" s="148" t="b">
        <v>0</v>
      </c>
      <c r="D1910" s="25" t="str">
        <f ca="1">道具!$C$269</f>
        <v>历战之弓</v>
      </c>
      <c r="E1910" s="543" t="b">
        <v>0</v>
      </c>
      <c r="F1910" s="409" t="str">
        <f ca="1">语言!$A$23</f>
        <v>无</v>
      </c>
      <c r="G1910" s="543" t="b">
        <v>0</v>
      </c>
      <c r="H1910" s="545" t="s">
        <v>44</v>
      </c>
      <c r="I1910" s="409">
        <v>6</v>
      </c>
      <c r="J1910" s="409"/>
      <c r="K1910" s="409"/>
      <c r="L1910" s="409"/>
      <c r="M1910" s="409"/>
      <c r="N1910" s="409"/>
      <c r="O1910" s="409" t="str">
        <f ca="1">道具!$C$13</f>
        <v>ＨＰ／ＳＰ／ＢＰ恢复的果酱</v>
      </c>
      <c r="P1910" s="543"/>
      <c r="Q1910" s="545" t="s">
        <v>44</v>
      </c>
      <c r="R1910" s="24"/>
      <c r="S1910" s="24" t="str">
        <f ca="1">Summon!$I$70</f>
        <v>乱射</v>
      </c>
      <c r="T1910" s="545">
        <v>5</v>
      </c>
      <c r="U1910" s="543"/>
      <c r="V1910" s="409" t="str">
        <f ca="1">"NPC available after "&amp;语言!$A$42&amp;" chapter 4
Can't "&amp;语言!$A$50&amp;" "&amp;道具!$C$269&amp;", only "&amp;语言!$A$46</f>
        <v>NPC available after 海茵特 chapter 4
Can't 偷取 历战之弓, only 购买</v>
      </c>
      <c r="W1910" s="148"/>
    </row>
    <row r="1911" spans="1:23" ht="12.75" x14ac:dyDescent="0.2">
      <c r="A1911" s="148"/>
      <c r="B1911" s="371"/>
      <c r="C1911" s="148" t="b">
        <v>0</v>
      </c>
      <c r="D1911" s="25" t="str">
        <f ca="1">道具!$C$116</f>
        <v>稀奇的石头</v>
      </c>
      <c r="E1911" s="371"/>
      <c r="F1911" s="371"/>
      <c r="G1911" s="371"/>
      <c r="H1911" s="371"/>
      <c r="I1911" s="371"/>
      <c r="J1911" s="371"/>
      <c r="K1911" s="371"/>
      <c r="L1911" s="371"/>
      <c r="M1911" s="371"/>
      <c r="N1911" s="371"/>
      <c r="O1911" s="371"/>
      <c r="P1911" s="371"/>
      <c r="Q1911" s="371"/>
      <c r="R1911" s="24"/>
      <c r="S1911" s="24" t="str">
        <f ca="1">Summon!$I$64</f>
        <v>精准射击</v>
      </c>
      <c r="T1911" s="371"/>
      <c r="U1911" s="371"/>
      <c r="V1911" s="371"/>
      <c r="W1911" s="148"/>
    </row>
    <row r="1912" spans="1:23" ht="12.75" x14ac:dyDescent="0.2">
      <c r="A1912" s="148"/>
      <c r="B1912" s="544"/>
      <c r="C1912" s="152"/>
      <c r="D1912" s="151"/>
      <c r="E1912" s="544"/>
      <c r="F1912" s="544"/>
      <c r="G1912" s="544"/>
      <c r="H1912" s="544"/>
      <c r="I1912" s="544"/>
      <c r="J1912" s="544"/>
      <c r="K1912" s="544"/>
      <c r="L1912" s="544"/>
      <c r="M1912" s="544"/>
      <c r="N1912" s="544"/>
      <c r="O1912" s="544"/>
      <c r="P1912" s="544"/>
      <c r="Q1912" s="544"/>
      <c r="R1912" s="150"/>
      <c r="S1912" s="150" t="str">
        <f ca="1">Summon!$I$4</f>
        <v>战斗</v>
      </c>
      <c r="T1912" s="544"/>
      <c r="U1912" s="544"/>
      <c r="V1912" s="544"/>
      <c r="W1912" s="148"/>
    </row>
    <row r="1913" spans="1:23" ht="12.75" x14ac:dyDescent="0.2">
      <c r="A1913" s="148"/>
      <c r="B1913" s="410" t="str">
        <f ca="1">语言!$A$1919</f>
        <v>猎人</v>
      </c>
      <c r="C1913" s="148" t="b">
        <v>0</v>
      </c>
      <c r="D1913" s="25" t="str">
        <f ca="1">道具!$C$266</f>
        <v>魔咒手斧</v>
      </c>
      <c r="E1913" s="543" t="b">
        <v>0</v>
      </c>
      <c r="F1913" s="409" t="str">
        <f ca="1">语言!$A$27</f>
        <v>杂货店商品追加资讯</v>
      </c>
      <c r="G1913" s="543" t="b">
        <v>0</v>
      </c>
      <c r="H1913" s="545" t="s">
        <v>45</v>
      </c>
      <c r="I1913" s="409">
        <v>1</v>
      </c>
      <c r="J1913" s="409"/>
      <c r="K1913" s="409"/>
      <c r="L1913" s="409"/>
      <c r="M1913" s="409"/>
      <c r="N1913" s="409"/>
      <c r="O1913" s="409" t="str">
        <f ca="1">道具!$C$7</f>
        <v>ＳＰ恢复的李子（大）</v>
      </c>
      <c r="P1913" s="543"/>
      <c r="Q1913" s="545" t="s">
        <v>45</v>
      </c>
      <c r="R1913" s="24"/>
      <c r="S1913" s="24" t="str">
        <f ca="1">Summon!$I$68</f>
        <v>恐慌之矢</v>
      </c>
      <c r="T1913" s="545">
        <v>9</v>
      </c>
      <c r="U1913" s="543"/>
      <c r="V1913" s="409"/>
      <c r="W1913" s="148"/>
    </row>
    <row r="1914" spans="1:23" ht="12.75" x14ac:dyDescent="0.2">
      <c r="A1914" s="148"/>
      <c r="B1914" s="371"/>
      <c r="C1914" s="148" t="b">
        <v>0</v>
      </c>
      <c r="D1914" s="25" t="str">
        <f ca="1">道具!$C$532</f>
        <v>含毒的素材</v>
      </c>
      <c r="E1914" s="371"/>
      <c r="F1914" s="371"/>
      <c r="G1914" s="371"/>
      <c r="H1914" s="371"/>
      <c r="I1914" s="371"/>
      <c r="J1914" s="371"/>
      <c r="K1914" s="371"/>
      <c r="L1914" s="371"/>
      <c r="M1914" s="371"/>
      <c r="N1914" s="371"/>
      <c r="O1914" s="371"/>
      <c r="P1914" s="371"/>
      <c r="Q1914" s="371"/>
      <c r="R1914" s="24"/>
      <c r="S1914" s="24" t="str">
        <f ca="1">Summon!$I$70</f>
        <v>乱射</v>
      </c>
      <c r="T1914" s="371"/>
      <c r="U1914" s="371"/>
      <c r="V1914" s="371"/>
      <c r="W1914" s="148"/>
    </row>
    <row r="1915" spans="1:23" ht="12.75" x14ac:dyDescent="0.2">
      <c r="A1915" s="148"/>
      <c r="B1915" s="371"/>
      <c r="C1915" s="148" t="b">
        <v>0</v>
      </c>
      <c r="D1915" s="25" t="str">
        <f ca="1">道具!$C$532</f>
        <v>含毒的素材</v>
      </c>
      <c r="E1915" s="371"/>
      <c r="F1915" s="371"/>
      <c r="G1915" s="371"/>
      <c r="H1915" s="371"/>
      <c r="I1915" s="371"/>
      <c r="J1915" s="371"/>
      <c r="K1915" s="371"/>
      <c r="L1915" s="371"/>
      <c r="M1915" s="371"/>
      <c r="N1915" s="371"/>
      <c r="O1915" s="371"/>
      <c r="P1915" s="371"/>
      <c r="Q1915" s="371"/>
      <c r="R1915" s="24"/>
      <c r="S1915" s="24" t="str">
        <f ca="1">Summon!$I$4</f>
        <v>战斗</v>
      </c>
      <c r="T1915" s="371"/>
      <c r="U1915" s="371"/>
      <c r="V1915" s="371"/>
      <c r="W1915" s="148"/>
    </row>
    <row r="1916" spans="1:23" ht="12.75" x14ac:dyDescent="0.2">
      <c r="A1916" s="148"/>
      <c r="B1916" s="547" t="str">
        <f ca="1">语言!$A$478</f>
        <v>北希・沃尔基森道</v>
      </c>
      <c r="C1916" s="371"/>
      <c r="D1916" s="371"/>
      <c r="E1916" s="371"/>
      <c r="F1916" s="371"/>
      <c r="G1916" s="371"/>
      <c r="H1916" s="371"/>
      <c r="I1916" s="371"/>
      <c r="J1916" s="371"/>
      <c r="K1916" s="371"/>
      <c r="L1916" s="371"/>
      <c r="M1916" s="371"/>
      <c r="N1916" s="371"/>
      <c r="O1916" s="371"/>
      <c r="P1916" s="371"/>
      <c r="Q1916" s="371"/>
      <c r="R1916" s="371"/>
      <c r="S1916" s="371"/>
      <c r="T1916" s="371"/>
      <c r="U1916" s="371"/>
      <c r="V1916" s="371"/>
      <c r="W1916" s="148"/>
    </row>
    <row r="1917" spans="1:23" ht="12.75" x14ac:dyDescent="0.2">
      <c r="A1917" s="148"/>
      <c r="B1917" s="410" t="str">
        <f ca="1">语言!$A$2006</f>
        <v>做流动贩卖的猎人</v>
      </c>
      <c r="C1917" s="148" t="b">
        <v>0</v>
      </c>
      <c r="D1917" s="25" t="str">
        <f ca="1">"* "&amp;道具!$F$46</f>
        <v>* 大牙野猪的獠牙</v>
      </c>
      <c r="E1917" s="543" t="b">
        <v>0</v>
      </c>
      <c r="F1917" s="409" t="str">
        <f ca="1">语言!$A$23</f>
        <v>无</v>
      </c>
      <c r="G1917" s="543" t="b">
        <v>0</v>
      </c>
      <c r="H1917" s="545" t="s">
        <v>45</v>
      </c>
      <c r="I1917" s="409">
        <v>2</v>
      </c>
      <c r="J1917" s="409"/>
      <c r="K1917" s="409"/>
      <c r="L1917" s="409"/>
      <c r="M1917" s="409"/>
      <c r="N1917" s="409"/>
      <c r="O1917" s="409" t="str">
        <f ca="1">道具!$C$3</f>
        <v>ＨＰ恢复的葡萄</v>
      </c>
      <c r="P1917" s="543"/>
      <c r="Q1917" s="545" t="s">
        <v>45</v>
      </c>
      <c r="R1917" s="24"/>
      <c r="S1917" s="24" t="str">
        <f ca="1">Summon!$I$140</f>
        <v>毒药</v>
      </c>
      <c r="T1917" s="545">
        <v>9</v>
      </c>
      <c r="U1917" s="543"/>
      <c r="V1917" s="409" t="str">
        <f ca="1">"NPC available after "&amp;语言!$A$42&amp;" chapter 1"</f>
        <v>NPC available after 海茵特 chapter 1</v>
      </c>
      <c r="W1917" s="148"/>
    </row>
    <row r="1918" spans="1:23" ht="12.75" x14ac:dyDescent="0.2">
      <c r="A1918" s="148"/>
      <c r="B1918" s="371"/>
      <c r="C1918" s="148" t="b">
        <v>0</v>
      </c>
      <c r="D1918" s="25" t="str">
        <f ca="1">道具!$C$447</f>
        <v>疾风之服</v>
      </c>
      <c r="E1918" s="371"/>
      <c r="F1918" s="371"/>
      <c r="G1918" s="371"/>
      <c r="H1918" s="371"/>
      <c r="I1918" s="371"/>
      <c r="J1918" s="371"/>
      <c r="K1918" s="371"/>
      <c r="L1918" s="371"/>
      <c r="M1918" s="371"/>
      <c r="N1918" s="371"/>
      <c r="O1918" s="371"/>
      <c r="P1918" s="371"/>
      <c r="Q1918" s="371"/>
      <c r="R1918" s="24"/>
      <c r="S1918" s="24" t="str">
        <f ca="1">Summon!$I$30</f>
        <v>突刺</v>
      </c>
      <c r="T1918" s="371"/>
      <c r="U1918" s="371"/>
      <c r="V1918" s="371"/>
      <c r="W1918" s="148"/>
    </row>
    <row r="1919" spans="1:23" ht="12.75" x14ac:dyDescent="0.2">
      <c r="A1919" s="148"/>
      <c r="B1919" s="544"/>
      <c r="C1919" s="152"/>
      <c r="D1919" s="151"/>
      <c r="E1919" s="544"/>
      <c r="F1919" s="544"/>
      <c r="G1919" s="544"/>
      <c r="H1919" s="544"/>
      <c r="I1919" s="544"/>
      <c r="J1919" s="544"/>
      <c r="K1919" s="544"/>
      <c r="L1919" s="544"/>
      <c r="M1919" s="544"/>
      <c r="N1919" s="544"/>
      <c r="O1919" s="544"/>
      <c r="P1919" s="544"/>
      <c r="Q1919" s="544"/>
      <c r="R1919" s="150"/>
      <c r="S1919" s="150" t="str">
        <f ca="1">Summon!$I$4</f>
        <v>战斗</v>
      </c>
      <c r="T1919" s="544"/>
      <c r="U1919" s="544"/>
      <c r="V1919" s="544"/>
      <c r="W1919" s="148"/>
    </row>
    <row r="1920" spans="1:23" ht="12.75" x14ac:dyDescent="0.2">
      <c r="A1920" s="148"/>
      <c r="B1920" s="410" t="str">
        <f ca="1">语言!$A$2048</f>
        <v>流浪的学者</v>
      </c>
      <c r="C1920" s="148" t="b">
        <v>0</v>
      </c>
      <c r="D1920" s="25" t="str">
        <f ca="1">道具!$C$528</f>
        <v>药的素材</v>
      </c>
      <c r="E1920" s="543" t="b">
        <v>0</v>
      </c>
      <c r="F1920" s="409" t="str">
        <f ca="1">道具!$I$59</f>
        <v>大牙野猪的生态</v>
      </c>
      <c r="G1920" s="543" t="b">
        <v>0</v>
      </c>
      <c r="H1920" s="545" t="s">
        <v>48</v>
      </c>
      <c r="I1920" s="409">
        <v>2</v>
      </c>
      <c r="J1920" s="409"/>
      <c r="K1920" s="409"/>
      <c r="L1920" s="409"/>
      <c r="M1920" s="409"/>
      <c r="N1920" s="409"/>
      <c r="O1920" s="409" t="str">
        <f ca="1">道具!$C$329</f>
        <v>权杖</v>
      </c>
      <c r="P1920" s="543"/>
      <c r="Q1920" s="545" t="s">
        <v>48</v>
      </c>
      <c r="R1920" s="24"/>
      <c r="S1920" s="24" t="str">
        <f ca="1">Summon!$I$90</f>
        <v>雷击魔法</v>
      </c>
      <c r="T1920" s="545">
        <v>9</v>
      </c>
      <c r="U1920" s="543"/>
      <c r="V1920" s="409" t="str">
        <f ca="1">"NPC available after "&amp;语言!$A$42&amp;" chapter 1"</f>
        <v>NPC available after 海茵特 chapter 1</v>
      </c>
      <c r="W1920" s="148"/>
    </row>
    <row r="1921" spans="1:23" ht="12.75" x14ac:dyDescent="0.2">
      <c r="A1921" s="148"/>
      <c r="B1921" s="371"/>
      <c r="C1921" s="148" t="b">
        <v>0</v>
      </c>
      <c r="D1921" s="25" t="str">
        <f ca="1">道具!$C$529</f>
        <v>药的素材（扩散）</v>
      </c>
      <c r="E1921" s="371"/>
      <c r="F1921" s="371"/>
      <c r="G1921" s="371"/>
      <c r="H1921" s="371"/>
      <c r="I1921" s="371"/>
      <c r="J1921" s="371"/>
      <c r="K1921" s="371"/>
      <c r="L1921" s="371"/>
      <c r="M1921" s="371"/>
      <c r="N1921" s="371"/>
      <c r="O1921" s="371"/>
      <c r="P1921" s="371"/>
      <c r="Q1921" s="371"/>
      <c r="R1921" s="24"/>
      <c r="S1921" s="24" t="str">
        <f ca="1">Summon!$I$4</f>
        <v>战斗</v>
      </c>
      <c r="T1921" s="371"/>
      <c r="U1921" s="371"/>
      <c r="V1921" s="371"/>
      <c r="W1921" s="148"/>
    </row>
    <row r="1922" spans="1:23" ht="12.75" x14ac:dyDescent="0.2">
      <c r="A1922" s="148"/>
      <c r="B1922" s="547" t="str">
        <f ca="1">语言!$A$479</f>
        <v>西希・沃尔基森道</v>
      </c>
      <c r="C1922" s="371"/>
      <c r="D1922" s="371"/>
      <c r="E1922" s="371"/>
      <c r="F1922" s="371"/>
      <c r="G1922" s="371"/>
      <c r="H1922" s="371"/>
      <c r="I1922" s="371"/>
      <c r="J1922" s="371"/>
      <c r="K1922" s="371"/>
      <c r="L1922" s="371"/>
      <c r="M1922" s="371"/>
      <c r="N1922" s="371"/>
      <c r="O1922" s="371"/>
      <c r="P1922" s="371"/>
      <c r="Q1922" s="371"/>
      <c r="R1922" s="371"/>
      <c r="S1922" s="371"/>
      <c r="T1922" s="371"/>
      <c r="U1922" s="371"/>
      <c r="V1922" s="371"/>
      <c r="W1922" s="148"/>
    </row>
    <row r="1923" spans="1:23" ht="12.75" x14ac:dyDescent="0.2">
      <c r="A1923" s="18" t="s">
        <v>121</v>
      </c>
      <c r="B1923" s="410" t="str">
        <f ca="1">语言!$A$1923&amp;" (3)"</f>
        <v>流浪剧团团长 (3)</v>
      </c>
      <c r="C1923" s="148" t="b">
        <v>0</v>
      </c>
      <c r="D1923" s="25" t="str">
        <f ca="1">道具!$C$14</f>
        <v>复活的橄榄</v>
      </c>
      <c r="E1923" s="543" t="b">
        <v>0</v>
      </c>
      <c r="F1923" s="409" t="str">
        <f ca="1">语言!$A$23</f>
        <v>无</v>
      </c>
      <c r="G1923" s="543"/>
      <c r="H1923" s="546" t="s">
        <v>119</v>
      </c>
      <c r="I1923" s="546" t="s">
        <v>119</v>
      </c>
      <c r="J1923" s="546" t="s">
        <v>119</v>
      </c>
      <c r="K1923" s="546" t="s">
        <v>119</v>
      </c>
      <c r="L1923" s="546" t="s">
        <v>119</v>
      </c>
      <c r="M1923" s="546" t="s">
        <v>119</v>
      </c>
      <c r="N1923" s="546" t="s">
        <v>119</v>
      </c>
      <c r="O1923" s="546" t="s">
        <v>119</v>
      </c>
      <c r="P1923" s="543"/>
      <c r="Q1923" s="546" t="s">
        <v>119</v>
      </c>
      <c r="R1923" s="546" t="s">
        <v>119</v>
      </c>
      <c r="S1923" s="546" t="s">
        <v>119</v>
      </c>
      <c r="T1923" s="546" t="s">
        <v>119</v>
      </c>
      <c r="U1923" s="543"/>
      <c r="V1923" s="409" t="str">
        <f ca="1">"Appear after quest: "&amp;支线!$C$51&amp;" &amp;
"&amp;支线!$C$102&amp;" &amp; all 8 main story completed
Can't "&amp;语言!$A$46&amp;", only "&amp;语言!$A$50</f>
        <v>Appear after quest: 寻找父亲的旅行者克里斯（２） &amp;
命中注定之人（２） &amp; all 8 main story completed
Can't 购买, only 偷取</v>
      </c>
      <c r="W1923" s="148"/>
    </row>
    <row r="1924" spans="1:23" ht="12.75" x14ac:dyDescent="0.2">
      <c r="A1924" s="148"/>
      <c r="B1924" s="371"/>
      <c r="C1924" s="148" t="b">
        <v>0</v>
      </c>
      <c r="D1924" s="25" t="str">
        <f ca="1">道具!$C$85</f>
        <v>玻璃珠</v>
      </c>
      <c r="E1924" s="371"/>
      <c r="F1924" s="371"/>
      <c r="G1924" s="371"/>
      <c r="H1924" s="371"/>
      <c r="I1924" s="371"/>
      <c r="J1924" s="371"/>
      <c r="K1924" s="371"/>
      <c r="L1924" s="371"/>
      <c r="M1924" s="371"/>
      <c r="N1924" s="371"/>
      <c r="O1924" s="371"/>
      <c r="P1924" s="371"/>
      <c r="Q1924" s="371"/>
      <c r="R1924" s="371"/>
      <c r="S1924" s="371"/>
      <c r="T1924" s="371"/>
      <c r="U1924" s="371"/>
      <c r="V1924" s="371"/>
      <c r="W1924" s="148"/>
    </row>
    <row r="1925" spans="1:23" ht="12.75" x14ac:dyDescent="0.2">
      <c r="A1925" s="148"/>
      <c r="B1925" s="544"/>
      <c r="C1925" s="152" t="b">
        <v>0</v>
      </c>
      <c r="D1925" s="151" t="str">
        <f ca="1">道具!$C$365</f>
        <v>海市蜃楼帽子</v>
      </c>
      <c r="E1925" s="544"/>
      <c r="F1925" s="544"/>
      <c r="G1925" s="544"/>
      <c r="H1925" s="544"/>
      <c r="I1925" s="544"/>
      <c r="J1925" s="544"/>
      <c r="K1925" s="544"/>
      <c r="L1925" s="544"/>
      <c r="M1925" s="544"/>
      <c r="N1925" s="544"/>
      <c r="O1925" s="544"/>
      <c r="P1925" s="544"/>
      <c r="Q1925" s="544"/>
      <c r="R1925" s="544"/>
      <c r="S1925" s="544"/>
      <c r="T1925" s="544"/>
      <c r="U1925" s="544"/>
      <c r="V1925" s="544"/>
      <c r="W1925" s="148"/>
    </row>
    <row r="1926" spans="1:23" ht="12.75" x14ac:dyDescent="0.2">
      <c r="A1926" s="148"/>
      <c r="B1926" s="410" t="str">
        <f ca="1">语言!$A$1766&amp;" (4)"</f>
        <v>阿尔法丝 (4)</v>
      </c>
      <c r="C1926" s="148" t="b">
        <v>0</v>
      </c>
      <c r="D1926" s="39" t="str">
        <f ca="1">道具!$C$23</f>
        <v>恐怖治疗药草</v>
      </c>
      <c r="E1926" s="543" t="b">
        <v>0</v>
      </c>
      <c r="F1926" s="409" t="str">
        <f ca="1">道具!$I$5</f>
        <v>阿尔法丝之诗</v>
      </c>
      <c r="G1926" s="543" t="b">
        <v>0</v>
      </c>
      <c r="H1926" s="545" t="s">
        <v>51</v>
      </c>
      <c r="I1926" s="409">
        <v>5</v>
      </c>
      <c r="J1926" s="409"/>
      <c r="K1926" s="409"/>
      <c r="L1926" s="409"/>
      <c r="M1926" s="409"/>
      <c r="N1926" s="409"/>
      <c r="O1926" s="401" t="str">
        <f ca="1">道具!$C$137</f>
        <v>魔力之剑</v>
      </c>
      <c r="P1926" s="543"/>
      <c r="Q1926" s="546" t="s">
        <v>119</v>
      </c>
      <c r="R1926" s="546" t="s">
        <v>119</v>
      </c>
      <c r="S1926" s="546" t="s">
        <v>119</v>
      </c>
      <c r="T1926" s="546" t="s">
        <v>119</v>
      </c>
      <c r="U1926" s="543"/>
      <c r="V1926" s="409" t="str">
        <f ca="1">"NPC at this location during quest: "&amp;支线!$C$136&amp;"
Last chance to get "&amp;道具!$C$137&amp;"
Moves to "&amp;语言!$A$441&amp;" after quest: "&amp;支线!$C$136</f>
        <v>NPC at this location during quest: 团长与阿尔法丝，在那之后
Last chance to get 魔力之剑
Moves to 圣特布里吉 after quest: 团长与阿尔法丝，在那之后</v>
      </c>
      <c r="W1926" s="148"/>
    </row>
    <row r="1927" spans="1:23" ht="12.75" x14ac:dyDescent="0.2">
      <c r="A1927" s="148"/>
      <c r="B1927" s="371"/>
      <c r="C1927" s="148" t="b">
        <v>0</v>
      </c>
      <c r="D1927" s="39" t="str">
        <f ca="1">道具!$C$4</f>
        <v>ＨＰ恢复的葡萄（大）</v>
      </c>
      <c r="E1927" s="371"/>
      <c r="F1927" s="371"/>
      <c r="G1927" s="371"/>
      <c r="H1927" s="371"/>
      <c r="I1927" s="371"/>
      <c r="J1927" s="371"/>
      <c r="K1927" s="371"/>
      <c r="L1927" s="371"/>
      <c r="M1927" s="371"/>
      <c r="N1927" s="371"/>
      <c r="O1927" s="371"/>
      <c r="P1927" s="371"/>
      <c r="Q1927" s="371"/>
      <c r="R1927" s="371"/>
      <c r="S1927" s="371"/>
      <c r="T1927" s="371"/>
      <c r="U1927" s="371"/>
      <c r="V1927" s="371"/>
      <c r="W1927" s="148"/>
    </row>
    <row r="1928" spans="1:23" ht="25.5" x14ac:dyDescent="0.2">
      <c r="A1928" s="148"/>
      <c r="B1928" s="371"/>
      <c r="C1928" s="148" t="b">
        <v>0</v>
      </c>
      <c r="D1928" s="39" t="str">
        <f ca="1">道具!$C$11</f>
        <v>ＢＰ恢复的石榴（特大）</v>
      </c>
      <c r="E1928" s="371"/>
      <c r="F1928" s="371"/>
      <c r="G1928" s="371"/>
      <c r="H1928" s="371"/>
      <c r="I1928" s="371"/>
      <c r="J1928" s="371"/>
      <c r="K1928" s="371"/>
      <c r="L1928" s="371"/>
      <c r="M1928" s="371"/>
      <c r="N1928" s="371"/>
      <c r="O1928" s="371"/>
      <c r="P1928" s="371"/>
      <c r="Q1928" s="371"/>
      <c r="R1928" s="371"/>
      <c r="S1928" s="371"/>
      <c r="T1928" s="371"/>
      <c r="U1928" s="371"/>
      <c r="V1928" s="371"/>
      <c r="W1928" s="148"/>
    </row>
    <row r="1929" spans="1:23" ht="12.75" x14ac:dyDescent="0.2">
      <c r="A1929" s="148"/>
      <c r="B1929" s="548" t="str">
        <f ca="1">语言!$A$323&amp;" 2"</f>
        <v>Tier 2</v>
      </c>
      <c r="C1929" s="371"/>
      <c r="D1929" s="371"/>
      <c r="E1929" s="371"/>
      <c r="F1929" s="371"/>
      <c r="G1929" s="371"/>
      <c r="H1929" s="371"/>
      <c r="I1929" s="371"/>
      <c r="J1929" s="371"/>
      <c r="K1929" s="371"/>
      <c r="L1929" s="371"/>
      <c r="M1929" s="371"/>
      <c r="N1929" s="371"/>
      <c r="O1929" s="371"/>
      <c r="P1929" s="371"/>
      <c r="Q1929" s="371"/>
      <c r="R1929" s="371"/>
      <c r="S1929" s="371"/>
      <c r="T1929" s="371"/>
      <c r="U1929" s="371"/>
      <c r="V1929" s="371"/>
      <c r="W1929" s="148"/>
    </row>
    <row r="1930" spans="1:23" ht="12.75" x14ac:dyDescent="0.2">
      <c r="A1930" s="148"/>
      <c r="B1930" s="547" t="str">
        <f ca="1">语言!$A$483</f>
        <v>维克塔霍洛</v>
      </c>
      <c r="C1930" s="371"/>
      <c r="D1930" s="371"/>
      <c r="E1930" s="371"/>
      <c r="F1930" s="371"/>
      <c r="G1930" s="371"/>
      <c r="H1930" s="371"/>
      <c r="I1930" s="371"/>
      <c r="J1930" s="371"/>
      <c r="K1930" s="371"/>
      <c r="L1930" s="371"/>
      <c r="M1930" s="371"/>
      <c r="N1930" s="371"/>
      <c r="O1930" s="371"/>
      <c r="P1930" s="371"/>
      <c r="Q1930" s="371"/>
      <c r="R1930" s="371"/>
      <c r="S1930" s="371"/>
      <c r="T1930" s="371"/>
      <c r="U1930" s="371"/>
      <c r="V1930" s="371"/>
      <c r="W1930" s="148"/>
    </row>
    <row r="1931" spans="1:23" ht="12.75" x14ac:dyDescent="0.2">
      <c r="A1931" s="148"/>
      <c r="B1931" s="410" t="str">
        <f ca="1">语言!$A$2102</f>
        <v>市民</v>
      </c>
      <c r="C1931" s="148" t="b">
        <v>0</v>
      </c>
      <c r="D1931" s="25" t="str">
        <f ca="1">道具!$C$50</f>
        <v>增强ＨＰ的坚果（大）</v>
      </c>
      <c r="E1931" s="543" t="b">
        <v>0</v>
      </c>
      <c r="F1931" s="409" t="str">
        <f ca="1">语言!$A$28</f>
        <v>武器店商品追加资讯</v>
      </c>
      <c r="G1931" s="543" t="b">
        <v>0</v>
      </c>
      <c r="H1931" s="545" t="s">
        <v>57</v>
      </c>
      <c r="I1931" s="409">
        <v>3</v>
      </c>
      <c r="J1931" s="409"/>
      <c r="K1931" s="409"/>
      <c r="L1931" s="409"/>
      <c r="M1931" s="409"/>
      <c r="N1931" s="409"/>
      <c r="O1931" s="409" t="str">
        <f ca="1">道具!$C$4</f>
        <v>ＨＰ恢复的葡萄（大）</v>
      </c>
      <c r="P1931" s="543"/>
      <c r="Q1931" s="545" t="s">
        <v>57</v>
      </c>
      <c r="R1931" s="24"/>
      <c r="S1931" s="24" t="str">
        <f ca="1">Summon!$I$158</f>
        <v>防御力下降</v>
      </c>
      <c r="T1931" s="545">
        <v>8</v>
      </c>
      <c r="U1931" s="543"/>
      <c r="V1931" s="409"/>
      <c r="W1931" s="148"/>
    </row>
    <row r="1932" spans="1:23" ht="12.75" x14ac:dyDescent="0.2">
      <c r="A1932" s="148"/>
      <c r="B1932" s="371"/>
      <c r="C1932" s="148" t="b">
        <v>0</v>
      </c>
      <c r="D1932" s="25" t="str">
        <f ca="1">道具!$C$53</f>
        <v>增强ＳＰ的坚果（大）</v>
      </c>
      <c r="E1932" s="371"/>
      <c r="F1932" s="371"/>
      <c r="G1932" s="371"/>
      <c r="H1932" s="371"/>
      <c r="I1932" s="371"/>
      <c r="J1932" s="371"/>
      <c r="K1932" s="371"/>
      <c r="L1932" s="371"/>
      <c r="M1932" s="371"/>
      <c r="N1932" s="371"/>
      <c r="O1932" s="371"/>
      <c r="P1932" s="371"/>
      <c r="Q1932" s="371"/>
      <c r="R1932" s="24"/>
      <c r="S1932" s="24" t="str">
        <f ca="1">Summon!$I$4</f>
        <v>战斗</v>
      </c>
      <c r="T1932" s="371"/>
      <c r="U1932" s="371"/>
      <c r="V1932" s="371"/>
      <c r="W1932" s="148"/>
    </row>
    <row r="1933" spans="1:23" ht="12.75" x14ac:dyDescent="0.2">
      <c r="A1933" s="148"/>
      <c r="B1933" s="544"/>
      <c r="C1933" s="152" t="b">
        <v>0</v>
      </c>
      <c r="D1933" s="151" t="str">
        <f ca="1">道具!$C$63</f>
        <v>增强属攻的坚果（大）</v>
      </c>
      <c r="E1933" s="544"/>
      <c r="F1933" s="544"/>
      <c r="G1933" s="544"/>
      <c r="H1933" s="544"/>
      <c r="I1933" s="544"/>
      <c r="J1933" s="544"/>
      <c r="K1933" s="544"/>
      <c r="L1933" s="544"/>
      <c r="M1933" s="544"/>
      <c r="N1933" s="544"/>
      <c r="O1933" s="544"/>
      <c r="P1933" s="544"/>
      <c r="Q1933" s="544"/>
      <c r="R1933" s="150"/>
      <c r="S1933" s="150"/>
      <c r="T1933" s="544"/>
      <c r="U1933" s="544"/>
      <c r="V1933" s="544"/>
      <c r="W1933" s="148"/>
    </row>
    <row r="1934" spans="1:23" ht="12.75" x14ac:dyDescent="0.2">
      <c r="A1934" s="148"/>
      <c r="B1934" s="234" t="str">
        <f ca="1">语言!$A$2037</f>
        <v>傲慢的强者</v>
      </c>
      <c r="C1934" s="152"/>
      <c r="D1934" s="159" t="s">
        <v>119</v>
      </c>
      <c r="E1934" s="152" t="b">
        <v>0</v>
      </c>
      <c r="F1934" s="150" t="str">
        <f ca="1">语言!$A$23</f>
        <v>无</v>
      </c>
      <c r="G1934" s="152" t="b">
        <v>0</v>
      </c>
      <c r="H1934" s="233" t="s">
        <v>50</v>
      </c>
      <c r="I1934" s="150">
        <v>4</v>
      </c>
      <c r="J1934" s="150"/>
      <c r="K1934" s="150"/>
      <c r="L1934" s="150"/>
      <c r="M1934" s="150"/>
      <c r="N1934" s="150"/>
      <c r="O1934" s="235" t="str">
        <f ca="1">道具!$C$426</f>
        <v>异国之服</v>
      </c>
      <c r="P1934" s="152"/>
      <c r="Q1934" s="153" t="s">
        <v>119</v>
      </c>
      <c r="R1934" s="153" t="s">
        <v>119</v>
      </c>
      <c r="S1934" s="153" t="s">
        <v>119</v>
      </c>
      <c r="T1934" s="153" t="s">
        <v>119</v>
      </c>
      <c r="U1934" s="152"/>
      <c r="V1934" s="150" t="str">
        <f ca="1">"NPC available only for 1 "&amp;语言!$A$47&amp;" during "&amp;语言!$A$38&amp;" chapter 2"</f>
        <v>NPC available only for 1 比试 during 欧尔贝克 chapter 2</v>
      </c>
      <c r="W1934" s="148"/>
    </row>
    <row r="1935" spans="1:23" ht="12.75" x14ac:dyDescent="0.2">
      <c r="A1935" s="148"/>
      <c r="B1935" s="410" t="str">
        <f ca="1">语言!$A$1909</f>
        <v>消瘦的商人 /
健壮的商人</v>
      </c>
      <c r="C1935" s="148" t="b">
        <v>0</v>
      </c>
      <c r="D1935" s="25" t="str">
        <f ca="1">道具!$C$7</f>
        <v>ＳＰ恢复的李子（大）</v>
      </c>
      <c r="E1935" s="543" t="b">
        <v>0</v>
      </c>
      <c r="F1935" s="409" t="str">
        <f ca="1">语言!$A$23</f>
        <v>无</v>
      </c>
      <c r="G1935" s="543" t="b">
        <v>0</v>
      </c>
      <c r="H1935" s="545" t="s">
        <v>57</v>
      </c>
      <c r="I1935" s="409">
        <v>3</v>
      </c>
      <c r="J1935" s="409"/>
      <c r="K1935" s="409"/>
      <c r="L1935" s="409"/>
      <c r="M1935" s="409"/>
      <c r="N1935" s="409"/>
      <c r="O1935" s="409" t="str">
        <f ca="1">道具!$C$7</f>
        <v>ＳＰ恢复的李子（大）</v>
      </c>
      <c r="P1935" s="543"/>
      <c r="Q1935" s="545" t="s">
        <v>57</v>
      </c>
      <c r="R1935" s="24"/>
      <c r="S1935" s="24" t="str">
        <f ca="1">Summon!$I$34</f>
        <v>无双突刺</v>
      </c>
      <c r="T1935" s="545">
        <v>8</v>
      </c>
      <c r="U1935" s="543"/>
      <c r="V1935" s="409" t="str">
        <f ca="1">"NPC available after "&amp;语言!$A$42&amp;" chapter 4"</f>
        <v>NPC available after 海茵特 chapter 4</v>
      </c>
      <c r="W1935" s="148"/>
    </row>
    <row r="1936" spans="1:23" ht="12.75" x14ac:dyDescent="0.2">
      <c r="A1936" s="148"/>
      <c r="B1936" s="371"/>
      <c r="C1936" s="148" t="b">
        <v>0</v>
      </c>
      <c r="D1936" s="25" t="str">
        <f ca="1">道具!$C$38</f>
        <v>雷之精灵石（特大）</v>
      </c>
      <c r="E1936" s="371"/>
      <c r="F1936" s="371"/>
      <c r="G1936" s="371"/>
      <c r="H1936" s="371"/>
      <c r="I1936" s="371"/>
      <c r="J1936" s="371"/>
      <c r="K1936" s="371"/>
      <c r="L1936" s="371"/>
      <c r="M1936" s="371"/>
      <c r="N1936" s="371"/>
      <c r="O1936" s="371"/>
      <c r="P1936" s="371"/>
      <c r="Q1936" s="371"/>
      <c r="R1936" s="24"/>
      <c r="S1936" s="24" t="str">
        <f ca="1">Summon!$I$30</f>
        <v>突刺</v>
      </c>
      <c r="T1936" s="371"/>
      <c r="U1936" s="371"/>
      <c r="V1936" s="371"/>
      <c r="W1936" s="148"/>
    </row>
    <row r="1937" spans="1:23" ht="12.75" x14ac:dyDescent="0.2">
      <c r="A1937" s="148"/>
      <c r="B1937" s="544"/>
      <c r="C1937" s="152"/>
      <c r="D1937" s="151"/>
      <c r="E1937" s="544"/>
      <c r="F1937" s="544"/>
      <c r="G1937" s="544"/>
      <c r="H1937" s="544"/>
      <c r="I1937" s="544"/>
      <c r="J1937" s="544"/>
      <c r="K1937" s="544"/>
      <c r="L1937" s="544"/>
      <c r="M1937" s="544"/>
      <c r="N1937" s="544"/>
      <c r="O1937" s="544"/>
      <c r="P1937" s="544"/>
      <c r="Q1937" s="544"/>
      <c r="R1937" s="150"/>
      <c r="S1937" s="150" t="str">
        <f ca="1">Summon!$I$4</f>
        <v>战斗</v>
      </c>
      <c r="T1937" s="544"/>
      <c r="U1937" s="544"/>
      <c r="V1937" s="544"/>
      <c r="W1937" s="148"/>
    </row>
    <row r="1938" spans="1:23" ht="12.75" x14ac:dyDescent="0.2">
      <c r="A1938" s="148"/>
      <c r="B1938" s="410" t="str">
        <f ca="1">语言!$A$1764&amp;" (2)"</f>
        <v>保镖亚雷克 (2)</v>
      </c>
      <c r="C1938" s="543" t="b">
        <v>0</v>
      </c>
      <c r="D1938" s="549" t="str">
        <f ca="1">道具!$C$207</f>
        <v>万速匕首</v>
      </c>
      <c r="E1938" s="543" t="b">
        <v>0</v>
      </c>
      <c r="F1938" s="409" t="str">
        <f ca="1">语言!$A$23</f>
        <v>无</v>
      </c>
      <c r="G1938" s="543" t="b">
        <v>0</v>
      </c>
      <c r="H1938" s="545" t="s">
        <v>50</v>
      </c>
      <c r="I1938" s="409">
        <v>3</v>
      </c>
      <c r="J1938" s="409"/>
      <c r="K1938" s="409"/>
      <c r="L1938" s="409"/>
      <c r="M1938" s="409"/>
      <c r="N1938" s="409"/>
      <c r="O1938" s="409" t="str">
        <f ca="1">道具!$C$4</f>
        <v>ＨＰ恢复的葡萄（大）</v>
      </c>
      <c r="P1938" s="543"/>
      <c r="Q1938" s="545" t="s">
        <v>50</v>
      </c>
      <c r="R1938" s="24"/>
      <c r="S1938" s="24" t="str">
        <f ca="1">Summon!$I$47</f>
        <v>恐慌猛击</v>
      </c>
      <c r="T1938" s="545">
        <v>7</v>
      </c>
      <c r="U1938" s="543"/>
      <c r="V1938" s="409" t="str">
        <f ca="1">"NPC at this location after "&amp;语言!$A$42&amp;" chapter 4"</f>
        <v>NPC at this location after 海茵特 chapter 4</v>
      </c>
      <c r="W1938" s="148"/>
    </row>
    <row r="1939" spans="1:23" ht="12.75" x14ac:dyDescent="0.2">
      <c r="A1939" s="148"/>
      <c r="B1939" s="371"/>
      <c r="C1939" s="371"/>
      <c r="D1939" s="371"/>
      <c r="E1939" s="371"/>
      <c r="F1939" s="371"/>
      <c r="G1939" s="371"/>
      <c r="H1939" s="371"/>
      <c r="I1939" s="371"/>
      <c r="J1939" s="371"/>
      <c r="K1939" s="371"/>
      <c r="L1939" s="371"/>
      <c r="M1939" s="371"/>
      <c r="N1939" s="371"/>
      <c r="O1939" s="371"/>
      <c r="P1939" s="371"/>
      <c r="Q1939" s="371"/>
      <c r="R1939" s="24"/>
      <c r="S1939" s="24" t="str">
        <f ca="1">Summon!$I$48</f>
        <v>连掷短剑</v>
      </c>
      <c r="T1939" s="371"/>
      <c r="U1939" s="371"/>
      <c r="V1939" s="371"/>
      <c r="W1939" s="148"/>
    </row>
    <row r="1940" spans="1:23" ht="12.75" x14ac:dyDescent="0.2">
      <c r="A1940" s="148"/>
      <c r="B1940" s="544"/>
      <c r="C1940" s="544"/>
      <c r="D1940" s="544"/>
      <c r="E1940" s="544"/>
      <c r="F1940" s="544"/>
      <c r="G1940" s="544"/>
      <c r="H1940" s="544"/>
      <c r="I1940" s="544"/>
      <c r="J1940" s="544"/>
      <c r="K1940" s="544"/>
      <c r="L1940" s="544"/>
      <c r="M1940" s="544"/>
      <c r="N1940" s="544"/>
      <c r="O1940" s="544"/>
      <c r="P1940" s="544"/>
      <c r="Q1940" s="544"/>
      <c r="R1940" s="150"/>
      <c r="S1940" s="150" t="str">
        <f ca="1">Summon!$I$4</f>
        <v>战斗</v>
      </c>
      <c r="T1940" s="544"/>
      <c r="U1940" s="544"/>
      <c r="V1940" s="544"/>
      <c r="W1940" s="148"/>
    </row>
    <row r="1941" spans="1:23" ht="12.75" x14ac:dyDescent="0.2">
      <c r="A1941" s="148"/>
      <c r="B1941" s="410" t="str">
        <f ca="1">语言!$A$1773</f>
        <v>旧货商</v>
      </c>
      <c r="C1941" s="543"/>
      <c r="D1941" s="553" t="s">
        <v>119</v>
      </c>
      <c r="E1941" s="543" t="b">
        <v>0</v>
      </c>
      <c r="F1941" s="409" t="str">
        <f ca="1">语言!$A$25</f>
        <v>「购买」杀价机率ＵＰ资讯</v>
      </c>
      <c r="G1941" s="543" t="b">
        <v>0</v>
      </c>
      <c r="H1941" s="545" t="s">
        <v>57</v>
      </c>
      <c r="I1941" s="409">
        <v>3</v>
      </c>
      <c r="J1941" s="409"/>
      <c r="K1941" s="409"/>
      <c r="L1941" s="409"/>
      <c r="M1941" s="409"/>
      <c r="N1941" s="409"/>
      <c r="O1941" s="409" t="str">
        <f ca="1">道具!$C$4</f>
        <v>ＨＰ恢复的葡萄（大）</v>
      </c>
      <c r="P1941" s="543"/>
      <c r="Q1941" s="545" t="s">
        <v>57</v>
      </c>
      <c r="R1941" s="24"/>
      <c r="S1941" s="24" t="str">
        <f ca="1">Summon!$I$174</f>
        <v>防御力提升</v>
      </c>
      <c r="T1941" s="545">
        <v>8</v>
      </c>
      <c r="U1941" s="543"/>
      <c r="V1941" s="409" t="str">
        <f ca="1">"NPC available upon starting "&amp;语言!$A$37&amp;" chapter 3"</f>
        <v>NPC available upon starting 特蕾莎 chapter 3</v>
      </c>
      <c r="W1941" s="148"/>
    </row>
    <row r="1942" spans="1:23" ht="12.75" x14ac:dyDescent="0.2">
      <c r="A1942" s="148"/>
      <c r="B1942" s="544"/>
      <c r="C1942" s="544"/>
      <c r="D1942" s="544"/>
      <c r="E1942" s="544"/>
      <c r="F1942" s="544"/>
      <c r="G1942" s="544"/>
      <c r="H1942" s="544"/>
      <c r="I1942" s="544"/>
      <c r="J1942" s="544"/>
      <c r="K1942" s="544"/>
      <c r="L1942" s="544"/>
      <c r="M1942" s="544"/>
      <c r="N1942" s="544"/>
      <c r="O1942" s="544"/>
      <c r="P1942" s="544"/>
      <c r="Q1942" s="544"/>
      <c r="R1942" s="150"/>
      <c r="S1942" s="150" t="str">
        <f ca="1">Summon!$I$4</f>
        <v>战斗</v>
      </c>
      <c r="T1942" s="544"/>
      <c r="U1942" s="544"/>
      <c r="V1942" s="544"/>
      <c r="W1942" s="148"/>
    </row>
    <row r="1943" spans="1:23" ht="12.75" x14ac:dyDescent="0.2">
      <c r="A1943" s="148"/>
      <c r="B1943" s="410" t="str">
        <f ca="1">语言!$A$2045</f>
        <v>等待丈夫的女子 /
欣赏花朵的未亡人</v>
      </c>
      <c r="C1943" s="148" t="b">
        <v>0</v>
      </c>
      <c r="D1943" s="25" t="str">
        <f ca="1">道具!$C$544</f>
        <v>神秘之花</v>
      </c>
      <c r="E1943" s="543" t="b">
        <v>0</v>
      </c>
      <c r="F1943" s="409" t="str">
        <f ca="1">语言!$A$23</f>
        <v>无</v>
      </c>
      <c r="G1943" s="543" t="b">
        <v>0</v>
      </c>
      <c r="H1943" s="545" t="s">
        <v>48</v>
      </c>
      <c r="I1943" s="409">
        <v>2</v>
      </c>
      <c r="J1943" s="409"/>
      <c r="K1943" s="409"/>
      <c r="L1943" s="409"/>
      <c r="M1943" s="409"/>
      <c r="N1943" s="409"/>
      <c r="O1943" s="409" t="str">
        <f ca="1">道具!$C$542</f>
        <v>石榴树液</v>
      </c>
      <c r="P1943" s="543"/>
      <c r="Q1943" s="545" t="s">
        <v>48</v>
      </c>
      <c r="R1943" s="24"/>
      <c r="S1943" s="24" t="str">
        <f ca="1">Summon!$I$118</f>
        <v>恢复ＨＰ的葡萄</v>
      </c>
      <c r="T1943" s="545">
        <v>9</v>
      </c>
      <c r="U1943" s="543"/>
      <c r="V1943" s="409" t="str">
        <f ca="1">"Change name after quest: "&amp;支线!$C$105</f>
        <v>Change name after quest: 随着川流而来的尸体</v>
      </c>
      <c r="W1943" s="148"/>
    </row>
    <row r="1944" spans="1:23" ht="12.75" x14ac:dyDescent="0.2">
      <c r="A1944" s="148"/>
      <c r="B1944" s="371"/>
      <c r="C1944" s="148" t="b">
        <v>0</v>
      </c>
      <c r="D1944" s="25" t="str">
        <f ca="1">道具!$C$529</f>
        <v>药的素材（扩散）</v>
      </c>
      <c r="E1944" s="371"/>
      <c r="F1944" s="371"/>
      <c r="G1944" s="371"/>
      <c r="H1944" s="371"/>
      <c r="I1944" s="371"/>
      <c r="J1944" s="371"/>
      <c r="K1944" s="371"/>
      <c r="L1944" s="371"/>
      <c r="M1944" s="371"/>
      <c r="N1944" s="371"/>
      <c r="O1944" s="371"/>
      <c r="P1944" s="371"/>
      <c r="Q1944" s="371"/>
      <c r="R1944" s="24"/>
      <c r="S1944" s="24" t="str">
        <f ca="1">Summon!$I$4</f>
        <v>战斗</v>
      </c>
      <c r="T1944" s="371"/>
      <c r="U1944" s="371"/>
      <c r="V1944" s="371"/>
      <c r="W1944" s="148"/>
    </row>
    <row r="1945" spans="1:23" ht="12.75" x14ac:dyDescent="0.2">
      <c r="A1945" s="148"/>
      <c r="B1945" s="544"/>
      <c r="C1945" s="152" t="b">
        <v>0</v>
      </c>
      <c r="D1945" s="151" t="str">
        <f ca="1">道具!$C$529</f>
        <v>药的素材（扩散）</v>
      </c>
      <c r="E1945" s="544"/>
      <c r="F1945" s="544"/>
      <c r="G1945" s="544"/>
      <c r="H1945" s="544"/>
      <c r="I1945" s="544"/>
      <c r="J1945" s="544"/>
      <c r="K1945" s="544"/>
      <c r="L1945" s="544"/>
      <c r="M1945" s="544"/>
      <c r="N1945" s="544"/>
      <c r="O1945" s="544"/>
      <c r="P1945" s="544"/>
      <c r="Q1945" s="544"/>
      <c r="R1945" s="150"/>
      <c r="S1945" s="150"/>
      <c r="T1945" s="544"/>
      <c r="U1945" s="544"/>
      <c r="V1945" s="544"/>
      <c r="W1945" s="148"/>
    </row>
    <row r="1946" spans="1:23" ht="12.75" x14ac:dyDescent="0.2">
      <c r="A1946" s="148"/>
      <c r="B1946" s="410" t="str">
        <f ca="1">语言!$A$1880</f>
        <v>卖花的女子</v>
      </c>
      <c r="C1946" s="543" t="b">
        <v>0</v>
      </c>
      <c r="D1946" s="410" t="str">
        <f ca="1">"* "&amp;道具!$F$72</f>
        <v>* 回忆草</v>
      </c>
      <c r="E1946" s="543" t="b">
        <v>0</v>
      </c>
      <c r="F1946" s="409" t="str">
        <f ca="1">语言!$A$23</f>
        <v>无</v>
      </c>
      <c r="G1946" s="543" t="b">
        <v>0</v>
      </c>
      <c r="H1946" s="545" t="s">
        <v>48</v>
      </c>
      <c r="I1946" s="409">
        <v>2</v>
      </c>
      <c r="J1946" s="409"/>
      <c r="K1946" s="409"/>
      <c r="L1946" s="409"/>
      <c r="M1946" s="409"/>
      <c r="N1946" s="409"/>
      <c r="O1946" s="409" t="str">
        <f ca="1">道具!$C$7</f>
        <v>ＳＰ恢复的李子（大）</v>
      </c>
      <c r="P1946" s="543"/>
      <c r="Q1946" s="545" t="s">
        <v>48</v>
      </c>
      <c r="R1946" s="24"/>
      <c r="S1946" s="24" t="str">
        <f ca="1">Summon!$I$105</f>
        <v>投掷花束</v>
      </c>
      <c r="T1946" s="545">
        <v>9</v>
      </c>
      <c r="U1946" s="543"/>
      <c r="V1946" s="409" t="str">
        <f ca="1">"NPC available upon starting quest: "&amp;支线!$C$22</f>
        <v>NPC available upon starting quest: 药师欧根，在那之后</v>
      </c>
      <c r="W1946" s="148"/>
    </row>
    <row r="1947" spans="1:23" ht="12.75" x14ac:dyDescent="0.2">
      <c r="A1947" s="148"/>
      <c r="B1947" s="544"/>
      <c r="C1947" s="544"/>
      <c r="D1947" s="544"/>
      <c r="E1947" s="544"/>
      <c r="F1947" s="544"/>
      <c r="G1947" s="544"/>
      <c r="H1947" s="544"/>
      <c r="I1947" s="544"/>
      <c r="J1947" s="544"/>
      <c r="K1947" s="544"/>
      <c r="L1947" s="544"/>
      <c r="M1947" s="544"/>
      <c r="N1947" s="544"/>
      <c r="O1947" s="544"/>
      <c r="P1947" s="544"/>
      <c r="Q1947" s="544"/>
      <c r="R1947" s="150"/>
      <c r="S1947" s="150" t="str">
        <f ca="1">Summon!$I$4</f>
        <v>战斗</v>
      </c>
      <c r="T1947" s="544"/>
      <c r="U1947" s="544"/>
      <c r="V1947" s="544"/>
      <c r="W1947" s="148"/>
    </row>
    <row r="1948" spans="1:23" ht="12.75" x14ac:dyDescent="0.2">
      <c r="A1948" s="148"/>
      <c r="B1948" s="410" t="str">
        <f ca="1">语言!$A$1957</f>
        <v>疲惫的剑斗士 /
打起精神的剑斗士</v>
      </c>
      <c r="C1948" s="148" t="b">
        <v>0</v>
      </c>
      <c r="D1948" s="25" t="str">
        <f ca="1">道具!$C$152</f>
        <v>骑士剑</v>
      </c>
      <c r="E1948" s="543" t="b">
        <v>0</v>
      </c>
      <c r="F1948" s="409" t="str">
        <f ca="1">语言!$A$23</f>
        <v>无</v>
      </c>
      <c r="G1948" s="543" t="b">
        <v>0</v>
      </c>
      <c r="H1948" s="545" t="s">
        <v>44</v>
      </c>
      <c r="I1948" s="409">
        <v>6</v>
      </c>
      <c r="J1948" s="409"/>
      <c r="K1948" s="409"/>
      <c r="L1948" s="409"/>
      <c r="M1948" s="409"/>
      <c r="N1948" s="409"/>
      <c r="O1948" s="409" t="str">
        <f ca="1">道具!$C$14</f>
        <v>复活的橄榄</v>
      </c>
      <c r="P1948" s="543"/>
      <c r="Q1948" s="545" t="s">
        <v>44</v>
      </c>
      <c r="R1948" s="24"/>
      <c r="S1948" s="24" t="str">
        <f ca="1">Summon!$I$58</f>
        <v>七零八落斩</v>
      </c>
      <c r="T1948" s="545">
        <v>5</v>
      </c>
      <c r="U1948" s="543"/>
      <c r="V1948" s="409" t="str">
        <f ca="1">语言!$A$44&amp;" / "&amp;语言!$A$48&amp;" available after quest: "&amp;支线!$C$139&amp;"
Change name after quest: "&amp;支线!$C$139</f>
        <v>引导 / 诱惑 available after quest: 成为剑斗士的憧憬
Change name after quest: 成为剑斗士的憧憬</v>
      </c>
      <c r="W1948" s="148"/>
    </row>
    <row r="1949" spans="1:23" ht="12.75" x14ac:dyDescent="0.2">
      <c r="A1949" s="148"/>
      <c r="B1949" s="371"/>
      <c r="C1949" s="148" t="b">
        <v>0</v>
      </c>
      <c r="D1949" s="25" t="str">
        <f ca="1">道具!$C$383</f>
        <v>银制头盔</v>
      </c>
      <c r="E1949" s="371"/>
      <c r="F1949" s="371"/>
      <c r="G1949" s="371"/>
      <c r="H1949" s="371"/>
      <c r="I1949" s="371"/>
      <c r="J1949" s="371"/>
      <c r="K1949" s="371"/>
      <c r="L1949" s="371"/>
      <c r="M1949" s="371"/>
      <c r="N1949" s="371"/>
      <c r="O1949" s="371"/>
      <c r="P1949" s="371"/>
      <c r="Q1949" s="371"/>
      <c r="R1949" s="24"/>
      <c r="S1949" s="24" t="str">
        <f ca="1">Summon!$I$52</f>
        <v>重拳</v>
      </c>
      <c r="T1949" s="371"/>
      <c r="U1949" s="371"/>
      <c r="V1949" s="371"/>
      <c r="W1949" s="148"/>
    </row>
    <row r="1950" spans="1:23" ht="12.75" x14ac:dyDescent="0.2">
      <c r="A1950" s="148"/>
      <c r="B1950" s="544"/>
      <c r="C1950" s="152"/>
      <c r="D1950" s="151"/>
      <c r="E1950" s="544"/>
      <c r="F1950" s="544"/>
      <c r="G1950" s="544"/>
      <c r="H1950" s="544"/>
      <c r="I1950" s="544"/>
      <c r="J1950" s="544"/>
      <c r="K1950" s="544"/>
      <c r="L1950" s="544"/>
      <c r="M1950" s="544"/>
      <c r="N1950" s="544"/>
      <c r="O1950" s="544"/>
      <c r="P1950" s="544"/>
      <c r="Q1950" s="544"/>
      <c r="R1950" s="150"/>
      <c r="S1950" s="150" t="str">
        <f ca="1">Summon!$I$4</f>
        <v>战斗</v>
      </c>
      <c r="T1950" s="544"/>
      <c r="U1950" s="544"/>
      <c r="V1950" s="544"/>
      <c r="W1950" s="148"/>
    </row>
    <row r="1951" spans="1:23" ht="12.75" x14ac:dyDescent="0.2">
      <c r="A1951" s="148"/>
      <c r="B1951" s="410" t="str">
        <f ca="1">语言!$A$1767&amp;" (1)"</f>
        <v>失忆的男子 /
船长 (1)</v>
      </c>
      <c r="C1951" s="148" t="b">
        <v>0</v>
      </c>
      <c r="D1951" s="25" t="str">
        <f ca="1">道具!$C$20</f>
        <v>黑暗治疗药草</v>
      </c>
      <c r="E1951" s="543" t="b">
        <v>0</v>
      </c>
      <c r="F1951" s="409" t="str">
        <f ca="1">语言!$A$23</f>
        <v>无</v>
      </c>
      <c r="G1951" s="543" t="b">
        <v>0</v>
      </c>
      <c r="H1951" s="545" t="s">
        <v>47</v>
      </c>
      <c r="I1951" s="409">
        <v>4</v>
      </c>
      <c r="J1951" s="409"/>
      <c r="K1951" s="409"/>
      <c r="L1951" s="409"/>
      <c r="M1951" s="409"/>
      <c r="N1951" s="409"/>
      <c r="O1951" s="409" t="str">
        <f ca="1">道具!$C$16</f>
        <v>复活的橄榄（大）</v>
      </c>
      <c r="P1951" s="543"/>
      <c r="Q1951" s="545" t="s">
        <v>47</v>
      </c>
      <c r="R1951" s="24"/>
      <c r="S1951" s="24" t="str">
        <f ca="1">Summon!$I$173</f>
        <v>攻击力提升</v>
      </c>
      <c r="T1951" s="545">
        <v>6</v>
      </c>
      <c r="U1951" s="543"/>
      <c r="V1951" s="409" t="str">
        <f ca="1">"Move to "&amp;语言!$A$372&amp;" after quest: "&amp;支线!$C$48</f>
        <v>Move to 葛鲁德修亚 after quest: 被抛弃的男子</v>
      </c>
      <c r="W1951" s="148"/>
    </row>
    <row r="1952" spans="1:23" ht="12.75" x14ac:dyDescent="0.2">
      <c r="A1952" s="148"/>
      <c r="B1952" s="371"/>
      <c r="C1952" s="148" t="b">
        <v>0</v>
      </c>
      <c r="D1952" s="25" t="str">
        <f ca="1">道具!$C$21</f>
        <v>混乱治疗药草</v>
      </c>
      <c r="E1952" s="371"/>
      <c r="F1952" s="371"/>
      <c r="G1952" s="371"/>
      <c r="H1952" s="371"/>
      <c r="I1952" s="371"/>
      <c r="J1952" s="371"/>
      <c r="K1952" s="371"/>
      <c r="L1952" s="371"/>
      <c r="M1952" s="371"/>
      <c r="N1952" s="371"/>
      <c r="O1952" s="371"/>
      <c r="P1952" s="371"/>
      <c r="Q1952" s="371"/>
      <c r="R1952" s="24"/>
      <c r="S1952" s="24" t="str">
        <f ca="1">Summon!$I$34</f>
        <v>无双突刺</v>
      </c>
      <c r="T1952" s="371"/>
      <c r="U1952" s="371"/>
      <c r="V1952" s="371"/>
      <c r="W1952" s="148"/>
    </row>
    <row r="1953" spans="1:23" ht="12.75" x14ac:dyDescent="0.2">
      <c r="A1953" s="148"/>
      <c r="B1953" s="544"/>
      <c r="C1953" s="152" t="b">
        <v>0</v>
      </c>
      <c r="D1953" s="151" t="str">
        <f ca="1">道具!$C$23</f>
        <v>恐怖治疗药草</v>
      </c>
      <c r="E1953" s="544"/>
      <c r="F1953" s="544"/>
      <c r="G1953" s="544"/>
      <c r="H1953" s="544"/>
      <c r="I1953" s="544"/>
      <c r="J1953" s="544"/>
      <c r="K1953" s="544"/>
      <c r="L1953" s="544"/>
      <c r="M1953" s="544"/>
      <c r="N1953" s="544"/>
      <c r="O1953" s="544"/>
      <c r="P1953" s="544"/>
      <c r="Q1953" s="544"/>
      <c r="R1953" s="150"/>
      <c r="S1953" s="150" t="str">
        <f ca="1">Summon!$I$4</f>
        <v>战斗</v>
      </c>
      <c r="T1953" s="544"/>
      <c r="U1953" s="544"/>
      <c r="V1953" s="544"/>
      <c r="W1953" s="148"/>
    </row>
    <row r="1954" spans="1:23" ht="12.75" x14ac:dyDescent="0.2">
      <c r="A1954" s="148"/>
      <c r="B1954" s="410" t="str">
        <f ca="1">语言!$A$1820&amp;" (1)"</f>
        <v>商船船长雷欧 (1)</v>
      </c>
      <c r="C1954" s="148" t="b">
        <v>0</v>
      </c>
      <c r="D1954" s="39" t="str">
        <f ca="1">道具!$C$183</f>
        <v>帝国骑枪</v>
      </c>
      <c r="E1954" s="543" t="b">
        <v>0</v>
      </c>
      <c r="F1954" s="409" t="str">
        <f ca="1">语言!$A$23</f>
        <v>无</v>
      </c>
      <c r="G1954" s="543"/>
      <c r="H1954" s="546" t="s">
        <v>119</v>
      </c>
      <c r="I1954" s="546" t="s">
        <v>119</v>
      </c>
      <c r="J1954" s="546" t="s">
        <v>119</v>
      </c>
      <c r="K1954" s="546" t="s">
        <v>119</v>
      </c>
      <c r="L1954" s="546" t="s">
        <v>119</v>
      </c>
      <c r="M1954" s="546" t="s">
        <v>119</v>
      </c>
      <c r="N1954" s="546" t="s">
        <v>119</v>
      </c>
      <c r="O1954" s="546" t="s">
        <v>119</v>
      </c>
      <c r="P1954" s="543"/>
      <c r="Q1954" s="546" t="s">
        <v>119</v>
      </c>
      <c r="R1954" s="546" t="s">
        <v>119</v>
      </c>
      <c r="S1954" s="546" t="s">
        <v>119</v>
      </c>
      <c r="T1954" s="546" t="s">
        <v>119</v>
      </c>
      <c r="U1954" s="543"/>
      <c r="V1954" s="409" t="str">
        <f ca="1">"NPC available only during "&amp;语言!$A$37&amp;" chapter 3
Moves to "&amp;语言!$A$366&amp;" after quest: "&amp;支线!$C$35</f>
        <v>NPC available only during 特蕾莎 chapter 3
Moves to 利布尔泰德 after quest: 米克与马克，在那之后</v>
      </c>
      <c r="W1954" s="148"/>
    </row>
    <row r="1955" spans="1:23" ht="12.75" x14ac:dyDescent="0.2">
      <c r="A1955" s="148"/>
      <c r="B1955" s="544"/>
      <c r="C1955" s="152" t="b">
        <v>0</v>
      </c>
      <c r="D1955" s="234" t="str">
        <f ca="1">道具!$C$188</f>
        <v>元素长柄刀</v>
      </c>
      <c r="E1955" s="544"/>
      <c r="F1955" s="544"/>
      <c r="G1955" s="544"/>
      <c r="H1955" s="544"/>
      <c r="I1955" s="544"/>
      <c r="J1955" s="544"/>
      <c r="K1955" s="544"/>
      <c r="L1955" s="544"/>
      <c r="M1955" s="544"/>
      <c r="N1955" s="544"/>
      <c r="O1955" s="544"/>
      <c r="P1955" s="544"/>
      <c r="Q1955" s="544"/>
      <c r="R1955" s="544"/>
      <c r="S1955" s="544"/>
      <c r="T1955" s="544"/>
      <c r="U1955" s="544"/>
      <c r="V1955" s="544"/>
      <c r="W1955" s="148"/>
    </row>
    <row r="1956" spans="1:23" ht="12.75" x14ac:dyDescent="0.2">
      <c r="A1956" s="148"/>
      <c r="B1956" s="410" t="str">
        <f ca="1">语言!$A$1982&amp;" (1)"</f>
        <v>船员米克 (1)</v>
      </c>
      <c r="C1956" s="148" t="b">
        <v>0</v>
      </c>
      <c r="D1956" s="25" t="str">
        <f ca="1">道具!$C$7</f>
        <v>ＳＰ恢复的李子（大）</v>
      </c>
      <c r="E1956" s="543" t="b">
        <v>0</v>
      </c>
      <c r="F1956" s="409" t="str">
        <f ca="1">语言!$A$23</f>
        <v>无</v>
      </c>
      <c r="G1956" s="543" t="b">
        <v>0</v>
      </c>
      <c r="H1956" s="545" t="s">
        <v>49</v>
      </c>
      <c r="I1956" s="409">
        <v>4</v>
      </c>
      <c r="J1956" s="409"/>
      <c r="K1956" s="409"/>
      <c r="L1956" s="409"/>
      <c r="M1956" s="409"/>
      <c r="N1956" s="409"/>
      <c r="O1956" s="409" t="str">
        <f ca="1">道具!$C$536</f>
        <v>超含毒的素材（扩散）</v>
      </c>
      <c r="P1956" s="543"/>
      <c r="Q1956" s="546" t="s">
        <v>119</v>
      </c>
      <c r="R1956" s="546" t="s">
        <v>119</v>
      </c>
      <c r="S1956" s="546" t="s">
        <v>119</v>
      </c>
      <c r="T1956" s="546" t="s">
        <v>119</v>
      </c>
      <c r="U1956" s="543"/>
      <c r="V1956" s="409" t="str">
        <f ca="1">"NPC available at this location only during "&amp;语言!$A$37&amp;" chapter 3
Moves on to "&amp;语言!$A$354&amp;" upon starting quest: "&amp;支线!$C$35</f>
        <v>NPC available at this location only during 特蕾莎 chapter 3
Moves on to 诺布尔寇德 upon starting quest: 米克与马克，在那之后</v>
      </c>
      <c r="W1956" s="148"/>
    </row>
    <row r="1957" spans="1:23" ht="12.75" x14ac:dyDescent="0.2">
      <c r="A1957" s="148"/>
      <c r="B1957" s="544"/>
      <c r="C1957" s="152" t="b">
        <v>0</v>
      </c>
      <c r="D1957" s="151" t="str">
        <f ca="1">道具!$C$529</f>
        <v>药的素材（扩散）</v>
      </c>
      <c r="E1957" s="544"/>
      <c r="F1957" s="544"/>
      <c r="G1957" s="544"/>
      <c r="H1957" s="544"/>
      <c r="I1957" s="544"/>
      <c r="J1957" s="544"/>
      <c r="K1957" s="544"/>
      <c r="L1957" s="544"/>
      <c r="M1957" s="544"/>
      <c r="N1957" s="544"/>
      <c r="O1957" s="544"/>
      <c r="P1957" s="544"/>
      <c r="Q1957" s="544"/>
      <c r="R1957" s="544"/>
      <c r="S1957" s="544"/>
      <c r="T1957" s="544"/>
      <c r="U1957" s="544"/>
      <c r="V1957" s="544"/>
      <c r="W1957" s="148"/>
    </row>
    <row r="1958" spans="1:23" ht="12.75" x14ac:dyDescent="0.2">
      <c r="A1958" s="148"/>
      <c r="B1958" s="410" t="str">
        <f ca="1">语言!$A$1966&amp;" (1)"</f>
        <v>船员马克 (1)</v>
      </c>
      <c r="C1958" s="148" t="b">
        <v>0</v>
      </c>
      <c r="D1958" s="25" t="str">
        <f ca="1">道具!$C$9</f>
        <v>ＢＰ恢复的石榴</v>
      </c>
      <c r="E1958" s="543" t="b">
        <v>0</v>
      </c>
      <c r="F1958" s="409" t="str">
        <f ca="1">语言!$A$23</f>
        <v>无</v>
      </c>
      <c r="G1958" s="543" t="b">
        <v>0</v>
      </c>
      <c r="H1958" s="545" t="s">
        <v>49</v>
      </c>
      <c r="I1958" s="409">
        <v>4</v>
      </c>
      <c r="J1958" s="409"/>
      <c r="K1958" s="409"/>
      <c r="L1958" s="409"/>
      <c r="M1958" s="409"/>
      <c r="N1958" s="409"/>
      <c r="O1958" s="409" t="str">
        <f ca="1">道具!$C$544</f>
        <v>神秘之花</v>
      </c>
      <c r="P1958" s="543"/>
      <c r="Q1958" s="546" t="s">
        <v>119</v>
      </c>
      <c r="R1958" s="546" t="s">
        <v>119</v>
      </c>
      <c r="S1958" s="546" t="s">
        <v>119</v>
      </c>
      <c r="T1958" s="546" t="s">
        <v>119</v>
      </c>
      <c r="U1958" s="543"/>
      <c r="V1958" s="409" t="str">
        <f ca="1">"NPC available at this location only during "&amp;语言!$A$37&amp;" chapter 3
Moves on to "&amp;语言!$A$354&amp;" upon starting quest: "&amp;支线!$C$35</f>
        <v>NPC available at this location only during 特蕾莎 chapter 3
Moves on to 诺布尔寇德 upon starting quest: 米克与马克，在那之后</v>
      </c>
      <c r="W1958" s="148"/>
    </row>
    <row r="1959" spans="1:23" ht="12.75" x14ac:dyDescent="0.2">
      <c r="A1959" s="148"/>
      <c r="B1959" s="544"/>
      <c r="C1959" s="152" t="b">
        <v>0</v>
      </c>
      <c r="D1959" s="151" t="str">
        <f ca="1">道具!$C$532</f>
        <v>含毒的素材</v>
      </c>
      <c r="E1959" s="544"/>
      <c r="F1959" s="544"/>
      <c r="G1959" s="544"/>
      <c r="H1959" s="544"/>
      <c r="I1959" s="544"/>
      <c r="J1959" s="544"/>
      <c r="K1959" s="544"/>
      <c r="L1959" s="544"/>
      <c r="M1959" s="544"/>
      <c r="N1959" s="544"/>
      <c r="O1959" s="544"/>
      <c r="P1959" s="544"/>
      <c r="Q1959" s="544"/>
      <c r="R1959" s="544"/>
      <c r="S1959" s="544"/>
      <c r="T1959" s="544"/>
      <c r="U1959" s="544"/>
      <c r="V1959" s="544"/>
      <c r="W1959" s="148"/>
    </row>
    <row r="1960" spans="1:23" ht="12.75" x14ac:dyDescent="0.2">
      <c r="A1960" s="148"/>
      <c r="B1960" s="410" t="str">
        <f ca="1">语言!$A$1848</f>
        <v>少年的阿姨</v>
      </c>
      <c r="C1960" s="148" t="b">
        <v>0</v>
      </c>
      <c r="D1960" s="25" t="str">
        <f ca="1">道具!$C$5</f>
        <v>ＨＰ全体恢复的葡萄</v>
      </c>
      <c r="E1960" s="543" t="b">
        <v>0</v>
      </c>
      <c r="F1960" s="409" t="str">
        <f ca="1">道具!$I$21</f>
        <v>斗剑士的父亲</v>
      </c>
      <c r="G1960" s="543" t="b">
        <v>0</v>
      </c>
      <c r="H1960" s="545" t="s">
        <v>48</v>
      </c>
      <c r="I1960" s="409">
        <v>2</v>
      </c>
      <c r="J1960" s="409"/>
      <c r="K1960" s="409"/>
      <c r="L1960" s="409"/>
      <c r="M1960" s="409"/>
      <c r="N1960" s="409"/>
      <c r="O1960" s="409" t="str">
        <f ca="1">道具!$C$4</f>
        <v>ＨＰ恢复的葡萄（大）</v>
      </c>
      <c r="P1960" s="543"/>
      <c r="Q1960" s="545" t="s">
        <v>48</v>
      </c>
      <c r="R1960" s="24"/>
      <c r="S1960" s="24" t="str">
        <f ca="1">Summon!$I$70</f>
        <v>乱射</v>
      </c>
      <c r="T1960" s="545">
        <v>9</v>
      </c>
      <c r="U1960" s="543"/>
      <c r="V1960" s="409"/>
      <c r="W1960" s="148"/>
    </row>
    <row r="1961" spans="1:23" ht="12.75" x14ac:dyDescent="0.2">
      <c r="A1961" s="148"/>
      <c r="B1961" s="544"/>
      <c r="C1961" s="152" t="b">
        <v>0</v>
      </c>
      <c r="D1961" s="151" t="str">
        <f ca="1">道具!$C$5</f>
        <v>ＨＰ全体恢复的葡萄</v>
      </c>
      <c r="E1961" s="544"/>
      <c r="F1961" s="544"/>
      <c r="G1961" s="544"/>
      <c r="H1961" s="544"/>
      <c r="I1961" s="544"/>
      <c r="J1961" s="544"/>
      <c r="K1961" s="544"/>
      <c r="L1961" s="544"/>
      <c r="M1961" s="544"/>
      <c r="N1961" s="544"/>
      <c r="O1961" s="544"/>
      <c r="P1961" s="544"/>
      <c r="Q1961" s="544"/>
      <c r="R1961" s="150"/>
      <c r="S1961" s="150" t="str">
        <f ca="1">Summon!$I$4</f>
        <v>战斗</v>
      </c>
      <c r="T1961" s="544"/>
      <c r="U1961" s="544"/>
      <c r="V1961" s="544"/>
      <c r="W1961" s="148"/>
    </row>
    <row r="1962" spans="1:23" ht="12.75" x14ac:dyDescent="0.2">
      <c r="A1962" s="148"/>
      <c r="B1962" s="410" t="str">
        <f ca="1">语言!$A$2076</f>
        <v>双眼发光的少年</v>
      </c>
      <c r="C1962" s="148" t="b">
        <v>0</v>
      </c>
      <c r="D1962" s="25" t="str">
        <f ca="1">道具!$C$9</f>
        <v>ＢＰ恢复的石榴</v>
      </c>
      <c r="E1962" s="543" t="b">
        <v>0</v>
      </c>
      <c r="F1962" s="409" t="str">
        <f ca="1">语言!$A$23</f>
        <v>无</v>
      </c>
      <c r="G1962" s="543"/>
      <c r="H1962" s="546" t="s">
        <v>119</v>
      </c>
      <c r="I1962" s="546" t="s">
        <v>119</v>
      </c>
      <c r="J1962" s="546" t="s">
        <v>119</v>
      </c>
      <c r="K1962" s="546" t="s">
        <v>119</v>
      </c>
      <c r="L1962" s="546" t="s">
        <v>119</v>
      </c>
      <c r="M1962" s="546" t="s">
        <v>119</v>
      </c>
      <c r="N1962" s="546" t="s">
        <v>119</v>
      </c>
      <c r="O1962" s="546" t="s">
        <v>119</v>
      </c>
      <c r="P1962" s="543"/>
      <c r="Q1962" s="546" t="s">
        <v>119</v>
      </c>
      <c r="R1962" s="546" t="s">
        <v>119</v>
      </c>
      <c r="S1962" s="546" t="s">
        <v>119</v>
      </c>
      <c r="T1962" s="546" t="s">
        <v>119</v>
      </c>
      <c r="U1962" s="543"/>
      <c r="V1962" s="409"/>
      <c r="W1962" s="148"/>
    </row>
    <row r="1963" spans="1:23" ht="12.75" x14ac:dyDescent="0.2">
      <c r="A1963" s="148"/>
      <c r="B1963" s="544"/>
      <c r="C1963" s="152" t="b">
        <v>0</v>
      </c>
      <c r="D1963" s="151" t="str">
        <f ca="1">道具!$C$84</f>
        <v>糖果</v>
      </c>
      <c r="E1963" s="544"/>
      <c r="F1963" s="544"/>
      <c r="G1963" s="544"/>
      <c r="H1963" s="544"/>
      <c r="I1963" s="544"/>
      <c r="J1963" s="544"/>
      <c r="K1963" s="544"/>
      <c r="L1963" s="544"/>
      <c r="M1963" s="544"/>
      <c r="N1963" s="544"/>
      <c r="O1963" s="544"/>
      <c r="P1963" s="544"/>
      <c r="Q1963" s="544"/>
      <c r="R1963" s="544"/>
      <c r="S1963" s="544"/>
      <c r="T1963" s="544"/>
      <c r="U1963" s="544"/>
      <c r="V1963" s="544"/>
      <c r="W1963" s="148"/>
    </row>
    <row r="1964" spans="1:23" ht="25.5" x14ac:dyDescent="0.2">
      <c r="A1964" s="148"/>
      <c r="B1964" s="410" t="str">
        <f ca="1">语言!$A$2021</f>
        <v>孤儿院的女子</v>
      </c>
      <c r="C1964" s="148" t="b">
        <v>0</v>
      </c>
      <c r="D1964" s="25" t="str">
        <f ca="1">道具!$C$10</f>
        <v>ＢＰ恢复的石榴（大）</v>
      </c>
      <c r="E1964" s="543" t="b">
        <v>0</v>
      </c>
      <c r="F1964" s="409" t="str">
        <f ca="1">道具!$I$34</f>
        <v>义贼　玛尔达盗贼团</v>
      </c>
      <c r="G1964" s="543" t="b">
        <v>0</v>
      </c>
      <c r="H1964" s="545" t="s">
        <v>50</v>
      </c>
      <c r="I1964" s="409">
        <v>4</v>
      </c>
      <c r="J1964" s="409"/>
      <c r="K1964" s="409"/>
      <c r="L1964" s="409"/>
      <c r="M1964" s="409"/>
      <c r="N1964" s="409"/>
      <c r="O1964" s="409" t="str">
        <f ca="1">道具!$C$3</f>
        <v>ＨＰ恢复的葡萄</v>
      </c>
      <c r="P1964" s="543"/>
      <c r="Q1964" s="546" t="s">
        <v>119</v>
      </c>
      <c r="R1964" s="546" t="s">
        <v>119</v>
      </c>
      <c r="S1964" s="546" t="s">
        <v>119</v>
      </c>
      <c r="T1964" s="546" t="s">
        <v>119</v>
      </c>
      <c r="U1964" s="543"/>
      <c r="V1964" s="409"/>
      <c r="W1964" s="148"/>
    </row>
    <row r="1965" spans="1:23" ht="12.75" x14ac:dyDescent="0.2">
      <c r="A1965" s="148"/>
      <c r="B1965" s="544"/>
      <c r="C1965" s="152" t="b">
        <v>0</v>
      </c>
      <c r="D1965" s="151" t="str">
        <f ca="1">道具!$C$92</f>
        <v>发梳</v>
      </c>
      <c r="E1965" s="544"/>
      <c r="F1965" s="544"/>
      <c r="G1965" s="544"/>
      <c r="H1965" s="544"/>
      <c r="I1965" s="544"/>
      <c r="J1965" s="544"/>
      <c r="K1965" s="544"/>
      <c r="L1965" s="544"/>
      <c r="M1965" s="544"/>
      <c r="N1965" s="544"/>
      <c r="O1965" s="544"/>
      <c r="P1965" s="544"/>
      <c r="Q1965" s="544"/>
      <c r="R1965" s="544"/>
      <c r="S1965" s="544"/>
      <c r="T1965" s="544"/>
      <c r="U1965" s="544"/>
      <c r="V1965" s="544"/>
      <c r="W1965" s="148"/>
    </row>
    <row r="1966" spans="1:23" ht="12.75" x14ac:dyDescent="0.2">
      <c r="A1966" s="148"/>
      <c r="B1966" s="410" t="str">
        <f ca="1">语言!$A$2127</f>
        <v>单纯的女孩</v>
      </c>
      <c r="C1966" s="148" t="b">
        <v>0</v>
      </c>
      <c r="D1966" s="25" t="str">
        <f ca="1">道具!$C$83</f>
        <v>绒毛娃娃</v>
      </c>
      <c r="E1966" s="543" t="b">
        <v>0</v>
      </c>
      <c r="F1966" s="409" t="str">
        <f ca="1">语言!$A$23</f>
        <v>无</v>
      </c>
      <c r="G1966" s="543"/>
      <c r="H1966" s="546" t="s">
        <v>119</v>
      </c>
      <c r="I1966" s="546" t="s">
        <v>119</v>
      </c>
      <c r="J1966" s="546" t="s">
        <v>119</v>
      </c>
      <c r="K1966" s="546" t="s">
        <v>119</v>
      </c>
      <c r="L1966" s="546" t="s">
        <v>119</v>
      </c>
      <c r="M1966" s="546" t="s">
        <v>119</v>
      </c>
      <c r="N1966" s="546" t="s">
        <v>119</v>
      </c>
      <c r="O1966" s="546" t="s">
        <v>119</v>
      </c>
      <c r="P1966" s="543"/>
      <c r="Q1966" s="546" t="s">
        <v>119</v>
      </c>
      <c r="R1966" s="546" t="s">
        <v>119</v>
      </c>
      <c r="S1966" s="546" t="s">
        <v>119</v>
      </c>
      <c r="T1966" s="546" t="s">
        <v>119</v>
      </c>
      <c r="U1966" s="543"/>
      <c r="V1966" s="409" t="str">
        <f ca="1">"Behind other NPC ("&amp;语言!$A$47&amp;" / "&amp;语言!$A$51&amp;")
"&amp;道具!$C$83&amp;" Not for Sale"</f>
        <v>Behind other NPC (比试 / 唆使)
绒毛娃娃 Not for Sale</v>
      </c>
      <c r="W1966" s="148"/>
    </row>
    <row r="1967" spans="1:23" ht="12.75" x14ac:dyDescent="0.2">
      <c r="A1967" s="148"/>
      <c r="B1967" s="544"/>
      <c r="C1967" s="152" t="b">
        <v>0</v>
      </c>
      <c r="D1967" s="151" t="str">
        <f ca="1">道具!$C$536</f>
        <v>超含毒的素材（扩散）</v>
      </c>
      <c r="E1967" s="544"/>
      <c r="F1967" s="544"/>
      <c r="G1967" s="544"/>
      <c r="H1967" s="544"/>
      <c r="I1967" s="544"/>
      <c r="J1967" s="544"/>
      <c r="K1967" s="544"/>
      <c r="L1967" s="544"/>
      <c r="M1967" s="544"/>
      <c r="N1967" s="544"/>
      <c r="O1967" s="544"/>
      <c r="P1967" s="544"/>
      <c r="Q1967" s="544"/>
      <c r="R1967" s="544"/>
      <c r="S1967" s="544"/>
      <c r="T1967" s="544"/>
      <c r="U1967" s="544"/>
      <c r="V1967" s="544"/>
      <c r="W1967" s="148"/>
    </row>
    <row r="1968" spans="1:23" ht="12.75" x14ac:dyDescent="0.2">
      <c r="A1968" s="148"/>
      <c r="B1968" s="410" t="str">
        <f ca="1">语言!$A$1860</f>
        <v>活泼的男孩</v>
      </c>
      <c r="C1968" s="148" t="b">
        <v>0</v>
      </c>
      <c r="D1968" s="25" t="str">
        <f ca="1">道具!$C$85</f>
        <v>玻璃珠</v>
      </c>
      <c r="E1968" s="543" t="b">
        <v>0</v>
      </c>
      <c r="F1968" s="409" t="str">
        <f ca="1">语言!$A$23</f>
        <v>无</v>
      </c>
      <c r="G1968" s="543"/>
      <c r="H1968" s="546" t="s">
        <v>119</v>
      </c>
      <c r="I1968" s="546" t="s">
        <v>119</v>
      </c>
      <c r="J1968" s="546" t="s">
        <v>119</v>
      </c>
      <c r="K1968" s="546" t="s">
        <v>119</v>
      </c>
      <c r="L1968" s="546" t="s">
        <v>119</v>
      </c>
      <c r="M1968" s="546" t="s">
        <v>119</v>
      </c>
      <c r="N1968" s="546" t="s">
        <v>119</v>
      </c>
      <c r="O1968" s="546" t="s">
        <v>119</v>
      </c>
      <c r="P1968" s="543"/>
      <c r="Q1968" s="546" t="s">
        <v>119</v>
      </c>
      <c r="R1968" s="546" t="s">
        <v>119</v>
      </c>
      <c r="S1968" s="546" t="s">
        <v>119</v>
      </c>
      <c r="T1968" s="546" t="s">
        <v>119</v>
      </c>
      <c r="U1968" s="543"/>
      <c r="V1968" s="409" t="str">
        <f ca="1">"Behind other NPC ("&amp;语言!$A$47&amp;" / "&amp;语言!$A$51&amp;")
"&amp;道具!$C$85&amp;" Not for Sale"</f>
        <v>Behind other NPC (比试 / 唆使)
玻璃珠 Not for Sale</v>
      </c>
      <c r="W1968" s="148"/>
    </row>
    <row r="1969" spans="1:23" ht="12.75" x14ac:dyDescent="0.2">
      <c r="A1969" s="148"/>
      <c r="B1969" s="544"/>
      <c r="C1969" s="152" t="b">
        <v>0</v>
      </c>
      <c r="D1969" s="151" t="str">
        <f ca="1">道具!$C$531</f>
        <v>秘药的素材（扩散）</v>
      </c>
      <c r="E1969" s="544"/>
      <c r="F1969" s="544"/>
      <c r="G1969" s="544"/>
      <c r="H1969" s="544"/>
      <c r="I1969" s="544"/>
      <c r="J1969" s="544"/>
      <c r="K1969" s="544"/>
      <c r="L1969" s="544"/>
      <c r="M1969" s="544"/>
      <c r="N1969" s="544"/>
      <c r="O1969" s="544"/>
      <c r="P1969" s="544"/>
      <c r="Q1969" s="544"/>
      <c r="R1969" s="544"/>
      <c r="S1969" s="544"/>
      <c r="T1969" s="544"/>
      <c r="U1969" s="544"/>
      <c r="V1969" s="544"/>
      <c r="W1969" s="148"/>
    </row>
    <row r="1970" spans="1:23" ht="12.75" x14ac:dyDescent="0.2">
      <c r="A1970" s="148"/>
      <c r="B1970" s="410" t="str">
        <f ca="1">语言!$A$2102</f>
        <v>市民</v>
      </c>
      <c r="C1970" s="148" t="b">
        <v>0</v>
      </c>
      <c r="D1970" s="25" t="str">
        <f ca="1">道具!$C$543</f>
        <v>橄榄花</v>
      </c>
      <c r="E1970" s="543" t="b">
        <v>0</v>
      </c>
      <c r="F1970" s="409" t="str">
        <f ca="1">语言!$A$33&amp;"
"&amp;道具!$C$12</f>
        <v>隐藏道具的资讯
ＨＰ／ＳＰ恢复的果酱</v>
      </c>
      <c r="G1970" s="543" t="b">
        <v>0</v>
      </c>
      <c r="H1970" s="545" t="s">
        <v>57</v>
      </c>
      <c r="I1970" s="409">
        <v>3</v>
      </c>
      <c r="J1970" s="409"/>
      <c r="K1970" s="409"/>
      <c r="L1970" s="409"/>
      <c r="M1970" s="409"/>
      <c r="N1970" s="409"/>
      <c r="O1970" s="409" t="str">
        <f ca="1">道具!$C$7</f>
        <v>ＳＰ恢复的李子（大）</v>
      </c>
      <c r="P1970" s="543"/>
      <c r="Q1970" s="545" t="s">
        <v>57</v>
      </c>
      <c r="R1970" s="24"/>
      <c r="S1970" s="24" t="str">
        <f ca="1">Summon!$I$52</f>
        <v>重拳</v>
      </c>
      <c r="T1970" s="545">
        <v>8</v>
      </c>
      <c r="U1970" s="543"/>
      <c r="V1970" s="409"/>
      <c r="W1970" s="148"/>
    </row>
    <row r="1971" spans="1:23" ht="12.75" x14ac:dyDescent="0.2">
      <c r="A1971" s="148"/>
      <c r="B1971" s="371"/>
      <c r="C1971" s="148" t="b">
        <v>0</v>
      </c>
      <c r="D1971" s="25" t="str">
        <f ca="1">道具!$C$543</f>
        <v>橄榄花</v>
      </c>
      <c r="E1971" s="371"/>
      <c r="F1971" s="371"/>
      <c r="G1971" s="371"/>
      <c r="H1971" s="371"/>
      <c r="I1971" s="371"/>
      <c r="J1971" s="371"/>
      <c r="K1971" s="371"/>
      <c r="L1971" s="371"/>
      <c r="M1971" s="371"/>
      <c r="N1971" s="371"/>
      <c r="O1971" s="371"/>
      <c r="P1971" s="371"/>
      <c r="Q1971" s="371"/>
      <c r="R1971" s="24"/>
      <c r="S1971" s="24" t="str">
        <f ca="1">Summon!$I$118</f>
        <v>恢复ＨＰ的葡萄</v>
      </c>
      <c r="T1971" s="371"/>
      <c r="U1971" s="371"/>
      <c r="V1971" s="371"/>
      <c r="W1971" s="148"/>
    </row>
    <row r="1972" spans="1:23" ht="12.75" x14ac:dyDescent="0.2">
      <c r="A1972" s="148"/>
      <c r="B1972" s="544"/>
      <c r="C1972" s="152"/>
      <c r="D1972" s="151"/>
      <c r="E1972" s="544"/>
      <c r="F1972" s="544"/>
      <c r="G1972" s="544"/>
      <c r="H1972" s="544"/>
      <c r="I1972" s="544"/>
      <c r="J1972" s="544"/>
      <c r="K1972" s="544"/>
      <c r="L1972" s="544"/>
      <c r="M1972" s="544"/>
      <c r="N1972" s="544"/>
      <c r="O1972" s="544"/>
      <c r="P1972" s="544"/>
      <c r="Q1972" s="544"/>
      <c r="R1972" s="150"/>
      <c r="S1972" s="150" t="str">
        <f ca="1">Summon!$I$4</f>
        <v>战斗</v>
      </c>
      <c r="T1972" s="544"/>
      <c r="U1972" s="544"/>
      <c r="V1972" s="544"/>
      <c r="W1972" s="148"/>
    </row>
    <row r="1973" spans="1:23" ht="12.75" x14ac:dyDescent="0.2">
      <c r="A1973" s="148"/>
      <c r="B1973" s="410" t="str">
        <f ca="1">语言!$A$1857&amp;" (2)"</f>
        <v>爱莉 (2)</v>
      </c>
      <c r="C1973" s="148" t="b">
        <v>0</v>
      </c>
      <c r="D1973" s="25" t="str">
        <f ca="1">道具!$C$84</f>
        <v>糖果</v>
      </c>
      <c r="E1973" s="543" t="b">
        <v>0</v>
      </c>
      <c r="F1973" s="409" t="str">
        <f ca="1">语言!$A$23</f>
        <v>无</v>
      </c>
      <c r="G1973" s="543"/>
      <c r="H1973" s="546" t="s">
        <v>119</v>
      </c>
      <c r="I1973" s="546" t="s">
        <v>119</v>
      </c>
      <c r="J1973" s="546" t="s">
        <v>119</v>
      </c>
      <c r="K1973" s="546" t="s">
        <v>119</v>
      </c>
      <c r="L1973" s="546" t="s">
        <v>119</v>
      </c>
      <c r="M1973" s="546" t="s">
        <v>119</v>
      </c>
      <c r="N1973" s="546" t="s">
        <v>119</v>
      </c>
      <c r="O1973" s="546" t="s">
        <v>119</v>
      </c>
      <c r="P1973" s="543"/>
      <c r="Q1973" s="545" t="s">
        <v>48</v>
      </c>
      <c r="R1973" s="24"/>
      <c r="S1973" s="24" t="str">
        <f ca="1">Summon!$I$167</f>
        <v>激励</v>
      </c>
      <c r="T1973" s="545">
        <v>9</v>
      </c>
      <c r="U1973" s="543"/>
      <c r="V1973" s="409" t="str">
        <f ca="1">"NPC at this location after quest: "&amp;支线!$C$140</f>
        <v>NPC at this location after quest: 绑架</v>
      </c>
      <c r="W1973" s="148"/>
    </row>
    <row r="1974" spans="1:23" ht="12.75" x14ac:dyDescent="0.2">
      <c r="A1974" s="148"/>
      <c r="B1974" s="544"/>
      <c r="C1974" s="152" t="b">
        <v>0</v>
      </c>
      <c r="D1974" s="151" t="str">
        <f ca="1">道具!$C$86</f>
        <v>手帕</v>
      </c>
      <c r="E1974" s="544"/>
      <c r="F1974" s="544"/>
      <c r="G1974" s="544"/>
      <c r="H1974" s="544"/>
      <c r="I1974" s="544"/>
      <c r="J1974" s="544"/>
      <c r="K1974" s="544"/>
      <c r="L1974" s="544"/>
      <c r="M1974" s="544"/>
      <c r="N1974" s="544"/>
      <c r="O1974" s="544"/>
      <c r="P1974" s="544"/>
      <c r="Q1974" s="544"/>
      <c r="R1974" s="150"/>
      <c r="S1974" s="150" t="str">
        <f ca="1">Summon!$I$4</f>
        <v>战斗</v>
      </c>
      <c r="T1974" s="544"/>
      <c r="U1974" s="544"/>
      <c r="V1974" s="544"/>
      <c r="W1974" s="148"/>
    </row>
    <row r="1975" spans="1:23" ht="12.75" x14ac:dyDescent="0.2">
      <c r="A1975" s="148"/>
      <c r="B1975" s="410" t="str">
        <f ca="1">语言!$A$1948</f>
        <v>寡言的父亲</v>
      </c>
      <c r="C1975" s="148" t="b">
        <v>0</v>
      </c>
      <c r="D1975" s="25" t="str">
        <f ca="1">道具!$C$23</f>
        <v>恐怖治疗药草</v>
      </c>
      <c r="E1975" s="543" t="b">
        <v>0</v>
      </c>
      <c r="F1975" s="409" t="str">
        <f ca="1">语言!$A$23</f>
        <v>无</v>
      </c>
      <c r="G1975" s="543" t="b">
        <v>0</v>
      </c>
      <c r="H1975" s="545" t="s">
        <v>49</v>
      </c>
      <c r="I1975" s="409">
        <v>4</v>
      </c>
      <c r="J1975" s="409"/>
      <c r="K1975" s="409"/>
      <c r="L1975" s="409"/>
      <c r="M1975" s="409"/>
      <c r="N1975" s="409"/>
      <c r="O1975" s="409" t="str">
        <f ca="1">道具!$C$4</f>
        <v>ＨＰ恢复的葡萄（大）</v>
      </c>
      <c r="P1975" s="543"/>
      <c r="Q1975" s="545" t="s">
        <v>49</v>
      </c>
      <c r="R1975" s="24"/>
      <c r="S1975" s="24" t="str">
        <f ca="1">Summon!$I$52</f>
        <v>重拳</v>
      </c>
      <c r="T1975" s="545">
        <v>7</v>
      </c>
      <c r="U1975" s="543"/>
      <c r="V1975" s="409" t="str">
        <f ca="1">语言!$A$44&amp;" / "&amp;语言!$A$48&amp;" available after quest: "&amp;支线!$C$140</f>
        <v>引导 / 诱惑 available after quest: 绑架</v>
      </c>
      <c r="W1975" s="148"/>
    </row>
    <row r="1976" spans="1:23" ht="12.75" x14ac:dyDescent="0.2">
      <c r="A1976" s="148"/>
      <c r="B1976" s="544"/>
      <c r="C1976" s="152" t="b">
        <v>0</v>
      </c>
      <c r="D1976" s="151" t="str">
        <f ca="1">道具!$C$489</f>
        <v>精神戒指</v>
      </c>
      <c r="E1976" s="544"/>
      <c r="F1976" s="544"/>
      <c r="G1976" s="544"/>
      <c r="H1976" s="544"/>
      <c r="I1976" s="544"/>
      <c r="J1976" s="544"/>
      <c r="K1976" s="544"/>
      <c r="L1976" s="544"/>
      <c r="M1976" s="544"/>
      <c r="N1976" s="544"/>
      <c r="O1976" s="544"/>
      <c r="P1976" s="544"/>
      <c r="Q1976" s="544"/>
      <c r="R1976" s="150"/>
      <c r="S1976" s="150" t="str">
        <f ca="1">Summon!$I$4</f>
        <v>战斗</v>
      </c>
      <c r="T1976" s="544"/>
      <c r="U1976" s="544"/>
      <c r="V1976" s="544"/>
      <c r="W1976" s="148"/>
    </row>
    <row r="1977" spans="1:23" ht="12.75" x14ac:dyDescent="0.2">
      <c r="A1977" s="148"/>
      <c r="B1977" s="234" t="str">
        <f ca="1">语言!$A$1833</f>
        <v>桀骜不驯的强者</v>
      </c>
      <c r="C1977" s="152"/>
      <c r="D1977" s="159" t="s">
        <v>119</v>
      </c>
      <c r="E1977" s="152" t="b">
        <v>0</v>
      </c>
      <c r="F1977" s="150" t="str">
        <f ca="1">语言!$A$23</f>
        <v>无</v>
      </c>
      <c r="G1977" s="152" t="b">
        <v>0</v>
      </c>
      <c r="H1977" s="233" t="s">
        <v>50</v>
      </c>
      <c r="I1977" s="150">
        <v>4</v>
      </c>
      <c r="J1977" s="150"/>
      <c r="K1977" s="150"/>
      <c r="L1977" s="150"/>
      <c r="M1977" s="150"/>
      <c r="N1977" s="150"/>
      <c r="O1977" s="150" t="str">
        <f ca="1">道具!$C$427</f>
        <v>显赫盔甲</v>
      </c>
      <c r="P1977" s="152"/>
      <c r="Q1977" s="153" t="s">
        <v>119</v>
      </c>
      <c r="R1977" s="153" t="s">
        <v>119</v>
      </c>
      <c r="S1977" s="153" t="s">
        <v>119</v>
      </c>
      <c r="T1977" s="153" t="s">
        <v>119</v>
      </c>
      <c r="U1977" s="152"/>
      <c r="V1977" s="150" t="str">
        <f ca="1">"NPC available only for 1 "&amp;语言!$A$47&amp;" during "&amp;语言!$A$38&amp;" chapter 2"</f>
        <v>NPC available only for 1 比试 during 欧尔贝克 chapter 2</v>
      </c>
      <c r="W1977" s="148"/>
    </row>
    <row r="1978" spans="1:23" ht="12.75" x14ac:dyDescent="0.2">
      <c r="A1978" s="148"/>
      <c r="B1978" s="410" t="str">
        <f ca="1">语言!$A$1975</f>
        <v>商人</v>
      </c>
      <c r="C1978" s="148" t="b">
        <v>0</v>
      </c>
      <c r="D1978" s="25" t="str">
        <f ca="1">道具!$C$403</f>
        <v>大圣火长袍</v>
      </c>
      <c r="E1978" s="543" t="b">
        <v>0</v>
      </c>
      <c r="F1978" s="409" t="str">
        <f ca="1">语言!$A$33&amp;"
"&amp;道具!$C$7</f>
        <v>隐藏道具的资讯
ＳＰ恢复的李子（大）</v>
      </c>
      <c r="G1978" s="543" t="b">
        <v>0</v>
      </c>
      <c r="H1978" s="545" t="s">
        <v>50</v>
      </c>
      <c r="I1978" s="409">
        <v>4</v>
      </c>
      <c r="J1978" s="409"/>
      <c r="K1978" s="409"/>
      <c r="L1978" s="409"/>
      <c r="M1978" s="409"/>
      <c r="N1978" s="409"/>
      <c r="O1978" s="409" t="str">
        <f ca="1">道具!$C$377</f>
        <v>星屑帽子</v>
      </c>
      <c r="P1978" s="543"/>
      <c r="Q1978" s="545" t="s">
        <v>50</v>
      </c>
      <c r="R1978" s="24"/>
      <c r="S1978" s="24" t="str">
        <f ca="1">Summon!$I$9</f>
        <v>高速推进</v>
      </c>
      <c r="T1978" s="545">
        <v>7</v>
      </c>
      <c r="U1978" s="543"/>
      <c r="V1978" s="409"/>
      <c r="W1978" s="148"/>
    </row>
    <row r="1979" spans="1:23" ht="12.75" x14ac:dyDescent="0.2">
      <c r="A1979" s="148"/>
      <c r="B1979" s="371"/>
      <c r="C1979" s="148" t="b">
        <v>0</v>
      </c>
      <c r="D1979" s="25" t="str">
        <f ca="1">道具!$C$506</f>
        <v>火焰避邪符</v>
      </c>
      <c r="E1979" s="371"/>
      <c r="F1979" s="371"/>
      <c r="G1979" s="371"/>
      <c r="H1979" s="371"/>
      <c r="I1979" s="371"/>
      <c r="J1979" s="371"/>
      <c r="K1979" s="371"/>
      <c r="L1979" s="371"/>
      <c r="M1979" s="371"/>
      <c r="N1979" s="371"/>
      <c r="O1979" s="371"/>
      <c r="P1979" s="371"/>
      <c r="Q1979" s="371"/>
      <c r="R1979" s="24"/>
      <c r="S1979" s="24" t="str">
        <f ca="1">Summon!$I$4</f>
        <v>战斗</v>
      </c>
      <c r="T1979" s="371"/>
      <c r="U1979" s="371"/>
      <c r="V1979" s="371"/>
      <c r="W1979" s="148"/>
    </row>
    <row r="1980" spans="1:23" ht="12.75" x14ac:dyDescent="0.2">
      <c r="A1980" s="148"/>
      <c r="B1980" s="547" t="str">
        <f ca="1">语言!$A$484</f>
        <v>维克塔霍洛 -斗技场前-</v>
      </c>
      <c r="C1980" s="371"/>
      <c r="D1980" s="371"/>
      <c r="E1980" s="371"/>
      <c r="F1980" s="371"/>
      <c r="G1980" s="371"/>
      <c r="H1980" s="371"/>
      <c r="I1980" s="371"/>
      <c r="J1980" s="371"/>
      <c r="K1980" s="371"/>
      <c r="L1980" s="371"/>
      <c r="M1980" s="371"/>
      <c r="N1980" s="371"/>
      <c r="O1980" s="371"/>
      <c r="P1980" s="371"/>
      <c r="Q1980" s="371"/>
      <c r="R1980" s="371"/>
      <c r="S1980" s="371"/>
      <c r="T1980" s="371"/>
      <c r="U1980" s="371"/>
      <c r="V1980" s="371"/>
      <c r="W1980" s="148"/>
    </row>
    <row r="1981" spans="1:23" ht="12.75" x14ac:dyDescent="0.2">
      <c r="A1981" s="148"/>
      <c r="B1981" s="410" t="str">
        <f ca="1">语言!$A$1989&amp;" (1)"</f>
        <v>蒙德尔 (1)</v>
      </c>
      <c r="C1981" s="543" t="b">
        <v>0</v>
      </c>
      <c r="D1981" s="410" t="str">
        <f ca="1">道具!$C$183</f>
        <v>帝国骑枪</v>
      </c>
      <c r="E1981" s="543" t="b">
        <v>0</v>
      </c>
      <c r="F1981" s="409" t="str">
        <f ca="1">道具!$I$36</f>
        <v>蒙德尔的况状</v>
      </c>
      <c r="G1981" s="543" t="b">
        <v>0</v>
      </c>
      <c r="H1981" s="545" t="s">
        <v>51</v>
      </c>
      <c r="I1981" s="409">
        <v>5</v>
      </c>
      <c r="J1981" s="409"/>
      <c r="K1981" s="409"/>
      <c r="L1981" s="409"/>
      <c r="M1981" s="409"/>
      <c r="N1981" s="409"/>
      <c r="O1981" s="409" t="str">
        <f ca="1">道具!$C$11</f>
        <v>ＢＰ恢复的石榴（特大）</v>
      </c>
      <c r="P1981" s="543"/>
      <c r="Q1981" s="545" t="s">
        <v>51</v>
      </c>
      <c r="R1981" s="24"/>
      <c r="S1981" s="24" t="str">
        <f ca="1">Summon!$I$38</f>
        <v>嗯！嗯！嗯！</v>
      </c>
      <c r="T1981" s="545">
        <v>6</v>
      </c>
      <c r="U1981" s="543"/>
      <c r="V1981" s="409" t="str">
        <f ca="1">"Moves to "&amp;语言!$A$485&amp;" after quest: "&amp;支线!$C$141</f>
        <v>Moves to 维克塔霍洛 -斗技场- after quest: 下注的事前准备</v>
      </c>
      <c r="W1981" s="148"/>
    </row>
    <row r="1982" spans="1:23" ht="12.75" x14ac:dyDescent="0.2">
      <c r="A1982" s="148"/>
      <c r="B1982" s="371"/>
      <c r="C1982" s="371"/>
      <c r="D1982" s="371"/>
      <c r="E1982" s="371"/>
      <c r="F1982" s="371"/>
      <c r="G1982" s="371"/>
      <c r="H1982" s="371"/>
      <c r="I1982" s="371"/>
      <c r="J1982" s="371"/>
      <c r="K1982" s="371"/>
      <c r="L1982" s="371"/>
      <c r="M1982" s="371"/>
      <c r="N1982" s="371"/>
      <c r="O1982" s="371"/>
      <c r="P1982" s="371"/>
      <c r="Q1982" s="371"/>
      <c r="R1982" s="24"/>
      <c r="S1982" s="24" t="str">
        <f ca="1">Summon!$I$35</f>
        <v>嗯！嗯！</v>
      </c>
      <c r="T1982" s="371"/>
      <c r="U1982" s="371"/>
      <c r="V1982" s="371"/>
      <c r="W1982" s="148"/>
    </row>
    <row r="1983" spans="1:23" ht="12.75" x14ac:dyDescent="0.2">
      <c r="A1983" s="148"/>
      <c r="B1983" s="544"/>
      <c r="C1983" s="544"/>
      <c r="D1983" s="544"/>
      <c r="E1983" s="544"/>
      <c r="F1983" s="544"/>
      <c r="G1983" s="544"/>
      <c r="H1983" s="544"/>
      <c r="I1983" s="544"/>
      <c r="J1983" s="544"/>
      <c r="K1983" s="544"/>
      <c r="L1983" s="544"/>
      <c r="M1983" s="544"/>
      <c r="N1983" s="544"/>
      <c r="O1983" s="544"/>
      <c r="P1983" s="544"/>
      <c r="Q1983" s="544"/>
      <c r="R1983" s="150"/>
      <c r="S1983" s="150" t="str">
        <f ca="1">Summon!$I$29</f>
        <v>嗯！</v>
      </c>
      <c r="T1983" s="544"/>
      <c r="U1983" s="544"/>
      <c r="V1983" s="544"/>
      <c r="W1983" s="148"/>
    </row>
    <row r="1984" spans="1:23" ht="12.75" x14ac:dyDescent="0.2">
      <c r="A1984" s="148"/>
      <c r="B1984" s="410" t="str">
        <f ca="1">语言!$A$1797</f>
        <v>揽客的人</v>
      </c>
      <c r="C1984" s="148" t="b">
        <v>0</v>
      </c>
      <c r="D1984" s="25" t="str">
        <f ca="1">道具!$C$289</f>
        <v>战斧弓</v>
      </c>
      <c r="E1984" s="543" t="b">
        <v>0</v>
      </c>
      <c r="F1984" s="409" t="str">
        <f ca="1">语言!$A$23</f>
        <v>无</v>
      </c>
      <c r="G1984" s="543" t="b">
        <v>0</v>
      </c>
      <c r="H1984" s="545" t="s">
        <v>50</v>
      </c>
      <c r="I1984" s="409">
        <v>4</v>
      </c>
      <c r="J1984" s="409"/>
      <c r="K1984" s="409"/>
      <c r="L1984" s="409"/>
      <c r="M1984" s="409"/>
      <c r="N1984" s="409"/>
      <c r="O1984" s="409" t="str">
        <f ca="1">道具!$C$9</f>
        <v>ＢＰ恢复的石榴</v>
      </c>
      <c r="P1984" s="543"/>
      <c r="Q1984" s="546" t="s">
        <v>119</v>
      </c>
      <c r="R1984" s="546" t="s">
        <v>119</v>
      </c>
      <c r="S1984" s="546" t="s">
        <v>119</v>
      </c>
      <c r="T1984" s="546" t="s">
        <v>119</v>
      </c>
      <c r="U1984" s="543"/>
      <c r="V1984" s="409"/>
      <c r="W1984" s="148"/>
    </row>
    <row r="1985" spans="1:23" ht="12.75" x14ac:dyDescent="0.2">
      <c r="A1985" s="148"/>
      <c r="B1985" s="544"/>
      <c r="C1985" s="152" t="b">
        <v>0</v>
      </c>
      <c r="D1985" s="151" t="str">
        <f ca="1">道具!$C$437</f>
        <v>魔咒长袍</v>
      </c>
      <c r="E1985" s="544"/>
      <c r="F1985" s="544"/>
      <c r="G1985" s="544"/>
      <c r="H1985" s="544"/>
      <c r="I1985" s="544"/>
      <c r="J1985" s="544"/>
      <c r="K1985" s="544"/>
      <c r="L1985" s="544"/>
      <c r="M1985" s="544"/>
      <c r="N1985" s="544"/>
      <c r="O1985" s="544"/>
      <c r="P1985" s="544"/>
      <c r="Q1985" s="544"/>
      <c r="R1985" s="544"/>
      <c r="S1985" s="544"/>
      <c r="T1985" s="544"/>
      <c r="U1985" s="544"/>
      <c r="V1985" s="544"/>
      <c r="W1985" s="148"/>
    </row>
    <row r="1986" spans="1:23" ht="12.75" x14ac:dyDescent="0.2">
      <c r="A1986" s="148"/>
      <c r="B1986" s="410" t="str">
        <f ca="1">语言!$A$2102</f>
        <v>市民</v>
      </c>
      <c r="C1986" s="148" t="b">
        <v>0</v>
      </c>
      <c r="D1986" s="25" t="str">
        <f ca="1">道具!$C$528</f>
        <v>药的素材</v>
      </c>
      <c r="E1986" s="543" t="b">
        <v>0</v>
      </c>
      <c r="F1986" s="409" t="str">
        <f ca="1">语言!$A$23</f>
        <v>无</v>
      </c>
      <c r="G1986" s="543" t="b">
        <v>0</v>
      </c>
      <c r="H1986" s="545" t="s">
        <v>48</v>
      </c>
      <c r="I1986" s="409">
        <v>2</v>
      </c>
      <c r="J1986" s="409"/>
      <c r="K1986" s="409"/>
      <c r="L1986" s="409"/>
      <c r="M1986" s="409"/>
      <c r="N1986" s="409"/>
      <c r="O1986" s="409" t="str">
        <f ca="1">道具!$C$84</f>
        <v>糖果</v>
      </c>
      <c r="P1986" s="543"/>
      <c r="Q1986" s="545" t="s">
        <v>48</v>
      </c>
      <c r="R1986" s="24"/>
      <c r="S1986" s="24" t="str">
        <f ca="1">Summon!$I$72</f>
        <v>殴打</v>
      </c>
      <c r="T1986" s="545">
        <v>9</v>
      </c>
      <c r="U1986" s="543"/>
      <c r="V1986" s="409" t="str">
        <f ca="1">"Behind other NPC ("&amp;语言!$A$47&amp;" / "&amp;语言!$A$51&amp;")"</f>
        <v>Behind other NPC (比试 / 唆使)</v>
      </c>
      <c r="W1986" s="148"/>
    </row>
    <row r="1987" spans="1:23" ht="12.75" x14ac:dyDescent="0.2">
      <c r="A1987" s="148"/>
      <c r="B1987" s="371"/>
      <c r="C1987" s="148" t="b">
        <v>0</v>
      </c>
      <c r="D1987" s="25" t="str">
        <f ca="1">道具!$C$529</f>
        <v>药的素材（扩散）</v>
      </c>
      <c r="E1987" s="371"/>
      <c r="F1987" s="371"/>
      <c r="G1987" s="371"/>
      <c r="H1987" s="371"/>
      <c r="I1987" s="371"/>
      <c r="J1987" s="371"/>
      <c r="K1987" s="371"/>
      <c r="L1987" s="371"/>
      <c r="M1987" s="371"/>
      <c r="N1987" s="371"/>
      <c r="O1987" s="371"/>
      <c r="P1987" s="371"/>
      <c r="Q1987" s="371"/>
      <c r="R1987" s="24"/>
      <c r="S1987" s="24" t="str">
        <f ca="1">Summon!$I$118</f>
        <v>恢复ＨＰ的葡萄</v>
      </c>
      <c r="T1987" s="371"/>
      <c r="U1987" s="371"/>
      <c r="V1987" s="371"/>
      <c r="W1987" s="148"/>
    </row>
    <row r="1988" spans="1:23" ht="12.75" x14ac:dyDescent="0.2">
      <c r="A1988" s="148"/>
      <c r="B1988" s="371"/>
      <c r="C1988" s="148" t="b">
        <v>0</v>
      </c>
      <c r="D1988" s="25" t="str">
        <f ca="1">道具!$C$530</f>
        <v>秘药的素材</v>
      </c>
      <c r="E1988" s="371"/>
      <c r="F1988" s="371"/>
      <c r="G1988" s="371"/>
      <c r="H1988" s="371"/>
      <c r="I1988" s="371"/>
      <c r="J1988" s="371"/>
      <c r="K1988" s="371"/>
      <c r="L1988" s="371"/>
      <c r="M1988" s="371"/>
      <c r="N1988" s="371"/>
      <c r="O1988" s="371"/>
      <c r="P1988" s="371"/>
      <c r="Q1988" s="371"/>
      <c r="R1988" s="24"/>
      <c r="S1988" s="24" t="str">
        <f ca="1">Summon!$I$4</f>
        <v>战斗</v>
      </c>
      <c r="T1988" s="371"/>
      <c r="U1988" s="371"/>
      <c r="V1988" s="371"/>
      <c r="W1988" s="148"/>
    </row>
    <row r="1989" spans="1:23" ht="12.75" x14ac:dyDescent="0.2">
      <c r="A1989" s="148"/>
      <c r="B1989" s="371"/>
      <c r="C1989" s="148" t="b">
        <v>0</v>
      </c>
      <c r="D1989" s="25" t="str">
        <f ca="1">道具!$C$531</f>
        <v>秘药的素材（扩散）</v>
      </c>
      <c r="E1989" s="371"/>
      <c r="F1989" s="371"/>
      <c r="G1989" s="371"/>
      <c r="H1989" s="371"/>
      <c r="I1989" s="371"/>
      <c r="J1989" s="371"/>
      <c r="K1989" s="371"/>
      <c r="L1989" s="371"/>
      <c r="M1989" s="371"/>
      <c r="N1989" s="371"/>
      <c r="O1989" s="371"/>
      <c r="P1989" s="371"/>
      <c r="Q1989" s="371"/>
      <c r="R1989" s="24"/>
      <c r="S1989" s="24"/>
      <c r="T1989" s="371"/>
      <c r="U1989" s="371"/>
      <c r="V1989" s="371"/>
      <c r="W1989" s="148"/>
    </row>
    <row r="1990" spans="1:23" ht="12.75" x14ac:dyDescent="0.2">
      <c r="A1990" s="148"/>
      <c r="B1990" s="544"/>
      <c r="C1990" s="152" t="b">
        <v>0</v>
      </c>
      <c r="D1990" s="151" t="str">
        <f ca="1">道具!$C$536</f>
        <v>超含毒的素材（扩散）</v>
      </c>
      <c r="E1990" s="544"/>
      <c r="F1990" s="544"/>
      <c r="G1990" s="544"/>
      <c r="H1990" s="544"/>
      <c r="I1990" s="544"/>
      <c r="J1990" s="544"/>
      <c r="K1990" s="544"/>
      <c r="L1990" s="544"/>
      <c r="M1990" s="544"/>
      <c r="N1990" s="544"/>
      <c r="O1990" s="544"/>
      <c r="P1990" s="544"/>
      <c r="Q1990" s="544"/>
      <c r="R1990" s="150"/>
      <c r="S1990" s="150"/>
      <c r="T1990" s="544"/>
      <c r="U1990" s="544"/>
      <c r="V1990" s="544"/>
      <c r="W1990" s="148"/>
    </row>
    <row r="1991" spans="1:23" ht="12.75" x14ac:dyDescent="0.2">
      <c r="A1991" s="148"/>
      <c r="B1991" s="410" t="str">
        <f ca="1">语言!$A$1899</f>
        <v>爱说闲话的居民</v>
      </c>
      <c r="C1991" s="148" t="b">
        <v>0</v>
      </c>
      <c r="D1991" s="25" t="str">
        <f ca="1">道具!$C$26</f>
        <v>暗黑瓶</v>
      </c>
      <c r="E1991" s="543" t="b">
        <v>0</v>
      </c>
      <c r="F1991" s="409" t="str">
        <f ca="1">语言!$A$23</f>
        <v>无</v>
      </c>
      <c r="G1991" s="543" t="b">
        <v>0</v>
      </c>
      <c r="H1991" s="545" t="s">
        <v>57</v>
      </c>
      <c r="I1991" s="409">
        <v>3</v>
      </c>
      <c r="J1991" s="409"/>
      <c r="K1991" s="409"/>
      <c r="L1991" s="409"/>
      <c r="M1991" s="409"/>
      <c r="N1991" s="409"/>
      <c r="O1991" s="409" t="str">
        <f ca="1">道具!$C$7</f>
        <v>ＳＰ恢复的李子（大）</v>
      </c>
      <c r="P1991" s="543"/>
      <c r="Q1991" s="545" t="s">
        <v>57</v>
      </c>
      <c r="R1991" s="24"/>
      <c r="S1991" s="24" t="str">
        <f ca="1">Summon!$I$180</f>
        <v>暴击提升</v>
      </c>
      <c r="T1991" s="545">
        <v>8</v>
      </c>
      <c r="U1991" s="543"/>
      <c r="V1991" s="409"/>
      <c r="W1991" s="148"/>
    </row>
    <row r="1992" spans="1:23" ht="12.75" x14ac:dyDescent="0.2">
      <c r="A1992" s="148"/>
      <c r="B1992" s="371"/>
      <c r="C1992" s="148" t="b">
        <v>0</v>
      </c>
      <c r="D1992" s="25" t="str">
        <f ca="1">道具!$C$47</f>
        <v>暗之精灵石（大）</v>
      </c>
      <c r="E1992" s="371"/>
      <c r="F1992" s="371"/>
      <c r="G1992" s="371"/>
      <c r="H1992" s="371"/>
      <c r="I1992" s="371"/>
      <c r="J1992" s="371"/>
      <c r="K1992" s="371"/>
      <c r="L1992" s="371"/>
      <c r="M1992" s="371"/>
      <c r="N1992" s="371"/>
      <c r="O1992" s="371"/>
      <c r="P1992" s="371"/>
      <c r="Q1992" s="371"/>
      <c r="R1992" s="24"/>
      <c r="S1992" s="24" t="str">
        <f ca="1">Summon!$I$31</f>
        <v>要害突刺</v>
      </c>
      <c r="T1992" s="371"/>
      <c r="U1992" s="371"/>
      <c r="V1992" s="371"/>
      <c r="W1992" s="148"/>
    </row>
    <row r="1993" spans="1:23" ht="12.75" x14ac:dyDescent="0.2">
      <c r="A1993" s="148"/>
      <c r="B1993" s="544"/>
      <c r="C1993" s="152" t="b">
        <v>0</v>
      </c>
      <c r="D1993" s="151" t="str">
        <f ca="1">道具!$C$47</f>
        <v>暗之精灵石（大）</v>
      </c>
      <c r="E1993" s="544"/>
      <c r="F1993" s="544"/>
      <c r="G1993" s="544"/>
      <c r="H1993" s="544"/>
      <c r="I1993" s="544"/>
      <c r="J1993" s="544"/>
      <c r="K1993" s="544"/>
      <c r="L1993" s="544"/>
      <c r="M1993" s="544"/>
      <c r="N1993" s="544"/>
      <c r="O1993" s="544"/>
      <c r="P1993" s="544"/>
      <c r="Q1993" s="544"/>
      <c r="R1993" s="150"/>
      <c r="S1993" s="150" t="str">
        <f ca="1">Summon!$I$4</f>
        <v>战斗</v>
      </c>
      <c r="T1993" s="544"/>
      <c r="U1993" s="544"/>
      <c r="V1993" s="544"/>
      <c r="W1993" s="148"/>
    </row>
    <row r="1994" spans="1:23" ht="12.75" x14ac:dyDescent="0.2">
      <c r="A1994" s="148"/>
      <c r="B1994" s="410" t="str">
        <f ca="1">语言!$A$2071</f>
        <v>观众</v>
      </c>
      <c r="C1994" s="148" t="b">
        <v>0</v>
      </c>
      <c r="D1994" s="25" t="str">
        <f ca="1">道具!$C$230</f>
        <v>刺击匕首</v>
      </c>
      <c r="E1994" s="543" t="b">
        <v>0</v>
      </c>
      <c r="F1994" s="409" t="str">
        <f ca="1">语言!$A$33&amp;"
"&amp;道具!$C$10</f>
        <v>隐藏道具的资讯
ＢＰ恢复的石榴（大）</v>
      </c>
      <c r="G1994" s="543" t="b">
        <v>0</v>
      </c>
      <c r="H1994" s="545" t="s">
        <v>46</v>
      </c>
      <c r="I1994" s="409">
        <v>3</v>
      </c>
      <c r="J1994" s="409"/>
      <c r="K1994" s="409"/>
      <c r="L1994" s="409"/>
      <c r="M1994" s="409"/>
      <c r="N1994" s="409"/>
      <c r="O1994" s="409" t="str">
        <f ca="1">道具!$C$226</f>
        <v>穿孔匕首</v>
      </c>
      <c r="P1994" s="543"/>
      <c r="Q1994" s="545" t="s">
        <v>46</v>
      </c>
      <c r="R1994" s="24"/>
      <c r="S1994" s="24" t="str">
        <f ca="1">Summon!$I$48</f>
        <v>连掷短剑</v>
      </c>
      <c r="T1994" s="545">
        <v>8</v>
      </c>
      <c r="U1994" s="543"/>
      <c r="V1994" s="409"/>
      <c r="W1994" s="148"/>
    </row>
    <row r="1995" spans="1:23" ht="12.75" x14ac:dyDescent="0.2">
      <c r="A1995" s="148"/>
      <c r="B1995" s="371"/>
      <c r="C1995" s="148" t="b">
        <v>0</v>
      </c>
      <c r="D1995" s="25" t="str">
        <f ca="1">道具!$C$227</f>
        <v>猎鹰匕首</v>
      </c>
      <c r="E1995" s="371"/>
      <c r="F1995" s="371"/>
      <c r="G1995" s="371"/>
      <c r="H1995" s="371"/>
      <c r="I1995" s="371"/>
      <c r="J1995" s="371"/>
      <c r="K1995" s="371"/>
      <c r="L1995" s="371"/>
      <c r="M1995" s="371"/>
      <c r="N1995" s="371"/>
      <c r="O1995" s="371"/>
      <c r="P1995" s="371"/>
      <c r="Q1995" s="371"/>
      <c r="R1995" s="24"/>
      <c r="S1995" s="24" t="str">
        <f ca="1">Summon!$I$4</f>
        <v>战斗</v>
      </c>
      <c r="T1995" s="371"/>
      <c r="U1995" s="371"/>
      <c r="V1995" s="371"/>
      <c r="W1995" s="148"/>
    </row>
    <row r="1996" spans="1:23" ht="12.75" x14ac:dyDescent="0.2">
      <c r="A1996" s="148"/>
      <c r="B1996" s="544"/>
      <c r="C1996" s="152" t="b">
        <v>0</v>
      </c>
      <c r="D1996" s="151" t="str">
        <f ca="1">道具!$C$225</f>
        <v>银制匕首</v>
      </c>
      <c r="E1996" s="544"/>
      <c r="F1996" s="544"/>
      <c r="G1996" s="544"/>
      <c r="H1996" s="544"/>
      <c r="I1996" s="544"/>
      <c r="J1996" s="544"/>
      <c r="K1996" s="544"/>
      <c r="L1996" s="544"/>
      <c r="M1996" s="544"/>
      <c r="N1996" s="544"/>
      <c r="O1996" s="544"/>
      <c r="P1996" s="544"/>
      <c r="Q1996" s="544"/>
      <c r="R1996" s="150"/>
      <c r="S1996" s="150"/>
      <c r="T1996" s="544"/>
      <c r="U1996" s="544"/>
      <c r="V1996" s="544"/>
      <c r="W1996" s="148"/>
    </row>
    <row r="1997" spans="1:23" ht="12.75" x14ac:dyDescent="0.2">
      <c r="A1997" s="148"/>
      <c r="B1997" s="410" t="str">
        <f ca="1">语言!$A$2070</f>
        <v>观众</v>
      </c>
      <c r="C1997" s="148" t="b">
        <v>0</v>
      </c>
      <c r="D1997" s="25" t="str">
        <f ca="1">道具!$C$539</f>
        <v>混乱多之叶</v>
      </c>
      <c r="E1997" s="543" t="b">
        <v>0</v>
      </c>
      <c r="F1997" s="409" t="str">
        <f ca="1">语言!$A$24</f>
        <v>旅店的折扣资讯</v>
      </c>
      <c r="G1997" s="543" t="b">
        <v>0</v>
      </c>
      <c r="H1997" s="545" t="s">
        <v>47</v>
      </c>
      <c r="I1997" s="409">
        <v>4</v>
      </c>
      <c r="J1997" s="409"/>
      <c r="K1997" s="409"/>
      <c r="L1997" s="409"/>
      <c r="M1997" s="409"/>
      <c r="N1997" s="409"/>
      <c r="O1997" s="409" t="str">
        <f ca="1">道具!$C$243</f>
        <v>金钢合金手斧</v>
      </c>
      <c r="P1997" s="543"/>
      <c r="Q1997" s="545" t="s">
        <v>47</v>
      </c>
      <c r="R1997" s="24"/>
      <c r="S1997" s="24" t="str">
        <f ca="1">Summon!$I$147</f>
        <v>混乱药</v>
      </c>
      <c r="T1997" s="545">
        <v>6</v>
      </c>
      <c r="U1997" s="543"/>
      <c r="V1997" s="409"/>
      <c r="W1997" s="148"/>
    </row>
    <row r="1998" spans="1:23" ht="12.75" x14ac:dyDescent="0.2">
      <c r="A1998" s="148"/>
      <c r="B1998" s="371"/>
      <c r="C1998" s="148" t="b">
        <v>0</v>
      </c>
      <c r="D1998" s="25" t="str">
        <f ca="1">道具!$C$533</f>
        <v>含毒的素材（扩散）</v>
      </c>
      <c r="E1998" s="371"/>
      <c r="F1998" s="371"/>
      <c r="G1998" s="371"/>
      <c r="H1998" s="371"/>
      <c r="I1998" s="371"/>
      <c r="J1998" s="371"/>
      <c r="K1998" s="371"/>
      <c r="L1998" s="371"/>
      <c r="M1998" s="371"/>
      <c r="N1998" s="371"/>
      <c r="O1998" s="371"/>
      <c r="P1998" s="371"/>
      <c r="Q1998" s="371"/>
      <c r="R1998" s="24"/>
      <c r="S1998" s="24" t="str">
        <f ca="1">Summon!$I$4</f>
        <v>战斗</v>
      </c>
      <c r="T1998" s="371"/>
      <c r="U1998" s="371"/>
      <c r="V1998" s="371"/>
      <c r="W1998" s="148"/>
    </row>
    <row r="1999" spans="1:23" ht="12.75" x14ac:dyDescent="0.2">
      <c r="A1999" s="148"/>
      <c r="B1999" s="544"/>
      <c r="C1999" s="152" t="b">
        <v>0</v>
      </c>
      <c r="D1999" s="151" t="str">
        <f ca="1">道具!$C$533</f>
        <v>含毒的素材（扩散）</v>
      </c>
      <c r="E1999" s="544"/>
      <c r="F1999" s="544"/>
      <c r="G1999" s="544"/>
      <c r="H1999" s="544"/>
      <c r="I1999" s="544"/>
      <c r="J1999" s="544"/>
      <c r="K1999" s="544"/>
      <c r="L1999" s="544"/>
      <c r="M1999" s="544"/>
      <c r="N1999" s="544"/>
      <c r="O1999" s="544"/>
      <c r="P1999" s="544"/>
      <c r="Q1999" s="544"/>
      <c r="R1999" s="150"/>
      <c r="S1999" s="150"/>
      <c r="T1999" s="544"/>
      <c r="U1999" s="544"/>
      <c r="V1999" s="544"/>
      <c r="W1999" s="148"/>
    </row>
    <row r="2000" spans="1:23" ht="12.75" x14ac:dyDescent="0.2">
      <c r="A2000" s="148"/>
      <c r="B2000" s="410" t="str">
        <f ca="1">语言!$A$1784&amp;" (2)"</f>
        <v>阿什兰 (2)</v>
      </c>
      <c r="C2000" s="148" t="b">
        <v>0</v>
      </c>
      <c r="D2000" s="25" t="str">
        <f ca="1">道具!$C$497</f>
        <v>精神耳环</v>
      </c>
      <c r="E2000" s="543" t="b">
        <v>0</v>
      </c>
      <c r="F2000" s="409" t="str">
        <f ca="1">语言!$A$23</f>
        <v>无</v>
      </c>
      <c r="G2000" s="543" t="b">
        <v>0</v>
      </c>
      <c r="H2000" s="545" t="s">
        <v>57</v>
      </c>
      <c r="I2000" s="409">
        <v>3</v>
      </c>
      <c r="J2000" s="409"/>
      <c r="K2000" s="409"/>
      <c r="L2000" s="409"/>
      <c r="M2000" s="409"/>
      <c r="N2000" s="409"/>
      <c r="O2000" s="409" t="str">
        <f ca="1">道具!$C$35</f>
        <v>冰之精灵石（特大）</v>
      </c>
      <c r="P2000" s="543"/>
      <c r="Q2000" s="545" t="s">
        <v>57</v>
      </c>
      <c r="R2000" s="24"/>
      <c r="S2000" s="24" t="str">
        <f ca="1">Summon!$I$65</f>
        <v>剧毒之矢</v>
      </c>
      <c r="T2000" s="545">
        <v>8</v>
      </c>
      <c r="U2000" s="543"/>
      <c r="V2000" s="409" t="str">
        <f ca="1">"NPC at this location after quest: "&amp;支线!$C$132&amp;"
Moves to "&amp;语言!$A$491&amp;" after quest: "&amp;支线!$C$138</f>
        <v>NPC at this location after quest: 魔物操控人的末裔阿什兰（１）
Moves to 达斯克瓦罗 after quest: 魔物操控人的末裔阿什兰（２）</v>
      </c>
      <c r="W2000" s="148"/>
    </row>
    <row r="2001" spans="1:23" ht="12.75" x14ac:dyDescent="0.2">
      <c r="A2001" s="148"/>
      <c r="B2001" s="371"/>
      <c r="C2001" s="148" t="b">
        <v>0</v>
      </c>
      <c r="D2001" s="25" t="str">
        <f ca="1">道具!$C$25</f>
        <v>毒瓶</v>
      </c>
      <c r="E2001" s="371"/>
      <c r="F2001" s="371"/>
      <c r="G2001" s="371"/>
      <c r="H2001" s="371"/>
      <c r="I2001" s="371"/>
      <c r="J2001" s="371"/>
      <c r="K2001" s="371"/>
      <c r="L2001" s="371"/>
      <c r="M2001" s="371"/>
      <c r="N2001" s="371"/>
      <c r="O2001" s="371"/>
      <c r="P2001" s="371"/>
      <c r="Q2001" s="371"/>
      <c r="R2001" s="24"/>
      <c r="S2001" s="24" t="str">
        <f ca="1">Summon!$I$64</f>
        <v>精准射击</v>
      </c>
      <c r="T2001" s="371"/>
      <c r="U2001" s="371"/>
      <c r="V2001" s="371"/>
      <c r="W2001" s="148"/>
    </row>
    <row r="2002" spans="1:23" ht="12.75" x14ac:dyDescent="0.2">
      <c r="A2002" s="148"/>
      <c r="B2002" s="544"/>
      <c r="C2002" s="152" t="b">
        <v>0</v>
      </c>
      <c r="D2002" s="151" t="str">
        <f ca="1">道具!$C$35</f>
        <v>冰之精灵石（特大）</v>
      </c>
      <c r="E2002" s="544"/>
      <c r="F2002" s="544"/>
      <c r="G2002" s="544"/>
      <c r="H2002" s="544"/>
      <c r="I2002" s="544"/>
      <c r="J2002" s="544"/>
      <c r="K2002" s="544"/>
      <c r="L2002" s="544"/>
      <c r="M2002" s="544"/>
      <c r="N2002" s="544"/>
      <c r="O2002" s="544"/>
      <c r="P2002" s="544"/>
      <c r="Q2002" s="544"/>
      <c r="R2002" s="150"/>
      <c r="S2002" s="150" t="str">
        <f ca="1">Summon!$I$4</f>
        <v>战斗</v>
      </c>
      <c r="T2002" s="544"/>
      <c r="U2002" s="544"/>
      <c r="V2002" s="544"/>
      <c r="W2002" s="148"/>
    </row>
    <row r="2003" spans="1:23" ht="12.75" x14ac:dyDescent="0.2">
      <c r="A2003" s="148"/>
      <c r="B2003" s="410" t="str">
        <f ca="1">语言!$A$1826</f>
        <v>主办人赛西莉</v>
      </c>
      <c r="C2003" s="543" t="b">
        <v>0</v>
      </c>
      <c r="D2003" s="410" t="str">
        <f ca="1">道具!$C$467</f>
        <v>守备的饰章</v>
      </c>
      <c r="E2003" s="543" t="b">
        <v>0</v>
      </c>
      <c r="F2003" s="409" t="str">
        <f ca="1">语言!$A$23</f>
        <v>无</v>
      </c>
      <c r="G2003" s="543" t="b">
        <v>0</v>
      </c>
      <c r="H2003" s="545" t="s">
        <v>57</v>
      </c>
      <c r="I2003" s="409">
        <v>3</v>
      </c>
      <c r="J2003" s="409"/>
      <c r="K2003" s="409"/>
      <c r="L2003" s="409"/>
      <c r="M2003" s="409"/>
      <c r="N2003" s="409"/>
      <c r="O2003" s="409" t="str">
        <f ca="1">道具!$C$9</f>
        <v>ＢＰ恢复的石榴</v>
      </c>
      <c r="P2003" s="543"/>
      <c r="Q2003" s="545" t="s">
        <v>57</v>
      </c>
      <c r="R2003" s="24"/>
      <c r="S2003" s="24" t="str">
        <f ca="1">Summon!$I$174</f>
        <v>防御力提升</v>
      </c>
      <c r="T2003" s="545">
        <v>8</v>
      </c>
      <c r="U2003" s="543"/>
      <c r="V2003" s="409" t="str">
        <f ca="1">"NPC available after "&amp;语言!$A$38&amp;" chapter 4"</f>
        <v>NPC available after 欧尔贝克 chapter 4</v>
      </c>
      <c r="W2003" s="148"/>
    </row>
    <row r="2004" spans="1:23" ht="12.75" x14ac:dyDescent="0.2">
      <c r="A2004" s="148"/>
      <c r="B2004" s="371"/>
      <c r="C2004" s="371"/>
      <c r="D2004" s="371"/>
      <c r="E2004" s="371"/>
      <c r="F2004" s="371"/>
      <c r="G2004" s="371"/>
      <c r="H2004" s="371"/>
      <c r="I2004" s="371"/>
      <c r="J2004" s="371"/>
      <c r="K2004" s="371"/>
      <c r="L2004" s="371"/>
      <c r="M2004" s="371"/>
      <c r="N2004" s="371"/>
      <c r="O2004" s="371"/>
      <c r="P2004" s="371"/>
      <c r="Q2004" s="371"/>
      <c r="R2004" s="24"/>
      <c r="S2004" s="24" t="str">
        <f ca="1">Summon!$I$118</f>
        <v>恢复ＨＰ的葡萄</v>
      </c>
      <c r="T2004" s="371"/>
      <c r="U2004" s="371"/>
      <c r="V2004" s="371"/>
      <c r="W2004" s="148"/>
    </row>
    <row r="2005" spans="1:23" ht="12.75" x14ac:dyDescent="0.2">
      <c r="A2005" s="148"/>
      <c r="B2005" s="544"/>
      <c r="C2005" s="544"/>
      <c r="D2005" s="544"/>
      <c r="E2005" s="544"/>
      <c r="F2005" s="544"/>
      <c r="G2005" s="544"/>
      <c r="H2005" s="544"/>
      <c r="I2005" s="544"/>
      <c r="J2005" s="544"/>
      <c r="K2005" s="544"/>
      <c r="L2005" s="544"/>
      <c r="M2005" s="544"/>
      <c r="N2005" s="544"/>
      <c r="O2005" s="544"/>
      <c r="P2005" s="544"/>
      <c r="Q2005" s="544"/>
      <c r="R2005" s="150"/>
      <c r="S2005" s="150" t="str">
        <f ca="1">Summon!$I$4</f>
        <v>战斗</v>
      </c>
      <c r="T2005" s="544"/>
      <c r="U2005" s="544"/>
      <c r="V2005" s="544"/>
      <c r="W2005" s="148"/>
    </row>
    <row r="2006" spans="1:23" ht="12.75" x14ac:dyDescent="0.2">
      <c r="A2006" s="148"/>
      <c r="B2006" s="410" t="str">
        <f ca="1">语言!$A$2000</f>
        <v>剑斗士奈德</v>
      </c>
      <c r="C2006" s="148" t="b">
        <v>0</v>
      </c>
      <c r="D2006" s="25" t="str">
        <f ca="1">道具!$C$60</f>
        <v>增强物防的坚果（大）</v>
      </c>
      <c r="E2006" s="543" t="b">
        <v>0</v>
      </c>
      <c r="F2006" s="409" t="str">
        <f ca="1">语言!$A$23</f>
        <v>无</v>
      </c>
      <c r="G2006" s="543" t="b">
        <v>0</v>
      </c>
      <c r="H2006" s="545" t="s">
        <v>50</v>
      </c>
      <c r="I2006" s="409">
        <v>4</v>
      </c>
      <c r="J2006" s="409"/>
      <c r="K2006" s="409"/>
      <c r="L2006" s="409"/>
      <c r="M2006" s="409"/>
      <c r="N2006" s="409"/>
      <c r="O2006" s="409" t="str">
        <f ca="1">道具!$C$5</f>
        <v>ＨＰ全体恢复的葡萄</v>
      </c>
      <c r="P2006" s="543"/>
      <c r="Q2006" s="545" t="s">
        <v>50</v>
      </c>
      <c r="R2006" s="24"/>
      <c r="S2006" s="24" t="str">
        <f ca="1">Summon!$I$56</f>
        <v>一刀两断</v>
      </c>
      <c r="T2006" s="545">
        <v>7</v>
      </c>
      <c r="U2006" s="543"/>
      <c r="V2006" s="409" t="str">
        <f ca="1">"NPC available after "&amp;语言!$A$38&amp;" chapter 4"</f>
        <v>NPC available after 欧尔贝克 chapter 4</v>
      </c>
      <c r="W2006" s="148"/>
    </row>
    <row r="2007" spans="1:23" ht="12.75" x14ac:dyDescent="0.2">
      <c r="A2007" s="148"/>
      <c r="B2007" s="371"/>
      <c r="C2007" s="148" t="b">
        <v>0</v>
      </c>
      <c r="D2007" s="25" t="str">
        <f ca="1">道具!$C$402</f>
        <v>水晶背心</v>
      </c>
      <c r="E2007" s="371"/>
      <c r="F2007" s="371"/>
      <c r="G2007" s="371"/>
      <c r="H2007" s="371"/>
      <c r="I2007" s="371"/>
      <c r="J2007" s="371"/>
      <c r="K2007" s="371"/>
      <c r="L2007" s="371"/>
      <c r="M2007" s="371"/>
      <c r="N2007" s="371"/>
      <c r="O2007" s="371"/>
      <c r="P2007" s="371"/>
      <c r="Q2007" s="371"/>
      <c r="R2007" s="24"/>
      <c r="S2007" s="24" t="str">
        <f ca="1">Summon!$I$61</f>
        <v>全力斩击</v>
      </c>
      <c r="T2007" s="371"/>
      <c r="U2007" s="371"/>
      <c r="V2007" s="371"/>
      <c r="W2007" s="148"/>
    </row>
    <row r="2008" spans="1:23" ht="12.75" x14ac:dyDescent="0.2">
      <c r="A2008" s="148"/>
      <c r="B2008" s="544"/>
      <c r="C2008" s="152" t="b">
        <v>0</v>
      </c>
      <c r="D2008" s="151" t="str">
        <f ca="1">道具!$C$233</f>
        <v>历战之斧</v>
      </c>
      <c r="E2008" s="544"/>
      <c r="F2008" s="544"/>
      <c r="G2008" s="544"/>
      <c r="H2008" s="544"/>
      <c r="I2008" s="544"/>
      <c r="J2008" s="544"/>
      <c r="K2008" s="544"/>
      <c r="L2008" s="544"/>
      <c r="M2008" s="544"/>
      <c r="N2008" s="544"/>
      <c r="O2008" s="544"/>
      <c r="P2008" s="544"/>
      <c r="Q2008" s="544"/>
      <c r="R2008" s="150"/>
      <c r="S2008" s="150" t="str">
        <f ca="1">Summon!$I$4</f>
        <v>战斗</v>
      </c>
      <c r="T2008" s="544"/>
      <c r="U2008" s="544"/>
      <c r="V2008" s="544"/>
      <c r="W2008" s="148"/>
    </row>
    <row r="2009" spans="1:23" ht="12.75" x14ac:dyDescent="0.2">
      <c r="A2009" s="148"/>
      <c r="B2009" s="410" t="str">
        <f ca="1">语言!$A$1870&amp;" (1)"</f>
        <v>艾斯塔达斯 (1)</v>
      </c>
      <c r="C2009" s="543" t="b">
        <v>0</v>
      </c>
      <c r="D2009" s="410" t="str">
        <f ca="1">道具!$C$150</f>
        <v>神圣之刃</v>
      </c>
      <c r="E2009" s="543" t="b">
        <v>0</v>
      </c>
      <c r="F2009" s="409" t="str">
        <f ca="1">道具!$I$20</f>
        <v>艾斯塔达斯的况状</v>
      </c>
      <c r="G2009" s="543" t="b">
        <v>0</v>
      </c>
      <c r="H2009" s="545" t="s">
        <v>57</v>
      </c>
      <c r="I2009" s="409">
        <v>3</v>
      </c>
      <c r="J2009" s="409"/>
      <c r="K2009" s="409"/>
      <c r="L2009" s="409"/>
      <c r="M2009" s="409"/>
      <c r="N2009" s="409"/>
      <c r="O2009" s="409" t="str">
        <f ca="1">道具!$C$12</f>
        <v>ＨＰ／ＳＰ恢复的果酱</v>
      </c>
      <c r="P2009" s="543"/>
      <c r="Q2009" s="545" t="s">
        <v>57</v>
      </c>
      <c r="R2009" s="24"/>
      <c r="S2009" s="24" t="str">
        <f ca="1">Summon!$I$6</f>
        <v>斩击</v>
      </c>
      <c r="T2009" s="545">
        <v>8</v>
      </c>
      <c r="U2009" s="543"/>
      <c r="V2009" s="409" t="str">
        <f ca="1">"Moves to "&amp;语言!$A$485&amp;" after quest: "&amp;支线!$C$141</f>
        <v>Moves to 维克塔霍洛 -斗技场- after quest: 下注的事前准备</v>
      </c>
      <c r="W2009" s="148"/>
    </row>
    <row r="2010" spans="1:23" ht="12.75" x14ac:dyDescent="0.2">
      <c r="A2010" s="148"/>
      <c r="B2010" s="544"/>
      <c r="C2010" s="544"/>
      <c r="D2010" s="544"/>
      <c r="E2010" s="544"/>
      <c r="F2010" s="544"/>
      <c r="G2010" s="544"/>
      <c r="H2010" s="544"/>
      <c r="I2010" s="544"/>
      <c r="J2010" s="544"/>
      <c r="K2010" s="544"/>
      <c r="L2010" s="544"/>
      <c r="M2010" s="544"/>
      <c r="N2010" s="544"/>
      <c r="O2010" s="544"/>
      <c r="P2010" s="544"/>
      <c r="Q2010" s="544"/>
      <c r="R2010" s="150"/>
      <c r="S2010" s="150" t="str">
        <f ca="1">Summon!$I$4</f>
        <v>战斗</v>
      </c>
      <c r="T2010" s="544"/>
      <c r="U2010" s="544"/>
      <c r="V2010" s="544"/>
      <c r="W2010" s="148"/>
    </row>
    <row r="2011" spans="1:23" ht="12.75" x14ac:dyDescent="0.2">
      <c r="A2011" s="148"/>
      <c r="B2011" s="410" t="str">
        <f ca="1">语言!$A$1975</f>
        <v>商人</v>
      </c>
      <c r="C2011" s="148" t="b">
        <v>0</v>
      </c>
      <c r="D2011" s="25" t="str">
        <f ca="1">"* "&amp;道具!$F$13</f>
        <v>* 艾德哈尔特之盾</v>
      </c>
      <c r="E2011" s="543"/>
      <c r="F2011" s="546" t="s">
        <v>119</v>
      </c>
      <c r="G2011" s="543"/>
      <c r="H2011" s="546" t="s">
        <v>119</v>
      </c>
      <c r="I2011" s="546" t="s">
        <v>119</v>
      </c>
      <c r="J2011" s="546" t="s">
        <v>119</v>
      </c>
      <c r="K2011" s="546" t="s">
        <v>119</v>
      </c>
      <c r="L2011" s="546" t="s">
        <v>119</v>
      </c>
      <c r="M2011" s="546" t="s">
        <v>119</v>
      </c>
      <c r="N2011" s="546" t="s">
        <v>119</v>
      </c>
      <c r="O2011" s="546" t="s">
        <v>119</v>
      </c>
      <c r="P2011" s="543"/>
      <c r="Q2011" s="546" t="s">
        <v>119</v>
      </c>
      <c r="R2011" s="546" t="s">
        <v>119</v>
      </c>
      <c r="S2011" s="546" t="s">
        <v>119</v>
      </c>
      <c r="T2011" s="546" t="s">
        <v>119</v>
      </c>
      <c r="U2011" s="543"/>
      <c r="V2011" s="409" t="str">
        <f ca="1">"NPC available during "&amp;语言!$A$37&amp;" chapter 3 only"</f>
        <v>NPC available during 特蕾莎 chapter 3 only</v>
      </c>
      <c r="W2011" s="148"/>
    </row>
    <row r="2012" spans="1:23" ht="12.75" x14ac:dyDescent="0.2">
      <c r="A2012" s="148"/>
      <c r="B2012" s="371"/>
      <c r="C2012" s="148" t="b">
        <v>0</v>
      </c>
      <c r="D2012" s="25" t="str">
        <f ca="1">道具!$C$347</f>
        <v>尖刺盾</v>
      </c>
      <c r="E2012" s="371"/>
      <c r="F2012" s="371"/>
      <c r="G2012" s="371"/>
      <c r="H2012" s="371"/>
      <c r="I2012" s="371"/>
      <c r="J2012" s="371"/>
      <c r="K2012" s="371"/>
      <c r="L2012" s="371"/>
      <c r="M2012" s="371"/>
      <c r="N2012" s="371"/>
      <c r="O2012" s="371"/>
      <c r="P2012" s="371"/>
      <c r="Q2012" s="371"/>
      <c r="R2012" s="371"/>
      <c r="S2012" s="371"/>
      <c r="T2012" s="371"/>
      <c r="U2012" s="371"/>
      <c r="V2012" s="371"/>
      <c r="W2012" s="148"/>
    </row>
    <row r="2013" spans="1:23" ht="12.75" x14ac:dyDescent="0.2">
      <c r="A2013" s="148"/>
      <c r="B2013" s="371"/>
      <c r="C2013" s="148" t="b">
        <v>0</v>
      </c>
      <c r="D2013" s="25" t="str">
        <f ca="1">道具!$C$350</f>
        <v>板盾</v>
      </c>
      <c r="E2013" s="371"/>
      <c r="F2013" s="371"/>
      <c r="G2013" s="371"/>
      <c r="H2013" s="371"/>
      <c r="I2013" s="371"/>
      <c r="J2013" s="371"/>
      <c r="K2013" s="371"/>
      <c r="L2013" s="371"/>
      <c r="M2013" s="371"/>
      <c r="N2013" s="371"/>
      <c r="O2013" s="371"/>
      <c r="P2013" s="371"/>
      <c r="Q2013" s="371"/>
      <c r="R2013" s="371"/>
      <c r="S2013" s="371"/>
      <c r="T2013" s="371"/>
      <c r="U2013" s="371"/>
      <c r="V2013" s="371"/>
      <c r="W2013" s="148"/>
    </row>
    <row r="2014" spans="1:23" ht="12.75" x14ac:dyDescent="0.2">
      <c r="A2014" s="148"/>
      <c r="B2014" s="544"/>
      <c r="C2014" s="152" t="b">
        <v>0</v>
      </c>
      <c r="D2014" s="151" t="str">
        <f ca="1">道具!$C$348</f>
        <v>元素盾</v>
      </c>
      <c r="E2014" s="544"/>
      <c r="F2014" s="544"/>
      <c r="G2014" s="544"/>
      <c r="H2014" s="544"/>
      <c r="I2014" s="544"/>
      <c r="J2014" s="544"/>
      <c r="K2014" s="544"/>
      <c r="L2014" s="544"/>
      <c r="M2014" s="544"/>
      <c r="N2014" s="544"/>
      <c r="O2014" s="544"/>
      <c r="P2014" s="544"/>
      <c r="Q2014" s="544"/>
      <c r="R2014" s="544"/>
      <c r="S2014" s="544"/>
      <c r="T2014" s="544"/>
      <c r="U2014" s="544"/>
      <c r="V2014" s="544"/>
      <c r="W2014" s="148"/>
    </row>
    <row r="2015" spans="1:23" ht="12.75" x14ac:dyDescent="0.2">
      <c r="A2015" s="148"/>
      <c r="B2015" s="410" t="str">
        <f ca="1">语言!$A$2070</f>
        <v>观众</v>
      </c>
      <c r="C2015" s="543" t="b">
        <v>0</v>
      </c>
      <c r="D2015" s="410" t="str">
        <f ca="1">道具!$C$251</f>
        <v>灰熊猛击斧</v>
      </c>
      <c r="E2015" s="543" t="b">
        <v>0</v>
      </c>
      <c r="F2015" s="409" t="str">
        <f ca="1">语言!$A$31</f>
        <v>「比试」必须等级降低资讯</v>
      </c>
      <c r="G2015" s="543" t="b">
        <v>0</v>
      </c>
      <c r="H2015" s="545" t="s">
        <v>49</v>
      </c>
      <c r="I2015" s="409">
        <v>4</v>
      </c>
      <c r="J2015" s="409"/>
      <c r="K2015" s="409"/>
      <c r="L2015" s="409"/>
      <c r="M2015" s="409"/>
      <c r="N2015" s="409"/>
      <c r="O2015" s="409" t="str">
        <f ca="1">道具!$C$4</f>
        <v>ＨＰ恢复的葡萄（大）</v>
      </c>
      <c r="P2015" s="543"/>
      <c r="Q2015" s="545" t="s">
        <v>49</v>
      </c>
      <c r="R2015" s="24"/>
      <c r="S2015" s="24" t="str">
        <f ca="1">Summon!$I$52</f>
        <v>重拳</v>
      </c>
      <c r="T2015" s="545">
        <v>7</v>
      </c>
      <c r="U2015" s="543"/>
      <c r="V2015" s="409" t="str">
        <f ca="1">"Temporarily in other part of town during "&amp;语言!$A$38&amp;" chapter 2"</f>
        <v>Temporarily in other part of town during 欧尔贝克 chapter 2</v>
      </c>
      <c r="W2015" s="148"/>
    </row>
    <row r="2016" spans="1:23" ht="12.75" x14ac:dyDescent="0.2">
      <c r="A2016" s="148"/>
      <c r="B2016" s="544"/>
      <c r="C2016" s="544"/>
      <c r="D2016" s="544"/>
      <c r="E2016" s="544"/>
      <c r="F2016" s="544"/>
      <c r="G2016" s="544"/>
      <c r="H2016" s="544"/>
      <c r="I2016" s="544"/>
      <c r="J2016" s="544"/>
      <c r="K2016" s="544"/>
      <c r="L2016" s="544"/>
      <c r="M2016" s="544"/>
      <c r="N2016" s="544"/>
      <c r="O2016" s="544"/>
      <c r="P2016" s="544"/>
      <c r="Q2016" s="544"/>
      <c r="R2016" s="150"/>
      <c r="S2016" s="150" t="str">
        <f ca="1">Summon!$I$4</f>
        <v>战斗</v>
      </c>
      <c r="T2016" s="544"/>
      <c r="U2016" s="544"/>
      <c r="V2016" s="544"/>
      <c r="W2016" s="148"/>
    </row>
    <row r="2017" spans="1:23" ht="12.75" x14ac:dyDescent="0.2">
      <c r="A2017" s="148"/>
      <c r="B2017" s="410" t="str">
        <f ca="1">语言!$A$2070</f>
        <v>观众</v>
      </c>
      <c r="C2017" s="148" t="b">
        <v>0</v>
      </c>
      <c r="D2017" s="25" t="str">
        <f ca="1">道具!$C$370</f>
        <v>毛皮帽子</v>
      </c>
      <c r="E2017" s="543" t="b">
        <v>0</v>
      </c>
      <c r="F2017" s="409" t="str">
        <f ca="1">语言!$A$23</f>
        <v>无</v>
      </c>
      <c r="G2017" s="543" t="b">
        <v>0</v>
      </c>
      <c r="H2017" s="545" t="s">
        <v>46</v>
      </c>
      <c r="I2017" s="409">
        <v>3</v>
      </c>
      <c r="J2017" s="409"/>
      <c r="K2017" s="409"/>
      <c r="L2017" s="409"/>
      <c r="M2017" s="409"/>
      <c r="N2017" s="409"/>
      <c r="O2017" s="409" t="str">
        <f ca="1">道具!$C$7</f>
        <v>ＳＰ恢复的李子（大）</v>
      </c>
      <c r="P2017" s="543"/>
      <c r="Q2017" s="545" t="s">
        <v>46</v>
      </c>
      <c r="R2017" s="24"/>
      <c r="S2017" s="24" t="str">
        <f ca="1">Summon!$I$31</f>
        <v>要害突刺</v>
      </c>
      <c r="T2017" s="545">
        <v>8</v>
      </c>
      <c r="U2017" s="543"/>
      <c r="V2017" s="409" t="str">
        <f ca="1">"Temporarily in other part of town during "&amp;语言!$A$38&amp;" chapter 2"</f>
        <v>Temporarily in other part of town during 欧尔贝克 chapter 2</v>
      </c>
      <c r="W2017" s="148"/>
    </row>
    <row r="2018" spans="1:23" ht="12.75" x14ac:dyDescent="0.2">
      <c r="A2018" s="148"/>
      <c r="B2018" s="544"/>
      <c r="C2018" s="152" t="b">
        <v>0</v>
      </c>
      <c r="D2018" s="151" t="str">
        <f ca="1">道具!$C$180</f>
        <v>胜利长枪</v>
      </c>
      <c r="E2018" s="544"/>
      <c r="F2018" s="544"/>
      <c r="G2018" s="544"/>
      <c r="H2018" s="544"/>
      <c r="I2018" s="544"/>
      <c r="J2018" s="544"/>
      <c r="K2018" s="544"/>
      <c r="L2018" s="544"/>
      <c r="M2018" s="544"/>
      <c r="N2018" s="544"/>
      <c r="O2018" s="544"/>
      <c r="P2018" s="544"/>
      <c r="Q2018" s="544"/>
      <c r="R2018" s="150"/>
      <c r="S2018" s="150" t="str">
        <f ca="1">Summon!$I$4</f>
        <v>战斗</v>
      </c>
      <c r="T2018" s="544"/>
      <c r="U2018" s="544"/>
      <c r="V2018" s="544"/>
      <c r="W2018" s="148"/>
    </row>
    <row r="2019" spans="1:23" ht="12.75" x14ac:dyDescent="0.2">
      <c r="A2019" s="148"/>
      <c r="B2019" s="410" t="str">
        <f ca="1">语言!$A$2070</f>
        <v>观众</v>
      </c>
      <c r="C2019" s="543" t="b">
        <v>0</v>
      </c>
      <c r="D2019" s="410" t="str">
        <f ca="1">道具!$C$287</f>
        <v>影弓</v>
      </c>
      <c r="E2019" s="543" t="b">
        <v>0</v>
      </c>
      <c r="F2019" s="409" t="str">
        <f ca="1">语言!$A$23</f>
        <v>无</v>
      </c>
      <c r="G2019" s="543" t="b">
        <v>0</v>
      </c>
      <c r="H2019" s="545" t="s">
        <v>46</v>
      </c>
      <c r="I2019" s="409">
        <v>3</v>
      </c>
      <c r="J2019" s="409"/>
      <c r="K2019" s="409"/>
      <c r="L2019" s="409"/>
      <c r="M2019" s="409"/>
      <c r="N2019" s="409"/>
      <c r="O2019" s="409" t="str">
        <f ca="1">道具!$C$14</f>
        <v>复活的橄榄</v>
      </c>
      <c r="P2019" s="543"/>
      <c r="Q2019" s="545" t="s">
        <v>46</v>
      </c>
      <c r="R2019" s="24"/>
      <c r="S2019" s="24" t="str">
        <f ca="1">Summon!$I$118</f>
        <v>恢复ＨＰ的葡萄</v>
      </c>
      <c r="T2019" s="545">
        <v>8</v>
      </c>
      <c r="U2019" s="543"/>
      <c r="V2019" s="409" t="str">
        <f ca="1">"Temporarily in other part of town during "&amp;语言!$A$38&amp;" chapter 2"</f>
        <v>Temporarily in other part of town during 欧尔贝克 chapter 2</v>
      </c>
      <c r="W2019" s="148"/>
    </row>
    <row r="2020" spans="1:23" ht="12.75" x14ac:dyDescent="0.2">
      <c r="A2020" s="148"/>
      <c r="B2020" s="371"/>
      <c r="C2020" s="371"/>
      <c r="D2020" s="371"/>
      <c r="E2020" s="371"/>
      <c r="F2020" s="371"/>
      <c r="G2020" s="371"/>
      <c r="H2020" s="371"/>
      <c r="I2020" s="371"/>
      <c r="J2020" s="371"/>
      <c r="K2020" s="371"/>
      <c r="L2020" s="371"/>
      <c r="M2020" s="371"/>
      <c r="N2020" s="371"/>
      <c r="O2020" s="371"/>
      <c r="P2020" s="371"/>
      <c r="Q2020" s="371"/>
      <c r="R2020" s="24"/>
      <c r="S2020" s="24" t="str">
        <f ca="1">Summon!$I$64</f>
        <v>精准射击</v>
      </c>
      <c r="T2020" s="371"/>
      <c r="U2020" s="371"/>
      <c r="V2020" s="371"/>
      <c r="W2020" s="148"/>
    </row>
    <row r="2021" spans="1:23" ht="12.75" x14ac:dyDescent="0.2">
      <c r="A2021" s="148"/>
      <c r="B2021" s="544"/>
      <c r="C2021" s="544"/>
      <c r="D2021" s="544"/>
      <c r="E2021" s="544"/>
      <c r="F2021" s="544"/>
      <c r="G2021" s="544"/>
      <c r="H2021" s="544"/>
      <c r="I2021" s="544"/>
      <c r="J2021" s="544"/>
      <c r="K2021" s="544"/>
      <c r="L2021" s="544"/>
      <c r="M2021" s="544"/>
      <c r="N2021" s="544"/>
      <c r="O2021" s="544"/>
      <c r="P2021" s="544"/>
      <c r="Q2021" s="544"/>
      <c r="R2021" s="150"/>
      <c r="S2021" s="150" t="str">
        <f ca="1">Summon!$I$4</f>
        <v>战斗</v>
      </c>
      <c r="T2021" s="544"/>
      <c r="U2021" s="544"/>
      <c r="V2021" s="544"/>
      <c r="W2021" s="148"/>
    </row>
    <row r="2022" spans="1:23" ht="12.75" x14ac:dyDescent="0.2">
      <c r="A2022" s="148"/>
      <c r="B2022" s="410" t="str">
        <f ca="1">语言!$A$2071</f>
        <v>观众</v>
      </c>
      <c r="C2022" s="148" t="b">
        <v>0</v>
      </c>
      <c r="D2022" s="25" t="str">
        <f ca="1">道具!$C$382</f>
        <v>黄金发饰</v>
      </c>
      <c r="E2022" s="543" t="b">
        <v>0</v>
      </c>
      <c r="F2022" s="409" t="str">
        <f ca="1">语言!$A$33&amp;"
"&amp;道具!$C$16</f>
        <v>隐藏道具的资讯
复活的橄榄（大）</v>
      </c>
      <c r="G2022" s="543" t="b">
        <v>0</v>
      </c>
      <c r="H2022" s="545" t="s">
        <v>57</v>
      </c>
      <c r="I2022" s="409">
        <v>3</v>
      </c>
      <c r="J2022" s="409"/>
      <c r="K2022" s="409"/>
      <c r="L2022" s="409"/>
      <c r="M2022" s="409"/>
      <c r="N2022" s="409"/>
      <c r="O2022" s="409" t="str">
        <f ca="1">道具!$C$9</f>
        <v>ＢＰ恢复的石榴</v>
      </c>
      <c r="P2022" s="543"/>
      <c r="Q2022" s="545" t="s">
        <v>57</v>
      </c>
      <c r="R2022" s="24"/>
      <c r="S2022" s="24" t="str">
        <f ca="1">Summon!$I$45</f>
        <v>失明猛击</v>
      </c>
      <c r="T2022" s="545">
        <v>8</v>
      </c>
      <c r="U2022" s="543"/>
      <c r="V2022" s="409" t="str">
        <f ca="1">"Temporarily in other part of town during "&amp;语言!$A$38&amp;" chapter 2"</f>
        <v>Temporarily in other part of town during 欧尔贝克 chapter 2</v>
      </c>
      <c r="W2022" s="148"/>
    </row>
    <row r="2023" spans="1:23" ht="12.75" x14ac:dyDescent="0.2">
      <c r="A2023" s="148"/>
      <c r="B2023" s="544"/>
      <c r="C2023" s="152" t="b">
        <v>0</v>
      </c>
      <c r="D2023" s="151" t="str">
        <f ca="1">道具!$C$217</f>
        <v>魔法匕首</v>
      </c>
      <c r="E2023" s="544"/>
      <c r="F2023" s="544"/>
      <c r="G2023" s="544"/>
      <c r="H2023" s="544"/>
      <c r="I2023" s="544"/>
      <c r="J2023" s="544"/>
      <c r="K2023" s="544"/>
      <c r="L2023" s="544"/>
      <c r="M2023" s="544"/>
      <c r="N2023" s="544"/>
      <c r="O2023" s="544"/>
      <c r="P2023" s="544"/>
      <c r="Q2023" s="544"/>
      <c r="R2023" s="150"/>
      <c r="S2023" s="150" t="str">
        <f ca="1">Summon!$I$4</f>
        <v>战斗</v>
      </c>
      <c r="T2023" s="544"/>
      <c r="U2023" s="544"/>
      <c r="V2023" s="544"/>
      <c r="W2023" s="148"/>
    </row>
    <row r="2024" spans="1:23" ht="12.75" x14ac:dyDescent="0.2">
      <c r="A2024" s="148"/>
      <c r="B2024" s="410" t="str">
        <f ca="1">语言!$A$2118&amp;" (1)"</f>
        <v>海盗杀手维克托里诺 (1)</v>
      </c>
      <c r="C2024" s="543"/>
      <c r="D2024" s="553" t="s">
        <v>119</v>
      </c>
      <c r="E2024" s="543" t="b">
        <v>0</v>
      </c>
      <c r="F2024" s="409" t="str">
        <f ca="1">语言!$A$23</f>
        <v>无</v>
      </c>
      <c r="G2024" s="543"/>
      <c r="H2024" s="546" t="s">
        <v>119</v>
      </c>
      <c r="I2024" s="546" t="s">
        <v>119</v>
      </c>
      <c r="J2024" s="546" t="s">
        <v>119</v>
      </c>
      <c r="K2024" s="546" t="s">
        <v>119</v>
      </c>
      <c r="L2024" s="546" t="s">
        <v>119</v>
      </c>
      <c r="M2024" s="546" t="s">
        <v>119</v>
      </c>
      <c r="N2024" s="546" t="s">
        <v>119</v>
      </c>
      <c r="O2024" s="546" t="s">
        <v>119</v>
      </c>
      <c r="P2024" s="543"/>
      <c r="Q2024" s="546" t="s">
        <v>119</v>
      </c>
      <c r="R2024" s="546" t="s">
        <v>119</v>
      </c>
      <c r="S2024" s="546" t="s">
        <v>119</v>
      </c>
      <c r="T2024" s="546" t="s">
        <v>119</v>
      </c>
      <c r="U2024" s="543"/>
      <c r="V2024" s="409" t="str">
        <f ca="1">"NPC available only during "&amp;语言!$A$38&amp;" chapter 2
Moves to "&amp;语言!$A$366&amp;" after "&amp;语言!$A$38&amp;" chapter 4"</f>
        <v>NPC available only during 欧尔贝克 chapter 2
Moves to 利布尔泰德 after 欧尔贝克 chapter 4</v>
      </c>
      <c r="W2024" s="148"/>
    </row>
    <row r="2025" spans="1:23" ht="12.75" x14ac:dyDescent="0.2">
      <c r="A2025" s="148"/>
      <c r="B2025" s="544"/>
      <c r="C2025" s="544"/>
      <c r="D2025" s="544"/>
      <c r="E2025" s="544"/>
      <c r="F2025" s="544"/>
      <c r="G2025" s="544"/>
      <c r="H2025" s="544"/>
      <c r="I2025" s="544"/>
      <c r="J2025" s="544"/>
      <c r="K2025" s="544"/>
      <c r="L2025" s="544"/>
      <c r="M2025" s="544"/>
      <c r="N2025" s="544"/>
      <c r="O2025" s="544"/>
      <c r="P2025" s="544"/>
      <c r="Q2025" s="544"/>
      <c r="R2025" s="544"/>
      <c r="S2025" s="544"/>
      <c r="T2025" s="544"/>
      <c r="U2025" s="544"/>
      <c r="V2025" s="544"/>
      <c r="W2025" s="148"/>
    </row>
    <row r="2026" spans="1:23" ht="12.75" x14ac:dyDescent="0.2">
      <c r="A2026" s="148"/>
      <c r="B2026" s="410" t="str">
        <f ca="1">语言!$A$1887</f>
        <v>赌徒 /
赌赢的赌徒</v>
      </c>
      <c r="C2026" s="148" t="b">
        <v>0</v>
      </c>
      <c r="D2026" s="25" t="str">
        <f ca="1">道具!$C$14</f>
        <v>复活的橄榄</v>
      </c>
      <c r="E2026" s="543" t="b">
        <v>0</v>
      </c>
      <c r="F2026" s="409" t="str">
        <f ca="1">语言!$A$23</f>
        <v>无</v>
      </c>
      <c r="G2026" s="543" t="b">
        <v>0</v>
      </c>
      <c r="H2026" s="545" t="s">
        <v>46</v>
      </c>
      <c r="I2026" s="409">
        <v>3</v>
      </c>
      <c r="J2026" s="409"/>
      <c r="K2026" s="409"/>
      <c r="L2026" s="409"/>
      <c r="M2026" s="409"/>
      <c r="N2026" s="409"/>
      <c r="O2026" s="409" t="str">
        <f ca="1">道具!$C$7</f>
        <v>ＳＰ恢复的李子（大）</v>
      </c>
      <c r="P2026" s="543"/>
      <c r="Q2026" s="545" t="s">
        <v>46</v>
      </c>
      <c r="R2026" s="24"/>
      <c r="S2026" s="24" t="str">
        <f ca="1">Summon!$I$122</f>
        <v>恢复ＨＰ的葡萄（大）</v>
      </c>
      <c r="T2026" s="545">
        <v>8</v>
      </c>
      <c r="U2026" s="543"/>
      <c r="V2026" s="409"/>
      <c r="W2026" s="148"/>
    </row>
    <row r="2027" spans="1:23" ht="12.75" x14ac:dyDescent="0.2">
      <c r="A2027" s="148"/>
      <c r="B2027" s="371"/>
      <c r="C2027" s="148" t="b">
        <v>0</v>
      </c>
      <c r="D2027" s="25" t="str">
        <f ca="1">道具!$C$16</f>
        <v>复活的橄榄（大）</v>
      </c>
      <c r="E2027" s="371"/>
      <c r="F2027" s="371"/>
      <c r="G2027" s="371"/>
      <c r="H2027" s="371"/>
      <c r="I2027" s="371"/>
      <c r="J2027" s="371"/>
      <c r="K2027" s="371"/>
      <c r="L2027" s="371"/>
      <c r="M2027" s="371"/>
      <c r="N2027" s="371"/>
      <c r="O2027" s="371"/>
      <c r="P2027" s="371"/>
      <c r="Q2027" s="371"/>
      <c r="R2027" s="24"/>
      <c r="S2027" s="24" t="str">
        <f ca="1">Summon!$I$70</f>
        <v>乱射</v>
      </c>
      <c r="T2027" s="371"/>
      <c r="U2027" s="371"/>
      <c r="V2027" s="371"/>
      <c r="W2027" s="148"/>
    </row>
    <row r="2028" spans="1:23" ht="12.75" x14ac:dyDescent="0.2">
      <c r="A2028" s="148"/>
      <c r="B2028" s="544"/>
      <c r="C2028" s="152" t="b">
        <v>0</v>
      </c>
      <c r="D2028" s="151" t="str">
        <f ca="1">道具!$C$17</f>
        <v>复活的橄榄（特大）</v>
      </c>
      <c r="E2028" s="544"/>
      <c r="F2028" s="544"/>
      <c r="G2028" s="544"/>
      <c r="H2028" s="544"/>
      <c r="I2028" s="544"/>
      <c r="J2028" s="544"/>
      <c r="K2028" s="544"/>
      <c r="L2028" s="544"/>
      <c r="M2028" s="544"/>
      <c r="N2028" s="544"/>
      <c r="O2028" s="544"/>
      <c r="P2028" s="544"/>
      <c r="Q2028" s="544"/>
      <c r="R2028" s="150"/>
      <c r="S2028" s="150" t="str">
        <f ca="1">Summon!$I$4</f>
        <v>战斗</v>
      </c>
      <c r="T2028" s="544"/>
      <c r="U2028" s="544"/>
      <c r="V2028" s="544"/>
      <c r="W2028" s="148"/>
    </row>
    <row r="2029" spans="1:23" ht="12.75" x14ac:dyDescent="0.2">
      <c r="A2029" s="148"/>
      <c r="B2029" s="410" t="str">
        <f ca="1">语言!$A$1988</f>
        <v>专打魔物的剑斗士</v>
      </c>
      <c r="C2029" s="543" t="b">
        <v>0</v>
      </c>
      <c r="D2029" s="410" t="str">
        <f ca="1">"* "&amp;道具!$F$64</f>
        <v>* 魔剑「大蛇杀手」</v>
      </c>
      <c r="E2029" s="543" t="b">
        <v>0</v>
      </c>
      <c r="F2029" s="409" t="str">
        <f ca="1">语言!$A$23</f>
        <v>无</v>
      </c>
      <c r="G2029" s="543" t="b">
        <v>0</v>
      </c>
      <c r="H2029" s="545" t="s">
        <v>50</v>
      </c>
      <c r="I2029" s="409">
        <v>4</v>
      </c>
      <c r="J2029" s="409"/>
      <c r="K2029" s="409"/>
      <c r="L2029" s="409"/>
      <c r="M2029" s="409"/>
      <c r="N2029" s="409"/>
      <c r="O2029" s="409" t="str">
        <f ca="1">道具!$C$7</f>
        <v>ＳＰ恢复的李子（大）</v>
      </c>
      <c r="P2029" s="543"/>
      <c r="Q2029" s="545" t="s">
        <v>50</v>
      </c>
      <c r="R2029" s="24"/>
      <c r="S2029" s="24" t="str">
        <f ca="1">Summon!$I$12</f>
        <v>魔剑</v>
      </c>
      <c r="T2029" s="545">
        <v>7</v>
      </c>
      <c r="U2029" s="543"/>
      <c r="V2029" s="409" t="str">
        <f ca="1">"NPC available after quest: "&amp;支线!$C$132</f>
        <v>NPC available after quest: 魔物操控人的末裔阿什兰（１）</v>
      </c>
      <c r="W2029" s="148"/>
    </row>
    <row r="2030" spans="1:23" ht="12.75" x14ac:dyDescent="0.2">
      <c r="A2030" s="148"/>
      <c r="B2030" s="371"/>
      <c r="C2030" s="371"/>
      <c r="D2030" s="371"/>
      <c r="E2030" s="371"/>
      <c r="F2030" s="371"/>
      <c r="G2030" s="371"/>
      <c r="H2030" s="371"/>
      <c r="I2030" s="371"/>
      <c r="J2030" s="371"/>
      <c r="K2030" s="371"/>
      <c r="L2030" s="371"/>
      <c r="M2030" s="371"/>
      <c r="N2030" s="371"/>
      <c r="O2030" s="371"/>
      <c r="P2030" s="371"/>
      <c r="Q2030" s="371"/>
      <c r="R2030" s="24"/>
      <c r="S2030" s="24" t="str">
        <f ca="1">Summon!$I$6</f>
        <v>斩击</v>
      </c>
      <c r="T2030" s="371"/>
      <c r="U2030" s="371"/>
      <c r="V2030" s="371"/>
      <c r="W2030" s="148"/>
    </row>
    <row r="2031" spans="1:23" ht="12.75" x14ac:dyDescent="0.2">
      <c r="A2031" s="148"/>
      <c r="B2031" s="544"/>
      <c r="C2031" s="544"/>
      <c r="D2031" s="544"/>
      <c r="E2031" s="544"/>
      <c r="F2031" s="544"/>
      <c r="G2031" s="544"/>
      <c r="H2031" s="544"/>
      <c r="I2031" s="544"/>
      <c r="J2031" s="544"/>
      <c r="K2031" s="544"/>
      <c r="L2031" s="544"/>
      <c r="M2031" s="544"/>
      <c r="N2031" s="544"/>
      <c r="O2031" s="544"/>
      <c r="P2031" s="544"/>
      <c r="Q2031" s="544"/>
      <c r="R2031" s="150"/>
      <c r="S2031" s="150" t="str">
        <f ca="1">Summon!$I$4</f>
        <v>战斗</v>
      </c>
      <c r="T2031" s="544"/>
      <c r="U2031" s="544"/>
      <c r="V2031" s="544"/>
      <c r="W2031" s="148"/>
    </row>
    <row r="2032" spans="1:23" ht="12.75" x14ac:dyDescent="0.2">
      <c r="A2032" s="148"/>
      <c r="B2032" s="410" t="str">
        <f ca="1">语言!$A$2014</f>
        <v>老人</v>
      </c>
      <c r="C2032" s="148" t="b">
        <v>0</v>
      </c>
      <c r="D2032" s="25" t="str">
        <f ca="1">道具!$C$84</f>
        <v>糖果</v>
      </c>
      <c r="E2032" s="543" t="b">
        <v>0</v>
      </c>
      <c r="F2032" s="409" t="str">
        <f ca="1">语言!$A$33&amp;"
"&amp;道具!$C$516</f>
        <v>隐藏道具的资讯
雷之避邪符</v>
      </c>
      <c r="G2032" s="543" t="b">
        <v>0</v>
      </c>
      <c r="H2032" s="545" t="s">
        <v>49</v>
      </c>
      <c r="I2032" s="409">
        <v>4</v>
      </c>
      <c r="J2032" s="409"/>
      <c r="K2032" s="409"/>
      <c r="L2032" s="409"/>
      <c r="M2032" s="409"/>
      <c r="N2032" s="409"/>
      <c r="O2032" s="409" t="str">
        <f ca="1">道具!$C$4</f>
        <v>ＨＰ恢复的葡萄（大）</v>
      </c>
      <c r="P2032" s="543"/>
      <c r="Q2032" s="545" t="s">
        <v>46</v>
      </c>
      <c r="R2032" s="24"/>
      <c r="S2032" s="24" t="str">
        <f ca="1">Summon!$I$143</f>
        <v>暗暗药</v>
      </c>
      <c r="T2032" s="545">
        <v>8</v>
      </c>
      <c r="U2032" s="543"/>
      <c r="V2032" s="409"/>
      <c r="W2032" s="148"/>
    </row>
    <row r="2033" spans="1:23" ht="12.75" x14ac:dyDescent="0.2">
      <c r="A2033" s="148"/>
      <c r="B2033" s="371"/>
      <c r="C2033" s="148" t="b">
        <v>0</v>
      </c>
      <c r="D2033" s="25" t="str">
        <f ca="1">道具!$C$84</f>
        <v>糖果</v>
      </c>
      <c r="E2033" s="371"/>
      <c r="F2033" s="371"/>
      <c r="G2033" s="371"/>
      <c r="H2033" s="371"/>
      <c r="I2033" s="371"/>
      <c r="J2033" s="371"/>
      <c r="K2033" s="371"/>
      <c r="L2033" s="371"/>
      <c r="M2033" s="371"/>
      <c r="N2033" s="371"/>
      <c r="O2033" s="371"/>
      <c r="P2033" s="371"/>
      <c r="Q2033" s="371"/>
      <c r="R2033" s="24"/>
      <c r="S2033" s="24" t="str">
        <f ca="1">Summon!$I$61</f>
        <v>全力斩击</v>
      </c>
      <c r="T2033" s="371"/>
      <c r="U2033" s="371"/>
      <c r="V2033" s="371"/>
      <c r="W2033" s="148"/>
    </row>
    <row r="2034" spans="1:23" ht="12.75" x14ac:dyDescent="0.2">
      <c r="A2034" s="148"/>
      <c r="B2034" s="371"/>
      <c r="C2034" s="148" t="b">
        <v>0</v>
      </c>
      <c r="D2034" s="25" t="str">
        <f ca="1">道具!$C$84</f>
        <v>糖果</v>
      </c>
      <c r="E2034" s="371"/>
      <c r="F2034" s="371"/>
      <c r="G2034" s="371"/>
      <c r="H2034" s="371"/>
      <c r="I2034" s="371"/>
      <c r="J2034" s="371"/>
      <c r="K2034" s="371"/>
      <c r="L2034" s="371"/>
      <c r="M2034" s="371"/>
      <c r="N2034" s="371"/>
      <c r="O2034" s="371"/>
      <c r="P2034" s="371"/>
      <c r="Q2034" s="371"/>
      <c r="R2034" s="24"/>
      <c r="S2034" s="24" t="str">
        <f ca="1">Summon!$I$4</f>
        <v>战斗</v>
      </c>
      <c r="T2034" s="371"/>
      <c r="U2034" s="371"/>
      <c r="V2034" s="371"/>
      <c r="W2034" s="148"/>
    </row>
    <row r="2035" spans="1:23" ht="12.75" x14ac:dyDescent="0.2">
      <c r="A2035" s="148"/>
      <c r="B2035" s="371"/>
      <c r="C2035" s="148" t="b">
        <v>0</v>
      </c>
      <c r="D2035" s="25" t="str">
        <f ca="1">道具!$C$84</f>
        <v>糖果</v>
      </c>
      <c r="E2035" s="371"/>
      <c r="F2035" s="371"/>
      <c r="G2035" s="371"/>
      <c r="H2035" s="371"/>
      <c r="I2035" s="371"/>
      <c r="J2035" s="371"/>
      <c r="K2035" s="371"/>
      <c r="L2035" s="371"/>
      <c r="M2035" s="371"/>
      <c r="N2035" s="371"/>
      <c r="O2035" s="371"/>
      <c r="P2035" s="371"/>
      <c r="Q2035" s="371"/>
      <c r="R2035" s="24"/>
      <c r="S2035" s="24"/>
      <c r="T2035" s="371"/>
      <c r="U2035" s="371"/>
      <c r="V2035" s="371"/>
      <c r="W2035" s="148"/>
    </row>
    <row r="2036" spans="1:23" ht="12.75" x14ac:dyDescent="0.2">
      <c r="A2036" s="148"/>
      <c r="B2036" s="371"/>
      <c r="C2036" s="148" t="b">
        <v>0</v>
      </c>
      <c r="D2036" s="25" t="str">
        <f ca="1">道具!$C$84</f>
        <v>糖果</v>
      </c>
      <c r="E2036" s="371"/>
      <c r="F2036" s="371"/>
      <c r="G2036" s="371"/>
      <c r="H2036" s="371"/>
      <c r="I2036" s="371"/>
      <c r="J2036" s="371"/>
      <c r="K2036" s="371"/>
      <c r="L2036" s="371"/>
      <c r="M2036" s="371"/>
      <c r="N2036" s="371"/>
      <c r="O2036" s="371"/>
      <c r="P2036" s="371"/>
      <c r="Q2036" s="371"/>
      <c r="R2036" s="24"/>
      <c r="S2036" s="24"/>
      <c r="T2036" s="371"/>
      <c r="U2036" s="371"/>
      <c r="V2036" s="371"/>
      <c r="W2036" s="148"/>
    </row>
    <row r="2037" spans="1:23" ht="12.75" x14ac:dyDescent="0.2">
      <c r="A2037" s="148"/>
      <c r="B2037" s="547" t="str">
        <f ca="1">语言!$A$485</f>
        <v>维克塔霍洛 -斗技场-</v>
      </c>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148"/>
    </row>
    <row r="2038" spans="1:23" ht="12.75" x14ac:dyDescent="0.2">
      <c r="A2038" s="148"/>
      <c r="B2038" s="410" t="str">
        <f ca="1">语言!$A$1778</f>
        <v>竞技场工作人员</v>
      </c>
      <c r="C2038" s="148" t="b">
        <v>0</v>
      </c>
      <c r="D2038" s="25" t="str">
        <f ca="1">道具!$C$493</f>
        <v>灵敏戒指</v>
      </c>
      <c r="E2038" s="543" t="b">
        <v>0</v>
      </c>
      <c r="F2038" s="409" t="str">
        <f ca="1">语言!$A$33&amp;"
"&amp;道具!$C$35</f>
        <v>隐藏道具的资讯
冰之精灵石（特大）</v>
      </c>
      <c r="G2038" s="543" t="b">
        <v>0</v>
      </c>
      <c r="H2038" s="545" t="s">
        <v>47</v>
      </c>
      <c r="I2038" s="409">
        <v>4</v>
      </c>
      <c r="J2038" s="409"/>
      <c r="K2038" s="409"/>
      <c r="L2038" s="409"/>
      <c r="M2038" s="409"/>
      <c r="N2038" s="409"/>
      <c r="O2038" s="409" t="str">
        <f ca="1">道具!$C$372</f>
        <v>元素帽</v>
      </c>
      <c r="P2038" s="543"/>
      <c r="Q2038" s="545" t="s">
        <v>47</v>
      </c>
      <c r="R2038" s="24"/>
      <c r="S2038" s="24" t="str">
        <f ca="1">Summon!$I$6</f>
        <v>斩击</v>
      </c>
      <c r="T2038" s="545">
        <v>6</v>
      </c>
      <c r="U2038" s="543"/>
      <c r="V2038" s="409"/>
      <c r="W2038" s="148"/>
    </row>
    <row r="2039" spans="1:23" ht="12.75" x14ac:dyDescent="0.2">
      <c r="A2039" s="148"/>
      <c r="B2039" s="371"/>
      <c r="C2039" s="148" t="b">
        <v>0</v>
      </c>
      <c r="D2039" s="25" t="str">
        <f ca="1">道具!$C$79</f>
        <v>增强速度的坚果（大）</v>
      </c>
      <c r="E2039" s="371"/>
      <c r="F2039" s="371"/>
      <c r="G2039" s="371"/>
      <c r="H2039" s="371"/>
      <c r="I2039" s="371"/>
      <c r="J2039" s="371"/>
      <c r="K2039" s="371"/>
      <c r="L2039" s="371"/>
      <c r="M2039" s="371"/>
      <c r="N2039" s="371"/>
      <c r="O2039" s="371"/>
      <c r="P2039" s="371"/>
      <c r="Q2039" s="371"/>
      <c r="R2039" s="24"/>
      <c r="S2039" s="24" t="str">
        <f ca="1">Summon!$I$158</f>
        <v>防御力下降</v>
      </c>
      <c r="T2039" s="371"/>
      <c r="U2039" s="371"/>
      <c r="V2039" s="371"/>
      <c r="W2039" s="148"/>
    </row>
    <row r="2040" spans="1:23" ht="12.75" x14ac:dyDescent="0.2">
      <c r="A2040" s="148"/>
      <c r="B2040" s="544"/>
      <c r="C2040" s="152" t="b">
        <v>0</v>
      </c>
      <c r="D2040" s="151" t="str">
        <f ca="1">道具!$C$73</f>
        <v>增强回避的坚果（大）</v>
      </c>
      <c r="E2040" s="544"/>
      <c r="F2040" s="544"/>
      <c r="G2040" s="544"/>
      <c r="H2040" s="544"/>
      <c r="I2040" s="544"/>
      <c r="J2040" s="544"/>
      <c r="K2040" s="544"/>
      <c r="L2040" s="544"/>
      <c r="M2040" s="544"/>
      <c r="N2040" s="544"/>
      <c r="O2040" s="544"/>
      <c r="P2040" s="544"/>
      <c r="Q2040" s="544"/>
      <c r="R2040" s="150"/>
      <c r="S2040" s="150" t="str">
        <f ca="1">Summon!$I$4</f>
        <v>战斗</v>
      </c>
      <c r="T2040" s="544"/>
      <c r="U2040" s="544"/>
      <c r="V2040" s="544"/>
      <c r="W2040" s="148"/>
    </row>
    <row r="2041" spans="1:23" ht="12.75" x14ac:dyDescent="0.2">
      <c r="A2041" s="148"/>
      <c r="B2041" s="410" t="str">
        <f ca="1">语言!$A$1989&amp;" (2)"</f>
        <v>蒙德尔 (2)</v>
      </c>
      <c r="C2041" s="543" t="b">
        <v>0</v>
      </c>
      <c r="D2041" s="410" t="str">
        <f ca="1">道具!$C$183</f>
        <v>帝国骑枪</v>
      </c>
      <c r="E2041" s="543" t="b">
        <v>0</v>
      </c>
      <c r="F2041" s="409" t="str">
        <f ca="1">道具!I$36</f>
        <v>蒙德尔的况状</v>
      </c>
      <c r="G2041" s="543" t="b">
        <v>0</v>
      </c>
      <c r="H2041" s="545" t="s">
        <v>51</v>
      </c>
      <c r="I2041" s="409">
        <v>5</v>
      </c>
      <c r="J2041" s="409"/>
      <c r="K2041" s="409"/>
      <c r="L2041" s="409"/>
      <c r="M2041" s="409"/>
      <c r="N2041" s="409"/>
      <c r="O2041" s="409" t="str">
        <f ca="1">道具!$C$11</f>
        <v>ＢＰ恢复的石榴（特大）</v>
      </c>
      <c r="P2041" s="543"/>
      <c r="Q2041" s="545" t="s">
        <v>51</v>
      </c>
      <c r="R2041" s="24"/>
      <c r="S2041" s="24" t="str">
        <f ca="1">Summon!$I$38</f>
        <v>嗯！嗯！嗯！</v>
      </c>
      <c r="T2041" s="545">
        <v>6</v>
      </c>
      <c r="U2041" s="543"/>
      <c r="V2041" s="409" t="str">
        <f ca="1">"NPC at this location after quest: "&amp;支线!$C$141</f>
        <v>NPC at this location after quest: 下注的事前准备</v>
      </c>
      <c r="W2041" s="148"/>
    </row>
    <row r="2042" spans="1:23" ht="12.75" x14ac:dyDescent="0.2">
      <c r="A2042" s="148"/>
      <c r="B2042" s="371"/>
      <c r="C2042" s="371"/>
      <c r="D2042" s="371"/>
      <c r="E2042" s="371"/>
      <c r="F2042" s="371"/>
      <c r="G2042" s="371"/>
      <c r="H2042" s="371"/>
      <c r="I2042" s="371"/>
      <c r="J2042" s="371"/>
      <c r="K2042" s="371"/>
      <c r="L2042" s="371"/>
      <c r="M2042" s="371"/>
      <c r="N2042" s="371"/>
      <c r="O2042" s="371"/>
      <c r="P2042" s="371"/>
      <c r="Q2042" s="371"/>
      <c r="R2042" s="24"/>
      <c r="S2042" s="24" t="str">
        <f ca="1">Summon!$I$35</f>
        <v>嗯！嗯！</v>
      </c>
      <c r="T2042" s="371"/>
      <c r="U2042" s="371"/>
      <c r="V2042" s="371"/>
      <c r="W2042" s="148"/>
    </row>
    <row r="2043" spans="1:23" ht="12.75" x14ac:dyDescent="0.2">
      <c r="A2043" s="148"/>
      <c r="B2043" s="544"/>
      <c r="C2043" s="544"/>
      <c r="D2043" s="544"/>
      <c r="E2043" s="544"/>
      <c r="F2043" s="544"/>
      <c r="G2043" s="544"/>
      <c r="H2043" s="544"/>
      <c r="I2043" s="544"/>
      <c r="J2043" s="544"/>
      <c r="K2043" s="544"/>
      <c r="L2043" s="544"/>
      <c r="M2043" s="544"/>
      <c r="N2043" s="544"/>
      <c r="O2043" s="544"/>
      <c r="P2043" s="544"/>
      <c r="Q2043" s="544"/>
      <c r="R2043" s="150"/>
      <c r="S2043" s="150" t="str">
        <f ca="1">Summon!$I$29</f>
        <v>嗯！</v>
      </c>
      <c r="T2043" s="544"/>
      <c r="U2043" s="544"/>
      <c r="V2043" s="544"/>
      <c r="W2043" s="148"/>
    </row>
    <row r="2044" spans="1:23" ht="12.75" x14ac:dyDescent="0.2">
      <c r="A2044" s="148"/>
      <c r="B2044" s="410" t="str">
        <f ca="1">语言!$A$1870&amp;" (2)"</f>
        <v>艾斯塔达斯 (2)</v>
      </c>
      <c r="C2044" s="543" t="b">
        <v>0</v>
      </c>
      <c r="D2044" s="410" t="str">
        <f ca="1">道具!$C$150</f>
        <v>神圣之刃</v>
      </c>
      <c r="E2044" s="543" t="b">
        <v>0</v>
      </c>
      <c r="F2044" s="409" t="str">
        <f ca="1">道具!$I$20</f>
        <v>艾斯塔达斯的况状</v>
      </c>
      <c r="G2044" s="543" t="b">
        <v>0</v>
      </c>
      <c r="H2044" s="545" t="s">
        <v>57</v>
      </c>
      <c r="I2044" s="409">
        <v>3</v>
      </c>
      <c r="J2044" s="409"/>
      <c r="K2044" s="409"/>
      <c r="L2044" s="409"/>
      <c r="M2044" s="409"/>
      <c r="N2044" s="409"/>
      <c r="O2044" s="409" t="str">
        <f ca="1">道具!$C$12</f>
        <v>ＨＰ／ＳＰ恢复的果酱</v>
      </c>
      <c r="P2044" s="543"/>
      <c r="Q2044" s="545" t="s">
        <v>57</v>
      </c>
      <c r="R2044" s="24"/>
      <c r="S2044" s="24" t="str">
        <f ca="1">Summon!$I$6</f>
        <v>斩击</v>
      </c>
      <c r="T2044" s="545">
        <v>8</v>
      </c>
      <c r="U2044" s="543"/>
      <c r="V2044" s="409" t="str">
        <f ca="1">"NPC at this location after quest: "&amp;支线!$C$141</f>
        <v>NPC at this location after quest: 下注的事前准备</v>
      </c>
      <c r="W2044" s="148"/>
    </row>
    <row r="2045" spans="1:23" ht="12.75" x14ac:dyDescent="0.2">
      <c r="A2045" s="148"/>
      <c r="B2045" s="544"/>
      <c r="C2045" s="544"/>
      <c r="D2045" s="544"/>
      <c r="E2045" s="544"/>
      <c r="F2045" s="544"/>
      <c r="G2045" s="544"/>
      <c r="H2045" s="544"/>
      <c r="I2045" s="544"/>
      <c r="J2045" s="544"/>
      <c r="K2045" s="544"/>
      <c r="L2045" s="544"/>
      <c r="M2045" s="544"/>
      <c r="N2045" s="544"/>
      <c r="O2045" s="544"/>
      <c r="P2045" s="544"/>
      <c r="Q2045" s="544"/>
      <c r="R2045" s="150"/>
      <c r="S2045" s="150" t="str">
        <f ca="1">Summon!$I$4</f>
        <v>战斗</v>
      </c>
      <c r="T2045" s="544"/>
      <c r="U2045" s="544"/>
      <c r="V2045" s="544"/>
      <c r="W2045" s="148"/>
    </row>
    <row r="2046" spans="1:23" ht="12.75" x14ac:dyDescent="0.2">
      <c r="A2046" s="148"/>
      <c r="B2046" s="410" t="str">
        <f ca="1">语言!$A$1933&amp;" (1)"</f>
        <v>冰冻剑士约书亚 (1)</v>
      </c>
      <c r="C2046" s="543" t="b">
        <v>0</v>
      </c>
      <c r="D2046" s="410" t="str">
        <f ca="1">道具!$C$485</f>
        <v>察知手环</v>
      </c>
      <c r="E2046" s="543" t="b">
        <v>0</v>
      </c>
      <c r="F2046" s="401" t="str">
        <f ca="1">道具!$I$31</f>
        <v>约书亚的弱点</v>
      </c>
      <c r="G2046" s="543"/>
      <c r="H2046" s="546" t="s">
        <v>119</v>
      </c>
      <c r="I2046" s="546" t="s">
        <v>119</v>
      </c>
      <c r="J2046" s="546" t="s">
        <v>119</v>
      </c>
      <c r="K2046" s="546" t="s">
        <v>119</v>
      </c>
      <c r="L2046" s="546" t="s">
        <v>119</v>
      </c>
      <c r="M2046" s="546" t="s">
        <v>119</v>
      </c>
      <c r="N2046" s="546" t="s">
        <v>119</v>
      </c>
      <c r="O2046" s="546" t="s">
        <v>119</v>
      </c>
      <c r="P2046" s="543"/>
      <c r="Q2046" s="546" t="s">
        <v>119</v>
      </c>
      <c r="R2046" s="546" t="s">
        <v>119</v>
      </c>
      <c r="S2046" s="546" t="s">
        <v>119</v>
      </c>
      <c r="T2046" s="546" t="s">
        <v>119</v>
      </c>
      <c r="U2046" s="543"/>
      <c r="V2046" s="409" t="str">
        <f ca="1">"NPC available only during "&amp;语言!$A$38&amp;" chapter 2
Moves to "&amp;语言!$A$340&amp;" after "&amp;语言!$A$38&amp;" chapter 4"</f>
        <v>NPC available only during 欧尔贝克 chapter 2
Moves to 诺斯利奇 after 欧尔贝克 chapter 4</v>
      </c>
      <c r="W2046" s="148"/>
    </row>
    <row r="2047" spans="1:23" ht="12.75" x14ac:dyDescent="0.2">
      <c r="A2047" s="148"/>
      <c r="B2047" s="544"/>
      <c r="C2047" s="544"/>
      <c r="D2047" s="544"/>
      <c r="E2047" s="544"/>
      <c r="F2047" s="544"/>
      <c r="G2047" s="544"/>
      <c r="H2047" s="544"/>
      <c r="I2047" s="544"/>
      <c r="J2047" s="544"/>
      <c r="K2047" s="544"/>
      <c r="L2047" s="544"/>
      <c r="M2047" s="544"/>
      <c r="N2047" s="544"/>
      <c r="O2047" s="544"/>
      <c r="P2047" s="544"/>
      <c r="Q2047" s="544"/>
      <c r="R2047" s="544"/>
      <c r="S2047" s="544"/>
      <c r="T2047" s="544"/>
      <c r="U2047" s="544"/>
      <c r="V2047" s="544"/>
      <c r="W2047" s="148"/>
    </row>
    <row r="2048" spans="1:23" ht="12.75" x14ac:dyDescent="0.2">
      <c r="A2048" s="148"/>
      <c r="B2048" s="410" t="str">
        <f ca="1">语言!$A$1776&amp;" (1)"</f>
        <v>粉碎者阿奇博德 (1)</v>
      </c>
      <c r="C2048" s="543" t="b">
        <v>0</v>
      </c>
      <c r="D2048" s="410" t="str">
        <f ca="1">道具!$C$255</f>
        <v>银斧</v>
      </c>
      <c r="E2048" s="543" t="b">
        <v>0</v>
      </c>
      <c r="F2048" s="401" t="str">
        <f ca="1">道具!$I$7</f>
        <v>阿奇博德的弱点</v>
      </c>
      <c r="G2048" s="543"/>
      <c r="H2048" s="546" t="s">
        <v>119</v>
      </c>
      <c r="I2048" s="546" t="s">
        <v>119</v>
      </c>
      <c r="J2048" s="546" t="s">
        <v>119</v>
      </c>
      <c r="K2048" s="546" t="s">
        <v>119</v>
      </c>
      <c r="L2048" s="546" t="s">
        <v>119</v>
      </c>
      <c r="M2048" s="546" t="s">
        <v>119</v>
      </c>
      <c r="N2048" s="546" t="s">
        <v>119</v>
      </c>
      <c r="O2048" s="546" t="s">
        <v>119</v>
      </c>
      <c r="P2048" s="543"/>
      <c r="Q2048" s="546" t="s">
        <v>119</v>
      </c>
      <c r="R2048" s="546" t="s">
        <v>119</v>
      </c>
      <c r="S2048" s="546" t="s">
        <v>119</v>
      </c>
      <c r="T2048" s="546" t="s">
        <v>119</v>
      </c>
      <c r="U2048" s="543"/>
      <c r="V2048" s="409" t="str">
        <f ca="1">"NPC available only during "&amp;语言!$A$38&amp;" chapter 2
Moves to "&amp;语言!$A$396&amp;" after "&amp;语言!$A$38&amp;" chapter 4"</f>
        <v>NPC available only during 欧尔贝克 chapter 2
Moves to 斯托冈德 -下街- after 欧尔贝克 chapter 4</v>
      </c>
      <c r="W2048" s="148"/>
    </row>
    <row r="2049" spans="1:23" ht="12.75" x14ac:dyDescent="0.2">
      <c r="A2049" s="148"/>
      <c r="B2049" s="544"/>
      <c r="C2049" s="544"/>
      <c r="D2049" s="544"/>
      <c r="E2049" s="544"/>
      <c r="F2049" s="544"/>
      <c r="G2049" s="544"/>
      <c r="H2049" s="544"/>
      <c r="I2049" s="544"/>
      <c r="J2049" s="544"/>
      <c r="K2049" s="544"/>
      <c r="L2049" s="544"/>
      <c r="M2049" s="544"/>
      <c r="N2049" s="544"/>
      <c r="O2049" s="544"/>
      <c r="P2049" s="544"/>
      <c r="Q2049" s="544"/>
      <c r="R2049" s="544"/>
      <c r="S2049" s="544"/>
      <c r="T2049" s="544"/>
      <c r="U2049" s="544"/>
      <c r="V2049" s="544"/>
      <c r="W2049" s="148"/>
    </row>
    <row r="2050" spans="1:23" ht="12.75" x14ac:dyDescent="0.2">
      <c r="A2050" s="148"/>
      <c r="B2050" s="410" t="str">
        <f ca="1">语言!$A$1908&amp;" (1)"</f>
        <v>黑骑士古斯塔夫 (1)</v>
      </c>
      <c r="C2050" s="148" t="b">
        <v>0</v>
      </c>
      <c r="D2050" s="25" t="str">
        <f ca="1">道具!$C$344</f>
        <v>古斯塔夫之盾</v>
      </c>
      <c r="E2050" s="543" t="b">
        <v>0</v>
      </c>
      <c r="F2050" s="401" t="str">
        <f ca="1">道具!$I$26</f>
        <v>古斯塔夫的弱点</v>
      </c>
      <c r="G2050" s="543"/>
      <c r="H2050" s="546" t="s">
        <v>119</v>
      </c>
      <c r="I2050" s="546" t="s">
        <v>119</v>
      </c>
      <c r="J2050" s="546" t="s">
        <v>119</v>
      </c>
      <c r="K2050" s="546" t="s">
        <v>119</v>
      </c>
      <c r="L2050" s="546" t="s">
        <v>119</v>
      </c>
      <c r="M2050" s="546" t="s">
        <v>119</v>
      </c>
      <c r="N2050" s="546" t="s">
        <v>119</v>
      </c>
      <c r="O2050" s="546" t="s">
        <v>119</v>
      </c>
      <c r="P2050" s="543"/>
      <c r="Q2050" s="546" t="s">
        <v>119</v>
      </c>
      <c r="R2050" s="546" t="s">
        <v>119</v>
      </c>
      <c r="S2050" s="546" t="s">
        <v>119</v>
      </c>
      <c r="T2050" s="546" t="s">
        <v>119</v>
      </c>
      <c r="U2050" s="543"/>
      <c r="V2050" s="409" t="str">
        <f ca="1">"NPC available only during "&amp;语言!$A$38&amp;" chapter 2
"&amp;道具!$C$486&amp;" not available on him later on
Moves to "&amp;语言!$A$352&amp;" after "&amp;语言!$A$38&amp;" chapter 4"</f>
        <v>NPC available only during 欧尔贝克 chapter 2
灵敏手环 not available on him later on
Moves to 夜啼之森 after 欧尔贝克 chapter 4</v>
      </c>
      <c r="W2050" s="148"/>
    </row>
    <row r="2051" spans="1:23" ht="12.75" x14ac:dyDescent="0.2">
      <c r="A2051" s="148"/>
      <c r="B2051" s="371"/>
      <c r="C2051" s="148" t="b">
        <v>0</v>
      </c>
      <c r="D2051" s="25" t="str">
        <f ca="1">道具!$C$120</f>
        <v>放了银块的皮袋</v>
      </c>
      <c r="E2051" s="371"/>
      <c r="F2051" s="371"/>
      <c r="G2051" s="371"/>
      <c r="H2051" s="371"/>
      <c r="I2051" s="371"/>
      <c r="J2051" s="371"/>
      <c r="K2051" s="371"/>
      <c r="L2051" s="371"/>
      <c r="M2051" s="371"/>
      <c r="N2051" s="371"/>
      <c r="O2051" s="371"/>
      <c r="P2051" s="371"/>
      <c r="Q2051" s="371"/>
      <c r="R2051" s="371"/>
      <c r="S2051" s="371"/>
      <c r="T2051" s="371"/>
      <c r="U2051" s="371"/>
      <c r="V2051" s="371"/>
      <c r="W2051" s="148"/>
    </row>
    <row r="2052" spans="1:23" ht="12.75" x14ac:dyDescent="0.2">
      <c r="A2052" s="148"/>
      <c r="B2052" s="371"/>
      <c r="C2052" s="148" t="b">
        <v>0</v>
      </c>
      <c r="D2052" s="25" t="str">
        <f ca="1">道具!$C$486</f>
        <v>灵敏手环</v>
      </c>
      <c r="E2052" s="371"/>
      <c r="F2052" s="371"/>
      <c r="G2052" s="371"/>
      <c r="H2052" s="371"/>
      <c r="I2052" s="371"/>
      <c r="J2052" s="371"/>
      <c r="K2052" s="371"/>
      <c r="L2052" s="371"/>
      <c r="M2052" s="371"/>
      <c r="N2052" s="371"/>
      <c r="O2052" s="371"/>
      <c r="P2052" s="371"/>
      <c r="Q2052" s="371"/>
      <c r="R2052" s="371"/>
      <c r="S2052" s="371"/>
      <c r="T2052" s="371"/>
      <c r="U2052" s="371"/>
      <c r="V2052" s="371"/>
      <c r="W2052" s="148"/>
    </row>
    <row r="2053" spans="1:23" ht="12.75" x14ac:dyDescent="0.2">
      <c r="A2053" s="164"/>
      <c r="B2053" s="583" t="str">
        <f ca="1">语言!$A$488</f>
        <v>不归之森</v>
      </c>
      <c r="C2053" s="371"/>
      <c r="D2053" s="371"/>
      <c r="E2053" s="371"/>
      <c r="F2053" s="371"/>
      <c r="G2053" s="371"/>
      <c r="H2053" s="371"/>
      <c r="I2053" s="371"/>
      <c r="J2053" s="371"/>
      <c r="K2053" s="371"/>
      <c r="L2053" s="371"/>
      <c r="M2053" s="371"/>
      <c r="N2053" s="371"/>
      <c r="O2053" s="371"/>
      <c r="P2053" s="371"/>
      <c r="Q2053" s="371"/>
      <c r="R2053" s="371"/>
      <c r="S2053" s="371"/>
      <c r="T2053" s="371"/>
      <c r="U2053" s="371"/>
      <c r="V2053" s="371"/>
      <c r="W2053" s="164"/>
    </row>
    <row r="2054" spans="1:23" ht="12.75" x14ac:dyDescent="0.2">
      <c r="A2054" s="164"/>
      <c r="B2054" s="584" t="str">
        <f ca="1">语言!$A$1794</f>
        <v>盗贼团头目</v>
      </c>
      <c r="C2054" s="164" t="b">
        <v>0</v>
      </c>
      <c r="D2054" s="163" t="str">
        <f ca="1">道具!$C$204</f>
        <v>大蛇短剑</v>
      </c>
      <c r="E2054" s="562" t="b">
        <v>0</v>
      </c>
      <c r="F2054" s="409" t="str">
        <f ca="1">语言!$A$23</f>
        <v>无</v>
      </c>
      <c r="G2054" s="562"/>
      <c r="H2054" s="561" t="s">
        <v>119</v>
      </c>
      <c r="I2054" s="561" t="s">
        <v>119</v>
      </c>
      <c r="J2054" s="561" t="s">
        <v>119</v>
      </c>
      <c r="K2054" s="561" t="s">
        <v>119</v>
      </c>
      <c r="L2054" s="561" t="s">
        <v>119</v>
      </c>
      <c r="M2054" s="561" t="s">
        <v>119</v>
      </c>
      <c r="N2054" s="561" t="s">
        <v>119</v>
      </c>
      <c r="O2054" s="561" t="s">
        <v>119</v>
      </c>
      <c r="P2054" s="562"/>
      <c r="Q2054" s="561" t="s">
        <v>119</v>
      </c>
      <c r="R2054" s="561" t="s">
        <v>119</v>
      </c>
      <c r="S2054" s="561" t="s">
        <v>119</v>
      </c>
      <c r="T2054" s="561" t="s">
        <v>119</v>
      </c>
      <c r="U2054" s="562"/>
      <c r="V2054" s="563" t="str">
        <f ca="1">"NPC available during quest: "&amp;支线!$C$142&amp;"
Disapear after you beat him"</f>
        <v>NPC available during quest: 亚雷克，在那之后
Disapear after you beat him</v>
      </c>
      <c r="W2054" s="164"/>
    </row>
    <row r="2055" spans="1:23" ht="12.75" x14ac:dyDescent="0.2">
      <c r="A2055" s="164"/>
      <c r="B2055" s="544"/>
      <c r="C2055" s="236" t="b">
        <v>0</v>
      </c>
      <c r="D2055" s="237" t="str">
        <f ca="1">道具!$C$487</f>
        <v>会心手环</v>
      </c>
      <c r="E2055" s="544"/>
      <c r="F2055" s="544"/>
      <c r="G2055" s="544"/>
      <c r="H2055" s="544"/>
      <c r="I2055" s="544"/>
      <c r="J2055" s="544"/>
      <c r="K2055" s="544"/>
      <c r="L2055" s="544"/>
      <c r="M2055" s="544"/>
      <c r="N2055" s="544"/>
      <c r="O2055" s="544"/>
      <c r="P2055" s="544"/>
      <c r="Q2055" s="544"/>
      <c r="R2055" s="544"/>
      <c r="S2055" s="544"/>
      <c r="T2055" s="544"/>
      <c r="U2055" s="544"/>
      <c r="V2055" s="544"/>
      <c r="W2055" s="164"/>
    </row>
    <row r="2056" spans="1:23" ht="12.75" x14ac:dyDescent="0.2">
      <c r="A2056" s="164"/>
      <c r="B2056" s="564" t="str">
        <f ca="1">语言!$A$1857&amp;" (1)"</f>
        <v>爱莉 (1)</v>
      </c>
      <c r="C2056" s="164" t="b">
        <v>0</v>
      </c>
      <c r="D2056" s="163" t="str">
        <f ca="1">道具!$C$84</f>
        <v>糖果</v>
      </c>
      <c r="E2056" s="562" t="b">
        <v>0</v>
      </c>
      <c r="F2056" s="409" t="str">
        <f ca="1">语言!$A$23</f>
        <v>无</v>
      </c>
      <c r="G2056" s="562"/>
      <c r="H2056" s="561" t="s">
        <v>119</v>
      </c>
      <c r="I2056" s="561" t="s">
        <v>119</v>
      </c>
      <c r="J2056" s="561" t="s">
        <v>119</v>
      </c>
      <c r="K2056" s="561" t="s">
        <v>119</v>
      </c>
      <c r="L2056" s="561" t="s">
        <v>119</v>
      </c>
      <c r="M2056" s="561" t="s">
        <v>119</v>
      </c>
      <c r="N2056" s="561" t="s">
        <v>119</v>
      </c>
      <c r="O2056" s="561" t="s">
        <v>119</v>
      </c>
      <c r="P2056" s="562"/>
      <c r="Q2056" s="585" t="s">
        <v>48</v>
      </c>
      <c r="R2056" s="165"/>
      <c r="S2056" s="165" t="str">
        <f ca="1">Summon!$I$167</f>
        <v>激励</v>
      </c>
      <c r="T2056" s="585">
        <v>9</v>
      </c>
      <c r="U2056" s="562"/>
      <c r="V2056" s="563" t="str">
        <f ca="1">"Moves to "&amp;语言!$A$483&amp;" after quest: "&amp;支线!$C$140</f>
        <v>Moves to 维克塔霍洛 after quest: 绑架</v>
      </c>
      <c r="W2056" s="164"/>
    </row>
    <row r="2057" spans="1:23" ht="12.75" x14ac:dyDescent="0.2">
      <c r="A2057" s="164"/>
      <c r="B2057" s="371"/>
      <c r="C2057" s="164" t="b">
        <v>0</v>
      </c>
      <c r="D2057" s="163" t="str">
        <f ca="1">道具!$C$86</f>
        <v>手帕</v>
      </c>
      <c r="E2057" s="371"/>
      <c r="F2057" s="371"/>
      <c r="G2057" s="371"/>
      <c r="H2057" s="371"/>
      <c r="I2057" s="371"/>
      <c r="J2057" s="371"/>
      <c r="K2057" s="371"/>
      <c r="L2057" s="371"/>
      <c r="M2057" s="371"/>
      <c r="N2057" s="371"/>
      <c r="O2057" s="371"/>
      <c r="P2057" s="371"/>
      <c r="Q2057" s="371"/>
      <c r="R2057" s="24"/>
      <c r="S2057" s="165" t="str">
        <f ca="1">Summon!$I$4</f>
        <v>战斗</v>
      </c>
      <c r="T2057" s="371"/>
      <c r="U2057" s="371"/>
      <c r="V2057" s="371"/>
      <c r="W2057" s="164"/>
    </row>
    <row r="2058" spans="1:23" ht="12.75" x14ac:dyDescent="0.2">
      <c r="A2058" s="148"/>
      <c r="B2058" s="548" t="str">
        <f ca="1">语言!$A$323&amp;" 3"</f>
        <v>Tier 3</v>
      </c>
      <c r="C2058" s="371"/>
      <c r="D2058" s="371"/>
      <c r="E2058" s="371"/>
      <c r="F2058" s="371"/>
      <c r="G2058" s="371"/>
      <c r="H2058" s="371"/>
      <c r="I2058" s="371"/>
      <c r="J2058" s="371"/>
      <c r="K2058" s="371"/>
      <c r="L2058" s="371"/>
      <c r="M2058" s="371"/>
      <c r="N2058" s="371"/>
      <c r="O2058" s="371"/>
      <c r="P2058" s="371"/>
      <c r="Q2058" s="371"/>
      <c r="R2058" s="371"/>
      <c r="S2058" s="371"/>
      <c r="T2058" s="371"/>
      <c r="U2058" s="371"/>
      <c r="V2058" s="371"/>
      <c r="W2058" s="148"/>
    </row>
    <row r="2059" spans="1:23" ht="12.75" x14ac:dyDescent="0.2">
      <c r="A2059" s="148"/>
      <c r="B2059" s="547" t="str">
        <f ca="1">语言!$A$491</f>
        <v>达斯克瓦罗</v>
      </c>
      <c r="C2059" s="371"/>
      <c r="D2059" s="371"/>
      <c r="E2059" s="371"/>
      <c r="F2059" s="371"/>
      <c r="G2059" s="371"/>
      <c r="H2059" s="371"/>
      <c r="I2059" s="371"/>
      <c r="J2059" s="371"/>
      <c r="K2059" s="371"/>
      <c r="L2059" s="371"/>
      <c r="M2059" s="371"/>
      <c r="N2059" s="371"/>
      <c r="O2059" s="371"/>
      <c r="P2059" s="371"/>
      <c r="Q2059" s="371"/>
      <c r="R2059" s="371"/>
      <c r="S2059" s="371"/>
      <c r="T2059" s="371"/>
      <c r="U2059" s="371"/>
      <c r="V2059" s="371"/>
      <c r="W2059" s="148"/>
    </row>
    <row r="2060" spans="1:23" ht="12.75" x14ac:dyDescent="0.2">
      <c r="A2060" s="148"/>
      <c r="B2060" s="410" t="str">
        <f ca="1">语言!$A$1854</f>
        <v>老婆婆</v>
      </c>
      <c r="C2060" s="148" t="b">
        <v>0</v>
      </c>
      <c r="D2060" s="25" t="str">
        <f ca="1">道具!$C$316</f>
        <v>大蓝宝石杖</v>
      </c>
      <c r="E2060" s="543" t="b">
        <v>0</v>
      </c>
      <c r="F2060" s="409" t="str">
        <f ca="1">语言!$A$27</f>
        <v>杂货店商品追加资讯</v>
      </c>
      <c r="G2060" s="543" t="b">
        <v>0</v>
      </c>
      <c r="H2060" s="545" t="s">
        <v>50</v>
      </c>
      <c r="I2060" s="409">
        <v>4</v>
      </c>
      <c r="J2060" s="409"/>
      <c r="K2060" s="409"/>
      <c r="L2060" s="409"/>
      <c r="M2060" s="409"/>
      <c r="N2060" s="409"/>
      <c r="O2060" s="409" t="str">
        <f ca="1">道具!$C$4</f>
        <v>ＨＰ恢复的葡萄（大）</v>
      </c>
      <c r="P2060" s="543"/>
      <c r="Q2060" s="545" t="s">
        <v>50</v>
      </c>
      <c r="R2060" s="24"/>
      <c r="S2060" s="24" t="str">
        <f ca="1">Summon!$I$83</f>
        <v>特大火焰魔法</v>
      </c>
      <c r="T2060" s="545">
        <v>7</v>
      </c>
      <c r="U2060" s="543"/>
      <c r="V2060" s="409"/>
      <c r="W2060" s="148"/>
    </row>
    <row r="2061" spans="1:23" ht="12.75" x14ac:dyDescent="0.2">
      <c r="A2061" s="148"/>
      <c r="B2061" s="371"/>
      <c r="C2061" s="148" t="b">
        <v>0</v>
      </c>
      <c r="D2061" s="25" t="str">
        <f ca="1">道具!$C$12</f>
        <v>ＨＰ／ＳＰ恢复的果酱</v>
      </c>
      <c r="E2061" s="371"/>
      <c r="F2061" s="371"/>
      <c r="G2061" s="371"/>
      <c r="H2061" s="371"/>
      <c r="I2061" s="371"/>
      <c r="J2061" s="371"/>
      <c r="K2061" s="371"/>
      <c r="L2061" s="371"/>
      <c r="M2061" s="371"/>
      <c r="N2061" s="371"/>
      <c r="O2061" s="371"/>
      <c r="P2061" s="371"/>
      <c r="Q2061" s="371"/>
      <c r="R2061" s="24"/>
      <c r="S2061" s="24" t="str">
        <f ca="1">Summon!$I$80</f>
        <v>大火焰魔法</v>
      </c>
      <c r="T2061" s="371"/>
      <c r="U2061" s="371"/>
      <c r="V2061" s="371"/>
      <c r="W2061" s="148"/>
    </row>
    <row r="2062" spans="1:23" ht="12.75" x14ac:dyDescent="0.2">
      <c r="A2062" s="148"/>
      <c r="B2062" s="371"/>
      <c r="C2062" s="148"/>
      <c r="D2062" s="25"/>
      <c r="E2062" s="371"/>
      <c r="F2062" s="371"/>
      <c r="G2062" s="371"/>
      <c r="H2062" s="371"/>
      <c r="I2062" s="371"/>
      <c r="J2062" s="371"/>
      <c r="K2062" s="371"/>
      <c r="L2062" s="371"/>
      <c r="M2062" s="371"/>
      <c r="N2062" s="371"/>
      <c r="O2062" s="371"/>
      <c r="P2062" s="371"/>
      <c r="Q2062" s="371"/>
      <c r="R2062" s="24"/>
      <c r="S2062" s="24" t="str">
        <f ca="1">Summon!$I$4</f>
        <v>战斗</v>
      </c>
      <c r="T2062" s="371"/>
      <c r="U2062" s="371"/>
      <c r="V2062" s="371"/>
      <c r="W2062" s="148"/>
    </row>
    <row r="2063" spans="1:23" ht="12.75" x14ac:dyDescent="0.2">
      <c r="A2063" s="148"/>
      <c r="B2063" s="480" t="str">
        <f ca="1">语言!$A$1839</f>
        <v>持有勋章的可疑商人</v>
      </c>
      <c r="C2063" s="148" t="b">
        <v>0</v>
      </c>
      <c r="D2063" s="25" t="str">
        <f ca="1">道具!$C$502</f>
        <v>会心耳环</v>
      </c>
      <c r="E2063" s="543" t="b">
        <v>0</v>
      </c>
      <c r="F2063" s="401" t="str">
        <f ca="1">语言!$A$33&amp;"
"&amp;道具!$C$126</f>
        <v>隐藏道具的资讯
旧硬币</v>
      </c>
      <c r="G2063" s="543" t="b">
        <v>0</v>
      </c>
      <c r="H2063" s="545" t="s">
        <v>50</v>
      </c>
      <c r="I2063" s="409">
        <v>4</v>
      </c>
      <c r="J2063" s="409"/>
      <c r="K2063" s="409"/>
      <c r="L2063" s="409"/>
      <c r="M2063" s="409"/>
      <c r="N2063" s="409"/>
      <c r="O2063" s="409" t="str">
        <f ca="1">"* "&amp;道具!$F$70</f>
        <v>* 誓约的勋章</v>
      </c>
      <c r="P2063" s="543"/>
      <c r="Q2063" s="545" t="s">
        <v>50</v>
      </c>
      <c r="R2063" s="24"/>
      <c r="S2063" s="24" t="str">
        <f ca="1">Summon!$I$57</f>
        <v>粉碎</v>
      </c>
      <c r="T2063" s="545">
        <v>7</v>
      </c>
      <c r="U2063" s="543"/>
      <c r="V2063" s="409" t="str">
        <f ca="1">"Disapear after "&amp;语言!$A$47&amp;" / "&amp;语言!$A$51&amp;"
Hidden Item no longer available after "&amp;语言!$A$47&amp;" / "&amp;语言!$A$51</f>
        <v>Disapear after 比试 / 唆使
Hidden Item no longer available after 比试 / 唆使</v>
      </c>
      <c r="W2063" s="148"/>
    </row>
    <row r="2064" spans="1:23" ht="12.75" x14ac:dyDescent="0.2">
      <c r="A2064" s="148"/>
      <c r="B2064" s="371"/>
      <c r="C2064" s="148" t="b">
        <v>0</v>
      </c>
      <c r="D2064" s="39" t="str">
        <f ca="1">道具!$C$85</f>
        <v>玻璃珠</v>
      </c>
      <c r="E2064" s="371"/>
      <c r="F2064" s="371"/>
      <c r="G2064" s="371"/>
      <c r="H2064" s="371"/>
      <c r="I2064" s="371"/>
      <c r="J2064" s="371"/>
      <c r="K2064" s="371"/>
      <c r="L2064" s="371"/>
      <c r="M2064" s="371"/>
      <c r="N2064" s="371"/>
      <c r="O2064" s="371"/>
      <c r="P2064" s="371"/>
      <c r="Q2064" s="371"/>
      <c r="R2064" s="24"/>
      <c r="S2064" s="24" t="str">
        <f ca="1">Summon!$I$52</f>
        <v>重拳</v>
      </c>
      <c r="T2064" s="371"/>
      <c r="U2064" s="371"/>
      <c r="V2064" s="371"/>
      <c r="W2064" s="148"/>
    </row>
    <row r="2065" spans="1:23" ht="12.75" x14ac:dyDescent="0.2">
      <c r="A2065" s="148"/>
      <c r="B2065" s="371"/>
      <c r="C2065" s="148" t="b">
        <v>0</v>
      </c>
      <c r="D2065" s="25" t="str">
        <f ca="1">道具!$C$168</f>
        <v>铁剑</v>
      </c>
      <c r="E2065" s="371"/>
      <c r="F2065" s="371"/>
      <c r="G2065" s="371"/>
      <c r="H2065" s="371"/>
      <c r="I2065" s="371"/>
      <c r="J2065" s="371"/>
      <c r="K2065" s="371"/>
      <c r="L2065" s="371"/>
      <c r="M2065" s="371"/>
      <c r="N2065" s="371"/>
      <c r="O2065" s="371"/>
      <c r="P2065" s="371"/>
      <c r="Q2065" s="371"/>
      <c r="R2065" s="24"/>
      <c r="S2065" s="24" t="str">
        <f ca="1">Summon!$I$4</f>
        <v>战斗</v>
      </c>
      <c r="T2065" s="371"/>
      <c r="U2065" s="371"/>
      <c r="V2065" s="371"/>
      <c r="W2065" s="148"/>
    </row>
    <row r="2066" spans="1:23" ht="12.75" x14ac:dyDescent="0.2">
      <c r="A2066" s="148"/>
      <c r="B2066" s="410" t="str">
        <f ca="1">语言!$A$2007</f>
        <v>不善拒绝的商人</v>
      </c>
      <c r="C2066" s="148" t="b">
        <v>0</v>
      </c>
      <c r="D2066" s="25" t="str">
        <f ca="1">道具!$C$126</f>
        <v>旧硬币</v>
      </c>
      <c r="E2066" s="543" t="b">
        <v>0</v>
      </c>
      <c r="F2066" s="409" t="str">
        <f ca="1">语言!$A$33&amp;"
"&amp;道具!$C$96</f>
        <v>隐藏道具的资讯
装了破烂儿的小袋子</v>
      </c>
      <c r="G2066" s="543" t="b">
        <v>0</v>
      </c>
      <c r="H2066" s="545" t="s">
        <v>48</v>
      </c>
      <c r="I2066" s="409">
        <v>2</v>
      </c>
      <c r="J2066" s="409"/>
      <c r="K2066" s="409"/>
      <c r="L2066" s="409"/>
      <c r="M2066" s="409"/>
      <c r="N2066" s="409"/>
      <c r="O2066" s="409" t="str">
        <f ca="1">道具!$C$4</f>
        <v>ＨＰ恢复的葡萄（大）</v>
      </c>
      <c r="P2066" s="543"/>
      <c r="Q2066" s="545" t="s">
        <v>48</v>
      </c>
      <c r="R2066" s="24"/>
      <c r="S2066" s="24" t="str">
        <f ca="1">Summon!$I$6</f>
        <v>斩击</v>
      </c>
      <c r="T2066" s="545">
        <v>9</v>
      </c>
      <c r="U2066" s="543"/>
      <c r="V2066" s="409"/>
      <c r="W2066" s="148"/>
    </row>
    <row r="2067" spans="1:23" ht="12.75" x14ac:dyDescent="0.2">
      <c r="A2067" s="148"/>
      <c r="B2067" s="371"/>
      <c r="C2067" s="148" t="b">
        <v>0</v>
      </c>
      <c r="D2067" s="25" t="str">
        <f ca="1">道具!$C$129</f>
        <v>奇特的古董</v>
      </c>
      <c r="E2067" s="371"/>
      <c r="F2067" s="371"/>
      <c r="G2067" s="371"/>
      <c r="H2067" s="371"/>
      <c r="I2067" s="371"/>
      <c r="J2067" s="371"/>
      <c r="K2067" s="371"/>
      <c r="L2067" s="371"/>
      <c r="M2067" s="371"/>
      <c r="N2067" s="371"/>
      <c r="O2067" s="371"/>
      <c r="P2067" s="371"/>
      <c r="Q2067" s="371"/>
      <c r="R2067" s="24"/>
      <c r="S2067" s="24" t="str">
        <f ca="1">Summon!$I$4</f>
        <v>战斗</v>
      </c>
      <c r="T2067" s="371"/>
      <c r="U2067" s="371"/>
      <c r="V2067" s="371"/>
      <c r="W2067" s="148"/>
    </row>
    <row r="2068" spans="1:23" ht="12.75" x14ac:dyDescent="0.2">
      <c r="A2068" s="148"/>
      <c r="B2068" s="410" t="str">
        <f ca="1">语言!$A$2068</f>
        <v>窃笑的居民</v>
      </c>
      <c r="C2068" s="543" t="b">
        <v>0</v>
      </c>
      <c r="D2068" s="410" t="str">
        <f ca="1">"* "&amp;道具!$F$75</f>
        <v>* 想写在日记上的名品</v>
      </c>
      <c r="E2068" s="543" t="b">
        <v>0</v>
      </c>
      <c r="F2068" s="409" t="str">
        <f ca="1">语言!$A$33&amp;"
"&amp;道具!$C$34</f>
        <v>隐藏道具的资讯
冰之精灵石（大）</v>
      </c>
      <c r="G2068" s="543" t="b">
        <v>0</v>
      </c>
      <c r="H2068" s="545" t="s">
        <v>57</v>
      </c>
      <c r="I2068" s="409">
        <v>3</v>
      </c>
      <c r="J2068" s="409"/>
      <c r="K2068" s="409"/>
      <c r="L2068" s="409"/>
      <c r="M2068" s="409"/>
      <c r="N2068" s="409"/>
      <c r="O2068" s="409" t="str">
        <f ca="1">道具!$C$7</f>
        <v>ＳＰ恢复的李子（大）</v>
      </c>
      <c r="P2068" s="543"/>
      <c r="Q2068" s="545" t="s">
        <v>57</v>
      </c>
      <c r="R2068" s="24"/>
      <c r="S2068" s="24" t="str">
        <f ca="1">Summon!$I$173</f>
        <v>攻击力提升</v>
      </c>
      <c r="T2068" s="545">
        <v>8</v>
      </c>
      <c r="U2068" s="543"/>
      <c r="V2068" s="409" t="str">
        <f ca="1">"NPC available after "&amp;语言!$A$37&amp;" chapter 4"</f>
        <v>NPC available after 特蕾莎 chapter 4</v>
      </c>
      <c r="W2068" s="148"/>
    </row>
    <row r="2069" spans="1:23" ht="12.75" x14ac:dyDescent="0.2">
      <c r="A2069" s="148"/>
      <c r="B2069" s="371"/>
      <c r="C2069" s="371"/>
      <c r="D2069" s="371"/>
      <c r="E2069" s="371"/>
      <c r="F2069" s="371"/>
      <c r="G2069" s="371"/>
      <c r="H2069" s="371"/>
      <c r="I2069" s="371"/>
      <c r="J2069" s="371"/>
      <c r="K2069" s="371"/>
      <c r="L2069" s="371"/>
      <c r="M2069" s="371"/>
      <c r="N2069" s="371"/>
      <c r="O2069" s="371"/>
      <c r="P2069" s="371"/>
      <c r="Q2069" s="371"/>
      <c r="R2069" s="24"/>
      <c r="S2069" s="24" t="str">
        <f ca="1">Summon!$I$40</f>
        <v>乱挥</v>
      </c>
      <c r="T2069" s="371"/>
      <c r="U2069" s="371"/>
      <c r="V2069" s="371"/>
      <c r="W2069" s="148"/>
    </row>
    <row r="2070" spans="1:23" ht="12.75" x14ac:dyDescent="0.2">
      <c r="A2070" s="148"/>
      <c r="B2070" s="371"/>
      <c r="C2070" s="371"/>
      <c r="D2070" s="371"/>
      <c r="E2070" s="371"/>
      <c r="F2070" s="371"/>
      <c r="G2070" s="371"/>
      <c r="H2070" s="371"/>
      <c r="I2070" s="371"/>
      <c r="J2070" s="371"/>
      <c r="K2070" s="371"/>
      <c r="L2070" s="371"/>
      <c r="M2070" s="371"/>
      <c r="N2070" s="371"/>
      <c r="O2070" s="371"/>
      <c r="P2070" s="371"/>
      <c r="Q2070" s="371"/>
      <c r="R2070" s="24"/>
      <c r="S2070" s="24" t="str">
        <f ca="1">Summon!$I$4</f>
        <v>战斗</v>
      </c>
      <c r="T2070" s="371"/>
      <c r="U2070" s="371"/>
      <c r="V2070" s="371"/>
      <c r="W2070" s="148"/>
    </row>
    <row r="2071" spans="1:23" ht="12.75" x14ac:dyDescent="0.2">
      <c r="A2071" s="148"/>
      <c r="B2071" s="410" t="str">
        <f ca="1">语言!$A$2130</f>
        <v>伍多兰多的知识份子</v>
      </c>
      <c r="C2071" s="148" t="b">
        <v>0</v>
      </c>
      <c r="D2071" s="25" t="str">
        <f ca="1">道具!$C$538</f>
        <v>睡眠花之叶</v>
      </c>
      <c r="E2071" s="543" t="b">
        <v>0</v>
      </c>
      <c r="F2071" s="409" t="str">
        <f ca="1">道具!$I$29</f>
        <v>伍多兰多的历史</v>
      </c>
      <c r="G2071" s="543" t="b">
        <v>0</v>
      </c>
      <c r="H2071" s="545" t="s">
        <v>50</v>
      </c>
      <c r="I2071" s="409">
        <v>4</v>
      </c>
      <c r="J2071" s="409"/>
      <c r="K2071" s="409"/>
      <c r="L2071" s="409"/>
      <c r="M2071" s="409"/>
      <c r="N2071" s="409"/>
      <c r="O2071" s="409" t="str">
        <f ca="1">道具!$C$544</f>
        <v>神秘之花</v>
      </c>
      <c r="P2071" s="543"/>
      <c r="Q2071" s="546" t="s">
        <v>119</v>
      </c>
      <c r="R2071" s="546" t="s">
        <v>119</v>
      </c>
      <c r="S2071" s="546" t="s">
        <v>119</v>
      </c>
      <c r="T2071" s="546" t="s">
        <v>119</v>
      </c>
      <c r="U2071" s="543"/>
      <c r="V2071" s="409" t="str">
        <f ca="1">"NPC available upon starting quest: "&amp;支线!$C$68</f>
        <v>NPC available upon starting quest: 学者拉塞尔，在那之后</v>
      </c>
      <c r="W2071" s="148"/>
    </row>
    <row r="2072" spans="1:23" ht="12.75" x14ac:dyDescent="0.2">
      <c r="A2072" s="148"/>
      <c r="B2072" s="371"/>
      <c r="C2072" s="148" t="b">
        <v>0</v>
      </c>
      <c r="D2072" s="25" t="str">
        <f ca="1">道具!$C$81</f>
        <v>增强速度的坚果（特大）</v>
      </c>
      <c r="E2072" s="371"/>
      <c r="F2072" s="371"/>
      <c r="G2072" s="371"/>
      <c r="H2072" s="371"/>
      <c r="I2072" s="371"/>
      <c r="J2072" s="371"/>
      <c r="K2072" s="371"/>
      <c r="L2072" s="371"/>
      <c r="M2072" s="371"/>
      <c r="N2072" s="371"/>
      <c r="O2072" s="371"/>
      <c r="P2072" s="371"/>
      <c r="Q2072" s="371"/>
      <c r="R2072" s="371"/>
      <c r="S2072" s="371"/>
      <c r="T2072" s="371"/>
      <c r="U2072" s="371"/>
      <c r="V2072" s="371"/>
      <c r="W2072" s="148"/>
    </row>
    <row r="2073" spans="1:23" ht="25.5" x14ac:dyDescent="0.2">
      <c r="A2073" s="148"/>
      <c r="B2073" s="410" t="str">
        <f ca="1">语言!$A$2119</f>
        <v>村长</v>
      </c>
      <c r="C2073" s="148" t="b">
        <v>0</v>
      </c>
      <c r="D2073" s="25" t="str">
        <f ca="1">道具!$C$10</f>
        <v>ＢＰ恢复的石榴（大）</v>
      </c>
      <c r="E2073" s="543" t="b">
        <v>0</v>
      </c>
      <c r="F2073" s="409" t="str">
        <f ca="1">语言!$A$24</f>
        <v>旅店的折扣资讯</v>
      </c>
      <c r="G2073" s="543" t="b">
        <v>0</v>
      </c>
      <c r="H2073" s="545" t="s">
        <v>47</v>
      </c>
      <c r="I2073" s="409">
        <v>4</v>
      </c>
      <c r="J2073" s="409"/>
      <c r="K2073" s="409"/>
      <c r="L2073" s="409"/>
      <c r="M2073" s="409"/>
      <c r="N2073" s="409"/>
      <c r="O2073" s="409" t="str">
        <f ca="1">道具!$C$7</f>
        <v>ＳＰ恢复的李子（大）</v>
      </c>
      <c r="P2073" s="543"/>
      <c r="Q2073" s="545" t="s">
        <v>47</v>
      </c>
      <c r="R2073" s="24"/>
      <c r="S2073" s="24" t="str">
        <f ca="1">Summon!$I$158</f>
        <v>防御力下降</v>
      </c>
      <c r="T2073" s="545">
        <v>6</v>
      </c>
      <c r="U2073" s="543"/>
      <c r="V2073" s="409"/>
      <c r="W2073" s="148"/>
    </row>
    <row r="2074" spans="1:23" ht="12.75" x14ac:dyDescent="0.2">
      <c r="A2074" s="148"/>
      <c r="B2074" s="371"/>
      <c r="C2074" s="148" t="b">
        <v>0</v>
      </c>
      <c r="D2074" s="25" t="str">
        <f ca="1">道具!$C$17</f>
        <v>复活的橄榄（特大）</v>
      </c>
      <c r="E2074" s="371"/>
      <c r="F2074" s="371"/>
      <c r="G2074" s="371"/>
      <c r="H2074" s="371"/>
      <c r="I2074" s="371"/>
      <c r="J2074" s="371"/>
      <c r="K2074" s="371"/>
      <c r="L2074" s="371"/>
      <c r="M2074" s="371"/>
      <c r="N2074" s="371"/>
      <c r="O2074" s="371"/>
      <c r="P2074" s="371"/>
      <c r="Q2074" s="371"/>
      <c r="R2074" s="24"/>
      <c r="S2074" s="24" t="str">
        <f ca="1">Summon!$I$34</f>
        <v>无双突刺</v>
      </c>
      <c r="T2074" s="371"/>
      <c r="U2074" s="371"/>
      <c r="V2074" s="371"/>
      <c r="W2074" s="148"/>
    </row>
    <row r="2075" spans="1:23" ht="12.75" x14ac:dyDescent="0.2">
      <c r="A2075" s="148"/>
      <c r="B2075" s="371"/>
      <c r="C2075" s="148" t="b">
        <v>0</v>
      </c>
      <c r="D2075" s="25" t="str">
        <f ca="1">道具!$C$60</f>
        <v>增强物防的坚果（大）</v>
      </c>
      <c r="E2075" s="371"/>
      <c r="F2075" s="371"/>
      <c r="G2075" s="371"/>
      <c r="H2075" s="371"/>
      <c r="I2075" s="371"/>
      <c r="J2075" s="371"/>
      <c r="K2075" s="371"/>
      <c r="L2075" s="371"/>
      <c r="M2075" s="371"/>
      <c r="N2075" s="371"/>
      <c r="O2075" s="371"/>
      <c r="P2075" s="371"/>
      <c r="Q2075" s="371"/>
      <c r="R2075" s="24"/>
      <c r="S2075" s="24" t="str">
        <f ca="1">Summon!$I$4</f>
        <v>战斗</v>
      </c>
      <c r="T2075" s="371"/>
      <c r="U2075" s="371"/>
      <c r="V2075" s="371"/>
      <c r="W2075" s="148"/>
    </row>
    <row r="2076" spans="1:23" ht="12.75" x14ac:dyDescent="0.2">
      <c r="A2076" s="148"/>
      <c r="B2076" s="410" t="str">
        <f ca="1">语言!$A$1874</f>
        <v>讨厌野兽的母亲</v>
      </c>
      <c r="C2076" s="148" t="b">
        <v>0</v>
      </c>
      <c r="D2076" s="25" t="str">
        <f ca="1">道具!$C$540</f>
        <v>葡萄树液</v>
      </c>
      <c r="E2076" s="543" t="b">
        <v>0</v>
      </c>
      <c r="F2076" s="409" t="str">
        <f ca="1">语言!$A$23</f>
        <v>无</v>
      </c>
      <c r="G2076" s="543" t="b">
        <v>0</v>
      </c>
      <c r="H2076" s="545" t="s">
        <v>57</v>
      </c>
      <c r="I2076" s="409">
        <v>3</v>
      </c>
      <c r="J2076" s="409"/>
      <c r="K2076" s="409"/>
      <c r="L2076" s="409"/>
      <c r="M2076" s="409"/>
      <c r="N2076" s="409"/>
      <c r="O2076" s="409" t="str">
        <f ca="1">道具!$C$536</f>
        <v>超含毒的素材（扩散）</v>
      </c>
      <c r="P2076" s="543"/>
      <c r="Q2076" s="545" t="s">
        <v>57</v>
      </c>
      <c r="R2076" s="24"/>
      <c r="S2076" s="24" t="str">
        <f ca="1">Summon!$I$21</f>
        <v>乱斩</v>
      </c>
      <c r="T2076" s="545">
        <v>8</v>
      </c>
      <c r="U2076" s="543"/>
      <c r="V2076" s="409"/>
      <c r="W2076" s="148"/>
    </row>
    <row r="2077" spans="1:23" ht="12.75" x14ac:dyDescent="0.2">
      <c r="A2077" s="148"/>
      <c r="B2077" s="371"/>
      <c r="C2077" s="148" t="b">
        <v>0</v>
      </c>
      <c r="D2077" s="25" t="str">
        <f ca="1">道具!$C$541</f>
        <v>李子树液</v>
      </c>
      <c r="E2077" s="371"/>
      <c r="F2077" s="371"/>
      <c r="G2077" s="371"/>
      <c r="H2077" s="371"/>
      <c r="I2077" s="371"/>
      <c r="J2077" s="371"/>
      <c r="K2077" s="371"/>
      <c r="L2077" s="371"/>
      <c r="M2077" s="371"/>
      <c r="N2077" s="371"/>
      <c r="O2077" s="371"/>
      <c r="P2077" s="371"/>
      <c r="Q2077" s="371"/>
      <c r="R2077" s="24"/>
      <c r="S2077" s="24" t="str">
        <f ca="1">Summon!$I$6</f>
        <v>斩击</v>
      </c>
      <c r="T2077" s="371"/>
      <c r="U2077" s="371"/>
      <c r="V2077" s="371"/>
      <c r="W2077" s="148"/>
    </row>
    <row r="2078" spans="1:23" ht="12.75" x14ac:dyDescent="0.2">
      <c r="A2078" s="148"/>
      <c r="B2078" s="371"/>
      <c r="C2078" s="148" t="b">
        <v>0</v>
      </c>
      <c r="D2078" s="25" t="str">
        <f ca="1">道具!$C$544</f>
        <v>神秘之花</v>
      </c>
      <c r="E2078" s="371"/>
      <c r="F2078" s="371"/>
      <c r="G2078" s="371"/>
      <c r="H2078" s="371"/>
      <c r="I2078" s="371"/>
      <c r="J2078" s="371"/>
      <c r="K2078" s="371"/>
      <c r="L2078" s="371"/>
      <c r="M2078" s="371"/>
      <c r="N2078" s="371"/>
      <c r="O2078" s="371"/>
      <c r="P2078" s="371"/>
      <c r="Q2078" s="371"/>
      <c r="R2078" s="24"/>
      <c r="S2078" s="24" t="str">
        <f ca="1">Summon!$I$4</f>
        <v>战斗</v>
      </c>
      <c r="T2078" s="371"/>
      <c r="U2078" s="371"/>
      <c r="V2078" s="371"/>
      <c r="W2078" s="148"/>
    </row>
    <row r="2079" spans="1:23" ht="12.75" x14ac:dyDescent="0.2">
      <c r="A2079" s="148"/>
      <c r="B2079" s="410" t="str">
        <f ca="1">语言!$A$1771</f>
        <v>喜欢野兽的少年</v>
      </c>
      <c r="C2079" s="148" t="b">
        <v>0</v>
      </c>
      <c r="D2079" s="25" t="str">
        <f ca="1">道具!$C$89</f>
        <v>鱼齿</v>
      </c>
      <c r="E2079" s="543" t="b">
        <v>0</v>
      </c>
      <c r="F2079" s="409" t="str">
        <f ca="1">语言!$A$23</f>
        <v>无</v>
      </c>
      <c r="G2079" s="543"/>
      <c r="H2079" s="546" t="s">
        <v>119</v>
      </c>
      <c r="I2079" s="546" t="s">
        <v>119</v>
      </c>
      <c r="J2079" s="546" t="s">
        <v>119</v>
      </c>
      <c r="K2079" s="546" t="s">
        <v>119</v>
      </c>
      <c r="L2079" s="546" t="s">
        <v>119</v>
      </c>
      <c r="M2079" s="546" t="s">
        <v>119</v>
      </c>
      <c r="N2079" s="546" t="s">
        <v>119</v>
      </c>
      <c r="O2079" s="546" t="s">
        <v>119</v>
      </c>
      <c r="P2079" s="543"/>
      <c r="Q2079" s="546" t="s">
        <v>119</v>
      </c>
      <c r="R2079" s="546" t="s">
        <v>119</v>
      </c>
      <c r="S2079" s="546" t="s">
        <v>119</v>
      </c>
      <c r="T2079" s="546" t="s">
        <v>119</v>
      </c>
      <c r="U2079" s="543"/>
      <c r="V2079" s="409"/>
      <c r="W2079" s="148"/>
    </row>
    <row r="2080" spans="1:23" ht="12.75" x14ac:dyDescent="0.2">
      <c r="A2080" s="148"/>
      <c r="B2080" s="371"/>
      <c r="C2080" s="148" t="b">
        <v>0</v>
      </c>
      <c r="D2080" s="25" t="str">
        <f ca="1">道具!$C$91</f>
        <v>树木果实</v>
      </c>
      <c r="E2080" s="371"/>
      <c r="F2080" s="371"/>
      <c r="G2080" s="371"/>
      <c r="H2080" s="371"/>
      <c r="I2080" s="371"/>
      <c r="J2080" s="371"/>
      <c r="K2080" s="371"/>
      <c r="L2080" s="371"/>
      <c r="M2080" s="371"/>
      <c r="N2080" s="371"/>
      <c r="O2080" s="371"/>
      <c r="P2080" s="371"/>
      <c r="Q2080" s="371"/>
      <c r="R2080" s="371"/>
      <c r="S2080" s="371"/>
      <c r="T2080" s="371"/>
      <c r="U2080" s="371"/>
      <c r="V2080" s="371"/>
      <c r="W2080" s="148"/>
    </row>
    <row r="2081" spans="1:23" ht="12.75" x14ac:dyDescent="0.2">
      <c r="A2081" s="148"/>
      <c r="B2081" s="371"/>
      <c r="C2081" s="148" t="b">
        <v>0</v>
      </c>
      <c r="D2081" s="25" t="str">
        <f ca="1">道具!$C$102</f>
        <v>骨头</v>
      </c>
      <c r="E2081" s="371"/>
      <c r="F2081" s="371"/>
      <c r="G2081" s="371"/>
      <c r="H2081" s="371"/>
      <c r="I2081" s="371"/>
      <c r="J2081" s="371"/>
      <c r="K2081" s="371"/>
      <c r="L2081" s="371"/>
      <c r="M2081" s="371"/>
      <c r="N2081" s="371"/>
      <c r="O2081" s="371"/>
      <c r="P2081" s="371"/>
      <c r="Q2081" s="371"/>
      <c r="R2081" s="371"/>
      <c r="S2081" s="371"/>
      <c r="T2081" s="371"/>
      <c r="U2081" s="371"/>
      <c r="V2081" s="371"/>
      <c r="W2081" s="148"/>
    </row>
    <row r="2082" spans="1:23" ht="12.75" x14ac:dyDescent="0.2">
      <c r="A2082" s="148"/>
      <c r="B2082" s="25" t="str">
        <f ca="1">语言!$A$2097&amp;" (1)"</f>
        <v>小老虎 (1)</v>
      </c>
      <c r="C2082" s="148"/>
      <c r="D2082" s="161" t="s">
        <v>119</v>
      </c>
      <c r="E2082" s="148" t="b">
        <v>0</v>
      </c>
      <c r="F2082" s="24" t="str">
        <f ca="1">语言!$A$23</f>
        <v>无</v>
      </c>
      <c r="G2082" s="148"/>
      <c r="H2082" s="154" t="s">
        <v>119</v>
      </c>
      <c r="I2082" s="154" t="s">
        <v>119</v>
      </c>
      <c r="J2082" s="154" t="s">
        <v>119</v>
      </c>
      <c r="K2082" s="154" t="s">
        <v>119</v>
      </c>
      <c r="L2082" s="154" t="s">
        <v>119</v>
      </c>
      <c r="M2082" s="154" t="s">
        <v>119</v>
      </c>
      <c r="N2082" s="154" t="s">
        <v>119</v>
      </c>
      <c r="O2082" s="154" t="s">
        <v>119</v>
      </c>
      <c r="P2082" s="148"/>
      <c r="Q2082" s="154" t="s">
        <v>119</v>
      </c>
      <c r="R2082" s="154" t="s">
        <v>119</v>
      </c>
      <c r="S2082" s="154" t="s">
        <v>119</v>
      </c>
      <c r="T2082" s="154" t="s">
        <v>119</v>
      </c>
      <c r="U2082" s="148"/>
      <c r="V2082" s="24" t="str">
        <f ca="1">"Moves to "&amp;语言!$A$457&amp;" after quest: "&amp;支线!$C$146&amp;"
("&amp;语言!$A$44&amp;" / "&amp;语言!$A$48&amp;" solution only)"</f>
        <v>Moves to 柏达弗尔 after quest: 无名野兽
(引导 / 诱惑 solution only)</v>
      </c>
      <c r="W2082" s="148"/>
    </row>
    <row r="2083" spans="1:23" ht="12.75" x14ac:dyDescent="0.2">
      <c r="A2083" s="148"/>
      <c r="B2083" s="410" t="str">
        <f ca="1">语言!$A$2120</f>
        <v>村民</v>
      </c>
      <c r="C2083" s="148" t="b">
        <v>0</v>
      </c>
      <c r="D2083" s="25" t="str">
        <f ca="1">道具!$C$5</f>
        <v>ＨＰ全体恢复的葡萄</v>
      </c>
      <c r="E2083" s="543" t="b">
        <v>0</v>
      </c>
      <c r="F2083" s="409" t="str">
        <f ca="1">语言!$A$33&amp;"
"&amp;道具!$C$272</f>
        <v>隐藏道具的资讯
进化弓・鹰</v>
      </c>
      <c r="G2083" s="543" t="b">
        <v>0</v>
      </c>
      <c r="H2083" s="545" t="s">
        <v>44</v>
      </c>
      <c r="I2083" s="409">
        <v>6</v>
      </c>
      <c r="J2083" s="409"/>
      <c r="K2083" s="409"/>
      <c r="L2083" s="409"/>
      <c r="M2083" s="409"/>
      <c r="N2083" s="409"/>
      <c r="O2083" s="409" t="str">
        <f ca="1">道具!$C$204</f>
        <v>大蛇短剑</v>
      </c>
      <c r="P2083" s="543"/>
      <c r="Q2083" s="546" t="s">
        <v>119</v>
      </c>
      <c r="R2083" s="546" t="s">
        <v>119</v>
      </c>
      <c r="S2083" s="546" t="s">
        <v>119</v>
      </c>
      <c r="T2083" s="546" t="s">
        <v>119</v>
      </c>
      <c r="U2083" s="543"/>
      <c r="V2083" s="409"/>
      <c r="W2083" s="148"/>
    </row>
    <row r="2084" spans="1:23" ht="12.75" x14ac:dyDescent="0.2">
      <c r="A2084" s="148"/>
      <c r="B2084" s="371"/>
      <c r="C2084" s="148" t="b">
        <v>0</v>
      </c>
      <c r="D2084" s="25" t="str">
        <f ca="1">道具!$C$8</f>
        <v>ＳＰ全体恢复的李子</v>
      </c>
      <c r="E2084" s="371"/>
      <c r="F2084" s="371"/>
      <c r="G2084" s="371"/>
      <c r="H2084" s="371"/>
      <c r="I2084" s="371"/>
      <c r="J2084" s="371"/>
      <c r="K2084" s="371"/>
      <c r="L2084" s="371"/>
      <c r="M2084" s="371"/>
      <c r="N2084" s="371"/>
      <c r="O2084" s="371"/>
      <c r="P2084" s="371"/>
      <c r="Q2084" s="371"/>
      <c r="R2084" s="371"/>
      <c r="S2084" s="371"/>
      <c r="T2084" s="371"/>
      <c r="U2084" s="371"/>
      <c r="V2084" s="371"/>
      <c r="W2084" s="148"/>
    </row>
    <row r="2085" spans="1:23" ht="12.75" x14ac:dyDescent="0.2">
      <c r="A2085" s="148"/>
      <c r="B2085" s="371"/>
      <c r="C2085" s="148" t="b">
        <v>0</v>
      </c>
      <c r="D2085" s="25" t="str">
        <f ca="1">道具!$C$204</f>
        <v>大蛇短剑</v>
      </c>
      <c r="E2085" s="371"/>
      <c r="F2085" s="371"/>
      <c r="G2085" s="371"/>
      <c r="H2085" s="371"/>
      <c r="I2085" s="371"/>
      <c r="J2085" s="371"/>
      <c r="K2085" s="371"/>
      <c r="L2085" s="371"/>
      <c r="M2085" s="371"/>
      <c r="N2085" s="371"/>
      <c r="O2085" s="371"/>
      <c r="P2085" s="371"/>
      <c r="Q2085" s="371"/>
      <c r="R2085" s="371"/>
      <c r="S2085" s="371"/>
      <c r="T2085" s="371"/>
      <c r="U2085" s="371"/>
      <c r="V2085" s="371"/>
      <c r="W2085" s="148"/>
    </row>
    <row r="2086" spans="1:23" ht="12.75" x14ac:dyDescent="0.2">
      <c r="A2086" s="148"/>
      <c r="B2086" s="410" t="str">
        <f ca="1">语言!$A$1784&amp;" (3)"</f>
        <v>阿什兰 (3)</v>
      </c>
      <c r="C2086" s="148" t="b">
        <v>0</v>
      </c>
      <c r="D2086" s="25" t="str">
        <f ca="1">道具!$C$497</f>
        <v>精神耳环</v>
      </c>
      <c r="E2086" s="543" t="b">
        <v>0</v>
      </c>
      <c r="F2086" s="409" t="str">
        <f ca="1">语言!$A$23</f>
        <v>无</v>
      </c>
      <c r="G2086" s="543" t="b">
        <v>0</v>
      </c>
      <c r="H2086" s="545" t="s">
        <v>57</v>
      </c>
      <c r="I2086" s="409">
        <v>3</v>
      </c>
      <c r="J2086" s="409"/>
      <c r="K2086" s="409"/>
      <c r="L2086" s="409"/>
      <c r="M2086" s="409"/>
      <c r="N2086" s="409"/>
      <c r="O2086" s="409" t="str">
        <f ca="1">道具!$C$3</f>
        <v>ＨＰ恢复的葡萄</v>
      </c>
      <c r="P2086" s="543"/>
      <c r="Q2086" s="545" t="s">
        <v>57</v>
      </c>
      <c r="R2086" s="24"/>
      <c r="S2086" s="24" t="str">
        <f ca="1">Summon!$I$65</f>
        <v>剧毒之矢</v>
      </c>
      <c r="T2086" s="545">
        <v>8</v>
      </c>
      <c r="U2086" s="543"/>
      <c r="V2086" s="409" t="str">
        <f ca="1">"NPC at this location after quest: "&amp;支线!$C$138</f>
        <v>NPC at this location after quest: 魔物操控人的末裔阿什兰（２）</v>
      </c>
      <c r="W2086" s="148"/>
    </row>
    <row r="2087" spans="1:23" ht="12.75" x14ac:dyDescent="0.2">
      <c r="A2087" s="148"/>
      <c r="B2087" s="371"/>
      <c r="C2087" s="148" t="b">
        <v>0</v>
      </c>
      <c r="D2087" s="25" t="str">
        <f ca="1">道具!$C$25</f>
        <v>毒瓶</v>
      </c>
      <c r="E2087" s="371"/>
      <c r="F2087" s="371"/>
      <c r="G2087" s="371"/>
      <c r="H2087" s="371"/>
      <c r="I2087" s="371"/>
      <c r="J2087" s="371"/>
      <c r="K2087" s="371"/>
      <c r="L2087" s="371"/>
      <c r="M2087" s="371"/>
      <c r="N2087" s="371"/>
      <c r="O2087" s="371"/>
      <c r="P2087" s="371"/>
      <c r="Q2087" s="371"/>
      <c r="R2087" s="24"/>
      <c r="S2087" s="24" t="str">
        <f ca="1">Summon!$I$64</f>
        <v>精准射击</v>
      </c>
      <c r="T2087" s="371"/>
      <c r="U2087" s="371"/>
      <c r="V2087" s="371"/>
      <c r="W2087" s="148"/>
    </row>
    <row r="2088" spans="1:23" ht="12.75" x14ac:dyDescent="0.2">
      <c r="A2088" s="148"/>
      <c r="B2088" s="371"/>
      <c r="C2088" s="148" t="b">
        <v>0</v>
      </c>
      <c r="D2088" s="25" t="str">
        <f ca="1">道具!$C$35</f>
        <v>冰之精灵石（特大）</v>
      </c>
      <c r="E2088" s="371"/>
      <c r="F2088" s="371"/>
      <c r="G2088" s="371"/>
      <c r="H2088" s="371"/>
      <c r="I2088" s="371"/>
      <c r="J2088" s="371"/>
      <c r="K2088" s="371"/>
      <c r="L2088" s="371"/>
      <c r="M2088" s="371"/>
      <c r="N2088" s="371"/>
      <c r="O2088" s="371"/>
      <c r="P2088" s="371"/>
      <c r="Q2088" s="371"/>
      <c r="R2088" s="24"/>
      <c r="S2088" s="24" t="str">
        <f ca="1">Summon!$I$4</f>
        <v>战斗</v>
      </c>
      <c r="T2088" s="371"/>
      <c r="U2088" s="371"/>
      <c r="V2088" s="371"/>
      <c r="W2088" s="148"/>
    </row>
    <row r="2089" spans="1:23" ht="12.75" x14ac:dyDescent="0.2">
      <c r="A2089" s="148"/>
      <c r="B2089" s="371"/>
      <c r="C2089" s="148" t="b">
        <v>0</v>
      </c>
      <c r="D2089" s="25" t="str">
        <f ca="1">道具!$C$5</f>
        <v>ＨＰ全体恢复的葡萄</v>
      </c>
      <c r="E2089" s="371"/>
      <c r="F2089" s="371"/>
      <c r="G2089" s="371"/>
      <c r="H2089" s="371"/>
      <c r="I2089" s="371"/>
      <c r="J2089" s="371"/>
      <c r="K2089" s="371"/>
      <c r="L2089" s="371"/>
      <c r="M2089" s="371"/>
      <c r="N2089" s="371"/>
      <c r="O2089" s="371"/>
      <c r="P2089" s="371"/>
      <c r="Q2089" s="371"/>
      <c r="R2089" s="24"/>
      <c r="S2089" s="24"/>
      <c r="T2089" s="371"/>
      <c r="U2089" s="371"/>
      <c r="V2089" s="371"/>
      <c r="W2089" s="148"/>
    </row>
    <row r="2090" spans="1:23" ht="12.75" x14ac:dyDescent="0.2">
      <c r="A2090" s="148"/>
      <c r="B2090" s="371"/>
      <c r="C2090" s="148" t="b">
        <v>0</v>
      </c>
      <c r="D2090" s="25" t="str">
        <f ca="1">道具!$C$7</f>
        <v>ＳＰ恢复的李子（大）</v>
      </c>
      <c r="E2090" s="371"/>
      <c r="F2090" s="371"/>
      <c r="G2090" s="371"/>
      <c r="H2090" s="371"/>
      <c r="I2090" s="371"/>
      <c r="J2090" s="371"/>
      <c r="K2090" s="371"/>
      <c r="L2090" s="371"/>
      <c r="M2090" s="371"/>
      <c r="N2090" s="371"/>
      <c r="O2090" s="371"/>
      <c r="P2090" s="371"/>
      <c r="Q2090" s="371"/>
      <c r="R2090" s="24"/>
      <c r="S2090" s="24"/>
      <c r="T2090" s="371"/>
      <c r="U2090" s="371"/>
      <c r="V2090" s="371"/>
      <c r="W2090" s="148"/>
    </row>
    <row r="2091" spans="1:23" ht="12.75" x14ac:dyDescent="0.2">
      <c r="A2091" s="148"/>
      <c r="B2091" s="410" t="str">
        <f ca="1">语言!$A$1785</f>
        <v>阿什兰的父亲</v>
      </c>
      <c r="C2091" s="148" t="b">
        <v>0</v>
      </c>
      <c r="D2091" s="25" t="str">
        <f ca="1">道具!$C$8</f>
        <v>ＳＰ全体恢复的李子</v>
      </c>
      <c r="E2091" s="543" t="b">
        <v>0</v>
      </c>
      <c r="F2091" s="409" t="str">
        <f ca="1">语言!$A$23</f>
        <v>无</v>
      </c>
      <c r="G2091" s="543" t="b">
        <v>0</v>
      </c>
      <c r="H2091" s="545" t="s">
        <v>46</v>
      </c>
      <c r="I2091" s="409">
        <v>3</v>
      </c>
      <c r="J2091" s="409"/>
      <c r="K2091" s="409"/>
      <c r="L2091" s="409"/>
      <c r="M2091" s="409"/>
      <c r="N2091" s="409"/>
      <c r="O2091" s="409" t="str">
        <f ca="1">道具!$C$5</f>
        <v>ＨＰ全体恢复的葡萄</v>
      </c>
      <c r="P2091" s="543"/>
      <c r="Q2091" s="545" t="s">
        <v>46</v>
      </c>
      <c r="R2091" s="24"/>
      <c r="S2091" s="24" t="str">
        <f ca="1">Summon!$I$61</f>
        <v>全力斩击</v>
      </c>
      <c r="T2091" s="545">
        <v>8</v>
      </c>
      <c r="U2091" s="543"/>
      <c r="V2091" s="409" t="str">
        <f ca="1">"NPC available after quest: "&amp;支线!$C$144</f>
        <v>NPC available after quest: 魔物操控人的末裔阿什兰（３）</v>
      </c>
      <c r="W2091" s="148"/>
    </row>
    <row r="2092" spans="1:23" ht="12.75" x14ac:dyDescent="0.2">
      <c r="A2092" s="148"/>
      <c r="B2092" s="371"/>
      <c r="C2092" s="148" t="b">
        <v>0</v>
      </c>
      <c r="D2092" s="25" t="str">
        <f ca="1">道具!$C$8</f>
        <v>ＳＰ全体恢复的李子</v>
      </c>
      <c r="E2092" s="371"/>
      <c r="F2092" s="371"/>
      <c r="G2092" s="371"/>
      <c r="H2092" s="371"/>
      <c r="I2092" s="371"/>
      <c r="J2092" s="371"/>
      <c r="K2092" s="371"/>
      <c r="L2092" s="371"/>
      <c r="M2092" s="371"/>
      <c r="N2092" s="371"/>
      <c r="O2092" s="371"/>
      <c r="P2092" s="371"/>
      <c r="Q2092" s="371"/>
      <c r="R2092" s="24"/>
      <c r="S2092" s="24" t="str">
        <f ca="1">Summon!$I$52</f>
        <v>重拳</v>
      </c>
      <c r="T2092" s="371"/>
      <c r="U2092" s="371"/>
      <c r="V2092" s="371"/>
      <c r="W2092" s="148"/>
    </row>
    <row r="2093" spans="1:23" ht="12.75" x14ac:dyDescent="0.2">
      <c r="A2093" s="148"/>
      <c r="B2093" s="371"/>
      <c r="C2093" s="148"/>
      <c r="D2093" s="25"/>
      <c r="E2093" s="371"/>
      <c r="F2093" s="371"/>
      <c r="G2093" s="371"/>
      <c r="H2093" s="371"/>
      <c r="I2093" s="371"/>
      <c r="J2093" s="371"/>
      <c r="K2093" s="371"/>
      <c r="L2093" s="371"/>
      <c r="M2093" s="371"/>
      <c r="N2093" s="371"/>
      <c r="O2093" s="371"/>
      <c r="P2093" s="371"/>
      <c r="Q2093" s="371"/>
      <c r="R2093" s="24"/>
      <c r="S2093" s="24" t="str">
        <f ca="1">Summon!$I$4</f>
        <v>战斗</v>
      </c>
      <c r="T2093" s="371"/>
      <c r="U2093" s="371"/>
      <c r="V2093" s="371"/>
      <c r="W2093" s="148"/>
    </row>
    <row r="2094" spans="1:23" ht="12.75" x14ac:dyDescent="0.2">
      <c r="A2094" s="148"/>
      <c r="B2094" s="547" t="str">
        <f ca="1">语言!$A$493</f>
        <v>失落的遗迹</v>
      </c>
      <c r="C2094" s="371"/>
      <c r="D2094" s="371"/>
      <c r="E2094" s="371"/>
      <c r="F2094" s="371"/>
      <c r="G2094" s="371"/>
      <c r="H2094" s="371"/>
      <c r="I2094" s="371"/>
      <c r="J2094" s="371"/>
      <c r="K2094" s="371"/>
      <c r="L2094" s="371"/>
      <c r="M2094" s="371"/>
      <c r="N2094" s="371"/>
      <c r="O2094" s="371"/>
      <c r="P2094" s="371"/>
      <c r="Q2094" s="371"/>
      <c r="R2094" s="371"/>
      <c r="S2094" s="371"/>
      <c r="T2094" s="371"/>
      <c r="U2094" s="371"/>
      <c r="V2094" s="371"/>
      <c r="W2094" s="148"/>
    </row>
    <row r="2095" spans="1:23" ht="12.75" x14ac:dyDescent="0.2">
      <c r="A2095" s="148"/>
      <c r="B2095" s="480" t="str">
        <f ca="1">语言!$A$1901</f>
        <v>盗挖者</v>
      </c>
      <c r="C2095" s="148" t="b">
        <v>0</v>
      </c>
      <c r="D2095" s="39" t="str">
        <f ca="1">道具!$C$71</f>
        <v>增强命中的坚果（特大）</v>
      </c>
      <c r="E2095" s="543" t="b">
        <v>0</v>
      </c>
      <c r="F2095" s="409" t="str">
        <f ca="1">语言!$A$23</f>
        <v>无</v>
      </c>
      <c r="G2095" s="543" t="b">
        <v>0</v>
      </c>
      <c r="H2095" s="545" t="s">
        <v>47</v>
      </c>
      <c r="I2095" s="409">
        <v>4</v>
      </c>
      <c r="J2095" s="409"/>
      <c r="K2095" s="409"/>
      <c r="L2095" s="409"/>
      <c r="M2095" s="409"/>
      <c r="N2095" s="409"/>
      <c r="O2095" s="409" t="str">
        <f ca="1">道具!$C$8</f>
        <v>ＳＰ全体恢复的李子</v>
      </c>
      <c r="P2095" s="543"/>
      <c r="Q2095" s="546" t="s">
        <v>119</v>
      </c>
      <c r="R2095" s="546" t="s">
        <v>119</v>
      </c>
      <c r="S2095" s="546" t="s">
        <v>119</v>
      </c>
      <c r="T2095" s="546" t="s">
        <v>119</v>
      </c>
      <c r="U2095" s="543"/>
      <c r="V2095" s="409" t="str">
        <f ca="1">"Disapear after "&amp;语言!$A$47&amp;" / "&amp;语言!$A$51</f>
        <v>Disapear after 比试 / 唆使</v>
      </c>
      <c r="W2095" s="148"/>
    </row>
    <row r="2096" spans="1:23" ht="12.75" x14ac:dyDescent="0.2">
      <c r="A2096" s="148"/>
      <c r="B2096" s="371"/>
      <c r="C2096" s="148" t="b">
        <v>0</v>
      </c>
      <c r="D2096" s="39" t="str">
        <f ca="1">道具!$C$478</f>
        <v>灵敏项链</v>
      </c>
      <c r="E2096" s="371"/>
      <c r="F2096" s="371"/>
      <c r="G2096" s="371"/>
      <c r="H2096" s="371"/>
      <c r="I2096" s="371"/>
      <c r="J2096" s="371"/>
      <c r="K2096" s="371"/>
      <c r="L2096" s="371"/>
      <c r="M2096" s="371"/>
      <c r="N2096" s="371"/>
      <c r="O2096" s="371"/>
      <c r="P2096" s="371"/>
      <c r="Q2096" s="371"/>
      <c r="R2096" s="371"/>
      <c r="S2096" s="371"/>
      <c r="T2096" s="371"/>
      <c r="U2096" s="371"/>
      <c r="V2096" s="371"/>
      <c r="W2096" s="148"/>
    </row>
    <row r="2097" spans="1:23" ht="12.75" x14ac:dyDescent="0.2">
      <c r="A2097" s="148"/>
      <c r="B2097" s="238"/>
      <c r="C2097" s="148"/>
      <c r="D2097" s="238"/>
      <c r="E2097" s="148"/>
      <c r="F2097" s="148"/>
      <c r="G2097" s="148"/>
      <c r="H2097" s="239"/>
      <c r="I2097" s="148"/>
      <c r="J2097" s="148"/>
      <c r="K2097" s="148"/>
      <c r="L2097" s="148"/>
      <c r="M2097" s="148"/>
      <c r="N2097" s="148"/>
      <c r="O2097" s="148"/>
      <c r="P2097" s="148"/>
      <c r="Q2097" s="239"/>
      <c r="R2097" s="148"/>
      <c r="S2097" s="148"/>
      <c r="T2097" s="239"/>
      <c r="U2097" s="148"/>
      <c r="V2097" s="148"/>
      <c r="W2097" s="148"/>
    </row>
  </sheetData>
  <mergeCells count="12385">
    <mergeCell ref="T1800:T1802"/>
    <mergeCell ref="U1800:U1802"/>
    <mergeCell ref="V1800:V1802"/>
    <mergeCell ref="L1814:L1816"/>
    <mergeCell ref="M1814:M1816"/>
    <mergeCell ref="E1814:E1816"/>
    <mergeCell ref="F1814:F1816"/>
    <mergeCell ref="G1814:G1816"/>
    <mergeCell ref="H1814:H1816"/>
    <mergeCell ref="I1814:I1816"/>
    <mergeCell ref="J1814:J1816"/>
    <mergeCell ref="K1814:K1816"/>
    <mergeCell ref="Q1811:Q1813"/>
    <mergeCell ref="T1811:T1813"/>
    <mergeCell ref="U1811:U1813"/>
    <mergeCell ref="V1811:V1813"/>
    <mergeCell ref="N1814:N1816"/>
    <mergeCell ref="O1814:O1816"/>
    <mergeCell ref="P1814:P1816"/>
    <mergeCell ref="Q1814:Q1816"/>
    <mergeCell ref="T1814:T1816"/>
    <mergeCell ref="U1814:U1816"/>
    <mergeCell ref="V1814:V1816"/>
    <mergeCell ref="H1797:H1799"/>
    <mergeCell ref="I1797:I1799"/>
    <mergeCell ref="B1794:B1796"/>
    <mergeCell ref="F1794:F1796"/>
    <mergeCell ref="G1794:G1796"/>
    <mergeCell ref="H1794:H1796"/>
    <mergeCell ref="I1794:I1796"/>
    <mergeCell ref="J1794:J1796"/>
    <mergeCell ref="B1797:B1799"/>
    <mergeCell ref="T1794:T1796"/>
    <mergeCell ref="U1794:U1796"/>
    <mergeCell ref="V1794:V1796"/>
    <mergeCell ref="K1794:K1796"/>
    <mergeCell ref="L1794:L1796"/>
    <mergeCell ref="M1794:M1796"/>
    <mergeCell ref="N1794:N1796"/>
    <mergeCell ref="O1794:O1796"/>
    <mergeCell ref="P1794:P1796"/>
    <mergeCell ref="Q1794:Q1796"/>
    <mergeCell ref="E1794:E1796"/>
    <mergeCell ref="E1797:E1799"/>
    <mergeCell ref="F1797:F1799"/>
    <mergeCell ref="G1797:G1799"/>
    <mergeCell ref="Q1797:Q1799"/>
    <mergeCell ref="T1797:T1799"/>
    <mergeCell ref="U1797:U1799"/>
    <mergeCell ref="V1797:V1799"/>
    <mergeCell ref="J1797:J1799"/>
    <mergeCell ref="K1797:K1799"/>
    <mergeCell ref="L1797:L1799"/>
    <mergeCell ref="M1797:M1799"/>
    <mergeCell ref="N1797:N1799"/>
    <mergeCell ref="O1797:O1799"/>
    <mergeCell ref="P1797:P1799"/>
    <mergeCell ref="E1788:E1790"/>
    <mergeCell ref="F1788:F1790"/>
    <mergeCell ref="G1788:G1790"/>
    <mergeCell ref="H1788:H1790"/>
    <mergeCell ref="I1788:I1790"/>
    <mergeCell ref="J1788:J1790"/>
    <mergeCell ref="K1788:K1790"/>
    <mergeCell ref="U1788:U1790"/>
    <mergeCell ref="V1788:V1790"/>
    <mergeCell ref="L1788:L1790"/>
    <mergeCell ref="M1788:M1790"/>
    <mergeCell ref="N1788:N1790"/>
    <mergeCell ref="O1788:O1790"/>
    <mergeCell ref="P1788:P1790"/>
    <mergeCell ref="Q1788:Q1790"/>
    <mergeCell ref="T1788:T1790"/>
    <mergeCell ref="B1791:B1793"/>
    <mergeCell ref="E1791:E1793"/>
    <mergeCell ref="F1791:F1793"/>
    <mergeCell ref="G1791:G1793"/>
    <mergeCell ref="H1791:H1793"/>
    <mergeCell ref="I1791:I1793"/>
    <mergeCell ref="J1791:J1793"/>
    <mergeCell ref="T1791:T1793"/>
    <mergeCell ref="U1791:U1793"/>
    <mergeCell ref="V1791:V1793"/>
    <mergeCell ref="K1791:K1793"/>
    <mergeCell ref="L1791:L1793"/>
    <mergeCell ref="M1791:M1793"/>
    <mergeCell ref="N1791:N1793"/>
    <mergeCell ref="O1791:O1793"/>
    <mergeCell ref="P1791:P1793"/>
    <mergeCell ref="Q1791:Q1793"/>
    <mergeCell ref="B1788:B1790"/>
    <mergeCell ref="C1788:C1790"/>
    <mergeCell ref="D1788:D1790"/>
    <mergeCell ref="B1778:B1780"/>
    <mergeCell ref="E1778:E1780"/>
    <mergeCell ref="F1778:F1780"/>
    <mergeCell ref="G1778:G1780"/>
    <mergeCell ref="H1778:H1780"/>
    <mergeCell ref="Q1786:Q1787"/>
    <mergeCell ref="T1786:T1787"/>
    <mergeCell ref="J1786:J1787"/>
    <mergeCell ref="K1786:K1787"/>
    <mergeCell ref="L1786:L1787"/>
    <mergeCell ref="M1786:M1787"/>
    <mergeCell ref="N1786:N1787"/>
    <mergeCell ref="O1786:O1787"/>
    <mergeCell ref="P1786:P1787"/>
    <mergeCell ref="P1781:P1783"/>
    <mergeCell ref="Q1781:Q1783"/>
    <mergeCell ref="T1781:T1783"/>
    <mergeCell ref="U1781:U1783"/>
    <mergeCell ref="V1781:V1783"/>
    <mergeCell ref="I1781:I1783"/>
    <mergeCell ref="J1781:J1783"/>
    <mergeCell ref="K1781:K1783"/>
    <mergeCell ref="L1781:L1783"/>
    <mergeCell ref="M1781:M1783"/>
    <mergeCell ref="N1781:N1783"/>
    <mergeCell ref="O1781:O1783"/>
    <mergeCell ref="F1784:F1785"/>
    <mergeCell ref="G1784:G1785"/>
    <mergeCell ref="I1784:I1785"/>
    <mergeCell ref="J1784:J1785"/>
    <mergeCell ref="K1784:K1785"/>
    <mergeCell ref="L1784:L1785"/>
    <mergeCell ref="M1784:M1785"/>
    <mergeCell ref="B1781:B1783"/>
    <mergeCell ref="C1781:C1783"/>
    <mergeCell ref="D1781:D1783"/>
    <mergeCell ref="F1781:F1783"/>
    <mergeCell ref="G1781:G1783"/>
    <mergeCell ref="H1781:H1783"/>
    <mergeCell ref="H1784:H1785"/>
    <mergeCell ref="E1781:E1783"/>
    <mergeCell ref="E1784:E1785"/>
    <mergeCell ref="E1786:E1787"/>
    <mergeCell ref="F1786:F1787"/>
    <mergeCell ref="G1786:G1787"/>
    <mergeCell ref="H1786:H1787"/>
    <mergeCell ref="I1786:I1787"/>
    <mergeCell ref="U1786:U1787"/>
    <mergeCell ref="V1786:V1787"/>
    <mergeCell ref="N1784:N1785"/>
    <mergeCell ref="O1784:O1785"/>
    <mergeCell ref="P1784:P1785"/>
    <mergeCell ref="Q1784:Q1785"/>
    <mergeCell ref="T1784:T1785"/>
    <mergeCell ref="U1784:U1785"/>
    <mergeCell ref="V1784:V1785"/>
    <mergeCell ref="B1784:B1785"/>
    <mergeCell ref="B1786:B1787"/>
    <mergeCell ref="C1786:C1787"/>
    <mergeCell ref="D1786:D1787"/>
    <mergeCell ref="T1768:T1770"/>
    <mergeCell ref="U1768:U1770"/>
    <mergeCell ref="V1768:V1770"/>
    <mergeCell ref="K1768:K1770"/>
    <mergeCell ref="L1768:L1770"/>
    <mergeCell ref="M1768:M1770"/>
    <mergeCell ref="N1768:N1770"/>
    <mergeCell ref="O1768:O1770"/>
    <mergeCell ref="P1768:P1770"/>
    <mergeCell ref="Q1768:Q1770"/>
    <mergeCell ref="B1774:B1776"/>
    <mergeCell ref="E1774:E1776"/>
    <mergeCell ref="F1774:F1776"/>
    <mergeCell ref="G1774:G1776"/>
    <mergeCell ref="H1774:H1776"/>
    <mergeCell ref="I1774:I1776"/>
    <mergeCell ref="J1774:J1776"/>
    <mergeCell ref="K1774:K1776"/>
    <mergeCell ref="L1774:L1776"/>
    <mergeCell ref="M1774:M1776"/>
    <mergeCell ref="N1774:N1776"/>
    <mergeCell ref="O1774:O1776"/>
    <mergeCell ref="P1774:P1776"/>
    <mergeCell ref="Q1774:Q1776"/>
    <mergeCell ref="P1778:P1780"/>
    <mergeCell ref="Q1778:Q1780"/>
    <mergeCell ref="I1778:I1780"/>
    <mergeCell ref="J1778:J1780"/>
    <mergeCell ref="K1778:K1780"/>
    <mergeCell ref="L1778:L1780"/>
    <mergeCell ref="M1778:M1780"/>
    <mergeCell ref="N1778:N1780"/>
    <mergeCell ref="O1778:O1780"/>
    <mergeCell ref="F1771:F1773"/>
    <mergeCell ref="G1771:G1773"/>
    <mergeCell ref="H1771:H1773"/>
    <mergeCell ref="I1771:I1773"/>
    <mergeCell ref="Q1771:Q1773"/>
    <mergeCell ref="T1771:T1773"/>
    <mergeCell ref="U1771:U1773"/>
    <mergeCell ref="V1771:V1773"/>
    <mergeCell ref="T1778:T1780"/>
    <mergeCell ref="U1778:U1780"/>
    <mergeCell ref="V1778:V1780"/>
    <mergeCell ref="J1771:J1773"/>
    <mergeCell ref="K1771:K1773"/>
    <mergeCell ref="L1771:L1773"/>
    <mergeCell ref="M1771:M1773"/>
    <mergeCell ref="N1771:N1773"/>
    <mergeCell ref="O1771:O1773"/>
    <mergeCell ref="P1771:P1773"/>
    <mergeCell ref="B1768:B1770"/>
    <mergeCell ref="F1768:F1770"/>
    <mergeCell ref="G1768:G1770"/>
    <mergeCell ref="H1768:H1770"/>
    <mergeCell ref="I1768:I1770"/>
    <mergeCell ref="J1768:J1770"/>
    <mergeCell ref="B1771:B1773"/>
    <mergeCell ref="T1774:T1776"/>
    <mergeCell ref="U1774:U1776"/>
    <mergeCell ref="V1774:V1776"/>
    <mergeCell ref="B1777:V1777"/>
    <mergeCell ref="E1768:E1770"/>
    <mergeCell ref="E1771:E1773"/>
    <mergeCell ref="R1759:R1760"/>
    <mergeCell ref="S1759:S1760"/>
    <mergeCell ref="T1759:T1760"/>
    <mergeCell ref="U1759:U1760"/>
    <mergeCell ref="V1759:V1760"/>
    <mergeCell ref="K1759:K1760"/>
    <mergeCell ref="L1759:L1760"/>
    <mergeCell ref="M1759:M1760"/>
    <mergeCell ref="N1759:N1760"/>
    <mergeCell ref="O1759:O1760"/>
    <mergeCell ref="P1759:P1760"/>
    <mergeCell ref="Q1759:Q1760"/>
    <mergeCell ref="B1759:B1760"/>
    <mergeCell ref="E1759:E1760"/>
    <mergeCell ref="F1759:F1760"/>
    <mergeCell ref="G1759:G1760"/>
    <mergeCell ref="H1759:H1760"/>
    <mergeCell ref="I1759:I1760"/>
    <mergeCell ref="J1759:J1760"/>
    <mergeCell ref="P1761:P1763"/>
    <mergeCell ref="Q1761:Q1763"/>
    <mergeCell ref="T1761:T1763"/>
    <mergeCell ref="U1761:U1763"/>
    <mergeCell ref="V1761:V1763"/>
    <mergeCell ref="I1761:I1763"/>
    <mergeCell ref="J1761:J1763"/>
    <mergeCell ref="K1761:K1763"/>
    <mergeCell ref="L1761:L1763"/>
    <mergeCell ref="M1761:M1763"/>
    <mergeCell ref="N1761:N1763"/>
    <mergeCell ref="O1761:O1763"/>
    <mergeCell ref="E1761:E1763"/>
    <mergeCell ref="E1764:E1766"/>
    <mergeCell ref="F1764:F1766"/>
    <mergeCell ref="G1764:G1766"/>
    <mergeCell ref="O1764:O1766"/>
    <mergeCell ref="P1764:P1766"/>
    <mergeCell ref="Q1764:Q1766"/>
    <mergeCell ref="T1764:T1766"/>
    <mergeCell ref="U1764:U1766"/>
    <mergeCell ref="V1764:V1766"/>
    <mergeCell ref="H1764:H1766"/>
    <mergeCell ref="I1764:I1766"/>
    <mergeCell ref="J1764:J1766"/>
    <mergeCell ref="K1764:K1766"/>
    <mergeCell ref="L1764:L1766"/>
    <mergeCell ref="M1764:M1766"/>
    <mergeCell ref="N1764:N1766"/>
    <mergeCell ref="B1761:B1763"/>
    <mergeCell ref="C1761:C1763"/>
    <mergeCell ref="D1761:D1763"/>
    <mergeCell ref="F1761:F1763"/>
    <mergeCell ref="G1761:G1763"/>
    <mergeCell ref="H1761:H1763"/>
    <mergeCell ref="B1764:B1766"/>
    <mergeCell ref="T1753:T1754"/>
    <mergeCell ref="U1753:U1754"/>
    <mergeCell ref="V1753:V1754"/>
    <mergeCell ref="K1753:K1754"/>
    <mergeCell ref="L1753:L1754"/>
    <mergeCell ref="M1753:M1754"/>
    <mergeCell ref="N1753:N1754"/>
    <mergeCell ref="O1753:O1754"/>
    <mergeCell ref="P1753:P1754"/>
    <mergeCell ref="Q1753:Q1754"/>
    <mergeCell ref="E1753:E1754"/>
    <mergeCell ref="E1755:E1758"/>
    <mergeCell ref="F1755:F1758"/>
    <mergeCell ref="G1755:G1758"/>
    <mergeCell ref="Q1755:Q1758"/>
    <mergeCell ref="R1755:R1758"/>
    <mergeCell ref="S1755:S1758"/>
    <mergeCell ref="T1755:T1758"/>
    <mergeCell ref="U1755:U1758"/>
    <mergeCell ref="V1755:V1758"/>
    <mergeCell ref="J1755:J1758"/>
    <mergeCell ref="K1755:K1758"/>
    <mergeCell ref="L1755:L1758"/>
    <mergeCell ref="M1755:M1758"/>
    <mergeCell ref="N1755:N1758"/>
    <mergeCell ref="O1755:O1758"/>
    <mergeCell ref="P1755:P1758"/>
    <mergeCell ref="H1755:H1758"/>
    <mergeCell ref="I1755:I1758"/>
    <mergeCell ref="B1753:B1754"/>
    <mergeCell ref="F1753:F1754"/>
    <mergeCell ref="G1753:G1754"/>
    <mergeCell ref="H1753:H1754"/>
    <mergeCell ref="I1753:I1754"/>
    <mergeCell ref="J1753:J1754"/>
    <mergeCell ref="B1755:B1758"/>
    <mergeCell ref="T1745:T1747"/>
    <mergeCell ref="U1745:U1747"/>
    <mergeCell ref="V1745:V1747"/>
    <mergeCell ref="K1745:K1747"/>
    <mergeCell ref="L1745:L1747"/>
    <mergeCell ref="M1745:M1747"/>
    <mergeCell ref="N1745:N1747"/>
    <mergeCell ref="O1745:O1747"/>
    <mergeCell ref="P1745:P1747"/>
    <mergeCell ref="Q1745:Q1747"/>
    <mergeCell ref="B1745:B1747"/>
    <mergeCell ref="E1745:E1747"/>
    <mergeCell ref="F1745:F1747"/>
    <mergeCell ref="G1745:G1747"/>
    <mergeCell ref="H1745:H1747"/>
    <mergeCell ref="I1745:I1747"/>
    <mergeCell ref="J1745:J1747"/>
    <mergeCell ref="P1748:P1749"/>
    <mergeCell ref="Q1748:Q1749"/>
    <mergeCell ref="T1748:T1749"/>
    <mergeCell ref="U1748:U1749"/>
    <mergeCell ref="V1748:V1749"/>
    <mergeCell ref="I1748:I1749"/>
    <mergeCell ref="J1748:J1749"/>
    <mergeCell ref="K1748:K1749"/>
    <mergeCell ref="L1748:L1749"/>
    <mergeCell ref="M1748:M1749"/>
    <mergeCell ref="N1748:N1749"/>
    <mergeCell ref="O1748:O1749"/>
    <mergeCell ref="E1748:E1749"/>
    <mergeCell ref="E1750:E1752"/>
    <mergeCell ref="O1750:O1752"/>
    <mergeCell ref="P1750:P1752"/>
    <mergeCell ref="Q1750:Q1752"/>
    <mergeCell ref="T1750:T1752"/>
    <mergeCell ref="U1750:U1752"/>
    <mergeCell ref="V1750:V1752"/>
    <mergeCell ref="H1750:H1752"/>
    <mergeCell ref="I1750:I1752"/>
    <mergeCell ref="J1750:J1752"/>
    <mergeCell ref="K1750:K1752"/>
    <mergeCell ref="L1750:L1752"/>
    <mergeCell ref="M1750:M1752"/>
    <mergeCell ref="N1750:N1752"/>
    <mergeCell ref="F1750:F1752"/>
    <mergeCell ref="G1750:G1752"/>
    <mergeCell ref="B1748:B1749"/>
    <mergeCell ref="C1748:C1749"/>
    <mergeCell ref="D1748:D1749"/>
    <mergeCell ref="F1748:F1749"/>
    <mergeCell ref="G1748:G1749"/>
    <mergeCell ref="H1748:H1749"/>
    <mergeCell ref="B1750:B1752"/>
    <mergeCell ref="P1737:P1739"/>
    <mergeCell ref="Q1737:Q1739"/>
    <mergeCell ref="T1737:T1739"/>
    <mergeCell ref="U1737:U1739"/>
    <mergeCell ref="V1737:V1739"/>
    <mergeCell ref="I1737:I1739"/>
    <mergeCell ref="J1737:J1739"/>
    <mergeCell ref="K1737:K1739"/>
    <mergeCell ref="L1737:L1739"/>
    <mergeCell ref="M1737:M1739"/>
    <mergeCell ref="N1737:N1739"/>
    <mergeCell ref="O1737:O1739"/>
    <mergeCell ref="E1737:E1739"/>
    <mergeCell ref="E1740:E1742"/>
    <mergeCell ref="F1740:F1742"/>
    <mergeCell ref="G1740:G1742"/>
    <mergeCell ref="O1740:O1742"/>
    <mergeCell ref="P1740:P1742"/>
    <mergeCell ref="Q1740:Q1742"/>
    <mergeCell ref="T1740:T1742"/>
    <mergeCell ref="U1740:U1742"/>
    <mergeCell ref="V1740:V1742"/>
    <mergeCell ref="B1743:V1743"/>
    <mergeCell ref="B1744:V1744"/>
    <mergeCell ref="H1740:H1742"/>
    <mergeCell ref="I1740:I1742"/>
    <mergeCell ref="J1740:J1742"/>
    <mergeCell ref="K1740:K1742"/>
    <mergeCell ref="L1740:L1742"/>
    <mergeCell ref="M1740:M1742"/>
    <mergeCell ref="N1740:N1742"/>
    <mergeCell ref="B1737:B1739"/>
    <mergeCell ref="C1737:C1739"/>
    <mergeCell ref="D1737:D1739"/>
    <mergeCell ref="F1737:F1739"/>
    <mergeCell ref="G1737:G1739"/>
    <mergeCell ref="H1737:H1739"/>
    <mergeCell ref="B1740:B1742"/>
    <mergeCell ref="T1700:T1702"/>
    <mergeCell ref="U1700:U1702"/>
    <mergeCell ref="V1700:V1702"/>
    <mergeCell ref="P1694:P1696"/>
    <mergeCell ref="Q1694:Q1696"/>
    <mergeCell ref="T1694:T1696"/>
    <mergeCell ref="U1694:U1696"/>
    <mergeCell ref="V1694:V1696"/>
    <mergeCell ref="Q1697:Q1699"/>
    <mergeCell ref="T1697:T1699"/>
    <mergeCell ref="N1703:N1705"/>
    <mergeCell ref="O1703:O1705"/>
    <mergeCell ref="P1703:P1705"/>
    <mergeCell ref="Q1703:Q1705"/>
    <mergeCell ref="T1703:T1705"/>
    <mergeCell ref="U1703:U1705"/>
    <mergeCell ref="V1703:V1705"/>
    <mergeCell ref="B1707:V1707"/>
    <mergeCell ref="E1700:E1702"/>
    <mergeCell ref="E1703:E1705"/>
    <mergeCell ref="I1703:I1705"/>
    <mergeCell ref="J1703:J1705"/>
    <mergeCell ref="K1703:K1705"/>
    <mergeCell ref="L1703:L1705"/>
    <mergeCell ref="M1703:M1705"/>
    <mergeCell ref="T1710:T1712"/>
    <mergeCell ref="U1710:U1712"/>
    <mergeCell ref="M1710:M1712"/>
    <mergeCell ref="N1710:N1712"/>
    <mergeCell ref="O1710:O1712"/>
    <mergeCell ref="P1710:P1712"/>
    <mergeCell ref="Q1710:Q1712"/>
    <mergeCell ref="R1710:R1712"/>
    <mergeCell ref="S1710:S1712"/>
    <mergeCell ref="F1732:F1733"/>
    <mergeCell ref="G1732:G1733"/>
    <mergeCell ref="H1732:H1733"/>
    <mergeCell ref="B1734:B1736"/>
    <mergeCell ref="N1685:N1687"/>
    <mergeCell ref="O1685:O1687"/>
    <mergeCell ref="G1685:G1687"/>
    <mergeCell ref="H1685:H1687"/>
    <mergeCell ref="I1685:I1687"/>
    <mergeCell ref="J1685:J1687"/>
    <mergeCell ref="K1685:K1687"/>
    <mergeCell ref="L1685:L1687"/>
    <mergeCell ref="M1685:M1687"/>
    <mergeCell ref="T1688:T1690"/>
    <mergeCell ref="U1688:U1690"/>
    <mergeCell ref="V1688:V1690"/>
    <mergeCell ref="K1688:K1690"/>
    <mergeCell ref="L1688:L1690"/>
    <mergeCell ref="M1688:M1690"/>
    <mergeCell ref="N1688:N1690"/>
    <mergeCell ref="O1688:O1690"/>
    <mergeCell ref="P1688:P1690"/>
    <mergeCell ref="Q1688:Q1690"/>
    <mergeCell ref="E1688:E1690"/>
    <mergeCell ref="E1691:E1693"/>
    <mergeCell ref="F1691:F1693"/>
    <mergeCell ref="G1691:G1693"/>
    <mergeCell ref="Q1691:Q1693"/>
    <mergeCell ref="T1691:T1693"/>
    <mergeCell ref="U1691:U1693"/>
    <mergeCell ref="V1691:V1693"/>
    <mergeCell ref="J1691:J1693"/>
    <mergeCell ref="K1691:K1693"/>
    <mergeCell ref="L1691:L1693"/>
    <mergeCell ref="M1691:M1693"/>
    <mergeCell ref="N1691:N1693"/>
    <mergeCell ref="O1691:O1693"/>
    <mergeCell ref="P1691:P1693"/>
    <mergeCell ref="P1700:P1702"/>
    <mergeCell ref="Q1700:Q1702"/>
    <mergeCell ref="I1700:I1702"/>
    <mergeCell ref="J1700:J1702"/>
    <mergeCell ref="K1700:K1702"/>
    <mergeCell ref="L1700:L1702"/>
    <mergeCell ref="M1700:M1702"/>
    <mergeCell ref="N1700:N1702"/>
    <mergeCell ref="O1700:O1702"/>
    <mergeCell ref="H1691:H1693"/>
    <mergeCell ref="I1691:I1693"/>
    <mergeCell ref="B1688:B1690"/>
    <mergeCell ref="F1688:F1690"/>
    <mergeCell ref="G1688:G1690"/>
    <mergeCell ref="H1688:H1690"/>
    <mergeCell ref="I1688:I1690"/>
    <mergeCell ref="J1688:J1690"/>
    <mergeCell ref="B1691:B1693"/>
    <mergeCell ref="I1694:I1696"/>
    <mergeCell ref="J1694:J1696"/>
    <mergeCell ref="K1694:K1696"/>
    <mergeCell ref="L1694:L1696"/>
    <mergeCell ref="M1694:M1696"/>
    <mergeCell ref="N1694:N1696"/>
    <mergeCell ref="O1694:O1696"/>
    <mergeCell ref="E1694:E1696"/>
    <mergeCell ref="B1730:B1731"/>
    <mergeCell ref="C1730:C1731"/>
    <mergeCell ref="D1730:D1731"/>
    <mergeCell ref="E1730:E1731"/>
    <mergeCell ref="F1730:F1731"/>
    <mergeCell ref="G1730:G1731"/>
    <mergeCell ref="H1730:H1731"/>
    <mergeCell ref="R1730:R1731"/>
    <mergeCell ref="S1730:S1731"/>
    <mergeCell ref="T1730:T1731"/>
    <mergeCell ref="U1730:U1731"/>
    <mergeCell ref="V1730:V1731"/>
    <mergeCell ref="N1728:N1729"/>
    <mergeCell ref="O1728:O1729"/>
    <mergeCell ref="P1728:P1729"/>
    <mergeCell ref="Q1728:Q1729"/>
    <mergeCell ref="R1728:R1729"/>
    <mergeCell ref="S1728:S1729"/>
    <mergeCell ref="T1728:T1729"/>
    <mergeCell ref="O1734:O1736"/>
    <mergeCell ref="P1734:P1736"/>
    <mergeCell ref="H1734:H1736"/>
    <mergeCell ref="I1734:I1736"/>
    <mergeCell ref="J1734:J1736"/>
    <mergeCell ref="K1734:K1736"/>
    <mergeCell ref="L1734:L1736"/>
    <mergeCell ref="M1734:M1736"/>
    <mergeCell ref="N1734:N1736"/>
    <mergeCell ref="P1730:P1731"/>
    <mergeCell ref="Q1730:Q1731"/>
    <mergeCell ref="Q1734:Q1736"/>
    <mergeCell ref="R1734:R1736"/>
    <mergeCell ref="S1734:S1736"/>
    <mergeCell ref="T1734:T1736"/>
    <mergeCell ref="U1734:U1736"/>
    <mergeCell ref="V1734:V1736"/>
    <mergeCell ref="I1730:I1731"/>
    <mergeCell ref="J1730:J1731"/>
    <mergeCell ref="K1730:K1731"/>
    <mergeCell ref="L1730:L1731"/>
    <mergeCell ref="M1730:M1731"/>
    <mergeCell ref="N1730:N1731"/>
    <mergeCell ref="O1730:O1731"/>
    <mergeCell ref="P1732:P1733"/>
    <mergeCell ref="Q1732:Q1733"/>
    <mergeCell ref="R1732:R1733"/>
    <mergeCell ref="S1732:S1733"/>
    <mergeCell ref="T1732:T1733"/>
    <mergeCell ref="U1732:U1733"/>
    <mergeCell ref="V1732:V1733"/>
    <mergeCell ref="I1732:I1733"/>
    <mergeCell ref="J1732:J1733"/>
    <mergeCell ref="K1732:K1733"/>
    <mergeCell ref="L1732:L1733"/>
    <mergeCell ref="M1732:M1733"/>
    <mergeCell ref="N1732:N1733"/>
    <mergeCell ref="O1732:O1733"/>
    <mergeCell ref="E1732:E1733"/>
    <mergeCell ref="E1734:E1736"/>
    <mergeCell ref="F1734:F1736"/>
    <mergeCell ref="G1734:G1736"/>
    <mergeCell ref="B1732:B1733"/>
    <mergeCell ref="C1732:C1733"/>
    <mergeCell ref="D1732:D1733"/>
    <mergeCell ref="T1722:T1724"/>
    <mergeCell ref="U1722:U1724"/>
    <mergeCell ref="V1722:V1724"/>
    <mergeCell ref="F1722:F1724"/>
    <mergeCell ref="G1722:G1724"/>
    <mergeCell ref="E1725:E1727"/>
    <mergeCell ref="F1725:F1727"/>
    <mergeCell ref="G1725:G1727"/>
    <mergeCell ref="H1725:H1727"/>
    <mergeCell ref="I1725:I1727"/>
    <mergeCell ref="B1722:B1724"/>
    <mergeCell ref="B1725:B1727"/>
    <mergeCell ref="B1728:B1729"/>
    <mergeCell ref="C1728:C1729"/>
    <mergeCell ref="D1728:D1729"/>
    <mergeCell ref="E1728:E1729"/>
    <mergeCell ref="F1728:F1729"/>
    <mergeCell ref="B1719:B1721"/>
    <mergeCell ref="C1719:C1721"/>
    <mergeCell ref="D1719:D1721"/>
    <mergeCell ref="F1719:F1721"/>
    <mergeCell ref="G1719:G1721"/>
    <mergeCell ref="H1719:H1721"/>
    <mergeCell ref="H1722:H1724"/>
    <mergeCell ref="Q1725:Q1727"/>
    <mergeCell ref="T1725:T1727"/>
    <mergeCell ref="U1725:U1727"/>
    <mergeCell ref="V1725:V1727"/>
    <mergeCell ref="J1725:J1727"/>
    <mergeCell ref="K1725:K1727"/>
    <mergeCell ref="L1725:L1727"/>
    <mergeCell ref="M1725:M1727"/>
    <mergeCell ref="N1725:N1727"/>
    <mergeCell ref="O1725:O1727"/>
    <mergeCell ref="P1725:P1727"/>
    <mergeCell ref="G1728:G1729"/>
    <mergeCell ref="H1728:H1729"/>
    <mergeCell ref="I1728:I1729"/>
    <mergeCell ref="J1728:J1729"/>
    <mergeCell ref="K1728:K1729"/>
    <mergeCell ref="L1728:L1729"/>
    <mergeCell ref="M1728:M1729"/>
    <mergeCell ref="U1728:U1729"/>
    <mergeCell ref="V1728:V1729"/>
    <mergeCell ref="P1722:P1724"/>
    <mergeCell ref="Q1722:Q1724"/>
    <mergeCell ref="I1722:I1724"/>
    <mergeCell ref="J1722:J1724"/>
    <mergeCell ref="K1722:K1724"/>
    <mergeCell ref="L1722:L1724"/>
    <mergeCell ref="M1722:M1724"/>
    <mergeCell ref="N1722:N1724"/>
    <mergeCell ref="O1722:O1724"/>
    <mergeCell ref="U1719:U1721"/>
    <mergeCell ref="V1719:V1721"/>
    <mergeCell ref="T1713:T1715"/>
    <mergeCell ref="U1713:U1715"/>
    <mergeCell ref="V1713:V1715"/>
    <mergeCell ref="T1716:T1718"/>
    <mergeCell ref="U1716:U1718"/>
    <mergeCell ref="V1716:V1718"/>
    <mergeCell ref="T1719:T1721"/>
    <mergeCell ref="F1703:F1705"/>
    <mergeCell ref="G1703:G1705"/>
    <mergeCell ref="H1708:H1709"/>
    <mergeCell ref="I1708:I1709"/>
    <mergeCell ref="J1708:J1709"/>
    <mergeCell ref="K1708:K1709"/>
    <mergeCell ref="L1708:L1709"/>
    <mergeCell ref="M1708:M1709"/>
    <mergeCell ref="N1708:N1709"/>
    <mergeCell ref="E1708:E1709"/>
    <mergeCell ref="E1710:E1712"/>
    <mergeCell ref="F1710:F1712"/>
    <mergeCell ref="G1710:G1712"/>
    <mergeCell ref="H1710:H1712"/>
    <mergeCell ref="I1710:I1712"/>
    <mergeCell ref="J1710:J1712"/>
    <mergeCell ref="K1710:K1712"/>
    <mergeCell ref="L1710:L1712"/>
    <mergeCell ref="V1708:V1709"/>
    <mergeCell ref="V1710:V1712"/>
    <mergeCell ref="O1708:O1709"/>
    <mergeCell ref="P1708:P1709"/>
    <mergeCell ref="Q1708:Q1709"/>
    <mergeCell ref="R1708:R1709"/>
    <mergeCell ref="S1708:S1709"/>
    <mergeCell ref="T1708:T1709"/>
    <mergeCell ref="U1708:U1709"/>
    <mergeCell ref="E1713:E1715"/>
    <mergeCell ref="F1713:F1715"/>
    <mergeCell ref="G1713:G1715"/>
    <mergeCell ref="H1713:H1715"/>
    <mergeCell ref="I1713:I1715"/>
    <mergeCell ref="J1713:J1715"/>
    <mergeCell ref="K1713:K1715"/>
    <mergeCell ref="L1713:L1715"/>
    <mergeCell ref="M1713:M1715"/>
    <mergeCell ref="N1713:N1715"/>
    <mergeCell ref="O1713:O1715"/>
    <mergeCell ref="P1713:P1715"/>
    <mergeCell ref="Q1713:Q1715"/>
    <mergeCell ref="B1700:B1702"/>
    <mergeCell ref="C1700:C1702"/>
    <mergeCell ref="D1700:D1702"/>
    <mergeCell ref="F1700:F1702"/>
    <mergeCell ref="G1700:G1702"/>
    <mergeCell ref="H1700:H1702"/>
    <mergeCell ref="H1703:H1705"/>
    <mergeCell ref="B1703:B1705"/>
    <mergeCell ref="B1708:B1709"/>
    <mergeCell ref="C1708:C1709"/>
    <mergeCell ref="D1708:D1709"/>
    <mergeCell ref="F1708:F1709"/>
    <mergeCell ref="G1708:G1709"/>
    <mergeCell ref="B1710:B1712"/>
    <mergeCell ref="K1716:K1718"/>
    <mergeCell ref="L1716:L1718"/>
    <mergeCell ref="M1716:M1718"/>
    <mergeCell ref="N1716:N1718"/>
    <mergeCell ref="O1716:O1718"/>
    <mergeCell ref="P1716:P1718"/>
    <mergeCell ref="Q1716:Q1718"/>
    <mergeCell ref="B1716:B1718"/>
    <mergeCell ref="E1716:E1718"/>
    <mergeCell ref="F1716:F1718"/>
    <mergeCell ref="G1716:G1718"/>
    <mergeCell ref="H1716:H1718"/>
    <mergeCell ref="I1716:I1718"/>
    <mergeCell ref="J1716:J1718"/>
    <mergeCell ref="P1719:P1721"/>
    <mergeCell ref="Q1719:Q1721"/>
    <mergeCell ref="E1719:E1721"/>
    <mergeCell ref="E1722:E1724"/>
    <mergeCell ref="I1719:I1721"/>
    <mergeCell ref="J1719:J1721"/>
    <mergeCell ref="K1719:K1721"/>
    <mergeCell ref="L1719:L1721"/>
    <mergeCell ref="M1719:M1721"/>
    <mergeCell ref="N1719:N1721"/>
    <mergeCell ref="O1719:O1721"/>
    <mergeCell ref="B1713:B1715"/>
    <mergeCell ref="E1682:E1683"/>
    <mergeCell ref="F1682:F1683"/>
    <mergeCell ref="G1682:G1683"/>
    <mergeCell ref="H1682:H1683"/>
    <mergeCell ref="I1682:I1683"/>
    <mergeCell ref="Q1682:Q1683"/>
    <mergeCell ref="T1682:T1683"/>
    <mergeCell ref="U1682:U1683"/>
    <mergeCell ref="V1682:V1683"/>
    <mergeCell ref="B1680:B1681"/>
    <mergeCell ref="B1682:B1683"/>
    <mergeCell ref="C1682:C1683"/>
    <mergeCell ref="D1682:D1683"/>
    <mergeCell ref="B1685:B1687"/>
    <mergeCell ref="E1685:E1687"/>
    <mergeCell ref="F1685:F1687"/>
    <mergeCell ref="P1685:P1687"/>
    <mergeCell ref="Q1685:Q1687"/>
    <mergeCell ref="T1685:T1687"/>
    <mergeCell ref="U1685:U1687"/>
    <mergeCell ref="V1685:V1687"/>
    <mergeCell ref="J1682:J1683"/>
    <mergeCell ref="K1682:K1683"/>
    <mergeCell ref="L1682:L1683"/>
    <mergeCell ref="M1682:M1683"/>
    <mergeCell ref="N1682:N1683"/>
    <mergeCell ref="O1682:O1683"/>
    <mergeCell ref="P1682:P1683"/>
    <mergeCell ref="O1697:O1699"/>
    <mergeCell ref="P1697:P1699"/>
    <mergeCell ref="H1697:H1699"/>
    <mergeCell ref="I1697:I1699"/>
    <mergeCell ref="J1697:J1699"/>
    <mergeCell ref="K1697:K1699"/>
    <mergeCell ref="L1697:L1699"/>
    <mergeCell ref="M1697:M1699"/>
    <mergeCell ref="N1697:N1699"/>
    <mergeCell ref="F1697:F1699"/>
    <mergeCell ref="G1697:G1699"/>
    <mergeCell ref="B1694:B1696"/>
    <mergeCell ref="C1694:C1696"/>
    <mergeCell ref="D1694:D1696"/>
    <mergeCell ref="F1694:F1696"/>
    <mergeCell ref="G1694:G1696"/>
    <mergeCell ref="H1694:H1696"/>
    <mergeCell ref="B1697:B1699"/>
    <mergeCell ref="E1697:E1699"/>
    <mergeCell ref="U1697:U1699"/>
    <mergeCell ref="V1697:V1699"/>
    <mergeCell ref="U1672:U1675"/>
    <mergeCell ref="V1672:V1675"/>
    <mergeCell ref="B1676:V1676"/>
    <mergeCell ref="T1677:T1679"/>
    <mergeCell ref="U1677:U1679"/>
    <mergeCell ref="V1677:V1679"/>
    <mergeCell ref="P1669:P1670"/>
    <mergeCell ref="Q1669:Q1670"/>
    <mergeCell ref="T1669:T1670"/>
    <mergeCell ref="U1669:U1670"/>
    <mergeCell ref="V1669:V1670"/>
    <mergeCell ref="Q1672:Q1675"/>
    <mergeCell ref="T1672:T1675"/>
    <mergeCell ref="N1680:N1681"/>
    <mergeCell ref="O1680:O1681"/>
    <mergeCell ref="P1680:P1681"/>
    <mergeCell ref="Q1680:Q1681"/>
    <mergeCell ref="T1680:T1681"/>
    <mergeCell ref="U1680:U1681"/>
    <mergeCell ref="V1680:V1681"/>
    <mergeCell ref="F1680:F1681"/>
    <mergeCell ref="G1680:G1681"/>
    <mergeCell ref="I1680:I1681"/>
    <mergeCell ref="J1680:J1681"/>
    <mergeCell ref="K1680:K1681"/>
    <mergeCell ref="L1680:L1681"/>
    <mergeCell ref="M1680:M1681"/>
    <mergeCell ref="B1677:B1679"/>
    <mergeCell ref="C1677:C1679"/>
    <mergeCell ref="D1677:D1679"/>
    <mergeCell ref="F1677:F1679"/>
    <mergeCell ref="G1677:G1679"/>
    <mergeCell ref="H1677:H1679"/>
    <mergeCell ref="H1680:H1681"/>
    <mergeCell ref="E1677:E1679"/>
    <mergeCell ref="E1680:E1681"/>
    <mergeCell ref="F1672:F1675"/>
    <mergeCell ref="G1672:G1675"/>
    <mergeCell ref="B1669:B1670"/>
    <mergeCell ref="C1669:C1670"/>
    <mergeCell ref="D1669:D1670"/>
    <mergeCell ref="F1669:F1670"/>
    <mergeCell ref="G1669:G1670"/>
    <mergeCell ref="H1669:H1670"/>
    <mergeCell ref="B1672:B1675"/>
    <mergeCell ref="P1677:P1679"/>
    <mergeCell ref="Q1677:Q1679"/>
    <mergeCell ref="I1677:I1679"/>
    <mergeCell ref="J1677:J1679"/>
    <mergeCell ref="K1677:K1679"/>
    <mergeCell ref="L1677:L1679"/>
    <mergeCell ref="M1677:M1679"/>
    <mergeCell ref="N1677:N1679"/>
    <mergeCell ref="O1677:O1679"/>
    <mergeCell ref="E1661:E1663"/>
    <mergeCell ref="E1664:E1665"/>
    <mergeCell ref="E1666:E1668"/>
    <mergeCell ref="F1666:F1668"/>
    <mergeCell ref="G1666:G1668"/>
    <mergeCell ref="H1666:H1668"/>
    <mergeCell ref="I1666:I1668"/>
    <mergeCell ref="B1661:B1663"/>
    <mergeCell ref="C1661:C1663"/>
    <mergeCell ref="D1661:D1663"/>
    <mergeCell ref="F1661:F1663"/>
    <mergeCell ref="G1661:G1663"/>
    <mergeCell ref="H1661:H1663"/>
    <mergeCell ref="H1664:H1665"/>
    <mergeCell ref="I1669:I1670"/>
    <mergeCell ref="J1669:J1670"/>
    <mergeCell ref="K1669:K1670"/>
    <mergeCell ref="L1669:L1670"/>
    <mergeCell ref="M1669:M1670"/>
    <mergeCell ref="N1669:N1670"/>
    <mergeCell ref="O1669:O1670"/>
    <mergeCell ref="E1669:E1670"/>
    <mergeCell ref="E1672:E1675"/>
    <mergeCell ref="P1661:P1663"/>
    <mergeCell ref="Q1661:Q1663"/>
    <mergeCell ref="T1661:T1663"/>
    <mergeCell ref="U1661:U1663"/>
    <mergeCell ref="V1661:V1663"/>
    <mergeCell ref="I1661:I1663"/>
    <mergeCell ref="J1661:J1663"/>
    <mergeCell ref="K1661:K1663"/>
    <mergeCell ref="L1661:L1663"/>
    <mergeCell ref="M1661:M1663"/>
    <mergeCell ref="N1661:N1663"/>
    <mergeCell ref="O1661:O1663"/>
    <mergeCell ref="F1664:F1665"/>
    <mergeCell ref="G1664:G1665"/>
    <mergeCell ref="I1664:I1665"/>
    <mergeCell ref="J1664:J1665"/>
    <mergeCell ref="K1664:K1665"/>
    <mergeCell ref="L1664:L1665"/>
    <mergeCell ref="M1664:M1665"/>
    <mergeCell ref="U1664:U1665"/>
    <mergeCell ref="V1664:V1665"/>
    <mergeCell ref="N1664:N1665"/>
    <mergeCell ref="O1664:O1665"/>
    <mergeCell ref="P1664:P1665"/>
    <mergeCell ref="Q1664:Q1665"/>
    <mergeCell ref="R1664:R1665"/>
    <mergeCell ref="S1664:S1665"/>
    <mergeCell ref="T1664:T1665"/>
    <mergeCell ref="B1664:B1665"/>
    <mergeCell ref="B1666:B1668"/>
    <mergeCell ref="Q1666:Q1668"/>
    <mergeCell ref="T1666:T1668"/>
    <mergeCell ref="U1666:U1668"/>
    <mergeCell ref="V1666:V1668"/>
    <mergeCell ref="J1666:J1668"/>
    <mergeCell ref="K1666:K1668"/>
    <mergeCell ref="L1666:L1668"/>
    <mergeCell ref="M1666:M1668"/>
    <mergeCell ref="N1666:N1668"/>
    <mergeCell ref="O1666:O1668"/>
    <mergeCell ref="P1666:P1668"/>
    <mergeCell ref="T1590:T1592"/>
    <mergeCell ref="U1590:U1592"/>
    <mergeCell ref="V1590:V1592"/>
    <mergeCell ref="I1590:I1592"/>
    <mergeCell ref="J1590:J1592"/>
    <mergeCell ref="K1590:K1592"/>
    <mergeCell ref="L1590:L1592"/>
    <mergeCell ref="M1590:M1592"/>
    <mergeCell ref="N1590:N1592"/>
    <mergeCell ref="O1590:O1592"/>
    <mergeCell ref="E1590:E1592"/>
    <mergeCell ref="E1593:E1595"/>
    <mergeCell ref="O1593:O1595"/>
    <mergeCell ref="P1593:P1595"/>
    <mergeCell ref="Q1593:Q1595"/>
    <mergeCell ref="T1593:T1595"/>
    <mergeCell ref="U1593:U1595"/>
    <mergeCell ref="V1593:V1595"/>
    <mergeCell ref="H1593:H1595"/>
    <mergeCell ref="I1593:I1595"/>
    <mergeCell ref="J1593:J1595"/>
    <mergeCell ref="K1593:K1595"/>
    <mergeCell ref="L1593:L1595"/>
    <mergeCell ref="M1593:M1595"/>
    <mergeCell ref="N1593:N1595"/>
    <mergeCell ref="F1593:F1595"/>
    <mergeCell ref="G1593:G1595"/>
    <mergeCell ref="B1590:B1592"/>
    <mergeCell ref="C1590:C1592"/>
    <mergeCell ref="D1590:D1592"/>
    <mergeCell ref="F1590:F1592"/>
    <mergeCell ref="G1590:G1592"/>
    <mergeCell ref="H1590:H1592"/>
    <mergeCell ref="B1593:B1595"/>
    <mergeCell ref="T1578:T1580"/>
    <mergeCell ref="U1578:U1580"/>
    <mergeCell ref="V1578:V1580"/>
    <mergeCell ref="H1578:H1580"/>
    <mergeCell ref="I1578:I1580"/>
    <mergeCell ref="J1578:J1580"/>
    <mergeCell ref="K1578:K1580"/>
    <mergeCell ref="L1578:L1580"/>
    <mergeCell ref="M1578:M1580"/>
    <mergeCell ref="N1578:N1580"/>
    <mergeCell ref="B1576:B1577"/>
    <mergeCell ref="C1576:C1577"/>
    <mergeCell ref="D1576:D1577"/>
    <mergeCell ref="F1576:F1577"/>
    <mergeCell ref="G1576:G1577"/>
    <mergeCell ref="H1576:H1577"/>
    <mergeCell ref="B1578:B1580"/>
    <mergeCell ref="P1581:P1583"/>
    <mergeCell ref="Q1581:Q1583"/>
    <mergeCell ref="T1581:T1583"/>
    <mergeCell ref="U1581:U1583"/>
    <mergeCell ref="V1581:V1583"/>
    <mergeCell ref="T1584:T1586"/>
    <mergeCell ref="U1584:U1586"/>
    <mergeCell ref="V1584:V1586"/>
    <mergeCell ref="B1584:B1586"/>
    <mergeCell ref="C1584:C1586"/>
    <mergeCell ref="D1584:D1586"/>
    <mergeCell ref="E1584:E1586"/>
    <mergeCell ref="F1584:F1586"/>
    <mergeCell ref="G1584:G1586"/>
    <mergeCell ref="H1584:H1586"/>
    <mergeCell ref="P1587:P1589"/>
    <mergeCell ref="Q1587:Q1589"/>
    <mergeCell ref="T1587:T1589"/>
    <mergeCell ref="U1587:U1589"/>
    <mergeCell ref="V1587:V1589"/>
    <mergeCell ref="I1587:I1589"/>
    <mergeCell ref="J1587:J1589"/>
    <mergeCell ref="K1587:K1589"/>
    <mergeCell ref="L1587:L1589"/>
    <mergeCell ref="M1587:M1589"/>
    <mergeCell ref="N1587:N1589"/>
    <mergeCell ref="O1587:O1589"/>
    <mergeCell ref="B1587:B1589"/>
    <mergeCell ref="C1587:C1589"/>
    <mergeCell ref="D1587:D1589"/>
    <mergeCell ref="E1587:E1589"/>
    <mergeCell ref="F1587:F1589"/>
    <mergeCell ref="G1587:G1589"/>
    <mergeCell ref="H1587:H1589"/>
    <mergeCell ref="N1615:N1618"/>
    <mergeCell ref="O1615:O1618"/>
    <mergeCell ref="P1615:P1618"/>
    <mergeCell ref="I1581:I1583"/>
    <mergeCell ref="J1581:J1583"/>
    <mergeCell ref="K1581:K1583"/>
    <mergeCell ref="L1581:L1583"/>
    <mergeCell ref="M1581:M1583"/>
    <mergeCell ref="N1581:N1583"/>
    <mergeCell ref="O1581:O1583"/>
    <mergeCell ref="B1581:B1583"/>
    <mergeCell ref="C1581:C1583"/>
    <mergeCell ref="D1581:D1583"/>
    <mergeCell ref="E1581:E1583"/>
    <mergeCell ref="F1581:F1583"/>
    <mergeCell ref="G1581:G1583"/>
    <mergeCell ref="H1581:H1583"/>
    <mergeCell ref="P1584:P1586"/>
    <mergeCell ref="Q1584:Q1586"/>
    <mergeCell ref="I1584:I1586"/>
    <mergeCell ref="J1584:J1586"/>
    <mergeCell ref="K1584:K1586"/>
    <mergeCell ref="L1584:L1586"/>
    <mergeCell ref="M1584:M1586"/>
    <mergeCell ref="N1584:N1586"/>
    <mergeCell ref="O1584:O1586"/>
    <mergeCell ref="E1576:E1577"/>
    <mergeCell ref="E1578:E1580"/>
    <mergeCell ref="F1578:F1580"/>
    <mergeCell ref="G1578:G1580"/>
    <mergeCell ref="O1578:O1580"/>
    <mergeCell ref="P1578:P1580"/>
    <mergeCell ref="Q1578:Q1580"/>
    <mergeCell ref="P1590:P1592"/>
    <mergeCell ref="Q1590:Q1592"/>
    <mergeCell ref="K1596:K1598"/>
    <mergeCell ref="L1596:L1598"/>
    <mergeCell ref="M1596:M1598"/>
    <mergeCell ref="N1596:N1598"/>
    <mergeCell ref="O1596:O1598"/>
    <mergeCell ref="P1596:P1598"/>
    <mergeCell ref="Q1596:Q1598"/>
    <mergeCell ref="E1596:E1598"/>
    <mergeCell ref="E1599:E1601"/>
    <mergeCell ref="F1599:F1601"/>
    <mergeCell ref="G1599:G1601"/>
    <mergeCell ref="Q1599:Q1601"/>
    <mergeCell ref="J1599:J1601"/>
    <mergeCell ref="K1599:K1601"/>
    <mergeCell ref="L1599:L1601"/>
    <mergeCell ref="M1599:M1601"/>
    <mergeCell ref="N1599:N1601"/>
    <mergeCell ref="O1599:O1601"/>
    <mergeCell ref="P1599:P1601"/>
    <mergeCell ref="B1602:V1602"/>
    <mergeCell ref="P1607:P1609"/>
    <mergeCell ref="Q1607:Q1609"/>
    <mergeCell ref="H1607:H1609"/>
    <mergeCell ref="I1607:I1609"/>
    <mergeCell ref="K1607:K1609"/>
    <mergeCell ref="L1607:L1609"/>
    <mergeCell ref="M1607:M1609"/>
    <mergeCell ref="N1607:N1609"/>
    <mergeCell ref="O1607:O1609"/>
    <mergeCell ref="H1599:H1601"/>
    <mergeCell ref="I1599:I1601"/>
    <mergeCell ref="B1596:B1598"/>
    <mergeCell ref="F1596:F1598"/>
    <mergeCell ref="G1596:G1598"/>
    <mergeCell ref="H1596:H1598"/>
    <mergeCell ref="I1596:I1598"/>
    <mergeCell ref="J1596:J1598"/>
    <mergeCell ref="B1599:B1601"/>
    <mergeCell ref="T1603:T1605"/>
    <mergeCell ref="U1603:U1605"/>
    <mergeCell ref="V1603:V1605"/>
    <mergeCell ref="R1607:R1609"/>
    <mergeCell ref="S1607:S1609"/>
    <mergeCell ref="T1607:T1609"/>
    <mergeCell ref="U1607:U1609"/>
    <mergeCell ref="V1607:V1609"/>
    <mergeCell ref="K1603:K1605"/>
    <mergeCell ref="L1603:L1605"/>
    <mergeCell ref="M1603:M1605"/>
    <mergeCell ref="N1603:N1605"/>
    <mergeCell ref="O1603:O1605"/>
    <mergeCell ref="P1603:P1605"/>
    <mergeCell ref="Q1603:Q1605"/>
    <mergeCell ref="E1603:E1605"/>
    <mergeCell ref="E1607:E1609"/>
    <mergeCell ref="E1610:E1611"/>
    <mergeCell ref="B1607:B1609"/>
    <mergeCell ref="B1610:B1611"/>
    <mergeCell ref="T1610:T1611"/>
    <mergeCell ref="U1610:U1611"/>
    <mergeCell ref="V1610:V1611"/>
    <mergeCell ref="K1610:K1611"/>
    <mergeCell ref="L1610:L1611"/>
    <mergeCell ref="M1610:M1611"/>
    <mergeCell ref="N1610:N1611"/>
    <mergeCell ref="O1610:O1611"/>
    <mergeCell ref="P1610:P1611"/>
    <mergeCell ref="Q1610:Q1611"/>
    <mergeCell ref="F1607:F1609"/>
    <mergeCell ref="G1607:G1609"/>
    <mergeCell ref="F1610:F1611"/>
    <mergeCell ref="G1610:G1611"/>
    <mergeCell ref="H1610:H1611"/>
    <mergeCell ref="I1610:I1611"/>
    <mergeCell ref="J1610:J1611"/>
    <mergeCell ref="B1603:B1605"/>
    <mergeCell ref="F1603:F1605"/>
    <mergeCell ref="G1603:G1605"/>
    <mergeCell ref="H1603:H1605"/>
    <mergeCell ref="I1603:I1605"/>
    <mergeCell ref="J1603:J1605"/>
    <mergeCell ref="J1607:J1609"/>
    <mergeCell ref="T1596:T1598"/>
    <mergeCell ref="U1596:U1598"/>
    <mergeCell ref="V1596:V1598"/>
    <mergeCell ref="R1599:R1601"/>
    <mergeCell ref="S1599:S1601"/>
    <mergeCell ref="T1599:T1601"/>
    <mergeCell ref="U1599:U1601"/>
    <mergeCell ref="V1599:V1601"/>
    <mergeCell ref="B1318:B1320"/>
    <mergeCell ref="T1321:T1323"/>
    <mergeCell ref="U1321:U1323"/>
    <mergeCell ref="V1321:V1323"/>
    <mergeCell ref="K1321:K1323"/>
    <mergeCell ref="L1321:L1323"/>
    <mergeCell ref="M1321:M1323"/>
    <mergeCell ref="N1321:N1323"/>
    <mergeCell ref="O1321:O1323"/>
    <mergeCell ref="P1321:P1323"/>
    <mergeCell ref="Q1321:Q1323"/>
    <mergeCell ref="E1321:E1323"/>
    <mergeCell ref="E1324:E1328"/>
    <mergeCell ref="F1324:F1328"/>
    <mergeCell ref="G1324:G1328"/>
    <mergeCell ref="H1324:H1328"/>
    <mergeCell ref="I1324:I1328"/>
    <mergeCell ref="Q1324:Q1328"/>
    <mergeCell ref="R1324:R1325"/>
    <mergeCell ref="S1324:S1325"/>
    <mergeCell ref="T1324:T1328"/>
    <mergeCell ref="U1324:U1328"/>
    <mergeCell ref="V1324:V1328"/>
    <mergeCell ref="R1326:R1327"/>
    <mergeCell ref="S1326:S1327"/>
    <mergeCell ref="J1324:J1328"/>
    <mergeCell ref="K1324:K1328"/>
    <mergeCell ref="L1324:L1328"/>
    <mergeCell ref="M1324:M1328"/>
    <mergeCell ref="N1324:N1328"/>
    <mergeCell ref="O1324:O1328"/>
    <mergeCell ref="P1324:P1328"/>
    <mergeCell ref="B1321:B1323"/>
    <mergeCell ref="F1321:F1323"/>
    <mergeCell ref="G1321:G1323"/>
    <mergeCell ref="H1321:H1323"/>
    <mergeCell ref="I1321:I1323"/>
    <mergeCell ref="J1321:J1323"/>
    <mergeCell ref="B1324:B1328"/>
    <mergeCell ref="R1274:R1275"/>
    <mergeCell ref="S1274:S1275"/>
    <mergeCell ref="K1274:K1275"/>
    <mergeCell ref="L1274:L1275"/>
    <mergeCell ref="M1274:M1275"/>
    <mergeCell ref="N1274:N1275"/>
    <mergeCell ref="O1274:O1275"/>
    <mergeCell ref="P1274:P1275"/>
    <mergeCell ref="Q1274:Q1275"/>
    <mergeCell ref="J1278:J1279"/>
    <mergeCell ref="K1278:K1279"/>
    <mergeCell ref="L1278:L1279"/>
    <mergeCell ref="M1278:M1279"/>
    <mergeCell ref="N1278:N1279"/>
    <mergeCell ref="O1278:O1279"/>
    <mergeCell ref="P1278:P1279"/>
    <mergeCell ref="Q1278:Q1279"/>
    <mergeCell ref="R1278:R1279"/>
    <mergeCell ref="S1278:S1279"/>
    <mergeCell ref="E1315:E1317"/>
    <mergeCell ref="E1318:E1320"/>
    <mergeCell ref="F1318:F1320"/>
    <mergeCell ref="G1318:G1320"/>
    <mergeCell ref="H1318:H1320"/>
    <mergeCell ref="I1318:I1320"/>
    <mergeCell ref="Q1318:Q1320"/>
    <mergeCell ref="T1318:T1320"/>
    <mergeCell ref="U1318:U1320"/>
    <mergeCell ref="V1318:V1320"/>
    <mergeCell ref="J1318:J1320"/>
    <mergeCell ref="K1318:K1320"/>
    <mergeCell ref="L1318:L1320"/>
    <mergeCell ref="M1318:M1320"/>
    <mergeCell ref="N1318:N1320"/>
    <mergeCell ref="O1318:O1320"/>
    <mergeCell ref="P1318:P1320"/>
    <mergeCell ref="F1315:F1317"/>
    <mergeCell ref="G1315:G1317"/>
    <mergeCell ref="H1315:H1317"/>
    <mergeCell ref="I1315:I1317"/>
    <mergeCell ref="J1315:J1317"/>
    <mergeCell ref="B1208:V1208"/>
    <mergeCell ref="B1209:V1209"/>
    <mergeCell ref="N1210:N1212"/>
    <mergeCell ref="O1210:O1212"/>
    <mergeCell ref="P1210:P1212"/>
    <mergeCell ref="Q1210:Q1212"/>
    <mergeCell ref="T1210:T1212"/>
    <mergeCell ref="U1210:U1212"/>
    <mergeCell ref="V1210:V1212"/>
    <mergeCell ref="F1210:F1212"/>
    <mergeCell ref="G1210:G1212"/>
    <mergeCell ref="I1210:I1212"/>
    <mergeCell ref="J1210:J1212"/>
    <mergeCell ref="K1210:K1212"/>
    <mergeCell ref="L1210:L1212"/>
    <mergeCell ref="M1210:M1212"/>
    <mergeCell ref="L1217:L1220"/>
    <mergeCell ref="M1217:M1220"/>
    <mergeCell ref="N1217:N1220"/>
    <mergeCell ref="O1217:O1220"/>
    <mergeCell ref="P1217:P1220"/>
    <mergeCell ref="Q1217:Q1220"/>
    <mergeCell ref="T1217:T1220"/>
    <mergeCell ref="E1217:E1220"/>
    <mergeCell ref="F1217:F1220"/>
    <mergeCell ref="G1217:G1220"/>
    <mergeCell ref="H1217:H1220"/>
    <mergeCell ref="I1217:I1220"/>
    <mergeCell ref="J1217:J1220"/>
    <mergeCell ref="K1217:K1220"/>
    <mergeCell ref="S1221:S1223"/>
    <mergeCell ref="T1221:T1223"/>
    <mergeCell ref="L1221:L1223"/>
    <mergeCell ref="M1221:M1223"/>
    <mergeCell ref="N1221:N1223"/>
    <mergeCell ref="O1221:O1223"/>
    <mergeCell ref="P1221:P1223"/>
    <mergeCell ref="Q1221:Q1223"/>
    <mergeCell ref="R1221:R1223"/>
    <mergeCell ref="T1200:T1202"/>
    <mergeCell ref="U1200:U1202"/>
    <mergeCell ref="V1200:V1202"/>
    <mergeCell ref="P1206:P1207"/>
    <mergeCell ref="Q1206:Q1207"/>
    <mergeCell ref="T1206:T1207"/>
    <mergeCell ref="U1206:U1207"/>
    <mergeCell ref="V1206:V1207"/>
    <mergeCell ref="I1206:I1207"/>
    <mergeCell ref="J1206:J1207"/>
    <mergeCell ref="K1206:K1207"/>
    <mergeCell ref="L1206:L1207"/>
    <mergeCell ref="M1206:M1207"/>
    <mergeCell ref="N1206:N1207"/>
    <mergeCell ref="O1206:O1207"/>
    <mergeCell ref="F1197:F1199"/>
    <mergeCell ref="G1197:G1199"/>
    <mergeCell ref="B1194:B1196"/>
    <mergeCell ref="C1194:C1196"/>
    <mergeCell ref="D1194:D1196"/>
    <mergeCell ref="F1194:F1196"/>
    <mergeCell ref="G1194:G1196"/>
    <mergeCell ref="H1194:H1196"/>
    <mergeCell ref="B1197:B1199"/>
    <mergeCell ref="P1203:P1205"/>
    <mergeCell ref="Q1203:Q1205"/>
    <mergeCell ref="T1203:T1205"/>
    <mergeCell ref="U1203:U1205"/>
    <mergeCell ref="V1203:V1205"/>
    <mergeCell ref="I1203:I1205"/>
    <mergeCell ref="J1203:J1205"/>
    <mergeCell ref="K1203:K1205"/>
    <mergeCell ref="L1203:L1205"/>
    <mergeCell ref="M1203:M1205"/>
    <mergeCell ref="N1203:N1205"/>
    <mergeCell ref="O1203:O1205"/>
    <mergeCell ref="B1203:B1205"/>
    <mergeCell ref="C1203:C1205"/>
    <mergeCell ref="D1203:D1205"/>
    <mergeCell ref="E1203:E1205"/>
    <mergeCell ref="F1203:F1205"/>
    <mergeCell ref="G1203:G1205"/>
    <mergeCell ref="H1203:H1205"/>
    <mergeCell ref="T1274:T1275"/>
    <mergeCell ref="U1274:U1275"/>
    <mergeCell ref="V1274:V1275"/>
    <mergeCell ref="J1271:J1273"/>
    <mergeCell ref="K1271:K1273"/>
    <mergeCell ref="L1271:L1273"/>
    <mergeCell ref="M1271:M1273"/>
    <mergeCell ref="N1271:N1273"/>
    <mergeCell ref="O1271:O1273"/>
    <mergeCell ref="P1271:P1273"/>
    <mergeCell ref="B1274:B1275"/>
    <mergeCell ref="E1274:E1275"/>
    <mergeCell ref="F1274:F1275"/>
    <mergeCell ref="G1274:G1275"/>
    <mergeCell ref="H1274:H1275"/>
    <mergeCell ref="I1274:I1275"/>
    <mergeCell ref="J1274:J1275"/>
    <mergeCell ref="B1200:B1202"/>
    <mergeCell ref="E1200:E1202"/>
    <mergeCell ref="F1200:F1202"/>
    <mergeCell ref="G1200:G1202"/>
    <mergeCell ref="H1200:H1202"/>
    <mergeCell ref="I1200:I1202"/>
    <mergeCell ref="J1200:J1202"/>
    <mergeCell ref="K1200:K1202"/>
    <mergeCell ref="L1200:L1202"/>
    <mergeCell ref="M1200:M1202"/>
    <mergeCell ref="N1200:N1202"/>
    <mergeCell ref="O1200:O1202"/>
    <mergeCell ref="P1200:P1202"/>
    <mergeCell ref="Q1200:Q1202"/>
    <mergeCell ref="B1186:B1188"/>
    <mergeCell ref="F1186:F1188"/>
    <mergeCell ref="G1186:G1188"/>
    <mergeCell ref="H1186:H1188"/>
    <mergeCell ref="I1186:I1188"/>
    <mergeCell ref="J1186:J1188"/>
    <mergeCell ref="B1189:B1190"/>
    <mergeCell ref="J1189:J1190"/>
    <mergeCell ref="F1189:F1190"/>
    <mergeCell ref="G1189:G1190"/>
    <mergeCell ref="B1191:B1193"/>
    <mergeCell ref="C1191:C1193"/>
    <mergeCell ref="D1191:D1193"/>
    <mergeCell ref="E1191:E1193"/>
    <mergeCell ref="F1191:F1193"/>
    <mergeCell ref="I1194:I1196"/>
    <mergeCell ref="J1194:J1196"/>
    <mergeCell ref="K1194:K1196"/>
    <mergeCell ref="L1194:L1196"/>
    <mergeCell ref="M1194:M1196"/>
    <mergeCell ref="N1194:N1196"/>
    <mergeCell ref="O1194:O1196"/>
    <mergeCell ref="E1194:E1196"/>
    <mergeCell ref="E1197:E1199"/>
    <mergeCell ref="U1197:U1199"/>
    <mergeCell ref="V1197:V1199"/>
    <mergeCell ref="P1194:P1196"/>
    <mergeCell ref="Q1194:Q1196"/>
    <mergeCell ref="T1194:T1196"/>
    <mergeCell ref="U1194:U1196"/>
    <mergeCell ref="V1194:V1196"/>
    <mergeCell ref="Q1197:Q1199"/>
    <mergeCell ref="T1197:T1199"/>
    <mergeCell ref="G1265:G1267"/>
    <mergeCell ref="B1262:B1264"/>
    <mergeCell ref="C1262:C1264"/>
    <mergeCell ref="D1262:D1264"/>
    <mergeCell ref="F1262:F1264"/>
    <mergeCell ref="G1262:G1264"/>
    <mergeCell ref="H1262:H1264"/>
    <mergeCell ref="B1265:B1267"/>
    <mergeCell ref="H1271:H1273"/>
    <mergeCell ref="I1271:I1273"/>
    <mergeCell ref="B1268:B1270"/>
    <mergeCell ref="F1268:F1270"/>
    <mergeCell ref="G1268:G1270"/>
    <mergeCell ref="H1268:H1270"/>
    <mergeCell ref="I1268:I1270"/>
    <mergeCell ref="J1268:J1270"/>
    <mergeCell ref="B1271:B1273"/>
    <mergeCell ref="T1268:T1270"/>
    <mergeCell ref="U1268:U1270"/>
    <mergeCell ref="V1268:V1270"/>
    <mergeCell ref="K1268:K1270"/>
    <mergeCell ref="L1268:L1270"/>
    <mergeCell ref="M1268:M1270"/>
    <mergeCell ref="N1268:N1270"/>
    <mergeCell ref="O1268:O1270"/>
    <mergeCell ref="P1268:P1270"/>
    <mergeCell ref="Q1268:Q1270"/>
    <mergeCell ref="E1268:E1270"/>
    <mergeCell ref="E1271:E1273"/>
    <mergeCell ref="F1271:F1273"/>
    <mergeCell ref="G1271:G1273"/>
    <mergeCell ref="Q1271:Q1273"/>
    <mergeCell ref="T1271:T1273"/>
    <mergeCell ref="U1271:U1273"/>
    <mergeCell ref="V1271:V1273"/>
    <mergeCell ref="T1255:T1258"/>
    <mergeCell ref="U1255:U1258"/>
    <mergeCell ref="V1255:V1258"/>
    <mergeCell ref="T1259:T1261"/>
    <mergeCell ref="U1259:U1261"/>
    <mergeCell ref="V1259:V1261"/>
    <mergeCell ref="K1255:K1258"/>
    <mergeCell ref="L1255:L1258"/>
    <mergeCell ref="M1255:M1258"/>
    <mergeCell ref="N1255:N1258"/>
    <mergeCell ref="O1255:O1258"/>
    <mergeCell ref="P1255:P1258"/>
    <mergeCell ref="Q1255:Q1258"/>
    <mergeCell ref="E1255:E1258"/>
    <mergeCell ref="E1259:E1261"/>
    <mergeCell ref="F1259:F1261"/>
    <mergeCell ref="G1259:G1261"/>
    <mergeCell ref="B1255:B1258"/>
    <mergeCell ref="F1255:F1258"/>
    <mergeCell ref="G1255:G1258"/>
    <mergeCell ref="H1255:H1258"/>
    <mergeCell ref="I1255:I1258"/>
    <mergeCell ref="J1255:J1258"/>
    <mergeCell ref="B1259:B1261"/>
    <mergeCell ref="J1259:J1261"/>
    <mergeCell ref="O1265:O1267"/>
    <mergeCell ref="P1265:P1267"/>
    <mergeCell ref="H1265:H1267"/>
    <mergeCell ref="I1265:I1267"/>
    <mergeCell ref="J1265:J1267"/>
    <mergeCell ref="K1265:K1267"/>
    <mergeCell ref="L1265:L1267"/>
    <mergeCell ref="M1265:M1267"/>
    <mergeCell ref="N1265:N1267"/>
    <mergeCell ref="P1259:P1261"/>
    <mergeCell ref="Q1259:Q1261"/>
    <mergeCell ref="Q1265:Q1267"/>
    <mergeCell ref="R1265:R1267"/>
    <mergeCell ref="S1265:S1267"/>
    <mergeCell ref="T1265:T1267"/>
    <mergeCell ref="U1265:U1267"/>
    <mergeCell ref="V1265:V1267"/>
    <mergeCell ref="H1259:H1261"/>
    <mergeCell ref="I1259:I1261"/>
    <mergeCell ref="K1259:K1261"/>
    <mergeCell ref="L1259:L1261"/>
    <mergeCell ref="M1259:M1261"/>
    <mergeCell ref="N1259:N1261"/>
    <mergeCell ref="O1259:O1261"/>
    <mergeCell ref="P1262:P1264"/>
    <mergeCell ref="Q1262:Q1264"/>
    <mergeCell ref="T1262:T1264"/>
    <mergeCell ref="U1262:U1264"/>
    <mergeCell ref="V1262:V1264"/>
    <mergeCell ref="I1262:I1264"/>
    <mergeCell ref="J1262:J1264"/>
    <mergeCell ref="K1262:K1264"/>
    <mergeCell ref="L1262:L1264"/>
    <mergeCell ref="M1262:M1264"/>
    <mergeCell ref="N1262:N1264"/>
    <mergeCell ref="O1262:O1264"/>
    <mergeCell ref="E1262:E1264"/>
    <mergeCell ref="E1265:E1267"/>
    <mergeCell ref="F1265:F1267"/>
    <mergeCell ref="T1246:T1248"/>
    <mergeCell ref="U1246:U1248"/>
    <mergeCell ref="V1246:V1248"/>
    <mergeCell ref="B1246:B1248"/>
    <mergeCell ref="C1246:C1248"/>
    <mergeCell ref="D1246:D1248"/>
    <mergeCell ref="E1246:E1248"/>
    <mergeCell ref="F1246:F1248"/>
    <mergeCell ref="G1246:G1248"/>
    <mergeCell ref="H1246:H1248"/>
    <mergeCell ref="P1246:P1248"/>
    <mergeCell ref="Q1246:Q1248"/>
    <mergeCell ref="I1246:I1248"/>
    <mergeCell ref="J1246:J1248"/>
    <mergeCell ref="K1246:K1248"/>
    <mergeCell ref="L1246:L1248"/>
    <mergeCell ref="M1246:M1248"/>
    <mergeCell ref="N1246:N1248"/>
    <mergeCell ref="O1246:O1248"/>
    <mergeCell ref="T1249:T1251"/>
    <mergeCell ref="U1249:U1251"/>
    <mergeCell ref="V1249:V1251"/>
    <mergeCell ref="K1249:K1251"/>
    <mergeCell ref="L1249:L1251"/>
    <mergeCell ref="M1249:M1251"/>
    <mergeCell ref="N1249:N1251"/>
    <mergeCell ref="O1249:O1251"/>
    <mergeCell ref="P1249:P1251"/>
    <mergeCell ref="Q1249:Q1251"/>
    <mergeCell ref="E1249:E1251"/>
    <mergeCell ref="E1252:E1254"/>
    <mergeCell ref="F1252:F1254"/>
    <mergeCell ref="G1252:G1254"/>
    <mergeCell ref="Q1252:Q1254"/>
    <mergeCell ref="T1252:T1254"/>
    <mergeCell ref="U1252:U1254"/>
    <mergeCell ref="V1252:V1254"/>
    <mergeCell ref="J1252:J1254"/>
    <mergeCell ref="K1252:K1254"/>
    <mergeCell ref="L1252:L1254"/>
    <mergeCell ref="M1252:M1254"/>
    <mergeCell ref="N1252:N1254"/>
    <mergeCell ref="O1252:O1254"/>
    <mergeCell ref="P1252:P1254"/>
    <mergeCell ref="H1252:H1254"/>
    <mergeCell ref="I1252:I1254"/>
    <mergeCell ref="B1249:B1251"/>
    <mergeCell ref="F1249:F1251"/>
    <mergeCell ref="G1249:G1251"/>
    <mergeCell ref="H1249:H1251"/>
    <mergeCell ref="I1249:I1251"/>
    <mergeCell ref="J1249:J1251"/>
    <mergeCell ref="B1252:B1254"/>
    <mergeCell ref="I1243:I1245"/>
    <mergeCell ref="J1243:J1245"/>
    <mergeCell ref="K1243:K1245"/>
    <mergeCell ref="L1243:L1245"/>
    <mergeCell ref="M1243:M1245"/>
    <mergeCell ref="N1243:N1245"/>
    <mergeCell ref="O1243:O1245"/>
    <mergeCell ref="B1243:B1245"/>
    <mergeCell ref="C1243:C1245"/>
    <mergeCell ref="D1243:D1245"/>
    <mergeCell ref="E1243:E1245"/>
    <mergeCell ref="F1243:F1245"/>
    <mergeCell ref="G1243:G1245"/>
    <mergeCell ref="H1243:H1245"/>
    <mergeCell ref="P1237:P1239"/>
    <mergeCell ref="Q1237:Q1239"/>
    <mergeCell ref="T1237:T1239"/>
    <mergeCell ref="U1237:U1239"/>
    <mergeCell ref="V1237:V1239"/>
    <mergeCell ref="I1237:I1239"/>
    <mergeCell ref="J1237:J1239"/>
    <mergeCell ref="K1237:K1239"/>
    <mergeCell ref="L1237:L1239"/>
    <mergeCell ref="M1237:M1239"/>
    <mergeCell ref="N1237:N1239"/>
    <mergeCell ref="O1237:O1239"/>
    <mergeCell ref="P1240:P1242"/>
    <mergeCell ref="Q1240:Q1242"/>
    <mergeCell ref="T1240:T1242"/>
    <mergeCell ref="U1240:U1242"/>
    <mergeCell ref="V1240:V1242"/>
    <mergeCell ref="I1240:I1242"/>
    <mergeCell ref="J1240:J1242"/>
    <mergeCell ref="K1240:K1242"/>
    <mergeCell ref="L1240:L1242"/>
    <mergeCell ref="M1240:M1242"/>
    <mergeCell ref="N1240:N1242"/>
    <mergeCell ref="O1240:O1242"/>
    <mergeCell ref="B1240:B1242"/>
    <mergeCell ref="C1240:C1242"/>
    <mergeCell ref="D1240:D1242"/>
    <mergeCell ref="E1240:E1242"/>
    <mergeCell ref="F1240:F1242"/>
    <mergeCell ref="G1240:G1242"/>
    <mergeCell ref="H1240:H1242"/>
    <mergeCell ref="P1243:P1245"/>
    <mergeCell ref="Q1243:Q1245"/>
    <mergeCell ref="T1243:T1245"/>
    <mergeCell ref="U1243:U1245"/>
    <mergeCell ref="V1243:V1245"/>
    <mergeCell ref="L1224:L1226"/>
    <mergeCell ref="M1224:M1226"/>
    <mergeCell ref="E1224:E1226"/>
    <mergeCell ref="F1224:F1226"/>
    <mergeCell ref="G1224:G1226"/>
    <mergeCell ref="H1224:H1226"/>
    <mergeCell ref="I1224:I1226"/>
    <mergeCell ref="J1224:J1226"/>
    <mergeCell ref="K1224:K1226"/>
    <mergeCell ref="P1227:P1229"/>
    <mergeCell ref="Q1227:Q1229"/>
    <mergeCell ref="T1227:T1229"/>
    <mergeCell ref="U1227:U1229"/>
    <mergeCell ref="V1227:V1229"/>
    <mergeCell ref="I1227:I1229"/>
    <mergeCell ref="J1227:J1229"/>
    <mergeCell ref="K1227:K1229"/>
    <mergeCell ref="L1227:L1229"/>
    <mergeCell ref="M1227:M1229"/>
    <mergeCell ref="N1227:N1229"/>
    <mergeCell ref="O1227:O1229"/>
    <mergeCell ref="B1227:B1229"/>
    <mergeCell ref="C1227:C1229"/>
    <mergeCell ref="D1227:D1229"/>
    <mergeCell ref="E1227:E1229"/>
    <mergeCell ref="F1227:F1229"/>
    <mergeCell ref="G1227:G1229"/>
    <mergeCell ref="H1227:H1229"/>
    <mergeCell ref="P1230:P1231"/>
    <mergeCell ref="Q1230:Q1231"/>
    <mergeCell ref="T1230:T1231"/>
    <mergeCell ref="U1230:U1231"/>
    <mergeCell ref="V1230:V1231"/>
    <mergeCell ref="I1230:I1231"/>
    <mergeCell ref="J1230:J1231"/>
    <mergeCell ref="K1230:K1231"/>
    <mergeCell ref="L1230:L1231"/>
    <mergeCell ref="M1230:M1231"/>
    <mergeCell ref="N1230:N1231"/>
    <mergeCell ref="O1230:O1231"/>
    <mergeCell ref="H1230:H1231"/>
    <mergeCell ref="B1232:B1233"/>
    <mergeCell ref="P1234:P1236"/>
    <mergeCell ref="Q1234:Q1236"/>
    <mergeCell ref="T1234:T1236"/>
    <mergeCell ref="U1234:U1236"/>
    <mergeCell ref="V1234:V1236"/>
    <mergeCell ref="B1237:B1239"/>
    <mergeCell ref="C1237:C1239"/>
    <mergeCell ref="D1237:D1239"/>
    <mergeCell ref="E1237:E1239"/>
    <mergeCell ref="F1237:F1239"/>
    <mergeCell ref="G1237:G1239"/>
    <mergeCell ref="H1237:H1239"/>
    <mergeCell ref="B1206:B1207"/>
    <mergeCell ref="C1206:C1207"/>
    <mergeCell ref="D1206:D1207"/>
    <mergeCell ref="F1206:F1207"/>
    <mergeCell ref="G1206:G1207"/>
    <mergeCell ref="H1206:H1207"/>
    <mergeCell ref="H1210:H1212"/>
    <mergeCell ref="Q1213:Q1215"/>
    <mergeCell ref="T1213:T1215"/>
    <mergeCell ref="U1213:U1215"/>
    <mergeCell ref="V1213:V1215"/>
    <mergeCell ref="J1213:J1215"/>
    <mergeCell ref="K1213:K1215"/>
    <mergeCell ref="L1213:L1215"/>
    <mergeCell ref="M1213:M1215"/>
    <mergeCell ref="N1213:N1215"/>
    <mergeCell ref="O1213:O1215"/>
    <mergeCell ref="P1213:P1215"/>
    <mergeCell ref="E1206:E1207"/>
    <mergeCell ref="E1210:E1212"/>
    <mergeCell ref="E1213:E1215"/>
    <mergeCell ref="F1213:F1215"/>
    <mergeCell ref="G1213:G1215"/>
    <mergeCell ref="H1213:H1215"/>
    <mergeCell ref="I1213:I1215"/>
    <mergeCell ref="U1217:U1220"/>
    <mergeCell ref="V1217:V1220"/>
    <mergeCell ref="U1221:U1223"/>
    <mergeCell ref="V1221:V1223"/>
    <mergeCell ref="B1210:B1212"/>
    <mergeCell ref="B1213:B1215"/>
    <mergeCell ref="B1217:B1220"/>
    <mergeCell ref="B1221:B1223"/>
    <mergeCell ref="B1224:B1226"/>
    <mergeCell ref="C1224:C1226"/>
    <mergeCell ref="D1224:D1226"/>
    <mergeCell ref="N1224:N1226"/>
    <mergeCell ref="O1224:O1226"/>
    <mergeCell ref="P1224:P1226"/>
    <mergeCell ref="Q1224:Q1226"/>
    <mergeCell ref="T1224:T1226"/>
    <mergeCell ref="U1224:U1226"/>
    <mergeCell ref="V1224:V1226"/>
    <mergeCell ref="E1221:E1223"/>
    <mergeCell ref="F1221:F1223"/>
    <mergeCell ref="G1221:G1223"/>
    <mergeCell ref="H1221:H1223"/>
    <mergeCell ref="I1221:I1223"/>
    <mergeCell ref="J1221:J1223"/>
    <mergeCell ref="K1221:K1223"/>
    <mergeCell ref="B1174:B1175"/>
    <mergeCell ref="R1182:R1183"/>
    <mergeCell ref="R1184:R1185"/>
    <mergeCell ref="T1186:T1188"/>
    <mergeCell ref="U1186:U1188"/>
    <mergeCell ref="V1186:V1188"/>
    <mergeCell ref="T1189:T1190"/>
    <mergeCell ref="U1189:U1190"/>
    <mergeCell ref="V1189:V1190"/>
    <mergeCell ref="O1182:O1185"/>
    <mergeCell ref="P1182:P1185"/>
    <mergeCell ref="Q1182:Q1185"/>
    <mergeCell ref="S1182:S1183"/>
    <mergeCell ref="T1182:T1185"/>
    <mergeCell ref="U1182:U1185"/>
    <mergeCell ref="V1182:V1185"/>
    <mergeCell ref="S1184:S1185"/>
    <mergeCell ref="O1197:O1199"/>
    <mergeCell ref="P1197:P1199"/>
    <mergeCell ref="H1197:H1199"/>
    <mergeCell ref="I1197:I1199"/>
    <mergeCell ref="J1197:J1199"/>
    <mergeCell ref="K1197:K1199"/>
    <mergeCell ref="L1197:L1199"/>
    <mergeCell ref="M1197:M1199"/>
    <mergeCell ref="N1197:N1199"/>
    <mergeCell ref="I1234:I1236"/>
    <mergeCell ref="J1234:J1236"/>
    <mergeCell ref="K1234:K1236"/>
    <mergeCell ref="L1234:L1236"/>
    <mergeCell ref="M1234:M1236"/>
    <mergeCell ref="N1234:N1236"/>
    <mergeCell ref="O1234:O1236"/>
    <mergeCell ref="B1234:B1236"/>
    <mergeCell ref="C1234:C1236"/>
    <mergeCell ref="D1234:D1236"/>
    <mergeCell ref="E1234:E1236"/>
    <mergeCell ref="F1234:F1236"/>
    <mergeCell ref="G1234:G1236"/>
    <mergeCell ref="H1234:H1236"/>
    <mergeCell ref="E1230:E1231"/>
    <mergeCell ref="E1232:E1233"/>
    <mergeCell ref="F1232:F1233"/>
    <mergeCell ref="G1232:G1233"/>
    <mergeCell ref="O1232:O1233"/>
    <mergeCell ref="P1232:P1233"/>
    <mergeCell ref="Q1232:Q1233"/>
    <mergeCell ref="R1232:R1233"/>
    <mergeCell ref="S1232:S1233"/>
    <mergeCell ref="T1232:T1233"/>
    <mergeCell ref="U1232:U1233"/>
    <mergeCell ref="V1232:V1233"/>
    <mergeCell ref="H1232:H1233"/>
    <mergeCell ref="I1232:I1233"/>
    <mergeCell ref="J1232:J1233"/>
    <mergeCell ref="K1232:K1233"/>
    <mergeCell ref="L1232:L1233"/>
    <mergeCell ref="M1232:M1233"/>
    <mergeCell ref="N1232:N1233"/>
    <mergeCell ref="B1230:B1231"/>
    <mergeCell ref="C1230:C1231"/>
    <mergeCell ref="D1230:D1231"/>
    <mergeCell ref="F1230:F1231"/>
    <mergeCell ref="G1230:G1231"/>
    <mergeCell ref="B1165:B1166"/>
    <mergeCell ref="C1165:C1166"/>
    <mergeCell ref="D1165:D1166"/>
    <mergeCell ref="E1165:E1166"/>
    <mergeCell ref="F1165:F1166"/>
    <mergeCell ref="G1165:G1166"/>
    <mergeCell ref="H1165:H1166"/>
    <mergeCell ref="I1167:I1169"/>
    <mergeCell ref="J1167:J1169"/>
    <mergeCell ref="K1167:K1169"/>
    <mergeCell ref="L1167:L1169"/>
    <mergeCell ref="M1167:M1169"/>
    <mergeCell ref="N1167:N1169"/>
    <mergeCell ref="O1167:O1169"/>
    <mergeCell ref="E1167:E1169"/>
    <mergeCell ref="E1170:E1171"/>
    <mergeCell ref="B1167:B1169"/>
    <mergeCell ref="C1167:C1169"/>
    <mergeCell ref="D1167:D1169"/>
    <mergeCell ref="F1167:F1169"/>
    <mergeCell ref="G1167:G1169"/>
    <mergeCell ref="H1167:H1169"/>
    <mergeCell ref="B1170:B1171"/>
    <mergeCell ref="H1170:H1171"/>
    <mergeCell ref="R1170:R1171"/>
    <mergeCell ref="S1170:S1171"/>
    <mergeCell ref="O1174:O1175"/>
    <mergeCell ref="P1174:P1175"/>
    <mergeCell ref="H1174:H1175"/>
    <mergeCell ref="I1174:I1175"/>
    <mergeCell ref="J1174:J1175"/>
    <mergeCell ref="K1174:K1175"/>
    <mergeCell ref="L1174:L1175"/>
    <mergeCell ref="M1174:M1175"/>
    <mergeCell ref="N1174:N1175"/>
    <mergeCell ref="P1172:P1173"/>
    <mergeCell ref="Q1172:Q1173"/>
    <mergeCell ref="Q1174:Q1175"/>
    <mergeCell ref="R1174:R1175"/>
    <mergeCell ref="N1170:N1171"/>
    <mergeCell ref="O1170:O1171"/>
    <mergeCell ref="F1170:F1171"/>
    <mergeCell ref="G1170:G1171"/>
    <mergeCell ref="I1170:I1171"/>
    <mergeCell ref="J1170:J1171"/>
    <mergeCell ref="K1170:K1171"/>
    <mergeCell ref="L1170:L1171"/>
    <mergeCell ref="M1170:M1171"/>
    <mergeCell ref="I1172:I1173"/>
    <mergeCell ref="J1172:J1173"/>
    <mergeCell ref="K1172:K1173"/>
    <mergeCell ref="L1172:L1173"/>
    <mergeCell ref="M1172:M1173"/>
    <mergeCell ref="N1172:N1173"/>
    <mergeCell ref="O1172:O1173"/>
    <mergeCell ref="E1172:E1173"/>
    <mergeCell ref="E1174:E1175"/>
    <mergeCell ref="F1174:F1175"/>
    <mergeCell ref="G1174:G1175"/>
    <mergeCell ref="S1174:S1175"/>
    <mergeCell ref="B1172:B1173"/>
    <mergeCell ref="C1172:C1173"/>
    <mergeCell ref="D1172:D1173"/>
    <mergeCell ref="F1172:F1173"/>
    <mergeCell ref="N1191:N1193"/>
    <mergeCell ref="O1191:O1193"/>
    <mergeCell ref="P1191:P1193"/>
    <mergeCell ref="Q1191:Q1193"/>
    <mergeCell ref="T1191:T1193"/>
    <mergeCell ref="U1191:U1193"/>
    <mergeCell ref="V1191:V1193"/>
    <mergeCell ref="G1191:G1193"/>
    <mergeCell ref="H1191:H1193"/>
    <mergeCell ref="I1191:I1193"/>
    <mergeCell ref="J1191:J1193"/>
    <mergeCell ref="K1191:K1193"/>
    <mergeCell ref="L1191:L1193"/>
    <mergeCell ref="M1191:M1193"/>
    <mergeCell ref="T1170:T1171"/>
    <mergeCell ref="U1170:U1171"/>
    <mergeCell ref="P1167:P1169"/>
    <mergeCell ref="Q1167:Q1169"/>
    <mergeCell ref="T1167:T1169"/>
    <mergeCell ref="U1167:U1169"/>
    <mergeCell ref="V1167:V1169"/>
    <mergeCell ref="P1170:P1171"/>
    <mergeCell ref="Q1170:Q1171"/>
    <mergeCell ref="V1170:V1171"/>
    <mergeCell ref="P1165:P1166"/>
    <mergeCell ref="Q1165:Q1166"/>
    <mergeCell ref="T1165:T1166"/>
    <mergeCell ref="U1165:U1166"/>
    <mergeCell ref="V1165:V1166"/>
    <mergeCell ref="I1165:I1166"/>
    <mergeCell ref="J1165:J1166"/>
    <mergeCell ref="K1165:K1166"/>
    <mergeCell ref="L1165:L1166"/>
    <mergeCell ref="M1165:M1166"/>
    <mergeCell ref="N1165:N1166"/>
    <mergeCell ref="O1165:O1166"/>
    <mergeCell ref="U1174:U1175"/>
    <mergeCell ref="V1174:V1175"/>
    <mergeCell ref="T1172:T1173"/>
    <mergeCell ref="U1172:U1173"/>
    <mergeCell ref="V1172:V1173"/>
    <mergeCell ref="T1174:T1175"/>
    <mergeCell ref="G1172:G1173"/>
    <mergeCell ref="H1172:H1173"/>
    <mergeCell ref="E1182:E1185"/>
    <mergeCell ref="H1182:H1185"/>
    <mergeCell ref="I1182:I1185"/>
    <mergeCell ref="J1182:J1185"/>
    <mergeCell ref="K1182:K1185"/>
    <mergeCell ref="L1182:L1185"/>
    <mergeCell ref="M1182:M1185"/>
    <mergeCell ref="N1182:N1185"/>
    <mergeCell ref="F1182:F1185"/>
    <mergeCell ref="G1182:G1185"/>
    <mergeCell ref="B1178:B1180"/>
    <mergeCell ref="C1178:C1180"/>
    <mergeCell ref="D1178:D1180"/>
    <mergeCell ref="F1178:F1180"/>
    <mergeCell ref="G1178:G1180"/>
    <mergeCell ref="H1178:H1180"/>
    <mergeCell ref="B1182:B1185"/>
    <mergeCell ref="K1186:K1188"/>
    <mergeCell ref="L1186:L1188"/>
    <mergeCell ref="M1186:M1188"/>
    <mergeCell ref="N1186:N1188"/>
    <mergeCell ref="O1186:O1188"/>
    <mergeCell ref="P1186:P1188"/>
    <mergeCell ref="Q1186:Q1188"/>
    <mergeCell ref="E1186:E1188"/>
    <mergeCell ref="E1189:E1190"/>
    <mergeCell ref="P1189:P1190"/>
    <mergeCell ref="Q1189:Q1190"/>
    <mergeCell ref="H1189:H1190"/>
    <mergeCell ref="I1189:I1190"/>
    <mergeCell ref="K1189:K1190"/>
    <mergeCell ref="L1189:L1190"/>
    <mergeCell ref="M1189:M1190"/>
    <mergeCell ref="N1189:N1190"/>
    <mergeCell ref="O1189:O1190"/>
    <mergeCell ref="P1176:P1177"/>
    <mergeCell ref="Q1176:Q1177"/>
    <mergeCell ref="T1176:T1177"/>
    <mergeCell ref="U1176:U1177"/>
    <mergeCell ref="V1176:V1177"/>
    <mergeCell ref="I1176:I1177"/>
    <mergeCell ref="J1176:J1177"/>
    <mergeCell ref="K1176:K1177"/>
    <mergeCell ref="L1176:L1177"/>
    <mergeCell ref="M1176:M1177"/>
    <mergeCell ref="N1176:N1177"/>
    <mergeCell ref="O1176:O1177"/>
    <mergeCell ref="B1176:B1177"/>
    <mergeCell ref="C1176:C1177"/>
    <mergeCell ref="D1176:D1177"/>
    <mergeCell ref="E1176:E1177"/>
    <mergeCell ref="F1176:F1177"/>
    <mergeCell ref="G1176:G1177"/>
    <mergeCell ref="H1176:H1177"/>
    <mergeCell ref="P1178:P1180"/>
    <mergeCell ref="Q1178:Q1180"/>
    <mergeCell ref="T1178:T1180"/>
    <mergeCell ref="U1178:U1180"/>
    <mergeCell ref="V1178:V1180"/>
    <mergeCell ref="I1178:I1180"/>
    <mergeCell ref="J1178:J1180"/>
    <mergeCell ref="K1178:K1180"/>
    <mergeCell ref="L1178:L1180"/>
    <mergeCell ref="M1178:M1180"/>
    <mergeCell ref="N1178:N1180"/>
    <mergeCell ref="O1178:O1180"/>
    <mergeCell ref="B1181:V1181"/>
    <mergeCell ref="E1178:E1180"/>
    <mergeCell ref="T1157:T1159"/>
    <mergeCell ref="U1157:U1159"/>
    <mergeCell ref="V1157:V1159"/>
    <mergeCell ref="K1157:K1159"/>
    <mergeCell ref="L1157:L1159"/>
    <mergeCell ref="M1157:M1159"/>
    <mergeCell ref="N1157:N1159"/>
    <mergeCell ref="O1157:O1159"/>
    <mergeCell ref="P1157:P1159"/>
    <mergeCell ref="Q1157:Q1159"/>
    <mergeCell ref="E1157:E1159"/>
    <mergeCell ref="E1160:E1161"/>
    <mergeCell ref="B1157:B1159"/>
    <mergeCell ref="F1157:F1159"/>
    <mergeCell ref="G1157:G1159"/>
    <mergeCell ref="H1157:H1159"/>
    <mergeCell ref="I1157:I1159"/>
    <mergeCell ref="J1157:J1159"/>
    <mergeCell ref="B1160:B1161"/>
    <mergeCell ref="J1160:J1161"/>
    <mergeCell ref="P1160:P1161"/>
    <mergeCell ref="Q1160:Q1161"/>
    <mergeCell ref="T1160:T1161"/>
    <mergeCell ref="U1160:U1161"/>
    <mergeCell ref="V1160:V1161"/>
    <mergeCell ref="H1160:H1161"/>
    <mergeCell ref="I1160:I1161"/>
    <mergeCell ref="K1160:K1161"/>
    <mergeCell ref="L1160:L1161"/>
    <mergeCell ref="M1160:M1161"/>
    <mergeCell ref="N1160:N1161"/>
    <mergeCell ref="O1160:O1161"/>
    <mergeCell ref="N1162:N1164"/>
    <mergeCell ref="O1162:O1164"/>
    <mergeCell ref="P1162:P1164"/>
    <mergeCell ref="Q1162:Q1164"/>
    <mergeCell ref="T1162:T1164"/>
    <mergeCell ref="U1162:U1164"/>
    <mergeCell ref="V1162:V1164"/>
    <mergeCell ref="G1162:G1164"/>
    <mergeCell ref="H1162:H1164"/>
    <mergeCell ref="I1162:I1164"/>
    <mergeCell ref="J1162:J1164"/>
    <mergeCell ref="K1162:K1164"/>
    <mergeCell ref="L1162:L1164"/>
    <mergeCell ref="M1162:M1164"/>
    <mergeCell ref="F1160:F1161"/>
    <mergeCell ref="G1160:G1161"/>
    <mergeCell ref="B1162:B1164"/>
    <mergeCell ref="C1162:C1164"/>
    <mergeCell ref="D1162:D1164"/>
    <mergeCell ref="E1162:E1164"/>
    <mergeCell ref="F1162:F1164"/>
    <mergeCell ref="T1150:T1152"/>
    <mergeCell ref="U1150:U1152"/>
    <mergeCell ref="V1150:V1152"/>
    <mergeCell ref="K1150:K1152"/>
    <mergeCell ref="L1150:L1152"/>
    <mergeCell ref="M1150:M1152"/>
    <mergeCell ref="N1150:N1152"/>
    <mergeCell ref="O1150:O1152"/>
    <mergeCell ref="P1150:P1152"/>
    <mergeCell ref="Q1150:Q1152"/>
    <mergeCell ref="B1150:B1152"/>
    <mergeCell ref="E1150:E1152"/>
    <mergeCell ref="F1150:F1152"/>
    <mergeCell ref="G1150:G1152"/>
    <mergeCell ref="H1150:H1152"/>
    <mergeCell ref="I1150:I1152"/>
    <mergeCell ref="J1150:J1152"/>
    <mergeCell ref="P1153:P1154"/>
    <mergeCell ref="Q1153:Q1154"/>
    <mergeCell ref="T1153:T1154"/>
    <mergeCell ref="U1153:U1154"/>
    <mergeCell ref="V1153:V1154"/>
    <mergeCell ref="I1153:I1154"/>
    <mergeCell ref="J1153:J1154"/>
    <mergeCell ref="K1153:K1154"/>
    <mergeCell ref="L1153:L1154"/>
    <mergeCell ref="M1153:M1154"/>
    <mergeCell ref="N1153:N1154"/>
    <mergeCell ref="O1153:O1154"/>
    <mergeCell ref="E1153:E1154"/>
    <mergeCell ref="E1155:E1156"/>
    <mergeCell ref="F1155:F1156"/>
    <mergeCell ref="G1155:G1156"/>
    <mergeCell ref="O1155:O1156"/>
    <mergeCell ref="P1155:P1156"/>
    <mergeCell ref="Q1155:Q1156"/>
    <mergeCell ref="T1155:T1156"/>
    <mergeCell ref="U1155:U1156"/>
    <mergeCell ref="V1155:V1156"/>
    <mergeCell ref="H1155:H1156"/>
    <mergeCell ref="I1155:I1156"/>
    <mergeCell ref="J1155:J1156"/>
    <mergeCell ref="K1155:K1156"/>
    <mergeCell ref="L1155:L1156"/>
    <mergeCell ref="M1155:M1156"/>
    <mergeCell ref="N1155:N1156"/>
    <mergeCell ref="B1153:B1154"/>
    <mergeCell ref="C1153:C1154"/>
    <mergeCell ref="D1153:D1154"/>
    <mergeCell ref="F1153:F1154"/>
    <mergeCell ref="G1153:G1154"/>
    <mergeCell ref="H1153:H1154"/>
    <mergeCell ref="B1155:B1156"/>
    <mergeCell ref="R1142:R1143"/>
    <mergeCell ref="S1142:S1143"/>
    <mergeCell ref="T1142:T1143"/>
    <mergeCell ref="U1142:U1143"/>
    <mergeCell ref="V1142:V1143"/>
    <mergeCell ref="K1142:K1143"/>
    <mergeCell ref="L1142:L1143"/>
    <mergeCell ref="M1142:M1143"/>
    <mergeCell ref="N1142:N1143"/>
    <mergeCell ref="O1142:O1143"/>
    <mergeCell ref="P1142:P1143"/>
    <mergeCell ref="Q1142:Q1143"/>
    <mergeCell ref="E1142:E1143"/>
    <mergeCell ref="E1144:E1145"/>
    <mergeCell ref="B1146:B1148"/>
    <mergeCell ref="E1146:E1148"/>
    <mergeCell ref="B1142:B1143"/>
    <mergeCell ref="F1142:F1143"/>
    <mergeCell ref="G1142:G1143"/>
    <mergeCell ref="H1142:H1143"/>
    <mergeCell ref="I1142:I1143"/>
    <mergeCell ref="J1142:J1143"/>
    <mergeCell ref="B1144:B1145"/>
    <mergeCell ref="Q1144:Q1145"/>
    <mergeCell ref="R1144:R1145"/>
    <mergeCell ref="S1144:S1145"/>
    <mergeCell ref="T1144:T1145"/>
    <mergeCell ref="U1144:U1145"/>
    <mergeCell ref="V1144:V1145"/>
    <mergeCell ref="J1144:J1145"/>
    <mergeCell ref="K1144:K1145"/>
    <mergeCell ref="L1144:L1145"/>
    <mergeCell ref="M1144:M1145"/>
    <mergeCell ref="N1144:N1145"/>
    <mergeCell ref="O1144:O1145"/>
    <mergeCell ref="P1144:P1145"/>
    <mergeCell ref="T1146:T1148"/>
    <mergeCell ref="U1146:U1148"/>
    <mergeCell ref="V1146:V1148"/>
    <mergeCell ref="K1146:K1148"/>
    <mergeCell ref="L1146:L1148"/>
    <mergeCell ref="M1146:M1148"/>
    <mergeCell ref="N1146:N1148"/>
    <mergeCell ref="O1146:O1148"/>
    <mergeCell ref="P1146:P1148"/>
    <mergeCell ref="Q1146:Q1148"/>
    <mergeCell ref="H1144:H1145"/>
    <mergeCell ref="I1144:I1145"/>
    <mergeCell ref="F1144:F1145"/>
    <mergeCell ref="G1144:G1145"/>
    <mergeCell ref="F1146:F1148"/>
    <mergeCell ref="G1146:G1148"/>
    <mergeCell ref="H1146:H1148"/>
    <mergeCell ref="I1146:I1148"/>
    <mergeCell ref="J1146:J1148"/>
    <mergeCell ref="C1132:W1132"/>
    <mergeCell ref="B1133:V1133"/>
    <mergeCell ref="B1134:V1134"/>
    <mergeCell ref="T1138:T1141"/>
    <mergeCell ref="U1138:U1141"/>
    <mergeCell ref="R1140:R1141"/>
    <mergeCell ref="S1140:S1141"/>
    <mergeCell ref="M1138:M1141"/>
    <mergeCell ref="N1138:N1141"/>
    <mergeCell ref="O1138:O1141"/>
    <mergeCell ref="P1138:P1141"/>
    <mergeCell ref="Q1138:Q1141"/>
    <mergeCell ref="R1138:R1139"/>
    <mergeCell ref="S1138:S1139"/>
    <mergeCell ref="H1128:H1130"/>
    <mergeCell ref="I1128:I1130"/>
    <mergeCell ref="B1125:B1127"/>
    <mergeCell ref="F1125:F1127"/>
    <mergeCell ref="G1125:G1127"/>
    <mergeCell ref="H1125:H1127"/>
    <mergeCell ref="I1125:I1127"/>
    <mergeCell ref="J1125:J1127"/>
    <mergeCell ref="A1132:B1132"/>
    <mergeCell ref="O1135:O1137"/>
    <mergeCell ref="P1135:P1137"/>
    <mergeCell ref="Q1135:Q1137"/>
    <mergeCell ref="T1135:T1137"/>
    <mergeCell ref="U1135:U1137"/>
    <mergeCell ref="V1135:V1137"/>
    <mergeCell ref="V1138:V1141"/>
    <mergeCell ref="H1135:H1137"/>
    <mergeCell ref="I1135:I1137"/>
    <mergeCell ref="J1135:J1137"/>
    <mergeCell ref="K1135:K1137"/>
    <mergeCell ref="L1135:L1137"/>
    <mergeCell ref="M1135:M1137"/>
    <mergeCell ref="N1135:N1137"/>
    <mergeCell ref="E1135:E1137"/>
    <mergeCell ref="E1138:E1141"/>
    <mergeCell ref="F1138:F1141"/>
    <mergeCell ref="G1138:G1141"/>
    <mergeCell ref="H1138:H1141"/>
    <mergeCell ref="I1138:I1141"/>
    <mergeCell ref="J1138:J1141"/>
    <mergeCell ref="K1138:K1141"/>
    <mergeCell ref="L1138:L1141"/>
    <mergeCell ref="B1128:B1130"/>
    <mergeCell ref="B1135:B1137"/>
    <mergeCell ref="C1135:C1137"/>
    <mergeCell ref="D1135:D1137"/>
    <mergeCell ref="F1135:F1137"/>
    <mergeCell ref="G1135:G1137"/>
    <mergeCell ref="B1138:B1141"/>
    <mergeCell ref="E1095:E1097"/>
    <mergeCell ref="E1098:E1099"/>
    <mergeCell ref="F1098:F1099"/>
    <mergeCell ref="G1098:G1099"/>
    <mergeCell ref="B1095:B1097"/>
    <mergeCell ref="F1095:F1097"/>
    <mergeCell ref="G1095:G1097"/>
    <mergeCell ref="H1095:H1097"/>
    <mergeCell ref="I1095:I1097"/>
    <mergeCell ref="J1095:J1097"/>
    <mergeCell ref="B1098:B1099"/>
    <mergeCell ref="J1098:J1099"/>
    <mergeCell ref="Q1128:Q1130"/>
    <mergeCell ref="T1128:T1130"/>
    <mergeCell ref="U1128:U1130"/>
    <mergeCell ref="V1128:V1130"/>
    <mergeCell ref="J1128:J1130"/>
    <mergeCell ref="K1128:K1130"/>
    <mergeCell ref="L1128:L1130"/>
    <mergeCell ref="M1128:M1130"/>
    <mergeCell ref="N1128:N1130"/>
    <mergeCell ref="O1128:O1130"/>
    <mergeCell ref="P1128:P1130"/>
    <mergeCell ref="H1121:H1123"/>
    <mergeCell ref="I1121:I1123"/>
    <mergeCell ref="B1124:V1124"/>
    <mergeCell ref="B1118:B1120"/>
    <mergeCell ref="F1118:F1120"/>
    <mergeCell ref="G1118:G1120"/>
    <mergeCell ref="H1118:H1120"/>
    <mergeCell ref="I1118:I1120"/>
    <mergeCell ref="J1118:J1120"/>
    <mergeCell ref="B1121:B1123"/>
    <mergeCell ref="T1125:T1127"/>
    <mergeCell ref="U1125:U1127"/>
    <mergeCell ref="V1125:V1127"/>
    <mergeCell ref="K1125:K1127"/>
    <mergeCell ref="L1125:L1127"/>
    <mergeCell ref="M1125:M1127"/>
    <mergeCell ref="N1125:N1127"/>
    <mergeCell ref="O1125:O1127"/>
    <mergeCell ref="P1125:P1127"/>
    <mergeCell ref="Q1125:Q1127"/>
    <mergeCell ref="E1125:E1127"/>
    <mergeCell ref="E1128:E1130"/>
    <mergeCell ref="F1128:F1130"/>
    <mergeCell ref="G1128:G1130"/>
    <mergeCell ref="B1090:B1092"/>
    <mergeCell ref="F1090:F1092"/>
    <mergeCell ref="G1090:G1092"/>
    <mergeCell ref="H1090:H1092"/>
    <mergeCell ref="I1090:I1092"/>
    <mergeCell ref="J1090:J1092"/>
    <mergeCell ref="B1093:B1094"/>
    <mergeCell ref="J1093:J1094"/>
    <mergeCell ref="P1093:P1094"/>
    <mergeCell ref="Q1093:Q1094"/>
    <mergeCell ref="R1093:R1094"/>
    <mergeCell ref="S1093:S1094"/>
    <mergeCell ref="T1093:T1094"/>
    <mergeCell ref="U1093:U1094"/>
    <mergeCell ref="V1093:V1094"/>
    <mergeCell ref="H1093:H1094"/>
    <mergeCell ref="I1093:I1094"/>
    <mergeCell ref="K1093:K1094"/>
    <mergeCell ref="L1093:L1094"/>
    <mergeCell ref="M1093:M1094"/>
    <mergeCell ref="N1093:N1094"/>
    <mergeCell ref="O1093:O1094"/>
    <mergeCell ref="B1073:B1075"/>
    <mergeCell ref="F1073:F1075"/>
    <mergeCell ref="G1073:G1075"/>
    <mergeCell ref="H1073:H1075"/>
    <mergeCell ref="I1073:I1075"/>
    <mergeCell ref="J1073:J1075"/>
    <mergeCell ref="J1076:J1077"/>
    <mergeCell ref="E1073:E1075"/>
    <mergeCell ref="E1076:E1077"/>
    <mergeCell ref="E1079:E1080"/>
    <mergeCell ref="F1079:F1080"/>
    <mergeCell ref="G1079:G1080"/>
    <mergeCell ref="H1079:H1080"/>
    <mergeCell ref="I1079:I1080"/>
    <mergeCell ref="I1083:I1085"/>
    <mergeCell ref="J1083:J1085"/>
    <mergeCell ref="K1083:K1085"/>
    <mergeCell ref="L1083:L1085"/>
    <mergeCell ref="M1083:M1085"/>
    <mergeCell ref="N1083:N1085"/>
    <mergeCell ref="O1083:O1085"/>
    <mergeCell ref="E1083:E1085"/>
    <mergeCell ref="E1086:E1089"/>
    <mergeCell ref="U1086:U1089"/>
    <mergeCell ref="V1086:V1089"/>
    <mergeCell ref="P1083:P1085"/>
    <mergeCell ref="Q1083:Q1085"/>
    <mergeCell ref="T1083:T1085"/>
    <mergeCell ref="U1083:U1085"/>
    <mergeCell ref="V1083:V1085"/>
    <mergeCell ref="Q1086:Q1089"/>
    <mergeCell ref="T1086:T1089"/>
    <mergeCell ref="T1090:T1092"/>
    <mergeCell ref="U1090:U1092"/>
    <mergeCell ref="V1090:V1092"/>
    <mergeCell ref="F1086:F1089"/>
    <mergeCell ref="G1086:G1089"/>
    <mergeCell ref="B1083:B1085"/>
    <mergeCell ref="C1083:C1085"/>
    <mergeCell ref="D1083:D1085"/>
    <mergeCell ref="F1083:F1085"/>
    <mergeCell ref="G1083:G1085"/>
    <mergeCell ref="P1071:P1072"/>
    <mergeCell ref="Q1071:Q1072"/>
    <mergeCell ref="H1071:H1072"/>
    <mergeCell ref="I1071:I1072"/>
    <mergeCell ref="K1071:K1072"/>
    <mergeCell ref="L1071:L1072"/>
    <mergeCell ref="M1071:M1072"/>
    <mergeCell ref="N1071:N1072"/>
    <mergeCell ref="O1071:O1072"/>
    <mergeCell ref="T1073:T1075"/>
    <mergeCell ref="U1073:U1075"/>
    <mergeCell ref="V1073:V1075"/>
    <mergeCell ref="T1076:T1077"/>
    <mergeCell ref="U1076:U1077"/>
    <mergeCell ref="V1076:V1077"/>
    <mergeCell ref="K1073:K1075"/>
    <mergeCell ref="L1073:L1075"/>
    <mergeCell ref="M1073:M1075"/>
    <mergeCell ref="N1073:N1075"/>
    <mergeCell ref="O1073:O1075"/>
    <mergeCell ref="P1073:P1075"/>
    <mergeCell ref="Q1073:Q1075"/>
    <mergeCell ref="F1076:F1077"/>
    <mergeCell ref="G1076:G1077"/>
    <mergeCell ref="B1078:V1078"/>
    <mergeCell ref="B1076:B1077"/>
    <mergeCell ref="B1079:B1080"/>
    <mergeCell ref="B1081:V1081"/>
    <mergeCell ref="B1082:V1082"/>
    <mergeCell ref="O1086:O1089"/>
    <mergeCell ref="P1086:P1089"/>
    <mergeCell ref="H1086:H1089"/>
    <mergeCell ref="I1086:I1089"/>
    <mergeCell ref="J1086:J1089"/>
    <mergeCell ref="K1086:K1089"/>
    <mergeCell ref="L1086:L1089"/>
    <mergeCell ref="M1086:M1089"/>
    <mergeCell ref="N1086:N1089"/>
    <mergeCell ref="H1083:H1085"/>
    <mergeCell ref="B1086:B1089"/>
    <mergeCell ref="T1118:T1120"/>
    <mergeCell ref="U1118:U1120"/>
    <mergeCell ref="V1118:V1120"/>
    <mergeCell ref="K1118:K1120"/>
    <mergeCell ref="L1118:L1120"/>
    <mergeCell ref="M1118:M1120"/>
    <mergeCell ref="N1118:N1120"/>
    <mergeCell ref="O1118:O1120"/>
    <mergeCell ref="P1118:P1120"/>
    <mergeCell ref="Q1118:Q1120"/>
    <mergeCell ref="E1118:E1120"/>
    <mergeCell ref="E1121:E1123"/>
    <mergeCell ref="F1121:F1123"/>
    <mergeCell ref="G1121:G1123"/>
    <mergeCell ref="Q1121:Q1123"/>
    <mergeCell ref="T1121:T1123"/>
    <mergeCell ref="U1121:U1123"/>
    <mergeCell ref="V1121:V1123"/>
    <mergeCell ref="J1121:J1123"/>
    <mergeCell ref="K1121:K1123"/>
    <mergeCell ref="L1121:L1123"/>
    <mergeCell ref="M1121:M1123"/>
    <mergeCell ref="N1121:N1123"/>
    <mergeCell ref="O1121:O1123"/>
    <mergeCell ref="P1121:P1123"/>
    <mergeCell ref="Q1079:Q1080"/>
    <mergeCell ref="R1079:R1080"/>
    <mergeCell ref="S1079:S1080"/>
    <mergeCell ref="T1079:T1080"/>
    <mergeCell ref="U1079:U1080"/>
    <mergeCell ref="V1079:V1080"/>
    <mergeCell ref="J1079:J1080"/>
    <mergeCell ref="K1079:K1080"/>
    <mergeCell ref="L1079:L1080"/>
    <mergeCell ref="M1079:M1080"/>
    <mergeCell ref="N1079:N1080"/>
    <mergeCell ref="O1079:O1080"/>
    <mergeCell ref="P1079:P1080"/>
    <mergeCell ref="K1090:K1092"/>
    <mergeCell ref="L1090:L1092"/>
    <mergeCell ref="M1090:M1092"/>
    <mergeCell ref="N1090:N1092"/>
    <mergeCell ref="O1090:O1092"/>
    <mergeCell ref="P1090:P1092"/>
    <mergeCell ref="Q1090:Q1092"/>
    <mergeCell ref="E1090:E1092"/>
    <mergeCell ref="E1093:E1094"/>
    <mergeCell ref="F1093:F1094"/>
    <mergeCell ref="G1093:G1094"/>
    <mergeCell ref="T1095:T1097"/>
    <mergeCell ref="U1095:U1097"/>
    <mergeCell ref="V1095:V1097"/>
    <mergeCell ref="R1098:R1099"/>
    <mergeCell ref="S1098:S1099"/>
    <mergeCell ref="T1098:T1099"/>
    <mergeCell ref="U1098:U1099"/>
    <mergeCell ref="V1098:V1099"/>
    <mergeCell ref="K1095:K1097"/>
    <mergeCell ref="L1095:L1097"/>
    <mergeCell ref="M1095:M1097"/>
    <mergeCell ref="N1095:N1097"/>
    <mergeCell ref="O1095:O1097"/>
    <mergeCell ref="P1095:P1097"/>
    <mergeCell ref="Q1095:Q1097"/>
    <mergeCell ref="O1100:O1102"/>
    <mergeCell ref="E1100:E1102"/>
    <mergeCell ref="E1103:E1107"/>
    <mergeCell ref="F1103:F1107"/>
    <mergeCell ref="G1103:G1107"/>
    <mergeCell ref="B1100:B1102"/>
    <mergeCell ref="C1100:C1102"/>
    <mergeCell ref="D1100:D1102"/>
    <mergeCell ref="F1100:F1102"/>
    <mergeCell ref="G1100:G1102"/>
    <mergeCell ref="H1100:H1102"/>
    <mergeCell ref="B1103:B1107"/>
    <mergeCell ref="T1108:T1110"/>
    <mergeCell ref="U1108:U1110"/>
    <mergeCell ref="V1108:V1110"/>
    <mergeCell ref="K1108:K1110"/>
    <mergeCell ref="L1108:L1110"/>
    <mergeCell ref="M1108:M1110"/>
    <mergeCell ref="N1108:N1110"/>
    <mergeCell ref="O1108:O1110"/>
    <mergeCell ref="P1108:P1110"/>
    <mergeCell ref="Q1108:Q1110"/>
    <mergeCell ref="E1108:E1110"/>
    <mergeCell ref="E1111:E1113"/>
    <mergeCell ref="B1115:B1117"/>
    <mergeCell ref="E1115:E1117"/>
    <mergeCell ref="B1108:B1110"/>
    <mergeCell ref="F1108:F1110"/>
    <mergeCell ref="G1108:G1110"/>
    <mergeCell ref="H1108:H1110"/>
    <mergeCell ref="I1108:I1110"/>
    <mergeCell ref="J1108:J1110"/>
    <mergeCell ref="B1111:B1113"/>
    <mergeCell ref="Q1111:Q1113"/>
    <mergeCell ref="T1111:T1113"/>
    <mergeCell ref="U1111:U1113"/>
    <mergeCell ref="V1111:V1113"/>
    <mergeCell ref="J1111:J1113"/>
    <mergeCell ref="K1111:K1113"/>
    <mergeCell ref="L1111:L1113"/>
    <mergeCell ref="M1111:M1113"/>
    <mergeCell ref="N1111:N1113"/>
    <mergeCell ref="O1111:O1113"/>
    <mergeCell ref="P1111:P1113"/>
    <mergeCell ref="B1114:V1114"/>
    <mergeCell ref="T1115:T1117"/>
    <mergeCell ref="U1115:U1117"/>
    <mergeCell ref="V1115:V1117"/>
    <mergeCell ref="K1115:K1117"/>
    <mergeCell ref="L1115:L1117"/>
    <mergeCell ref="M1115:M1117"/>
    <mergeCell ref="N1115:N1117"/>
    <mergeCell ref="O1115:O1117"/>
    <mergeCell ref="P1115:P1117"/>
    <mergeCell ref="Q1115:Q1117"/>
    <mergeCell ref="H1111:H1113"/>
    <mergeCell ref="I1111:I1113"/>
    <mergeCell ref="F1111:F1113"/>
    <mergeCell ref="G1111:G1113"/>
    <mergeCell ref="F1115:F1117"/>
    <mergeCell ref="G1115:G1117"/>
    <mergeCell ref="H1115:H1117"/>
    <mergeCell ref="I1115:I1117"/>
    <mergeCell ref="J1115:J1117"/>
    <mergeCell ref="B1040:B1041"/>
    <mergeCell ref="C1040:C1041"/>
    <mergeCell ref="D1040:D1041"/>
    <mergeCell ref="F1040:F1041"/>
    <mergeCell ref="G1040:G1041"/>
    <mergeCell ref="H1040:H1041"/>
    <mergeCell ref="B1042:B1045"/>
    <mergeCell ref="T1046:T1049"/>
    <mergeCell ref="U1046:U1049"/>
    <mergeCell ref="V1046:V1049"/>
    <mergeCell ref="P1055:P1057"/>
    <mergeCell ref="Q1055:Q1057"/>
    <mergeCell ref="T1058:T1060"/>
    <mergeCell ref="U1058:U1060"/>
    <mergeCell ref="V1058:V1060"/>
    <mergeCell ref="I1055:I1057"/>
    <mergeCell ref="J1055:J1057"/>
    <mergeCell ref="K1055:K1057"/>
    <mergeCell ref="L1055:L1057"/>
    <mergeCell ref="M1055:M1057"/>
    <mergeCell ref="N1055:N1057"/>
    <mergeCell ref="O1055:O1057"/>
    <mergeCell ref="P1076:P1077"/>
    <mergeCell ref="Q1076:Q1077"/>
    <mergeCell ref="H1076:H1077"/>
    <mergeCell ref="I1076:I1077"/>
    <mergeCell ref="K1076:K1077"/>
    <mergeCell ref="L1076:L1077"/>
    <mergeCell ref="M1076:M1077"/>
    <mergeCell ref="N1076:N1077"/>
    <mergeCell ref="O1076:O1077"/>
    <mergeCell ref="O1103:O1107"/>
    <mergeCell ref="P1103:P1107"/>
    <mergeCell ref="H1103:H1107"/>
    <mergeCell ref="I1103:I1107"/>
    <mergeCell ref="J1103:J1107"/>
    <mergeCell ref="K1103:K1107"/>
    <mergeCell ref="L1103:L1107"/>
    <mergeCell ref="M1103:M1107"/>
    <mergeCell ref="N1103:N1107"/>
    <mergeCell ref="P1098:P1099"/>
    <mergeCell ref="Q1098:Q1099"/>
    <mergeCell ref="Q1103:Q1107"/>
    <mergeCell ref="T1103:T1107"/>
    <mergeCell ref="U1103:U1107"/>
    <mergeCell ref="V1103:V1107"/>
    <mergeCell ref="H1098:H1099"/>
    <mergeCell ref="I1098:I1099"/>
    <mergeCell ref="K1098:K1099"/>
    <mergeCell ref="L1098:L1099"/>
    <mergeCell ref="M1098:M1099"/>
    <mergeCell ref="N1098:N1099"/>
    <mergeCell ref="O1098:O1099"/>
    <mergeCell ref="P1100:P1102"/>
    <mergeCell ref="Q1100:Q1102"/>
    <mergeCell ref="T1100:T1102"/>
    <mergeCell ref="U1100:U1102"/>
    <mergeCell ref="V1100:V1102"/>
    <mergeCell ref="I1100:I1102"/>
    <mergeCell ref="J1100:J1102"/>
    <mergeCell ref="K1100:K1102"/>
    <mergeCell ref="L1100:L1102"/>
    <mergeCell ref="M1100:M1102"/>
    <mergeCell ref="N1100:N1102"/>
    <mergeCell ref="P1040:P1041"/>
    <mergeCell ref="Q1040:Q1041"/>
    <mergeCell ref="R1040:R1041"/>
    <mergeCell ref="S1040:S1041"/>
    <mergeCell ref="T1040:T1041"/>
    <mergeCell ref="U1040:U1041"/>
    <mergeCell ref="V1040:V1041"/>
    <mergeCell ref="I1040:I1041"/>
    <mergeCell ref="J1040:J1041"/>
    <mergeCell ref="K1040:K1041"/>
    <mergeCell ref="L1040:L1041"/>
    <mergeCell ref="M1040:M1041"/>
    <mergeCell ref="N1040:N1041"/>
    <mergeCell ref="O1040:O1041"/>
    <mergeCell ref="E1040:E1041"/>
    <mergeCell ref="E1042:E1045"/>
    <mergeCell ref="F1042:F1045"/>
    <mergeCell ref="G1042:G1045"/>
    <mergeCell ref="H1042:H1045"/>
    <mergeCell ref="I1042:I1045"/>
    <mergeCell ref="J1042:J1045"/>
    <mergeCell ref="K1042:K1045"/>
    <mergeCell ref="L1042:L1045"/>
    <mergeCell ref="M1042:M1045"/>
    <mergeCell ref="N1042:N1045"/>
    <mergeCell ref="R1042:R1043"/>
    <mergeCell ref="R1044:R1045"/>
    <mergeCell ref="O1042:O1045"/>
    <mergeCell ref="P1042:P1045"/>
    <mergeCell ref="Q1042:Q1045"/>
    <mergeCell ref="S1042:S1043"/>
    <mergeCell ref="T1042:T1045"/>
    <mergeCell ref="U1042:U1045"/>
    <mergeCell ref="V1042:V1045"/>
    <mergeCell ref="S1044:S1045"/>
    <mergeCell ref="B1033:V1033"/>
    <mergeCell ref="N1034:N1036"/>
    <mergeCell ref="O1034:O1036"/>
    <mergeCell ref="P1034:P1036"/>
    <mergeCell ref="Q1034:Q1036"/>
    <mergeCell ref="T1034:T1036"/>
    <mergeCell ref="U1034:U1036"/>
    <mergeCell ref="V1034:V1036"/>
    <mergeCell ref="G1034:G1036"/>
    <mergeCell ref="H1034:H1036"/>
    <mergeCell ref="I1034:I1036"/>
    <mergeCell ref="J1034:J1036"/>
    <mergeCell ref="K1034:K1036"/>
    <mergeCell ref="L1034:L1036"/>
    <mergeCell ref="M1034:M1036"/>
    <mergeCell ref="B1025:B1027"/>
    <mergeCell ref="C1025:C1027"/>
    <mergeCell ref="D1025:D1027"/>
    <mergeCell ref="F1025:F1027"/>
    <mergeCell ref="G1025:G1027"/>
    <mergeCell ref="H1025:H1027"/>
    <mergeCell ref="H1028:H1029"/>
    <mergeCell ref="E1034:E1036"/>
    <mergeCell ref="E1037:E1039"/>
    <mergeCell ref="M1037:M1039"/>
    <mergeCell ref="N1037:N1039"/>
    <mergeCell ref="O1037:O1039"/>
    <mergeCell ref="P1037:P1039"/>
    <mergeCell ref="Q1037:Q1039"/>
    <mergeCell ref="T1037:T1039"/>
    <mergeCell ref="U1037:U1039"/>
    <mergeCell ref="V1037:V1039"/>
    <mergeCell ref="F1037:F1039"/>
    <mergeCell ref="G1037:G1039"/>
    <mergeCell ref="H1037:H1039"/>
    <mergeCell ref="I1037:I1039"/>
    <mergeCell ref="J1037:J1039"/>
    <mergeCell ref="K1037:K1039"/>
    <mergeCell ref="L1037:L1039"/>
    <mergeCell ref="B1028:B1029"/>
    <mergeCell ref="B1030:B1032"/>
    <mergeCell ref="B1034:B1036"/>
    <mergeCell ref="C1034:C1036"/>
    <mergeCell ref="D1034:D1036"/>
    <mergeCell ref="F1034:F1036"/>
    <mergeCell ref="B1037:B1039"/>
    <mergeCell ref="F1028:F1029"/>
    <mergeCell ref="G1028:G1029"/>
    <mergeCell ref="I1028:I1029"/>
    <mergeCell ref="J1028:J1029"/>
    <mergeCell ref="K1028:K1029"/>
    <mergeCell ref="L1028:L1029"/>
    <mergeCell ref="M1028:M1029"/>
    <mergeCell ref="U1028:U1029"/>
    <mergeCell ref="V1028:V1029"/>
    <mergeCell ref="N1028:N1029"/>
    <mergeCell ref="O1028:O1029"/>
    <mergeCell ref="P1028:P1029"/>
    <mergeCell ref="Q1028:Q1029"/>
    <mergeCell ref="R1028:R1029"/>
    <mergeCell ref="S1028:S1029"/>
    <mergeCell ref="T1028:T1029"/>
    <mergeCell ref="E1025:E1027"/>
    <mergeCell ref="E1028:E1029"/>
    <mergeCell ref="E1030:E1032"/>
    <mergeCell ref="F1030:F1032"/>
    <mergeCell ref="G1030:G1032"/>
    <mergeCell ref="H1030:H1032"/>
    <mergeCell ref="I1030:I1032"/>
    <mergeCell ref="Q1030:Q1032"/>
    <mergeCell ref="R1030:R1032"/>
    <mergeCell ref="S1030:S1032"/>
    <mergeCell ref="T1030:T1032"/>
    <mergeCell ref="U1030:U1032"/>
    <mergeCell ref="V1030:V1032"/>
    <mergeCell ref="J1030:J1032"/>
    <mergeCell ref="K1030:K1032"/>
    <mergeCell ref="L1030:L1032"/>
    <mergeCell ref="M1030:M1032"/>
    <mergeCell ref="N1030:N1032"/>
    <mergeCell ref="O1030:O1032"/>
    <mergeCell ref="P1030:P1032"/>
    <mergeCell ref="F1017:F1019"/>
    <mergeCell ref="G1017:G1019"/>
    <mergeCell ref="H1017:H1019"/>
    <mergeCell ref="I1017:I1019"/>
    <mergeCell ref="J1017:J1019"/>
    <mergeCell ref="B1020:B1022"/>
    <mergeCell ref="T1023:T1024"/>
    <mergeCell ref="U1023:U1024"/>
    <mergeCell ref="V1023:V1024"/>
    <mergeCell ref="K1023:K1024"/>
    <mergeCell ref="L1023:L1024"/>
    <mergeCell ref="M1023:M1024"/>
    <mergeCell ref="N1023:N1024"/>
    <mergeCell ref="O1023:O1024"/>
    <mergeCell ref="P1023:P1024"/>
    <mergeCell ref="Q1023:Q1024"/>
    <mergeCell ref="B1023:B1024"/>
    <mergeCell ref="E1023:E1024"/>
    <mergeCell ref="F1023:F1024"/>
    <mergeCell ref="G1023:G1024"/>
    <mergeCell ref="H1023:H1024"/>
    <mergeCell ref="I1023:I1024"/>
    <mergeCell ref="J1023:J1024"/>
    <mergeCell ref="P1025:P1027"/>
    <mergeCell ref="Q1025:Q1027"/>
    <mergeCell ref="T1025:T1027"/>
    <mergeCell ref="U1025:U1027"/>
    <mergeCell ref="V1025:V1027"/>
    <mergeCell ref="I1025:I1027"/>
    <mergeCell ref="J1025:J1027"/>
    <mergeCell ref="K1025:K1027"/>
    <mergeCell ref="L1025:L1027"/>
    <mergeCell ref="M1025:M1027"/>
    <mergeCell ref="N1025:N1027"/>
    <mergeCell ref="O1025:O1027"/>
    <mergeCell ref="T1068:T1070"/>
    <mergeCell ref="U1068:U1070"/>
    <mergeCell ref="V1068:V1070"/>
    <mergeCell ref="T1071:T1072"/>
    <mergeCell ref="U1071:U1072"/>
    <mergeCell ref="V1071:V1072"/>
    <mergeCell ref="K1068:K1070"/>
    <mergeCell ref="L1068:L1070"/>
    <mergeCell ref="M1068:M1070"/>
    <mergeCell ref="N1068:N1070"/>
    <mergeCell ref="O1068:O1070"/>
    <mergeCell ref="P1068:P1070"/>
    <mergeCell ref="Q1068:Q1070"/>
    <mergeCell ref="E1068:E1070"/>
    <mergeCell ref="E1071:E1072"/>
    <mergeCell ref="F1071:F1072"/>
    <mergeCell ref="G1071:G1072"/>
    <mergeCell ref="B1068:B1070"/>
    <mergeCell ref="F1068:F1070"/>
    <mergeCell ref="G1068:G1070"/>
    <mergeCell ref="H1068:H1070"/>
    <mergeCell ref="I1068:I1070"/>
    <mergeCell ref="J1068:J1070"/>
    <mergeCell ref="B1071:B1072"/>
    <mergeCell ref="J1071:J1072"/>
    <mergeCell ref="P1015:P1016"/>
    <mergeCell ref="Q1015:Q1016"/>
    <mergeCell ref="H1015:H1016"/>
    <mergeCell ref="I1015:I1016"/>
    <mergeCell ref="K1015:K1016"/>
    <mergeCell ref="L1015:L1016"/>
    <mergeCell ref="M1015:M1016"/>
    <mergeCell ref="N1015:N1016"/>
    <mergeCell ref="O1015:O1016"/>
    <mergeCell ref="R1017:R1019"/>
    <mergeCell ref="S1017:S1019"/>
    <mergeCell ref="T1017:T1019"/>
    <mergeCell ref="U1017:U1019"/>
    <mergeCell ref="V1017:V1019"/>
    <mergeCell ref="K1017:K1019"/>
    <mergeCell ref="L1017:L1019"/>
    <mergeCell ref="M1017:M1019"/>
    <mergeCell ref="N1017:N1019"/>
    <mergeCell ref="O1017:O1019"/>
    <mergeCell ref="P1017:P1019"/>
    <mergeCell ref="Q1017:Q1019"/>
    <mergeCell ref="E1017:E1019"/>
    <mergeCell ref="E1020:E1022"/>
    <mergeCell ref="F1020:F1022"/>
    <mergeCell ref="G1020:G1022"/>
    <mergeCell ref="Q1020:Q1022"/>
    <mergeCell ref="T1020:T1022"/>
    <mergeCell ref="U1020:U1022"/>
    <mergeCell ref="V1020:V1022"/>
    <mergeCell ref="J1020:J1022"/>
    <mergeCell ref="K1020:K1022"/>
    <mergeCell ref="L1020:L1022"/>
    <mergeCell ref="M1020:M1022"/>
    <mergeCell ref="N1020:N1022"/>
    <mergeCell ref="O1020:O1022"/>
    <mergeCell ref="P1020:P1022"/>
    <mergeCell ref="H1020:H1022"/>
    <mergeCell ref="I1020:I1022"/>
    <mergeCell ref="B1017:B1019"/>
    <mergeCell ref="U1061:U1062"/>
    <mergeCell ref="V1061:V1062"/>
    <mergeCell ref="N1061:N1062"/>
    <mergeCell ref="O1061:O1062"/>
    <mergeCell ref="P1061:P1062"/>
    <mergeCell ref="Q1061:Q1062"/>
    <mergeCell ref="R1061:R1062"/>
    <mergeCell ref="S1061:S1062"/>
    <mergeCell ref="T1061:T1062"/>
    <mergeCell ref="T1063:T1065"/>
    <mergeCell ref="U1063:U1065"/>
    <mergeCell ref="V1063:V1065"/>
    <mergeCell ref="R1066:R1067"/>
    <mergeCell ref="S1066:S1067"/>
    <mergeCell ref="T1066:T1067"/>
    <mergeCell ref="U1066:U1067"/>
    <mergeCell ref="V1066:V1067"/>
    <mergeCell ref="K1063:K1065"/>
    <mergeCell ref="L1063:L1065"/>
    <mergeCell ref="M1063:M1065"/>
    <mergeCell ref="N1063:N1065"/>
    <mergeCell ref="O1063:O1065"/>
    <mergeCell ref="P1063:P1065"/>
    <mergeCell ref="Q1063:Q1065"/>
    <mergeCell ref="E1063:E1065"/>
    <mergeCell ref="E1066:E1067"/>
    <mergeCell ref="F1066:F1067"/>
    <mergeCell ref="G1066:G1067"/>
    <mergeCell ref="B1063:B1065"/>
    <mergeCell ref="F1063:F1065"/>
    <mergeCell ref="G1063:G1065"/>
    <mergeCell ref="H1063:H1065"/>
    <mergeCell ref="I1063:I1065"/>
    <mergeCell ref="J1063:J1065"/>
    <mergeCell ref="B1066:B1067"/>
    <mergeCell ref="J1066:J1067"/>
    <mergeCell ref="P1066:P1067"/>
    <mergeCell ref="Q1066:Q1067"/>
    <mergeCell ref="H1066:H1067"/>
    <mergeCell ref="I1066:I1067"/>
    <mergeCell ref="K1066:K1067"/>
    <mergeCell ref="L1066:L1067"/>
    <mergeCell ref="M1066:M1067"/>
    <mergeCell ref="N1066:N1067"/>
    <mergeCell ref="O1066:O1067"/>
    <mergeCell ref="B1055:B1057"/>
    <mergeCell ref="C1055:C1057"/>
    <mergeCell ref="D1055:D1057"/>
    <mergeCell ref="E1055:E1057"/>
    <mergeCell ref="F1055:F1057"/>
    <mergeCell ref="G1055:G1057"/>
    <mergeCell ref="H1055:H1057"/>
    <mergeCell ref="B1046:B1049"/>
    <mergeCell ref="F1046:F1049"/>
    <mergeCell ref="G1046:G1049"/>
    <mergeCell ref="H1046:H1049"/>
    <mergeCell ref="I1046:I1049"/>
    <mergeCell ref="J1046:J1049"/>
    <mergeCell ref="B1050:B1051"/>
    <mergeCell ref="J1050:J1051"/>
    <mergeCell ref="F1050:F1051"/>
    <mergeCell ref="G1050:G1051"/>
    <mergeCell ref="B1052:B1054"/>
    <mergeCell ref="E1052:E1054"/>
    <mergeCell ref="F1052:F1054"/>
    <mergeCell ref="G1052:G1054"/>
    <mergeCell ref="H1052:H1054"/>
    <mergeCell ref="P1058:P1060"/>
    <mergeCell ref="Q1058:Q1060"/>
    <mergeCell ref="I1058:I1060"/>
    <mergeCell ref="J1058:J1060"/>
    <mergeCell ref="K1058:K1060"/>
    <mergeCell ref="L1058:L1060"/>
    <mergeCell ref="M1058:M1060"/>
    <mergeCell ref="N1058:N1060"/>
    <mergeCell ref="O1058:O1060"/>
    <mergeCell ref="E1058:E1060"/>
    <mergeCell ref="E1061:E1062"/>
    <mergeCell ref="B1058:B1060"/>
    <mergeCell ref="C1058:C1060"/>
    <mergeCell ref="D1058:D1060"/>
    <mergeCell ref="F1058:F1060"/>
    <mergeCell ref="G1058:G1060"/>
    <mergeCell ref="H1058:H1060"/>
    <mergeCell ref="B1061:B1062"/>
    <mergeCell ref="H1061:H1062"/>
    <mergeCell ref="F1061:F1062"/>
    <mergeCell ref="G1061:G1062"/>
    <mergeCell ref="I1061:I1062"/>
    <mergeCell ref="J1061:J1062"/>
    <mergeCell ref="K1061:K1062"/>
    <mergeCell ref="L1061:L1062"/>
    <mergeCell ref="M1061:M1062"/>
    <mergeCell ref="K1046:K1049"/>
    <mergeCell ref="L1046:L1049"/>
    <mergeCell ref="M1046:M1049"/>
    <mergeCell ref="N1046:N1049"/>
    <mergeCell ref="O1046:O1049"/>
    <mergeCell ref="P1046:P1049"/>
    <mergeCell ref="Q1046:Q1049"/>
    <mergeCell ref="E1046:E1049"/>
    <mergeCell ref="E1050:E1051"/>
    <mergeCell ref="P1050:P1051"/>
    <mergeCell ref="Q1050:Q1051"/>
    <mergeCell ref="T1050:T1051"/>
    <mergeCell ref="U1050:U1051"/>
    <mergeCell ref="V1050:V1051"/>
    <mergeCell ref="H1050:H1051"/>
    <mergeCell ref="I1050:I1051"/>
    <mergeCell ref="K1050:K1051"/>
    <mergeCell ref="L1050:L1051"/>
    <mergeCell ref="M1050:M1051"/>
    <mergeCell ref="N1050:N1051"/>
    <mergeCell ref="O1050:O1051"/>
    <mergeCell ref="P1052:P1054"/>
    <mergeCell ref="Q1052:Q1054"/>
    <mergeCell ref="T1052:T1054"/>
    <mergeCell ref="U1052:U1054"/>
    <mergeCell ref="V1052:V1054"/>
    <mergeCell ref="T1055:T1057"/>
    <mergeCell ref="U1055:U1057"/>
    <mergeCell ref="V1055:V1057"/>
    <mergeCell ref="I1052:I1054"/>
    <mergeCell ref="J1052:J1054"/>
    <mergeCell ref="K1052:K1054"/>
    <mergeCell ref="L1052:L1054"/>
    <mergeCell ref="M1052:M1054"/>
    <mergeCell ref="N1052:N1054"/>
    <mergeCell ref="O1052:O1054"/>
    <mergeCell ref="O1009:O1011"/>
    <mergeCell ref="P1009:P1011"/>
    <mergeCell ref="H1009:H1011"/>
    <mergeCell ref="I1009:I1011"/>
    <mergeCell ref="J1009:J1011"/>
    <mergeCell ref="K1009:K1011"/>
    <mergeCell ref="L1009:L1011"/>
    <mergeCell ref="M1009:M1011"/>
    <mergeCell ref="N1009:N1011"/>
    <mergeCell ref="T1012:T1014"/>
    <mergeCell ref="U1012:U1014"/>
    <mergeCell ref="V1012:V1014"/>
    <mergeCell ref="R1015:R1016"/>
    <mergeCell ref="S1015:S1016"/>
    <mergeCell ref="T1015:T1016"/>
    <mergeCell ref="U1015:U1016"/>
    <mergeCell ref="V1015:V1016"/>
    <mergeCell ref="K1012:K1014"/>
    <mergeCell ref="L1012:L1014"/>
    <mergeCell ref="M1012:M1014"/>
    <mergeCell ref="N1012:N1014"/>
    <mergeCell ref="O1012:O1014"/>
    <mergeCell ref="P1012:P1014"/>
    <mergeCell ref="Q1012:Q1014"/>
    <mergeCell ref="E1012:E1014"/>
    <mergeCell ref="E1015:E1016"/>
    <mergeCell ref="F1015:F1016"/>
    <mergeCell ref="G1015:G1016"/>
    <mergeCell ref="B1012:B1014"/>
    <mergeCell ref="F1012:F1014"/>
    <mergeCell ref="G1012:G1014"/>
    <mergeCell ref="H1012:H1014"/>
    <mergeCell ref="I1012:I1014"/>
    <mergeCell ref="J1012:J1014"/>
    <mergeCell ref="B1015:B1016"/>
    <mergeCell ref="J1015:J1016"/>
    <mergeCell ref="T969:T971"/>
    <mergeCell ref="U969:U971"/>
    <mergeCell ref="V969:V971"/>
    <mergeCell ref="H969:H971"/>
    <mergeCell ref="I969:I971"/>
    <mergeCell ref="J969:J971"/>
    <mergeCell ref="K969:K971"/>
    <mergeCell ref="L969:L971"/>
    <mergeCell ref="M969:M971"/>
    <mergeCell ref="N969:N971"/>
    <mergeCell ref="B967:B968"/>
    <mergeCell ref="C967:C968"/>
    <mergeCell ref="D967:D968"/>
    <mergeCell ref="F967:F968"/>
    <mergeCell ref="G967:G968"/>
    <mergeCell ref="H967:H968"/>
    <mergeCell ref="B969:B971"/>
    <mergeCell ref="T972:T974"/>
    <mergeCell ref="U972:U974"/>
    <mergeCell ref="V972:V974"/>
    <mergeCell ref="K972:K974"/>
    <mergeCell ref="L972:L974"/>
    <mergeCell ref="M972:M974"/>
    <mergeCell ref="N972:N974"/>
    <mergeCell ref="O972:O974"/>
    <mergeCell ref="P972:P974"/>
    <mergeCell ref="Q972:Q974"/>
    <mergeCell ref="P980:P982"/>
    <mergeCell ref="Q980:Q982"/>
    <mergeCell ref="I980:I982"/>
    <mergeCell ref="J980:J982"/>
    <mergeCell ref="K980:K982"/>
    <mergeCell ref="L980:L982"/>
    <mergeCell ref="M980:M982"/>
    <mergeCell ref="N980:N982"/>
    <mergeCell ref="O980:O982"/>
    <mergeCell ref="T961:T963"/>
    <mergeCell ref="U961:U963"/>
    <mergeCell ref="V961:V963"/>
    <mergeCell ref="E955:E957"/>
    <mergeCell ref="E958:E960"/>
    <mergeCell ref="B953:B954"/>
    <mergeCell ref="B955:B957"/>
    <mergeCell ref="C955:C957"/>
    <mergeCell ref="D955:D957"/>
    <mergeCell ref="F955:F957"/>
    <mergeCell ref="G955:G957"/>
    <mergeCell ref="B958:B960"/>
    <mergeCell ref="P964:P966"/>
    <mergeCell ref="Q964:Q966"/>
    <mergeCell ref="T964:T966"/>
    <mergeCell ref="U964:U966"/>
    <mergeCell ref="V964:V966"/>
    <mergeCell ref="I964:I966"/>
    <mergeCell ref="J964:J966"/>
    <mergeCell ref="K964:K966"/>
    <mergeCell ref="L964:L966"/>
    <mergeCell ref="M964:M966"/>
    <mergeCell ref="N964:N966"/>
    <mergeCell ref="O964:O966"/>
    <mergeCell ref="B964:B966"/>
    <mergeCell ref="C964:C966"/>
    <mergeCell ref="D964:D966"/>
    <mergeCell ref="E964:E966"/>
    <mergeCell ref="F964:F966"/>
    <mergeCell ref="G964:G966"/>
    <mergeCell ref="H964:H966"/>
    <mergeCell ref="P967:P968"/>
    <mergeCell ref="Q967:Q968"/>
    <mergeCell ref="T967:T968"/>
    <mergeCell ref="U967:U968"/>
    <mergeCell ref="V967:V968"/>
    <mergeCell ref="I967:I968"/>
    <mergeCell ref="J967:J968"/>
    <mergeCell ref="K967:K968"/>
    <mergeCell ref="L967:L968"/>
    <mergeCell ref="M967:M968"/>
    <mergeCell ref="N967:N968"/>
    <mergeCell ref="O967:O968"/>
    <mergeCell ref="E967:E968"/>
    <mergeCell ref="B941:B944"/>
    <mergeCell ref="E938:E940"/>
    <mergeCell ref="E941:E944"/>
    <mergeCell ref="B950:B952"/>
    <mergeCell ref="F950:F952"/>
    <mergeCell ref="G950:G952"/>
    <mergeCell ref="H950:H952"/>
    <mergeCell ref="H953:H954"/>
    <mergeCell ref="O955:O957"/>
    <mergeCell ref="P955:P957"/>
    <mergeCell ref="Q955:Q957"/>
    <mergeCell ref="T955:T957"/>
    <mergeCell ref="U955:U957"/>
    <mergeCell ref="V955:V957"/>
    <mergeCell ref="H955:H957"/>
    <mergeCell ref="I955:I957"/>
    <mergeCell ref="J955:J957"/>
    <mergeCell ref="K955:K957"/>
    <mergeCell ref="L955:L957"/>
    <mergeCell ref="M955:M957"/>
    <mergeCell ref="N955:N957"/>
    <mergeCell ref="M958:M960"/>
    <mergeCell ref="N958:N960"/>
    <mergeCell ref="O958:O960"/>
    <mergeCell ref="P958:P960"/>
    <mergeCell ref="Q958:Q960"/>
    <mergeCell ref="T958:T960"/>
    <mergeCell ref="U958:U960"/>
    <mergeCell ref="V958:V960"/>
    <mergeCell ref="F958:F960"/>
    <mergeCell ref="G958:G960"/>
    <mergeCell ref="H958:H960"/>
    <mergeCell ref="I958:I960"/>
    <mergeCell ref="J958:J960"/>
    <mergeCell ref="K958:K960"/>
    <mergeCell ref="L958:L960"/>
    <mergeCell ref="I1006:I1008"/>
    <mergeCell ref="J1006:J1008"/>
    <mergeCell ref="K1006:K1008"/>
    <mergeCell ref="L1006:L1008"/>
    <mergeCell ref="M1006:M1008"/>
    <mergeCell ref="N1006:N1008"/>
    <mergeCell ref="O1006:O1008"/>
    <mergeCell ref="E1006:E1008"/>
    <mergeCell ref="E1009:E1011"/>
    <mergeCell ref="F1009:F1011"/>
    <mergeCell ref="G1009:G1011"/>
    <mergeCell ref="B1006:B1008"/>
    <mergeCell ref="C1006:C1008"/>
    <mergeCell ref="D1006:D1008"/>
    <mergeCell ref="F1006:F1008"/>
    <mergeCell ref="G1006:G1008"/>
    <mergeCell ref="H1006:H1008"/>
    <mergeCell ref="B1009:B1011"/>
    <mergeCell ref="U1009:U1011"/>
    <mergeCell ref="V1009:V1011"/>
    <mergeCell ref="P1006:P1008"/>
    <mergeCell ref="Q1006:Q1008"/>
    <mergeCell ref="T1006:T1008"/>
    <mergeCell ref="U1006:U1008"/>
    <mergeCell ref="V1006:V1008"/>
    <mergeCell ref="Q1009:Q1011"/>
    <mergeCell ref="T1009:T1011"/>
    <mergeCell ref="F941:F944"/>
    <mergeCell ref="G941:G944"/>
    <mergeCell ref="H941:H944"/>
    <mergeCell ref="I941:I944"/>
    <mergeCell ref="J941:J944"/>
    <mergeCell ref="K941:K944"/>
    <mergeCell ref="L941:L944"/>
    <mergeCell ref="M941:M944"/>
    <mergeCell ref="N941:N944"/>
    <mergeCell ref="R941:R942"/>
    <mergeCell ref="R943:R944"/>
    <mergeCell ref="T950:T952"/>
    <mergeCell ref="U950:U952"/>
    <mergeCell ref="V950:V952"/>
    <mergeCell ref="O941:O944"/>
    <mergeCell ref="P941:P944"/>
    <mergeCell ref="Q941:Q944"/>
    <mergeCell ref="S941:S942"/>
    <mergeCell ref="T941:T944"/>
    <mergeCell ref="U941:U944"/>
    <mergeCell ref="V941:V944"/>
    <mergeCell ref="S943:S944"/>
    <mergeCell ref="T945:T947"/>
    <mergeCell ref="U945:U947"/>
    <mergeCell ref="V945:V947"/>
    <mergeCell ref="B948:V948"/>
    <mergeCell ref="B949:V949"/>
    <mergeCell ref="E950:E952"/>
    <mergeCell ref="E953:E954"/>
    <mergeCell ref="N953:N954"/>
    <mergeCell ref="O953:O954"/>
    <mergeCell ref="P953:P954"/>
    <mergeCell ref="Q953:Q954"/>
    <mergeCell ref="T953:T954"/>
    <mergeCell ref="U953:U954"/>
    <mergeCell ref="V953:V954"/>
    <mergeCell ref="F953:F954"/>
    <mergeCell ref="T999:T1001"/>
    <mergeCell ref="U999:U1001"/>
    <mergeCell ref="V999:V1001"/>
    <mergeCell ref="K999:K1001"/>
    <mergeCell ref="L999:L1001"/>
    <mergeCell ref="M999:M1001"/>
    <mergeCell ref="N999:N1001"/>
    <mergeCell ref="O999:O1001"/>
    <mergeCell ref="P999:P1001"/>
    <mergeCell ref="Q999:Q1001"/>
    <mergeCell ref="B999:B1001"/>
    <mergeCell ref="E999:E1001"/>
    <mergeCell ref="F999:F1001"/>
    <mergeCell ref="G999:G1001"/>
    <mergeCell ref="H999:H1001"/>
    <mergeCell ref="I999:I1001"/>
    <mergeCell ref="J999:J1001"/>
    <mergeCell ref="P1002:P1003"/>
    <mergeCell ref="Q1002:Q1003"/>
    <mergeCell ref="T1002:T1003"/>
    <mergeCell ref="U1002:U1003"/>
    <mergeCell ref="V1002:V1003"/>
    <mergeCell ref="I1002:I1003"/>
    <mergeCell ref="J1002:J1003"/>
    <mergeCell ref="K1002:K1003"/>
    <mergeCell ref="L1002:L1003"/>
    <mergeCell ref="M1002:M1003"/>
    <mergeCell ref="N1002:N1003"/>
    <mergeCell ref="O1002:O1003"/>
    <mergeCell ref="E1002:E1003"/>
    <mergeCell ref="E1004:E1005"/>
    <mergeCell ref="O1004:O1005"/>
    <mergeCell ref="P1004:P1005"/>
    <mergeCell ref="Q1004:Q1005"/>
    <mergeCell ref="T1004:T1005"/>
    <mergeCell ref="U1004:U1005"/>
    <mergeCell ref="V1004:V1005"/>
    <mergeCell ref="H1004:H1005"/>
    <mergeCell ref="I1004:I1005"/>
    <mergeCell ref="J1004:J1005"/>
    <mergeCell ref="K1004:K1005"/>
    <mergeCell ref="L1004:L1005"/>
    <mergeCell ref="M1004:M1005"/>
    <mergeCell ref="N1004:N1005"/>
    <mergeCell ref="F1004:F1005"/>
    <mergeCell ref="G1004:G1005"/>
    <mergeCell ref="B1002:B1003"/>
    <mergeCell ref="C1002:C1003"/>
    <mergeCell ref="D1002:D1003"/>
    <mergeCell ref="F1002:F1003"/>
    <mergeCell ref="G1002:G1003"/>
    <mergeCell ref="H1002:H1003"/>
    <mergeCell ref="B1004:B1005"/>
    <mergeCell ref="P991:P992"/>
    <mergeCell ref="Q991:Q992"/>
    <mergeCell ref="T991:T992"/>
    <mergeCell ref="U991:U992"/>
    <mergeCell ref="V991:V992"/>
    <mergeCell ref="I991:I992"/>
    <mergeCell ref="J991:J992"/>
    <mergeCell ref="K991:K992"/>
    <mergeCell ref="L991:L992"/>
    <mergeCell ref="M991:M992"/>
    <mergeCell ref="N991:N992"/>
    <mergeCell ref="O991:O992"/>
    <mergeCell ref="B991:B992"/>
    <mergeCell ref="C991:C992"/>
    <mergeCell ref="D991:D992"/>
    <mergeCell ref="E991:E992"/>
    <mergeCell ref="F991:F992"/>
    <mergeCell ref="G991:G992"/>
    <mergeCell ref="H991:H992"/>
    <mergeCell ref="P993:P995"/>
    <mergeCell ref="Q993:Q995"/>
    <mergeCell ref="T993:T995"/>
    <mergeCell ref="U993:U995"/>
    <mergeCell ref="V993:V995"/>
    <mergeCell ref="I993:I995"/>
    <mergeCell ref="J993:J995"/>
    <mergeCell ref="K993:K995"/>
    <mergeCell ref="L993:L995"/>
    <mergeCell ref="M993:M995"/>
    <mergeCell ref="N993:N995"/>
    <mergeCell ref="O993:O995"/>
    <mergeCell ref="E993:E995"/>
    <mergeCell ref="E996:E998"/>
    <mergeCell ref="F996:F998"/>
    <mergeCell ref="G996:G998"/>
    <mergeCell ref="O996:O998"/>
    <mergeCell ref="P996:P998"/>
    <mergeCell ref="Q996:Q998"/>
    <mergeCell ref="T996:T998"/>
    <mergeCell ref="U996:U998"/>
    <mergeCell ref="V996:V998"/>
    <mergeCell ref="H996:H998"/>
    <mergeCell ref="I996:I998"/>
    <mergeCell ref="J996:J998"/>
    <mergeCell ref="K996:K998"/>
    <mergeCell ref="L996:L998"/>
    <mergeCell ref="M996:M998"/>
    <mergeCell ref="N996:N998"/>
    <mergeCell ref="B993:B995"/>
    <mergeCell ref="C993:C995"/>
    <mergeCell ref="D993:D995"/>
    <mergeCell ref="F993:F995"/>
    <mergeCell ref="G993:G995"/>
    <mergeCell ref="H993:H995"/>
    <mergeCell ref="B996:B998"/>
    <mergeCell ref="O984:O985"/>
    <mergeCell ref="P984:P985"/>
    <mergeCell ref="Q984:Q985"/>
    <mergeCell ref="T984:T985"/>
    <mergeCell ref="U984:U985"/>
    <mergeCell ref="V984:V985"/>
    <mergeCell ref="V986:V987"/>
    <mergeCell ref="H984:H985"/>
    <mergeCell ref="I984:I985"/>
    <mergeCell ref="J984:J985"/>
    <mergeCell ref="K984:K985"/>
    <mergeCell ref="L984:L985"/>
    <mergeCell ref="M984:M985"/>
    <mergeCell ref="N984:N985"/>
    <mergeCell ref="E984:E985"/>
    <mergeCell ref="E986:E987"/>
    <mergeCell ref="B980:B982"/>
    <mergeCell ref="B984:B985"/>
    <mergeCell ref="C984:C985"/>
    <mergeCell ref="D984:D985"/>
    <mergeCell ref="F984:F985"/>
    <mergeCell ref="G984:G985"/>
    <mergeCell ref="B986:B987"/>
    <mergeCell ref="F986:F987"/>
    <mergeCell ref="G986:G987"/>
    <mergeCell ref="H986:H987"/>
    <mergeCell ref="I986:I987"/>
    <mergeCell ref="J986:J987"/>
    <mergeCell ref="K986:K987"/>
    <mergeCell ref="L986:L987"/>
    <mergeCell ref="T986:T987"/>
    <mergeCell ref="U986:U987"/>
    <mergeCell ref="T988:T990"/>
    <mergeCell ref="U988:U990"/>
    <mergeCell ref="V988:V990"/>
    <mergeCell ref="M986:M987"/>
    <mergeCell ref="N986:N987"/>
    <mergeCell ref="O986:O987"/>
    <mergeCell ref="P986:P987"/>
    <mergeCell ref="Q986:Q987"/>
    <mergeCell ref="R986:R987"/>
    <mergeCell ref="S986:S987"/>
    <mergeCell ref="K988:K990"/>
    <mergeCell ref="L988:L990"/>
    <mergeCell ref="M988:M990"/>
    <mergeCell ref="N988:N990"/>
    <mergeCell ref="O988:O990"/>
    <mergeCell ref="P988:P990"/>
    <mergeCell ref="Q988:Q990"/>
    <mergeCell ref="B988:B990"/>
    <mergeCell ref="E988:E990"/>
    <mergeCell ref="F988:F990"/>
    <mergeCell ref="G988:G990"/>
    <mergeCell ref="H988:H990"/>
    <mergeCell ref="I988:I990"/>
    <mergeCell ref="J988:J990"/>
    <mergeCell ref="T975:T976"/>
    <mergeCell ref="U975:U976"/>
    <mergeCell ref="V975:V976"/>
    <mergeCell ref="H975:H976"/>
    <mergeCell ref="I975:I976"/>
    <mergeCell ref="K975:K976"/>
    <mergeCell ref="L975:L976"/>
    <mergeCell ref="M975:M976"/>
    <mergeCell ref="N975:N976"/>
    <mergeCell ref="O975:O976"/>
    <mergeCell ref="E977:E979"/>
    <mergeCell ref="E980:E982"/>
    <mergeCell ref="I977:I979"/>
    <mergeCell ref="J977:J979"/>
    <mergeCell ref="K977:K979"/>
    <mergeCell ref="L977:L979"/>
    <mergeCell ref="M977:M979"/>
    <mergeCell ref="N977:N979"/>
    <mergeCell ref="O977:O979"/>
    <mergeCell ref="V980:V982"/>
    <mergeCell ref="B983:V983"/>
    <mergeCell ref="P977:P979"/>
    <mergeCell ref="Q977:Q979"/>
    <mergeCell ref="T977:T979"/>
    <mergeCell ref="U977:U979"/>
    <mergeCell ref="V977:V979"/>
    <mergeCell ref="T980:T982"/>
    <mergeCell ref="U980:U982"/>
    <mergeCell ref="F980:F982"/>
    <mergeCell ref="G980:G982"/>
    <mergeCell ref="F975:F976"/>
    <mergeCell ref="G975:G976"/>
    <mergeCell ref="B977:B979"/>
    <mergeCell ref="F977:F979"/>
    <mergeCell ref="G977:G979"/>
    <mergeCell ref="H977:H979"/>
    <mergeCell ref="H980:H982"/>
    <mergeCell ref="B945:B947"/>
    <mergeCell ref="E945:E947"/>
    <mergeCell ref="F945:F947"/>
    <mergeCell ref="G945:G947"/>
    <mergeCell ref="H945:H947"/>
    <mergeCell ref="I945:I947"/>
    <mergeCell ref="J945:J947"/>
    <mergeCell ref="K945:K947"/>
    <mergeCell ref="L945:L947"/>
    <mergeCell ref="M945:M947"/>
    <mergeCell ref="N945:N947"/>
    <mergeCell ref="O945:O947"/>
    <mergeCell ref="P945:P947"/>
    <mergeCell ref="Q945:Q947"/>
    <mergeCell ref="P950:P952"/>
    <mergeCell ref="Q950:Q952"/>
    <mergeCell ref="I950:I952"/>
    <mergeCell ref="J950:J952"/>
    <mergeCell ref="K950:K952"/>
    <mergeCell ref="L950:L952"/>
    <mergeCell ref="M950:M952"/>
    <mergeCell ref="N950:N952"/>
    <mergeCell ref="O950:O952"/>
    <mergeCell ref="E972:E974"/>
    <mergeCell ref="E975:E976"/>
    <mergeCell ref="B972:B974"/>
    <mergeCell ref="F972:F974"/>
    <mergeCell ref="G972:G974"/>
    <mergeCell ref="H972:H974"/>
    <mergeCell ref="I972:I974"/>
    <mergeCell ref="J972:J974"/>
    <mergeCell ref="B975:B976"/>
    <mergeCell ref="J975:J976"/>
    <mergeCell ref="P975:P976"/>
    <mergeCell ref="Q975:Q976"/>
    <mergeCell ref="G953:G954"/>
    <mergeCell ref="I953:I954"/>
    <mergeCell ref="J953:J954"/>
    <mergeCell ref="K953:K954"/>
    <mergeCell ref="L953:L954"/>
    <mergeCell ref="M953:M954"/>
    <mergeCell ref="B961:B963"/>
    <mergeCell ref="E961:E963"/>
    <mergeCell ref="F961:F963"/>
    <mergeCell ref="G961:G963"/>
    <mergeCell ref="H961:H963"/>
    <mergeCell ref="I961:I963"/>
    <mergeCell ref="J961:J963"/>
    <mergeCell ref="K961:K963"/>
    <mergeCell ref="L961:L963"/>
    <mergeCell ref="M961:M963"/>
    <mergeCell ref="N961:N963"/>
    <mergeCell ref="O961:O963"/>
    <mergeCell ref="P961:P963"/>
    <mergeCell ref="Q961:Q963"/>
    <mergeCell ref="E969:E971"/>
    <mergeCell ref="F969:F971"/>
    <mergeCell ref="G969:G971"/>
    <mergeCell ref="O969:O971"/>
    <mergeCell ref="P969:P971"/>
    <mergeCell ref="Q969:Q971"/>
    <mergeCell ref="B933:B934"/>
    <mergeCell ref="Q933:Q934"/>
    <mergeCell ref="T933:T934"/>
    <mergeCell ref="U933:U934"/>
    <mergeCell ref="V933:V934"/>
    <mergeCell ref="J933:J934"/>
    <mergeCell ref="K933:K934"/>
    <mergeCell ref="L933:L934"/>
    <mergeCell ref="M933:M934"/>
    <mergeCell ref="N933:N934"/>
    <mergeCell ref="O933:O934"/>
    <mergeCell ref="P933:P934"/>
    <mergeCell ref="E928:E930"/>
    <mergeCell ref="E931:E932"/>
    <mergeCell ref="E933:E934"/>
    <mergeCell ref="F933:F934"/>
    <mergeCell ref="G933:G934"/>
    <mergeCell ref="H933:H934"/>
    <mergeCell ref="I933:I934"/>
    <mergeCell ref="B928:B930"/>
    <mergeCell ref="C928:C930"/>
    <mergeCell ref="D928:D930"/>
    <mergeCell ref="F928:F930"/>
    <mergeCell ref="G928:G930"/>
    <mergeCell ref="H928:H930"/>
    <mergeCell ref="H931:H932"/>
    <mergeCell ref="T935:T937"/>
    <mergeCell ref="U935:U937"/>
    <mergeCell ref="V935:V937"/>
    <mergeCell ref="U938:U940"/>
    <mergeCell ref="V938:V940"/>
    <mergeCell ref="K935:K937"/>
    <mergeCell ref="L935:L937"/>
    <mergeCell ref="M935:M937"/>
    <mergeCell ref="N935:N937"/>
    <mergeCell ref="O935:O937"/>
    <mergeCell ref="P935:P937"/>
    <mergeCell ref="Q935:Q937"/>
    <mergeCell ref="B935:B937"/>
    <mergeCell ref="E935:E937"/>
    <mergeCell ref="F935:F937"/>
    <mergeCell ref="G935:G937"/>
    <mergeCell ref="H935:H937"/>
    <mergeCell ref="I935:I937"/>
    <mergeCell ref="J935:J937"/>
    <mergeCell ref="P938:P940"/>
    <mergeCell ref="Q938:Q940"/>
    <mergeCell ref="I938:I940"/>
    <mergeCell ref="J938:J940"/>
    <mergeCell ref="K938:K940"/>
    <mergeCell ref="L938:L940"/>
    <mergeCell ref="M938:M940"/>
    <mergeCell ref="N938:N940"/>
    <mergeCell ref="O938:O940"/>
    <mergeCell ref="B938:B940"/>
    <mergeCell ref="C938:C940"/>
    <mergeCell ref="D938:D940"/>
    <mergeCell ref="F938:F940"/>
    <mergeCell ref="G938:G940"/>
    <mergeCell ref="H938:H940"/>
    <mergeCell ref="B922:B924"/>
    <mergeCell ref="B925:B927"/>
    <mergeCell ref="C925:C927"/>
    <mergeCell ref="D925:D927"/>
    <mergeCell ref="N925:N927"/>
    <mergeCell ref="O925:O927"/>
    <mergeCell ref="P925:P927"/>
    <mergeCell ref="Q925:Q927"/>
    <mergeCell ref="T925:T927"/>
    <mergeCell ref="U925:U927"/>
    <mergeCell ref="V925:V927"/>
    <mergeCell ref="E922:E924"/>
    <mergeCell ref="F922:F924"/>
    <mergeCell ref="G922:G924"/>
    <mergeCell ref="H922:H924"/>
    <mergeCell ref="I922:I924"/>
    <mergeCell ref="J922:J924"/>
    <mergeCell ref="K922:K924"/>
    <mergeCell ref="U931:U932"/>
    <mergeCell ref="V931:V932"/>
    <mergeCell ref="N931:N932"/>
    <mergeCell ref="O931:O932"/>
    <mergeCell ref="P931:P932"/>
    <mergeCell ref="Q931:Q932"/>
    <mergeCell ref="R931:R932"/>
    <mergeCell ref="S931:S932"/>
    <mergeCell ref="T931:T932"/>
    <mergeCell ref="L925:L927"/>
    <mergeCell ref="M925:M927"/>
    <mergeCell ref="E925:E927"/>
    <mergeCell ref="F925:F927"/>
    <mergeCell ref="G925:G927"/>
    <mergeCell ref="H925:H927"/>
    <mergeCell ref="I925:I927"/>
    <mergeCell ref="J925:J927"/>
    <mergeCell ref="K925:K927"/>
    <mergeCell ref="P928:P930"/>
    <mergeCell ref="Q928:Q930"/>
    <mergeCell ref="T928:T930"/>
    <mergeCell ref="U928:U930"/>
    <mergeCell ref="V928:V930"/>
    <mergeCell ref="I928:I930"/>
    <mergeCell ref="J928:J930"/>
    <mergeCell ref="K928:K930"/>
    <mergeCell ref="L928:L930"/>
    <mergeCell ref="M928:M930"/>
    <mergeCell ref="N928:N930"/>
    <mergeCell ref="O928:O930"/>
    <mergeCell ref="F931:F932"/>
    <mergeCell ref="G931:G932"/>
    <mergeCell ref="I931:I932"/>
    <mergeCell ref="J931:J932"/>
    <mergeCell ref="K931:K932"/>
    <mergeCell ref="L931:L932"/>
    <mergeCell ref="M931:M932"/>
    <mergeCell ref="B931:B932"/>
    <mergeCell ref="L919:L921"/>
    <mergeCell ref="M919:M921"/>
    <mergeCell ref="N919:N921"/>
    <mergeCell ref="O919:O921"/>
    <mergeCell ref="P919:P921"/>
    <mergeCell ref="Q919:Q921"/>
    <mergeCell ref="T919:T921"/>
    <mergeCell ref="E919:E921"/>
    <mergeCell ref="F919:F921"/>
    <mergeCell ref="G919:G921"/>
    <mergeCell ref="H919:H921"/>
    <mergeCell ref="I919:I921"/>
    <mergeCell ref="J919:J921"/>
    <mergeCell ref="K919:K921"/>
    <mergeCell ref="B912:B913"/>
    <mergeCell ref="C912:C913"/>
    <mergeCell ref="D912:D913"/>
    <mergeCell ref="F912:F913"/>
    <mergeCell ref="G912:G913"/>
    <mergeCell ref="H912:H913"/>
    <mergeCell ref="H914:H915"/>
    <mergeCell ref="Q916:Q917"/>
    <mergeCell ref="T916:T917"/>
    <mergeCell ref="U916:U917"/>
    <mergeCell ref="V916:V917"/>
    <mergeCell ref="J916:J917"/>
    <mergeCell ref="K916:K917"/>
    <mergeCell ref="L916:L917"/>
    <mergeCell ref="M916:M917"/>
    <mergeCell ref="N916:N917"/>
    <mergeCell ref="O916:O917"/>
    <mergeCell ref="P916:P917"/>
    <mergeCell ref="F914:F915"/>
    <mergeCell ref="G914:G915"/>
    <mergeCell ref="E916:E917"/>
    <mergeCell ref="F916:F917"/>
    <mergeCell ref="G916:G917"/>
    <mergeCell ref="H916:H917"/>
    <mergeCell ref="I916:I917"/>
    <mergeCell ref="U919:U921"/>
    <mergeCell ref="V919:V921"/>
    <mergeCell ref="B914:B915"/>
    <mergeCell ref="B916:B917"/>
    <mergeCell ref="B919:B921"/>
    <mergeCell ref="B795:B798"/>
    <mergeCell ref="B799:B801"/>
    <mergeCell ref="B802:B804"/>
    <mergeCell ref="B790:B794"/>
    <mergeCell ref="F790:F794"/>
    <mergeCell ref="G790:G794"/>
    <mergeCell ref="H790:H794"/>
    <mergeCell ref="I790:I794"/>
    <mergeCell ref="J790:J794"/>
    <mergeCell ref="J795:J798"/>
    <mergeCell ref="F795:F798"/>
    <mergeCell ref="G795:G798"/>
    <mergeCell ref="F799:F801"/>
    <mergeCell ref="G799:G801"/>
    <mergeCell ref="H799:H801"/>
    <mergeCell ref="I799:I801"/>
    <mergeCell ref="J799:J801"/>
    <mergeCell ref="P802:P804"/>
    <mergeCell ref="Q802:Q804"/>
    <mergeCell ref="U810:U814"/>
    <mergeCell ref="V810:V814"/>
    <mergeCell ref="R812:R813"/>
    <mergeCell ref="S812:S813"/>
    <mergeCell ref="N810:N814"/>
    <mergeCell ref="O810:O814"/>
    <mergeCell ref="P810:P814"/>
    <mergeCell ref="Q810:Q814"/>
    <mergeCell ref="R810:R811"/>
    <mergeCell ref="S810:S811"/>
    <mergeCell ref="T810:T814"/>
    <mergeCell ref="C878:C879"/>
    <mergeCell ref="D878:D879"/>
    <mergeCell ref="B870:B872"/>
    <mergeCell ref="B873:B875"/>
    <mergeCell ref="C873:C875"/>
    <mergeCell ref="D873:D875"/>
    <mergeCell ref="B876:B879"/>
    <mergeCell ref="C876:C877"/>
    <mergeCell ref="D876:D877"/>
    <mergeCell ref="T799:T801"/>
    <mergeCell ref="U799:U801"/>
    <mergeCell ref="K799:K801"/>
    <mergeCell ref="L799:L801"/>
    <mergeCell ref="M799:M801"/>
    <mergeCell ref="N799:N801"/>
    <mergeCell ref="O799:O801"/>
    <mergeCell ref="P799:P801"/>
    <mergeCell ref="Q799:Q801"/>
    <mergeCell ref="T802:T804"/>
    <mergeCell ref="U802:U804"/>
    <mergeCell ref="P795:P798"/>
    <mergeCell ref="Q795:Q798"/>
    <mergeCell ref="T795:T798"/>
    <mergeCell ref="U795:U798"/>
    <mergeCell ref="V795:V798"/>
    <mergeCell ref="V799:V801"/>
    <mergeCell ref="O802:O804"/>
    <mergeCell ref="V802:V804"/>
    <mergeCell ref="K790:K794"/>
    <mergeCell ref="L790:L794"/>
    <mergeCell ref="M790:M794"/>
    <mergeCell ref="N790:N794"/>
    <mergeCell ref="O790:O794"/>
    <mergeCell ref="P790:P794"/>
    <mergeCell ref="Q790:Q794"/>
    <mergeCell ref="E790:E794"/>
    <mergeCell ref="E795:E798"/>
    <mergeCell ref="E799:E801"/>
    <mergeCell ref="E802:E804"/>
    <mergeCell ref="H795:H798"/>
    <mergeCell ref="I795:I798"/>
    <mergeCell ref="K795:K798"/>
    <mergeCell ref="L795:L798"/>
    <mergeCell ref="M795:M798"/>
    <mergeCell ref="N795:N798"/>
    <mergeCell ref="O795:O798"/>
    <mergeCell ref="F873:F875"/>
    <mergeCell ref="G873:G875"/>
    <mergeCell ref="H873:H875"/>
    <mergeCell ref="I873:I875"/>
    <mergeCell ref="Q873:Q875"/>
    <mergeCell ref="T873:T875"/>
    <mergeCell ref="U873:U875"/>
    <mergeCell ref="V873:V875"/>
    <mergeCell ref="N876:N879"/>
    <mergeCell ref="O876:O879"/>
    <mergeCell ref="P876:P879"/>
    <mergeCell ref="Q876:Q879"/>
    <mergeCell ref="T876:T879"/>
    <mergeCell ref="U876:U879"/>
    <mergeCell ref="V876:V879"/>
    <mergeCell ref="J873:J875"/>
    <mergeCell ref="K873:K875"/>
    <mergeCell ref="L873:L875"/>
    <mergeCell ref="M873:M875"/>
    <mergeCell ref="N873:N875"/>
    <mergeCell ref="O873:O875"/>
    <mergeCell ref="P873:P875"/>
    <mergeCell ref="F785:F789"/>
    <mergeCell ref="G785:G789"/>
    <mergeCell ref="I779:I780"/>
    <mergeCell ref="B782:B784"/>
    <mergeCell ref="F782:F784"/>
    <mergeCell ref="G782:G784"/>
    <mergeCell ref="H782:H784"/>
    <mergeCell ref="I782:I784"/>
    <mergeCell ref="B785:B789"/>
    <mergeCell ref="J779:J780"/>
    <mergeCell ref="K779:K780"/>
    <mergeCell ref="L779:L780"/>
    <mergeCell ref="M779:M780"/>
    <mergeCell ref="N779:N780"/>
    <mergeCell ref="O779:O780"/>
    <mergeCell ref="B781:V781"/>
    <mergeCell ref="Q782:Q784"/>
    <mergeCell ref="T782:T784"/>
    <mergeCell ref="U782:U784"/>
    <mergeCell ref="V782:V784"/>
    <mergeCell ref="J782:J784"/>
    <mergeCell ref="K782:K784"/>
    <mergeCell ref="L782:L784"/>
    <mergeCell ref="M782:M784"/>
    <mergeCell ref="N782:N784"/>
    <mergeCell ref="O782:O784"/>
    <mergeCell ref="P782:P784"/>
    <mergeCell ref="E782:E784"/>
    <mergeCell ref="E785:E789"/>
    <mergeCell ref="R785:R786"/>
    <mergeCell ref="R787:R788"/>
    <mergeCell ref="P779:P780"/>
    <mergeCell ref="Q779:Q780"/>
    <mergeCell ref="Q785:Q789"/>
    <mergeCell ref="S785:S786"/>
    <mergeCell ref="T785:T789"/>
    <mergeCell ref="U785:U789"/>
    <mergeCell ref="V785:V789"/>
    <mergeCell ref="S787:S788"/>
    <mergeCell ref="T790:T794"/>
    <mergeCell ref="U790:U794"/>
    <mergeCell ref="V790:V794"/>
    <mergeCell ref="P862:P865"/>
    <mergeCell ref="Q862:Q865"/>
    <mergeCell ref="T862:T865"/>
    <mergeCell ref="U862:U865"/>
    <mergeCell ref="V862:V865"/>
    <mergeCell ref="I862:I865"/>
    <mergeCell ref="J862:J865"/>
    <mergeCell ref="K862:K865"/>
    <mergeCell ref="L862:L865"/>
    <mergeCell ref="M862:M865"/>
    <mergeCell ref="N862:N865"/>
    <mergeCell ref="O862:O865"/>
    <mergeCell ref="B862:B865"/>
    <mergeCell ref="C862:C865"/>
    <mergeCell ref="D862:D865"/>
    <mergeCell ref="E862:E865"/>
    <mergeCell ref="F862:F865"/>
    <mergeCell ref="G862:G865"/>
    <mergeCell ref="H862:H865"/>
    <mergeCell ref="P866:P868"/>
    <mergeCell ref="Q866:Q868"/>
    <mergeCell ref="T866:T868"/>
    <mergeCell ref="U866:U868"/>
    <mergeCell ref="V866:V868"/>
    <mergeCell ref="I866:I868"/>
    <mergeCell ref="J866:J868"/>
    <mergeCell ref="K866:K868"/>
    <mergeCell ref="L866:L868"/>
    <mergeCell ref="M866:M868"/>
    <mergeCell ref="N866:N868"/>
    <mergeCell ref="O866:O868"/>
    <mergeCell ref="L876:L879"/>
    <mergeCell ref="M876:M879"/>
    <mergeCell ref="E876:E879"/>
    <mergeCell ref="F876:F879"/>
    <mergeCell ref="G876:G879"/>
    <mergeCell ref="H876:H879"/>
    <mergeCell ref="I876:I879"/>
    <mergeCell ref="J876:J879"/>
    <mergeCell ref="K876:K879"/>
    <mergeCell ref="N870:N872"/>
    <mergeCell ref="O870:O872"/>
    <mergeCell ref="P870:P872"/>
    <mergeCell ref="Q870:Q872"/>
    <mergeCell ref="T870:T872"/>
    <mergeCell ref="U870:U872"/>
    <mergeCell ref="V870:V872"/>
    <mergeCell ref="F870:F872"/>
    <mergeCell ref="G870:G872"/>
    <mergeCell ref="I870:I872"/>
    <mergeCell ref="J870:J872"/>
    <mergeCell ref="K870:K872"/>
    <mergeCell ref="L870:L872"/>
    <mergeCell ref="M870:M872"/>
    <mergeCell ref="B866:B868"/>
    <mergeCell ref="C866:C868"/>
    <mergeCell ref="D866:D868"/>
    <mergeCell ref="F866:F868"/>
    <mergeCell ref="G866:G868"/>
    <mergeCell ref="H866:H868"/>
    <mergeCell ref="H870:H872"/>
    <mergeCell ref="E866:E868"/>
    <mergeCell ref="E870:E872"/>
    <mergeCell ref="E873:E875"/>
    <mergeCell ref="B850:B851"/>
    <mergeCell ref="C850:C851"/>
    <mergeCell ref="D850:D851"/>
    <mergeCell ref="F850:F851"/>
    <mergeCell ref="B852:B853"/>
    <mergeCell ref="T854:T856"/>
    <mergeCell ref="U854:U856"/>
    <mergeCell ref="V854:V856"/>
    <mergeCell ref="K854:K856"/>
    <mergeCell ref="L854:L856"/>
    <mergeCell ref="M854:M856"/>
    <mergeCell ref="N854:N856"/>
    <mergeCell ref="O854:O856"/>
    <mergeCell ref="P854:P856"/>
    <mergeCell ref="Q854:Q856"/>
    <mergeCell ref="E854:E856"/>
    <mergeCell ref="E857:E861"/>
    <mergeCell ref="F857:F861"/>
    <mergeCell ref="G857:G861"/>
    <mergeCell ref="Q857:Q861"/>
    <mergeCell ref="T857:T861"/>
    <mergeCell ref="U857:U861"/>
    <mergeCell ref="V857:V861"/>
    <mergeCell ref="J857:J861"/>
    <mergeCell ref="K857:K861"/>
    <mergeCell ref="L857:L861"/>
    <mergeCell ref="M857:M861"/>
    <mergeCell ref="N857:N861"/>
    <mergeCell ref="O857:O861"/>
    <mergeCell ref="P857:P861"/>
    <mergeCell ref="H857:H861"/>
    <mergeCell ref="I857:I861"/>
    <mergeCell ref="B854:B856"/>
    <mergeCell ref="F854:F856"/>
    <mergeCell ref="G854:G856"/>
    <mergeCell ref="H854:H856"/>
    <mergeCell ref="I854:I856"/>
    <mergeCell ref="J854:J856"/>
    <mergeCell ref="B857:B861"/>
    <mergeCell ref="N850:N851"/>
    <mergeCell ref="O850:O851"/>
    <mergeCell ref="P850:P851"/>
    <mergeCell ref="Q850:Q851"/>
    <mergeCell ref="T850:T851"/>
    <mergeCell ref="U850:U851"/>
    <mergeCell ref="V850:V851"/>
    <mergeCell ref="G850:G851"/>
    <mergeCell ref="H850:H851"/>
    <mergeCell ref="I850:I851"/>
    <mergeCell ref="J850:J851"/>
    <mergeCell ref="K850:K851"/>
    <mergeCell ref="L850:L851"/>
    <mergeCell ref="M850:M851"/>
    <mergeCell ref="M852:M853"/>
    <mergeCell ref="N852:N853"/>
    <mergeCell ref="O852:O853"/>
    <mergeCell ref="P852:P853"/>
    <mergeCell ref="Q852:Q853"/>
    <mergeCell ref="T852:T853"/>
    <mergeCell ref="U852:U853"/>
    <mergeCell ref="V852:V853"/>
    <mergeCell ref="E850:E851"/>
    <mergeCell ref="E852:E853"/>
    <mergeCell ref="H852:H853"/>
    <mergeCell ref="I852:I853"/>
    <mergeCell ref="J852:J853"/>
    <mergeCell ref="K852:K853"/>
    <mergeCell ref="L852:L853"/>
    <mergeCell ref="F852:F853"/>
    <mergeCell ref="G852:G853"/>
    <mergeCell ref="F847:F848"/>
    <mergeCell ref="G847:G848"/>
    <mergeCell ref="T842:T846"/>
    <mergeCell ref="U842:U846"/>
    <mergeCell ref="V842:V846"/>
    <mergeCell ref="K842:K846"/>
    <mergeCell ref="L842:L846"/>
    <mergeCell ref="M842:M846"/>
    <mergeCell ref="N842:N846"/>
    <mergeCell ref="O842:O846"/>
    <mergeCell ref="P842:P846"/>
    <mergeCell ref="Q842:Q846"/>
    <mergeCell ref="E842:E846"/>
    <mergeCell ref="E847:E848"/>
    <mergeCell ref="B842:B846"/>
    <mergeCell ref="F842:F846"/>
    <mergeCell ref="G842:G846"/>
    <mergeCell ref="H842:H846"/>
    <mergeCell ref="I842:I846"/>
    <mergeCell ref="J842:J846"/>
    <mergeCell ref="B847:B848"/>
    <mergeCell ref="J847:J848"/>
    <mergeCell ref="P847:P848"/>
    <mergeCell ref="Q847:Q848"/>
    <mergeCell ref="R847:R848"/>
    <mergeCell ref="S847:S848"/>
    <mergeCell ref="T847:T848"/>
    <mergeCell ref="U847:U848"/>
    <mergeCell ref="V847:V848"/>
    <mergeCell ref="H847:H848"/>
    <mergeCell ref="I847:I848"/>
    <mergeCell ref="K847:K848"/>
    <mergeCell ref="L847:L848"/>
    <mergeCell ref="M847:M848"/>
    <mergeCell ref="N847:N848"/>
    <mergeCell ref="O847:O848"/>
    <mergeCell ref="P837:P838"/>
    <mergeCell ref="Q837:Q838"/>
    <mergeCell ref="T837:T838"/>
    <mergeCell ref="U837:U838"/>
    <mergeCell ref="V837:V838"/>
    <mergeCell ref="I837:I838"/>
    <mergeCell ref="J837:J838"/>
    <mergeCell ref="K837:K838"/>
    <mergeCell ref="L837:L838"/>
    <mergeCell ref="M837:M838"/>
    <mergeCell ref="N837:N838"/>
    <mergeCell ref="O837:O838"/>
    <mergeCell ref="E837:E838"/>
    <mergeCell ref="E839:E841"/>
    <mergeCell ref="F839:F841"/>
    <mergeCell ref="G839:G841"/>
    <mergeCell ref="O839:O841"/>
    <mergeCell ref="P839:P841"/>
    <mergeCell ref="Q839:Q841"/>
    <mergeCell ref="T839:T841"/>
    <mergeCell ref="U839:U841"/>
    <mergeCell ref="V839:V841"/>
    <mergeCell ref="H839:H841"/>
    <mergeCell ref="I839:I841"/>
    <mergeCell ref="J839:J841"/>
    <mergeCell ref="K839:K841"/>
    <mergeCell ref="L839:L841"/>
    <mergeCell ref="M839:M841"/>
    <mergeCell ref="N839:N841"/>
    <mergeCell ref="B837:B838"/>
    <mergeCell ref="C837:C838"/>
    <mergeCell ref="D837:D838"/>
    <mergeCell ref="F837:F838"/>
    <mergeCell ref="G837:G838"/>
    <mergeCell ref="H837:H838"/>
    <mergeCell ref="B839:B841"/>
    <mergeCell ref="T830:T833"/>
    <mergeCell ref="U830:U833"/>
    <mergeCell ref="V830:V833"/>
    <mergeCell ref="K830:K833"/>
    <mergeCell ref="L830:L833"/>
    <mergeCell ref="M830:M833"/>
    <mergeCell ref="N830:N833"/>
    <mergeCell ref="O830:O833"/>
    <mergeCell ref="P830:P833"/>
    <mergeCell ref="Q830:Q833"/>
    <mergeCell ref="B830:B833"/>
    <mergeCell ref="E830:E833"/>
    <mergeCell ref="F830:F833"/>
    <mergeCell ref="G830:G833"/>
    <mergeCell ref="H830:H833"/>
    <mergeCell ref="I830:I833"/>
    <mergeCell ref="J830:J833"/>
    <mergeCell ref="P834:P836"/>
    <mergeCell ref="Q834:Q836"/>
    <mergeCell ref="T834:T836"/>
    <mergeCell ref="U834:U836"/>
    <mergeCell ref="V834:V836"/>
    <mergeCell ref="I834:I836"/>
    <mergeCell ref="J834:J836"/>
    <mergeCell ref="K834:K836"/>
    <mergeCell ref="L834:L836"/>
    <mergeCell ref="M834:M836"/>
    <mergeCell ref="N834:N836"/>
    <mergeCell ref="O834:O836"/>
    <mergeCell ref="B834:B836"/>
    <mergeCell ref="C834:C836"/>
    <mergeCell ref="D834:D836"/>
    <mergeCell ref="E834:E836"/>
    <mergeCell ref="F834:F836"/>
    <mergeCell ref="G834:G836"/>
    <mergeCell ref="H834:H836"/>
    <mergeCell ref="T819:T821"/>
    <mergeCell ref="U819:U821"/>
    <mergeCell ref="V819:V821"/>
    <mergeCell ref="I819:I821"/>
    <mergeCell ref="J819:J821"/>
    <mergeCell ref="K819:K821"/>
    <mergeCell ref="L819:L821"/>
    <mergeCell ref="M819:M821"/>
    <mergeCell ref="N819:N821"/>
    <mergeCell ref="O819:O821"/>
    <mergeCell ref="B819:B821"/>
    <mergeCell ref="C819:C821"/>
    <mergeCell ref="D819:D821"/>
    <mergeCell ref="E819:E821"/>
    <mergeCell ref="F819:F821"/>
    <mergeCell ref="G819:G821"/>
    <mergeCell ref="H819:H821"/>
    <mergeCell ref="P822:P824"/>
    <mergeCell ref="Q822:Q824"/>
    <mergeCell ref="T822:T824"/>
    <mergeCell ref="U822:U824"/>
    <mergeCell ref="V822:V824"/>
    <mergeCell ref="I822:I824"/>
    <mergeCell ref="J822:J824"/>
    <mergeCell ref="K822:K824"/>
    <mergeCell ref="L822:L824"/>
    <mergeCell ref="M822:M824"/>
    <mergeCell ref="N822:N824"/>
    <mergeCell ref="O822:O824"/>
    <mergeCell ref="E822:E824"/>
    <mergeCell ref="E825:E829"/>
    <mergeCell ref="F825:F829"/>
    <mergeCell ref="G825:G829"/>
    <mergeCell ref="H825:H829"/>
    <mergeCell ref="I825:I829"/>
    <mergeCell ref="J825:J829"/>
    <mergeCell ref="K825:K829"/>
    <mergeCell ref="L825:L829"/>
    <mergeCell ref="M825:M829"/>
    <mergeCell ref="N825:N829"/>
    <mergeCell ref="R825:R826"/>
    <mergeCell ref="R827:R828"/>
    <mergeCell ref="O825:O829"/>
    <mergeCell ref="P825:P829"/>
    <mergeCell ref="Q825:Q829"/>
    <mergeCell ref="S825:S826"/>
    <mergeCell ref="T825:T829"/>
    <mergeCell ref="U825:U829"/>
    <mergeCell ref="V825:V829"/>
    <mergeCell ref="S827:S828"/>
    <mergeCell ref="B822:B824"/>
    <mergeCell ref="C822:C824"/>
    <mergeCell ref="D822:D824"/>
    <mergeCell ref="F822:F824"/>
    <mergeCell ref="G822:G824"/>
    <mergeCell ref="H822:H824"/>
    <mergeCell ref="B825:B829"/>
    <mergeCell ref="U922:U924"/>
    <mergeCell ref="V922:V924"/>
    <mergeCell ref="L922:L924"/>
    <mergeCell ref="M922:M924"/>
    <mergeCell ref="N922:N924"/>
    <mergeCell ref="O922:O924"/>
    <mergeCell ref="P922:P924"/>
    <mergeCell ref="Q922:Q924"/>
    <mergeCell ref="T922:T924"/>
    <mergeCell ref="M802:M804"/>
    <mergeCell ref="N802:N804"/>
    <mergeCell ref="N815:N818"/>
    <mergeCell ref="O815:O818"/>
    <mergeCell ref="P815:P818"/>
    <mergeCell ref="Q815:Q818"/>
    <mergeCell ref="G805:G809"/>
    <mergeCell ref="H805:H809"/>
    <mergeCell ref="G810:G814"/>
    <mergeCell ref="H810:H814"/>
    <mergeCell ref="G802:G804"/>
    <mergeCell ref="H802:H804"/>
    <mergeCell ref="I802:I804"/>
    <mergeCell ref="J802:J804"/>
    <mergeCell ref="K802:K804"/>
    <mergeCell ref="L802:L804"/>
    <mergeCell ref="B805:B809"/>
    <mergeCell ref="T805:T809"/>
    <mergeCell ref="U805:U809"/>
    <mergeCell ref="V805:V809"/>
    <mergeCell ref="T815:T818"/>
    <mergeCell ref="U815:U818"/>
    <mergeCell ref="V815:V818"/>
    <mergeCell ref="K805:K809"/>
    <mergeCell ref="L805:L809"/>
    <mergeCell ref="M805:M809"/>
    <mergeCell ref="N805:N809"/>
    <mergeCell ref="O805:O809"/>
    <mergeCell ref="P805:P809"/>
    <mergeCell ref="Q805:Q809"/>
    <mergeCell ref="I805:I809"/>
    <mergeCell ref="J805:J809"/>
    <mergeCell ref="I810:I814"/>
    <mergeCell ref="J810:J814"/>
    <mergeCell ref="K810:K814"/>
    <mergeCell ref="L810:L814"/>
    <mergeCell ref="M810:M814"/>
    <mergeCell ref="F802:F804"/>
    <mergeCell ref="E805:E809"/>
    <mergeCell ref="F805:F809"/>
    <mergeCell ref="B810:B814"/>
    <mergeCell ref="E810:E814"/>
    <mergeCell ref="F810:F814"/>
    <mergeCell ref="B815:B818"/>
    <mergeCell ref="L815:L818"/>
    <mergeCell ref="M815:M818"/>
    <mergeCell ref="E815:E818"/>
    <mergeCell ref="F815:F818"/>
    <mergeCell ref="G815:G818"/>
    <mergeCell ref="H815:H818"/>
    <mergeCell ref="I815:I818"/>
    <mergeCell ref="J815:J818"/>
    <mergeCell ref="K815:K818"/>
    <mergeCell ref="P819:P821"/>
    <mergeCell ref="Q819:Q821"/>
    <mergeCell ref="T888:T891"/>
    <mergeCell ref="U888:U891"/>
    <mergeCell ref="V888:V891"/>
    <mergeCell ref="T895:T897"/>
    <mergeCell ref="U895:U897"/>
    <mergeCell ref="K895:K897"/>
    <mergeCell ref="L895:L897"/>
    <mergeCell ref="M895:M897"/>
    <mergeCell ref="N895:N897"/>
    <mergeCell ref="O895:O897"/>
    <mergeCell ref="P895:P897"/>
    <mergeCell ref="Q895:Q897"/>
    <mergeCell ref="P899:P901"/>
    <mergeCell ref="Q899:Q901"/>
    <mergeCell ref="I899:I901"/>
    <mergeCell ref="J899:J901"/>
    <mergeCell ref="K899:K901"/>
    <mergeCell ref="L899:L901"/>
    <mergeCell ref="M899:M901"/>
    <mergeCell ref="N899:N901"/>
    <mergeCell ref="O899:O901"/>
    <mergeCell ref="F892:F894"/>
    <mergeCell ref="G892:G894"/>
    <mergeCell ref="F895:F897"/>
    <mergeCell ref="G895:G897"/>
    <mergeCell ref="H895:H897"/>
    <mergeCell ref="I895:I897"/>
    <mergeCell ref="J895:J897"/>
    <mergeCell ref="E888:E891"/>
    <mergeCell ref="E892:E894"/>
    <mergeCell ref="E895:E897"/>
    <mergeCell ref="E899:E901"/>
    <mergeCell ref="F899:F901"/>
    <mergeCell ref="G899:G901"/>
    <mergeCell ref="H899:H901"/>
    <mergeCell ref="B880:B882"/>
    <mergeCell ref="C880:C882"/>
    <mergeCell ref="D880:D882"/>
    <mergeCell ref="E880:E882"/>
    <mergeCell ref="F880:F882"/>
    <mergeCell ref="G880:G882"/>
    <mergeCell ref="H880:H882"/>
    <mergeCell ref="P880:P882"/>
    <mergeCell ref="Q880:Q882"/>
    <mergeCell ref="T880:T882"/>
    <mergeCell ref="U880:U882"/>
    <mergeCell ref="V880:V882"/>
    <mergeCell ref="I880:I882"/>
    <mergeCell ref="J880:J882"/>
    <mergeCell ref="K880:K882"/>
    <mergeCell ref="L880:L882"/>
    <mergeCell ref="M880:M882"/>
    <mergeCell ref="N880:N882"/>
    <mergeCell ref="O880:O882"/>
    <mergeCell ref="B883:B886"/>
    <mergeCell ref="E883:E886"/>
    <mergeCell ref="F883:F886"/>
    <mergeCell ref="G883:G886"/>
    <mergeCell ref="H883:H886"/>
    <mergeCell ref="I883:I886"/>
    <mergeCell ref="J883:J886"/>
    <mergeCell ref="B887:V887"/>
    <mergeCell ref="T883:T886"/>
    <mergeCell ref="U883:U886"/>
    <mergeCell ref="V883:V886"/>
    <mergeCell ref="K883:K886"/>
    <mergeCell ref="L883:L886"/>
    <mergeCell ref="M883:M886"/>
    <mergeCell ref="N883:N886"/>
    <mergeCell ref="O883:O886"/>
    <mergeCell ref="P883:P886"/>
    <mergeCell ref="Q883:Q886"/>
    <mergeCell ref="B908:V908"/>
    <mergeCell ref="E902:E904"/>
    <mergeCell ref="F902:F904"/>
    <mergeCell ref="G902:G904"/>
    <mergeCell ref="H902:H904"/>
    <mergeCell ref="I902:I904"/>
    <mergeCell ref="J902:J904"/>
    <mergeCell ref="K902:K904"/>
    <mergeCell ref="P909:P911"/>
    <mergeCell ref="Q909:Q911"/>
    <mergeCell ref="T909:T911"/>
    <mergeCell ref="U909:U911"/>
    <mergeCell ref="V909:V911"/>
    <mergeCell ref="I909:I911"/>
    <mergeCell ref="J909:J911"/>
    <mergeCell ref="K909:K911"/>
    <mergeCell ref="L909:L911"/>
    <mergeCell ref="M909:M911"/>
    <mergeCell ref="N909:N911"/>
    <mergeCell ref="O909:O911"/>
    <mergeCell ref="B902:B904"/>
    <mergeCell ref="A906:B906"/>
    <mergeCell ref="B909:B911"/>
    <mergeCell ref="E909:E911"/>
    <mergeCell ref="F909:F911"/>
    <mergeCell ref="G909:G911"/>
    <mergeCell ref="H909:H911"/>
    <mergeCell ref="E912:E913"/>
    <mergeCell ref="E914:E915"/>
    <mergeCell ref="I912:I913"/>
    <mergeCell ref="J912:J913"/>
    <mergeCell ref="K912:K913"/>
    <mergeCell ref="L912:L913"/>
    <mergeCell ref="M912:M913"/>
    <mergeCell ref="N912:N913"/>
    <mergeCell ref="O912:O913"/>
    <mergeCell ref="T914:T915"/>
    <mergeCell ref="U914:U915"/>
    <mergeCell ref="V914:V915"/>
    <mergeCell ref="P912:P913"/>
    <mergeCell ref="Q912:Q913"/>
    <mergeCell ref="R912:R913"/>
    <mergeCell ref="S912:S913"/>
    <mergeCell ref="T912:T913"/>
    <mergeCell ref="U912:U913"/>
    <mergeCell ref="V912:V913"/>
    <mergeCell ref="S902:S904"/>
    <mergeCell ref="T902:T904"/>
    <mergeCell ref="L902:L904"/>
    <mergeCell ref="M902:M904"/>
    <mergeCell ref="N902:N904"/>
    <mergeCell ref="O902:O904"/>
    <mergeCell ref="P902:P904"/>
    <mergeCell ref="Q902:Q904"/>
    <mergeCell ref="R902:R904"/>
    <mergeCell ref="P914:P915"/>
    <mergeCell ref="Q914:Q915"/>
    <mergeCell ref="I914:I915"/>
    <mergeCell ref="J914:J915"/>
    <mergeCell ref="K914:K915"/>
    <mergeCell ref="L914:L915"/>
    <mergeCell ref="M914:M915"/>
    <mergeCell ref="N914:N915"/>
    <mergeCell ref="O914:O915"/>
    <mergeCell ref="I2083:I2085"/>
    <mergeCell ref="K2083:K2085"/>
    <mergeCell ref="L2083:L2085"/>
    <mergeCell ref="M2083:M2085"/>
    <mergeCell ref="N2083:N2085"/>
    <mergeCell ref="O2083:O2085"/>
    <mergeCell ref="F2083:F2085"/>
    <mergeCell ref="G2083:G2085"/>
    <mergeCell ref="F2086:F2090"/>
    <mergeCell ref="G2086:G2090"/>
    <mergeCell ref="H2086:H2090"/>
    <mergeCell ref="I2086:I2090"/>
    <mergeCell ref="J2086:J2090"/>
    <mergeCell ref="V2086:V2090"/>
    <mergeCell ref="B2094:V2094"/>
    <mergeCell ref="P2083:P2085"/>
    <mergeCell ref="Q2083:Q2085"/>
    <mergeCell ref="R2083:R2085"/>
    <mergeCell ref="S2083:S2085"/>
    <mergeCell ref="T2083:T2085"/>
    <mergeCell ref="U2083:U2085"/>
    <mergeCell ref="V2083:V2085"/>
    <mergeCell ref="K888:K891"/>
    <mergeCell ref="L888:L891"/>
    <mergeCell ref="M888:M891"/>
    <mergeCell ref="N888:N891"/>
    <mergeCell ref="O888:O891"/>
    <mergeCell ref="P888:P891"/>
    <mergeCell ref="Q888:Q891"/>
    <mergeCell ref="H892:H894"/>
    <mergeCell ref="I892:I894"/>
    <mergeCell ref="K892:K894"/>
    <mergeCell ref="L892:L894"/>
    <mergeCell ref="M892:M894"/>
    <mergeCell ref="N892:N894"/>
    <mergeCell ref="O892:O894"/>
    <mergeCell ref="B888:B891"/>
    <mergeCell ref="F888:F891"/>
    <mergeCell ref="G888:G891"/>
    <mergeCell ref="H888:H891"/>
    <mergeCell ref="I888:I891"/>
    <mergeCell ref="J888:J891"/>
    <mergeCell ref="J892:J894"/>
    <mergeCell ref="T899:T901"/>
    <mergeCell ref="U899:U901"/>
    <mergeCell ref="V899:V901"/>
    <mergeCell ref="U902:U904"/>
    <mergeCell ref="V902:V904"/>
    <mergeCell ref="P892:P894"/>
    <mergeCell ref="Q892:Q894"/>
    <mergeCell ref="T892:T894"/>
    <mergeCell ref="U892:U894"/>
    <mergeCell ref="V892:V894"/>
    <mergeCell ref="V895:V897"/>
    <mergeCell ref="B898:V898"/>
    <mergeCell ref="B892:B894"/>
    <mergeCell ref="B895:B897"/>
    <mergeCell ref="C895:C897"/>
    <mergeCell ref="D895:D897"/>
    <mergeCell ref="B899:B901"/>
    <mergeCell ref="C899:C901"/>
    <mergeCell ref="D899:D901"/>
    <mergeCell ref="C906:W906"/>
    <mergeCell ref="B907:V907"/>
    <mergeCell ref="U2066:U2067"/>
    <mergeCell ref="V2066:V2067"/>
    <mergeCell ref="L2066:L2067"/>
    <mergeCell ref="M2066:M2067"/>
    <mergeCell ref="N2066:N2067"/>
    <mergeCell ref="O2066:O2067"/>
    <mergeCell ref="P2066:P2067"/>
    <mergeCell ref="Q2066:Q2067"/>
    <mergeCell ref="T2066:T2067"/>
    <mergeCell ref="T2086:T2090"/>
    <mergeCell ref="U2086:U2090"/>
    <mergeCell ref="K2086:K2090"/>
    <mergeCell ref="L2086:L2090"/>
    <mergeCell ref="M2086:M2090"/>
    <mergeCell ref="N2086:N2090"/>
    <mergeCell ref="O2086:O2090"/>
    <mergeCell ref="P2086:P2090"/>
    <mergeCell ref="Q2086:Q2090"/>
    <mergeCell ref="E2079:E2081"/>
    <mergeCell ref="E2083:E2085"/>
    <mergeCell ref="B2086:B2090"/>
    <mergeCell ref="E2086:E2090"/>
    <mergeCell ref="B2091:B2093"/>
    <mergeCell ref="E2091:E2093"/>
    <mergeCell ref="B2095:B2096"/>
    <mergeCell ref="E2095:E2096"/>
    <mergeCell ref="F2095:F2096"/>
    <mergeCell ref="G2095:G2096"/>
    <mergeCell ref="H2095:H2096"/>
    <mergeCell ref="I2095:I2096"/>
    <mergeCell ref="J2095:J2096"/>
    <mergeCell ref="K2095:K2096"/>
    <mergeCell ref="S2095:S2096"/>
    <mergeCell ref="T2095:T2096"/>
    <mergeCell ref="U2095:U2096"/>
    <mergeCell ref="V2095:V2096"/>
    <mergeCell ref="L2095:L2096"/>
    <mergeCell ref="M2095:M2096"/>
    <mergeCell ref="N2095:N2096"/>
    <mergeCell ref="O2095:O2096"/>
    <mergeCell ref="P2095:P2096"/>
    <mergeCell ref="Q2095:Q2096"/>
    <mergeCell ref="R2095:R2096"/>
    <mergeCell ref="R2079:R2081"/>
    <mergeCell ref="S2079:S2081"/>
    <mergeCell ref="T2079:T2081"/>
    <mergeCell ref="U2079:U2081"/>
    <mergeCell ref="V2079:V2081"/>
    <mergeCell ref="K2079:K2081"/>
    <mergeCell ref="L2079:L2081"/>
    <mergeCell ref="M2079:M2081"/>
    <mergeCell ref="N2079:N2081"/>
    <mergeCell ref="O2079:O2081"/>
    <mergeCell ref="P2079:P2081"/>
    <mergeCell ref="Q2079:Q2081"/>
    <mergeCell ref="B2079:B2081"/>
    <mergeCell ref="F2079:F2081"/>
    <mergeCell ref="G2079:G2081"/>
    <mergeCell ref="H2079:H2081"/>
    <mergeCell ref="I2079:I2081"/>
    <mergeCell ref="J2079:J2081"/>
    <mergeCell ref="B2083:B2085"/>
    <mergeCell ref="J2083:J2085"/>
    <mergeCell ref="H2083:H2085"/>
    <mergeCell ref="T2054:T2055"/>
    <mergeCell ref="U2054:U2055"/>
    <mergeCell ref="V2054:V2055"/>
    <mergeCell ref="B2054:B2055"/>
    <mergeCell ref="E2054:E2055"/>
    <mergeCell ref="F2054:F2055"/>
    <mergeCell ref="G2054:G2055"/>
    <mergeCell ref="H2054:H2055"/>
    <mergeCell ref="I2054:I2055"/>
    <mergeCell ref="J2054:J2055"/>
    <mergeCell ref="R2054:R2055"/>
    <mergeCell ref="S2054:S2055"/>
    <mergeCell ref="K2054:K2055"/>
    <mergeCell ref="L2054:L2055"/>
    <mergeCell ref="M2054:M2055"/>
    <mergeCell ref="N2054:N2055"/>
    <mergeCell ref="O2054:O2055"/>
    <mergeCell ref="P2054:P2055"/>
    <mergeCell ref="Q2054:Q2055"/>
    <mergeCell ref="T2056:T2057"/>
    <mergeCell ref="U2056:U2057"/>
    <mergeCell ref="V2056:V2057"/>
    <mergeCell ref="K2056:K2057"/>
    <mergeCell ref="L2056:L2057"/>
    <mergeCell ref="M2056:M2057"/>
    <mergeCell ref="N2056:N2057"/>
    <mergeCell ref="O2056:O2057"/>
    <mergeCell ref="P2056:P2057"/>
    <mergeCell ref="Q2056:Q2057"/>
    <mergeCell ref="B2058:V2058"/>
    <mergeCell ref="B2059:V2059"/>
    <mergeCell ref="F2060:F2062"/>
    <mergeCell ref="G2060:G2062"/>
    <mergeCell ref="P2060:P2062"/>
    <mergeCell ref="Q2060:Q2062"/>
    <mergeCell ref="T2060:T2062"/>
    <mergeCell ref="U2060:U2062"/>
    <mergeCell ref="V2060:V2062"/>
    <mergeCell ref="H2060:H2062"/>
    <mergeCell ref="I2060:I2062"/>
    <mergeCell ref="K2060:K2062"/>
    <mergeCell ref="L2060:L2062"/>
    <mergeCell ref="M2060:M2062"/>
    <mergeCell ref="N2060:N2062"/>
    <mergeCell ref="O2060:O2062"/>
    <mergeCell ref="B2056:B2057"/>
    <mergeCell ref="F2056:F2057"/>
    <mergeCell ref="G2056:G2057"/>
    <mergeCell ref="H2056:H2057"/>
    <mergeCell ref="I2056:I2057"/>
    <mergeCell ref="J2056:J2057"/>
    <mergeCell ref="J2060:J2062"/>
    <mergeCell ref="E2056:E2057"/>
    <mergeCell ref="E2060:E2062"/>
    <mergeCell ref="P2048:P2049"/>
    <mergeCell ref="Q2048:Q2049"/>
    <mergeCell ref="R2048:R2049"/>
    <mergeCell ref="S2048:S2049"/>
    <mergeCell ref="T2048:T2049"/>
    <mergeCell ref="U2048:U2049"/>
    <mergeCell ref="V2048:V2049"/>
    <mergeCell ref="I2048:I2049"/>
    <mergeCell ref="J2048:J2049"/>
    <mergeCell ref="K2048:K2049"/>
    <mergeCell ref="L2048:L2049"/>
    <mergeCell ref="M2048:M2049"/>
    <mergeCell ref="N2048:N2049"/>
    <mergeCell ref="O2048:O2049"/>
    <mergeCell ref="E2048:E2049"/>
    <mergeCell ref="E2050:E2052"/>
    <mergeCell ref="F2050:F2052"/>
    <mergeCell ref="G2050:G2052"/>
    <mergeCell ref="H2050:H2052"/>
    <mergeCell ref="I2050:I2052"/>
    <mergeCell ref="J2050:J2052"/>
    <mergeCell ref="K2050:K2052"/>
    <mergeCell ref="L2050:L2052"/>
    <mergeCell ref="M2050:M2052"/>
    <mergeCell ref="N2050:N2052"/>
    <mergeCell ref="V2050:V2052"/>
    <mergeCell ref="B2053:V2053"/>
    <mergeCell ref="O2050:O2052"/>
    <mergeCell ref="P2050:P2052"/>
    <mergeCell ref="Q2050:Q2052"/>
    <mergeCell ref="R2050:R2052"/>
    <mergeCell ref="S2050:S2052"/>
    <mergeCell ref="T2050:T2052"/>
    <mergeCell ref="U2050:U2052"/>
    <mergeCell ref="B2048:B2049"/>
    <mergeCell ref="C2048:C2049"/>
    <mergeCell ref="D2048:D2049"/>
    <mergeCell ref="F2048:F2049"/>
    <mergeCell ref="G2048:G2049"/>
    <mergeCell ref="H2048:H2049"/>
    <mergeCell ref="B2050:B2052"/>
    <mergeCell ref="F2038:F2040"/>
    <mergeCell ref="G2038:G2040"/>
    <mergeCell ref="H2038:H2040"/>
    <mergeCell ref="I2038:I2040"/>
    <mergeCell ref="P2041:P2043"/>
    <mergeCell ref="Q2041:Q2043"/>
    <mergeCell ref="T2041:T2043"/>
    <mergeCell ref="U2041:U2043"/>
    <mergeCell ref="V2041:V2043"/>
    <mergeCell ref="T2044:T2045"/>
    <mergeCell ref="U2044:U2045"/>
    <mergeCell ref="V2044:V2045"/>
    <mergeCell ref="B2044:B2045"/>
    <mergeCell ref="C2044:C2045"/>
    <mergeCell ref="D2044:D2045"/>
    <mergeCell ref="E2044:E2045"/>
    <mergeCell ref="F2044:F2045"/>
    <mergeCell ref="G2044:G2045"/>
    <mergeCell ref="H2044:H2045"/>
    <mergeCell ref="P2044:P2045"/>
    <mergeCell ref="Q2044:Q2045"/>
    <mergeCell ref="I2044:I2045"/>
    <mergeCell ref="J2044:J2045"/>
    <mergeCell ref="K2044:K2045"/>
    <mergeCell ref="L2044:L2045"/>
    <mergeCell ref="M2044:M2045"/>
    <mergeCell ref="N2044:N2045"/>
    <mergeCell ref="O2044:O2045"/>
    <mergeCell ref="P2046:P2047"/>
    <mergeCell ref="Q2046:Q2047"/>
    <mergeCell ref="R2046:R2047"/>
    <mergeCell ref="S2046:S2047"/>
    <mergeCell ref="T2046:T2047"/>
    <mergeCell ref="U2046:U2047"/>
    <mergeCell ref="V2046:V2047"/>
    <mergeCell ref="I2046:I2047"/>
    <mergeCell ref="J2046:J2047"/>
    <mergeCell ref="K2046:K2047"/>
    <mergeCell ref="L2046:L2047"/>
    <mergeCell ref="M2046:M2047"/>
    <mergeCell ref="N2046:N2047"/>
    <mergeCell ref="O2046:O2047"/>
    <mergeCell ref="B2046:B2047"/>
    <mergeCell ref="C2046:C2047"/>
    <mergeCell ref="D2046:D2047"/>
    <mergeCell ref="E2046:E2047"/>
    <mergeCell ref="F2046:F2047"/>
    <mergeCell ref="G2046:G2047"/>
    <mergeCell ref="H2046:H2047"/>
    <mergeCell ref="I2029:I2031"/>
    <mergeCell ref="J2029:J2031"/>
    <mergeCell ref="K2029:K2031"/>
    <mergeCell ref="L2029:L2031"/>
    <mergeCell ref="M2029:M2031"/>
    <mergeCell ref="N2029:N2031"/>
    <mergeCell ref="O2029:O2031"/>
    <mergeCell ref="E2029:E2031"/>
    <mergeCell ref="E2032:E2036"/>
    <mergeCell ref="F2032:F2036"/>
    <mergeCell ref="G2032:G2036"/>
    <mergeCell ref="B2029:B2031"/>
    <mergeCell ref="C2029:C2031"/>
    <mergeCell ref="D2029:D2031"/>
    <mergeCell ref="F2029:F2031"/>
    <mergeCell ref="G2029:G2031"/>
    <mergeCell ref="H2029:H2031"/>
    <mergeCell ref="B2032:B2036"/>
    <mergeCell ref="U2032:U2036"/>
    <mergeCell ref="V2032:V2036"/>
    <mergeCell ref="P2029:P2031"/>
    <mergeCell ref="Q2029:Q2031"/>
    <mergeCell ref="T2029:T2031"/>
    <mergeCell ref="U2029:U2031"/>
    <mergeCell ref="V2029:V2031"/>
    <mergeCell ref="Q2032:Q2036"/>
    <mergeCell ref="T2032:T2036"/>
    <mergeCell ref="I2041:I2043"/>
    <mergeCell ref="J2041:J2043"/>
    <mergeCell ref="K2041:K2043"/>
    <mergeCell ref="L2041:L2043"/>
    <mergeCell ref="M2041:M2043"/>
    <mergeCell ref="N2041:N2043"/>
    <mergeCell ref="O2041:O2043"/>
    <mergeCell ref="B2041:B2043"/>
    <mergeCell ref="C2041:C2043"/>
    <mergeCell ref="D2041:D2043"/>
    <mergeCell ref="E2041:E2043"/>
    <mergeCell ref="F2041:F2043"/>
    <mergeCell ref="G2041:G2043"/>
    <mergeCell ref="H2041:H2043"/>
    <mergeCell ref="O2032:O2036"/>
    <mergeCell ref="P2032:P2036"/>
    <mergeCell ref="I2032:I2036"/>
    <mergeCell ref="J2032:J2036"/>
    <mergeCell ref="K2032:K2036"/>
    <mergeCell ref="L2032:L2036"/>
    <mergeCell ref="M2032:M2036"/>
    <mergeCell ref="N2032:N2036"/>
    <mergeCell ref="B2037:V2037"/>
    <mergeCell ref="Q2038:Q2040"/>
    <mergeCell ref="T2038:T2040"/>
    <mergeCell ref="U2038:U2040"/>
    <mergeCell ref="V2038:V2040"/>
    <mergeCell ref="J2038:J2040"/>
    <mergeCell ref="K2038:K2040"/>
    <mergeCell ref="L2038:L2040"/>
    <mergeCell ref="M2038:M2040"/>
    <mergeCell ref="N2038:N2040"/>
    <mergeCell ref="O2038:O2040"/>
    <mergeCell ref="P2038:P2040"/>
    <mergeCell ref="H2032:H2036"/>
    <mergeCell ref="B2038:B2040"/>
    <mergeCell ref="E2038:E2040"/>
    <mergeCell ref="E2024:E2025"/>
    <mergeCell ref="F2024:F2025"/>
    <mergeCell ref="G2024:G2025"/>
    <mergeCell ref="H2024:H2025"/>
    <mergeCell ref="I2024:I2025"/>
    <mergeCell ref="Q2024:Q2025"/>
    <mergeCell ref="R2024:R2025"/>
    <mergeCell ref="S2024:S2025"/>
    <mergeCell ref="T2024:T2025"/>
    <mergeCell ref="U2024:U2025"/>
    <mergeCell ref="V2024:V2025"/>
    <mergeCell ref="B2022:B2023"/>
    <mergeCell ref="B2024:B2025"/>
    <mergeCell ref="C2024:C2025"/>
    <mergeCell ref="D2024:D2025"/>
    <mergeCell ref="B2026:B2028"/>
    <mergeCell ref="E2026:E2028"/>
    <mergeCell ref="F2026:F2028"/>
    <mergeCell ref="P2026:P2028"/>
    <mergeCell ref="Q2026:Q2028"/>
    <mergeCell ref="T2026:T2028"/>
    <mergeCell ref="U2026:U2028"/>
    <mergeCell ref="V2026:V2028"/>
    <mergeCell ref="J2024:J2025"/>
    <mergeCell ref="K2024:K2025"/>
    <mergeCell ref="L2024:L2025"/>
    <mergeCell ref="M2024:M2025"/>
    <mergeCell ref="N2024:N2025"/>
    <mergeCell ref="O2024:O2025"/>
    <mergeCell ref="P2024:P2025"/>
    <mergeCell ref="N2026:N2028"/>
    <mergeCell ref="O2026:O2028"/>
    <mergeCell ref="G2026:G2028"/>
    <mergeCell ref="H2026:H2028"/>
    <mergeCell ref="I2026:I2028"/>
    <mergeCell ref="J2026:J2028"/>
    <mergeCell ref="K2026:K2028"/>
    <mergeCell ref="L2026:L2028"/>
    <mergeCell ref="M2026:M2028"/>
    <mergeCell ref="E1975:E1976"/>
    <mergeCell ref="B1973:B1974"/>
    <mergeCell ref="B1975:B1976"/>
    <mergeCell ref="T1975:T1976"/>
    <mergeCell ref="U1975:U1976"/>
    <mergeCell ref="V1975:V1976"/>
    <mergeCell ref="K1975:K1976"/>
    <mergeCell ref="L1975:L1976"/>
    <mergeCell ref="M1975:M1976"/>
    <mergeCell ref="N1975:N1976"/>
    <mergeCell ref="O1975:O1976"/>
    <mergeCell ref="P1975:P1976"/>
    <mergeCell ref="Q1975:Q1976"/>
    <mergeCell ref="F1991:F1993"/>
    <mergeCell ref="G1991:G1993"/>
    <mergeCell ref="F1994:F1996"/>
    <mergeCell ref="G1994:G1996"/>
    <mergeCell ref="H1994:H1996"/>
    <mergeCell ref="I1994:I1996"/>
    <mergeCell ref="J1994:J1996"/>
    <mergeCell ref="E1986:E1990"/>
    <mergeCell ref="E1991:E1993"/>
    <mergeCell ref="E1994:E1996"/>
    <mergeCell ref="E1997:E1999"/>
    <mergeCell ref="F1997:F1999"/>
    <mergeCell ref="G1997:G1999"/>
    <mergeCell ref="H1997:H1999"/>
    <mergeCell ref="N2022:N2023"/>
    <mergeCell ref="O2022:O2023"/>
    <mergeCell ref="P2022:P2023"/>
    <mergeCell ref="Q2022:Q2023"/>
    <mergeCell ref="T2022:T2023"/>
    <mergeCell ref="U2022:U2023"/>
    <mergeCell ref="V2022:V2023"/>
    <mergeCell ref="F2022:F2023"/>
    <mergeCell ref="G2022:G2023"/>
    <mergeCell ref="I2022:I2023"/>
    <mergeCell ref="J2022:J2023"/>
    <mergeCell ref="K2022:K2023"/>
    <mergeCell ref="L2022:L2023"/>
    <mergeCell ref="M2022:M2023"/>
    <mergeCell ref="B2019:B2021"/>
    <mergeCell ref="C2019:C2021"/>
    <mergeCell ref="D2019:D2021"/>
    <mergeCell ref="F2019:F2021"/>
    <mergeCell ref="G2019:G2021"/>
    <mergeCell ref="H2019:H2021"/>
    <mergeCell ref="H2022:H2023"/>
    <mergeCell ref="E2019:E2021"/>
    <mergeCell ref="E2022:E2023"/>
    <mergeCell ref="E1968:E1969"/>
    <mergeCell ref="F1968:F1969"/>
    <mergeCell ref="G1968:G1969"/>
    <mergeCell ref="Q1968:Q1969"/>
    <mergeCell ref="R1968:R1969"/>
    <mergeCell ref="S1968:S1969"/>
    <mergeCell ref="T1968:T1969"/>
    <mergeCell ref="U1968:U1969"/>
    <mergeCell ref="V1968:V1969"/>
    <mergeCell ref="J1968:J1969"/>
    <mergeCell ref="K1968:K1969"/>
    <mergeCell ref="L1968:L1969"/>
    <mergeCell ref="M1968:M1969"/>
    <mergeCell ref="N1968:N1969"/>
    <mergeCell ref="O1968:O1969"/>
    <mergeCell ref="P1968:P1969"/>
    <mergeCell ref="P1973:P1974"/>
    <mergeCell ref="Q1973:Q1974"/>
    <mergeCell ref="H1973:H1974"/>
    <mergeCell ref="I1973:I1974"/>
    <mergeCell ref="K1973:K1974"/>
    <mergeCell ref="L1973:L1974"/>
    <mergeCell ref="M1973:M1974"/>
    <mergeCell ref="N1973:N1974"/>
    <mergeCell ref="O1973:O1974"/>
    <mergeCell ref="H1968:H1969"/>
    <mergeCell ref="I1968:I1969"/>
    <mergeCell ref="B1966:B1967"/>
    <mergeCell ref="F1966:F1967"/>
    <mergeCell ref="G1966:G1967"/>
    <mergeCell ref="H1966:H1967"/>
    <mergeCell ref="I1966:I1967"/>
    <mergeCell ref="J1966:J1967"/>
    <mergeCell ref="B1968:B1969"/>
    <mergeCell ref="T1970:T1972"/>
    <mergeCell ref="U1970:U1972"/>
    <mergeCell ref="V1970:V1972"/>
    <mergeCell ref="T1973:T1974"/>
    <mergeCell ref="U1973:U1974"/>
    <mergeCell ref="V1973:V1974"/>
    <mergeCell ref="K1970:K1972"/>
    <mergeCell ref="L1970:L1972"/>
    <mergeCell ref="M1970:M1972"/>
    <mergeCell ref="N1970:N1972"/>
    <mergeCell ref="O1970:O1972"/>
    <mergeCell ref="P1970:P1972"/>
    <mergeCell ref="Q1970:Q1972"/>
    <mergeCell ref="E1970:E1972"/>
    <mergeCell ref="E1973:E1974"/>
    <mergeCell ref="E1964:E1965"/>
    <mergeCell ref="F1964:F1965"/>
    <mergeCell ref="G1964:G1965"/>
    <mergeCell ref="Q1964:Q1965"/>
    <mergeCell ref="R1964:R1965"/>
    <mergeCell ref="S1964:S1965"/>
    <mergeCell ref="T1964:T1965"/>
    <mergeCell ref="U1964:U1965"/>
    <mergeCell ref="V1964:V1965"/>
    <mergeCell ref="J1964:J1965"/>
    <mergeCell ref="K1964:K1965"/>
    <mergeCell ref="L1964:L1965"/>
    <mergeCell ref="M1964:M1965"/>
    <mergeCell ref="N1964:N1965"/>
    <mergeCell ref="O1964:O1965"/>
    <mergeCell ref="P1964:P1965"/>
    <mergeCell ref="H1964:H1965"/>
    <mergeCell ref="I1964:I1965"/>
    <mergeCell ref="B1962:B1963"/>
    <mergeCell ref="F1962:F1963"/>
    <mergeCell ref="G1962:G1963"/>
    <mergeCell ref="H1962:H1963"/>
    <mergeCell ref="I1962:I1963"/>
    <mergeCell ref="J1962:J1963"/>
    <mergeCell ref="B1964:B1965"/>
    <mergeCell ref="R1966:R1967"/>
    <mergeCell ref="S1966:S1967"/>
    <mergeCell ref="T1966:T1967"/>
    <mergeCell ref="U1966:U1967"/>
    <mergeCell ref="V1966:V1967"/>
    <mergeCell ref="K1966:K1967"/>
    <mergeCell ref="L1966:L1967"/>
    <mergeCell ref="M1966:M1967"/>
    <mergeCell ref="N1966:N1967"/>
    <mergeCell ref="O1966:O1967"/>
    <mergeCell ref="P1966:P1967"/>
    <mergeCell ref="Q1966:Q1967"/>
    <mergeCell ref="E1966:E1967"/>
    <mergeCell ref="E1960:E1961"/>
    <mergeCell ref="F1960:F1961"/>
    <mergeCell ref="G1960:G1961"/>
    <mergeCell ref="Q1960:Q1961"/>
    <mergeCell ref="T1960:T1961"/>
    <mergeCell ref="U1960:U1961"/>
    <mergeCell ref="V1960:V1961"/>
    <mergeCell ref="J1960:J1961"/>
    <mergeCell ref="K1960:K1961"/>
    <mergeCell ref="L1960:L1961"/>
    <mergeCell ref="M1960:M1961"/>
    <mergeCell ref="N1960:N1961"/>
    <mergeCell ref="O1960:O1961"/>
    <mergeCell ref="P1960:P1961"/>
    <mergeCell ref="H1960:H1961"/>
    <mergeCell ref="I1960:I1961"/>
    <mergeCell ref="B1958:B1959"/>
    <mergeCell ref="F1958:F1959"/>
    <mergeCell ref="G1958:G1959"/>
    <mergeCell ref="H1958:H1959"/>
    <mergeCell ref="I1958:I1959"/>
    <mergeCell ref="J1958:J1959"/>
    <mergeCell ref="B1960:B1961"/>
    <mergeCell ref="R1962:R1963"/>
    <mergeCell ref="S1962:S1963"/>
    <mergeCell ref="T1962:T1963"/>
    <mergeCell ref="U1962:U1963"/>
    <mergeCell ref="V1962:V1963"/>
    <mergeCell ref="K1962:K1963"/>
    <mergeCell ref="L1962:L1963"/>
    <mergeCell ref="M1962:M1963"/>
    <mergeCell ref="N1962:N1963"/>
    <mergeCell ref="O1962:O1963"/>
    <mergeCell ref="P1962:P1963"/>
    <mergeCell ref="Q1962:Q1963"/>
    <mergeCell ref="E1962:E1963"/>
    <mergeCell ref="E1951:E1953"/>
    <mergeCell ref="E1954:E1955"/>
    <mergeCell ref="E1956:E1957"/>
    <mergeCell ref="B1954:B1955"/>
    <mergeCell ref="B1956:B1957"/>
    <mergeCell ref="R1956:R1957"/>
    <mergeCell ref="S1956:S1957"/>
    <mergeCell ref="T1956:T1957"/>
    <mergeCell ref="U1956:U1957"/>
    <mergeCell ref="V1956:V1957"/>
    <mergeCell ref="K1956:K1957"/>
    <mergeCell ref="L1956:L1957"/>
    <mergeCell ref="M1956:M1957"/>
    <mergeCell ref="N1956:N1957"/>
    <mergeCell ref="O1956:O1957"/>
    <mergeCell ref="P1956:P1957"/>
    <mergeCell ref="Q1956:Q1957"/>
    <mergeCell ref="B1951:B1953"/>
    <mergeCell ref="F1951:F1953"/>
    <mergeCell ref="G1951:G1953"/>
    <mergeCell ref="H1951:H1953"/>
    <mergeCell ref="I1951:I1953"/>
    <mergeCell ref="J1951:J1953"/>
    <mergeCell ref="J1954:J1955"/>
    <mergeCell ref="F1954:F1955"/>
    <mergeCell ref="G1954:G1955"/>
    <mergeCell ref="F1956:F1957"/>
    <mergeCell ref="G1956:G1957"/>
    <mergeCell ref="H1956:H1957"/>
    <mergeCell ref="I1956:I1957"/>
    <mergeCell ref="J1956:J1957"/>
    <mergeCell ref="R1958:R1959"/>
    <mergeCell ref="S1958:S1959"/>
    <mergeCell ref="T1958:T1959"/>
    <mergeCell ref="U1958:U1959"/>
    <mergeCell ref="V1958:V1959"/>
    <mergeCell ref="K1958:K1959"/>
    <mergeCell ref="L1958:L1959"/>
    <mergeCell ref="M1958:M1959"/>
    <mergeCell ref="N1958:N1959"/>
    <mergeCell ref="O1958:O1959"/>
    <mergeCell ref="P1958:P1959"/>
    <mergeCell ref="Q1958:Q1959"/>
    <mergeCell ref="E1958:E1959"/>
    <mergeCell ref="T1986:T1990"/>
    <mergeCell ref="U1986:U1990"/>
    <mergeCell ref="V1986:V1990"/>
    <mergeCell ref="K1986:K1990"/>
    <mergeCell ref="L1986:L1990"/>
    <mergeCell ref="M1986:M1990"/>
    <mergeCell ref="N1986:N1990"/>
    <mergeCell ref="O1986:O1990"/>
    <mergeCell ref="P1986:P1990"/>
    <mergeCell ref="Q1986:Q1990"/>
    <mergeCell ref="O1948:O1950"/>
    <mergeCell ref="P1948:P1950"/>
    <mergeCell ref="H1948:H1950"/>
    <mergeCell ref="I1948:I1950"/>
    <mergeCell ref="J1948:J1950"/>
    <mergeCell ref="K1948:K1950"/>
    <mergeCell ref="L1948:L1950"/>
    <mergeCell ref="M1948:M1950"/>
    <mergeCell ref="N1948:N1950"/>
    <mergeCell ref="T1951:T1953"/>
    <mergeCell ref="U1951:U1953"/>
    <mergeCell ref="V1951:V1953"/>
    <mergeCell ref="R1954:R1955"/>
    <mergeCell ref="S1954:S1955"/>
    <mergeCell ref="T1954:T1955"/>
    <mergeCell ref="U1954:U1955"/>
    <mergeCell ref="V1954:V1955"/>
    <mergeCell ref="K1951:K1953"/>
    <mergeCell ref="L1951:L1953"/>
    <mergeCell ref="M1951:M1953"/>
    <mergeCell ref="N1951:N1953"/>
    <mergeCell ref="O1951:O1953"/>
    <mergeCell ref="P1951:P1953"/>
    <mergeCell ref="Q1951:Q1953"/>
    <mergeCell ref="H1981:H1983"/>
    <mergeCell ref="I1981:I1983"/>
    <mergeCell ref="J1981:J1983"/>
    <mergeCell ref="K1981:K1983"/>
    <mergeCell ref="L1981:L1983"/>
    <mergeCell ref="M1981:M1983"/>
    <mergeCell ref="N1981:N1983"/>
    <mergeCell ref="E1981:E1983"/>
    <mergeCell ref="E1984:E1985"/>
    <mergeCell ref="F1984:F1985"/>
    <mergeCell ref="G1984:G1985"/>
    <mergeCell ref="H1984:H1985"/>
    <mergeCell ref="I1984:I1985"/>
    <mergeCell ref="J1984:J1985"/>
    <mergeCell ref="K1984:K1985"/>
    <mergeCell ref="L1984:L1985"/>
    <mergeCell ref="T1984:T1985"/>
    <mergeCell ref="U1984:U1985"/>
    <mergeCell ref="V1984:V1985"/>
    <mergeCell ref="M1984:M1985"/>
    <mergeCell ref="N1984:N1985"/>
    <mergeCell ref="O1984:O1985"/>
    <mergeCell ref="P1984:P1985"/>
    <mergeCell ref="Q1984:Q1985"/>
    <mergeCell ref="R1984:R1985"/>
    <mergeCell ref="S1984:S1985"/>
    <mergeCell ref="B1978:B1979"/>
    <mergeCell ref="B1981:B1983"/>
    <mergeCell ref="C1981:C1983"/>
    <mergeCell ref="D1981:D1983"/>
    <mergeCell ref="F1981:F1983"/>
    <mergeCell ref="G1981:G1983"/>
    <mergeCell ref="B1984:B1985"/>
    <mergeCell ref="P2019:P2021"/>
    <mergeCell ref="Q2019:Q2021"/>
    <mergeCell ref="T2019:T2021"/>
    <mergeCell ref="U2019:U2021"/>
    <mergeCell ref="V2019:V2021"/>
    <mergeCell ref="I2019:I2021"/>
    <mergeCell ref="J2019:J2021"/>
    <mergeCell ref="K2019:K2021"/>
    <mergeCell ref="L2019:L2021"/>
    <mergeCell ref="M2019:M2021"/>
    <mergeCell ref="N2019:N2021"/>
    <mergeCell ref="O2019:O2021"/>
    <mergeCell ref="M2091:M2093"/>
    <mergeCell ref="N2091:N2093"/>
    <mergeCell ref="O2091:O2093"/>
    <mergeCell ref="P2091:P2093"/>
    <mergeCell ref="Q2091:Q2093"/>
    <mergeCell ref="T2091:T2093"/>
    <mergeCell ref="U2091:U2093"/>
    <mergeCell ref="V2091:V2093"/>
    <mergeCell ref="F2091:F2093"/>
    <mergeCell ref="G2091:G2093"/>
    <mergeCell ref="H2091:H2093"/>
    <mergeCell ref="I2091:I2093"/>
    <mergeCell ref="J2091:J2093"/>
    <mergeCell ref="K2091:K2093"/>
    <mergeCell ref="L2091:L2093"/>
    <mergeCell ref="B1970:B1972"/>
    <mergeCell ref="F1970:F1972"/>
    <mergeCell ref="G1970:G1972"/>
    <mergeCell ref="H1970:H1972"/>
    <mergeCell ref="I1970:I1972"/>
    <mergeCell ref="J1970:J1972"/>
    <mergeCell ref="J1973:J1974"/>
    <mergeCell ref="F1973:F1974"/>
    <mergeCell ref="G1973:G1974"/>
    <mergeCell ref="F1975:F1976"/>
    <mergeCell ref="G1975:G1976"/>
    <mergeCell ref="H1975:H1976"/>
    <mergeCell ref="I1975:I1976"/>
    <mergeCell ref="J1975:J1976"/>
    <mergeCell ref="T1978:T1979"/>
    <mergeCell ref="U1978:U1979"/>
    <mergeCell ref="V1978:V1979"/>
    <mergeCell ref="K1978:K1979"/>
    <mergeCell ref="L1978:L1979"/>
    <mergeCell ref="M1978:M1979"/>
    <mergeCell ref="N1978:N1979"/>
    <mergeCell ref="O1978:O1979"/>
    <mergeCell ref="P1978:P1979"/>
    <mergeCell ref="Q1978:Q1979"/>
    <mergeCell ref="E1978:E1979"/>
    <mergeCell ref="F1978:F1979"/>
    <mergeCell ref="G1978:G1979"/>
    <mergeCell ref="H1978:H1979"/>
    <mergeCell ref="I1978:I1979"/>
    <mergeCell ref="J1978:J1979"/>
    <mergeCell ref="B1980:V1980"/>
    <mergeCell ref="O1981:O1983"/>
    <mergeCell ref="P1981:P1983"/>
    <mergeCell ref="Q1981:Q1983"/>
    <mergeCell ref="T1981:T1983"/>
    <mergeCell ref="U1981:U1983"/>
    <mergeCell ref="V1981:V1983"/>
    <mergeCell ref="P2015:P2016"/>
    <mergeCell ref="Q2015:Q2016"/>
    <mergeCell ref="T2015:T2016"/>
    <mergeCell ref="U2015:U2016"/>
    <mergeCell ref="V2015:V2016"/>
    <mergeCell ref="I2015:I2016"/>
    <mergeCell ref="J2015:J2016"/>
    <mergeCell ref="K2015:K2016"/>
    <mergeCell ref="L2015:L2016"/>
    <mergeCell ref="M2015:M2016"/>
    <mergeCell ref="N2015:N2016"/>
    <mergeCell ref="O2015:O2016"/>
    <mergeCell ref="E2015:E2016"/>
    <mergeCell ref="E2017:E2018"/>
    <mergeCell ref="F2017:F2018"/>
    <mergeCell ref="G2017:G2018"/>
    <mergeCell ref="O2017:O2018"/>
    <mergeCell ref="P2017:P2018"/>
    <mergeCell ref="Q2017:Q2018"/>
    <mergeCell ref="T2017:T2018"/>
    <mergeCell ref="U2017:U2018"/>
    <mergeCell ref="V2017:V2018"/>
    <mergeCell ref="H2017:H2018"/>
    <mergeCell ref="I2017:I2018"/>
    <mergeCell ref="J2017:J2018"/>
    <mergeCell ref="K2017:K2018"/>
    <mergeCell ref="L2017:L2018"/>
    <mergeCell ref="M2017:M2018"/>
    <mergeCell ref="N2017:N2018"/>
    <mergeCell ref="B2015:B2016"/>
    <mergeCell ref="C2015:C2016"/>
    <mergeCell ref="D2015:D2016"/>
    <mergeCell ref="F2015:F2016"/>
    <mergeCell ref="G2015:G2016"/>
    <mergeCell ref="H2015:H2016"/>
    <mergeCell ref="B2017:B2018"/>
    <mergeCell ref="B2009:B2010"/>
    <mergeCell ref="C2009:C2010"/>
    <mergeCell ref="D2009:D2010"/>
    <mergeCell ref="E2009:E2010"/>
    <mergeCell ref="F2009:F2010"/>
    <mergeCell ref="G2009:G2010"/>
    <mergeCell ref="H2009:H2010"/>
    <mergeCell ref="E2003:E2005"/>
    <mergeCell ref="E2006:E2008"/>
    <mergeCell ref="B2000:B2002"/>
    <mergeCell ref="B2003:B2005"/>
    <mergeCell ref="C2003:C2005"/>
    <mergeCell ref="D2003:D2005"/>
    <mergeCell ref="F2003:F2005"/>
    <mergeCell ref="G2003:G2005"/>
    <mergeCell ref="B2006:B2008"/>
    <mergeCell ref="R2011:R2014"/>
    <mergeCell ref="S2011:S2014"/>
    <mergeCell ref="T2011:T2014"/>
    <mergeCell ref="U2011:U2014"/>
    <mergeCell ref="V2011:V2014"/>
    <mergeCell ref="K2011:K2014"/>
    <mergeCell ref="L2011:L2014"/>
    <mergeCell ref="M2011:M2014"/>
    <mergeCell ref="N2011:N2014"/>
    <mergeCell ref="O2011:O2014"/>
    <mergeCell ref="P2011:P2014"/>
    <mergeCell ref="Q2011:Q2014"/>
    <mergeCell ref="B2011:B2014"/>
    <mergeCell ref="E2011:E2014"/>
    <mergeCell ref="F2011:F2014"/>
    <mergeCell ref="G2011:G2014"/>
    <mergeCell ref="H2011:H2014"/>
    <mergeCell ref="I2011:I2014"/>
    <mergeCell ref="J2011:J2014"/>
    <mergeCell ref="B1986:B1990"/>
    <mergeCell ref="F1986:F1990"/>
    <mergeCell ref="G1986:G1990"/>
    <mergeCell ref="H1986:H1990"/>
    <mergeCell ref="I1986:I1990"/>
    <mergeCell ref="J1986:J1990"/>
    <mergeCell ref="J1991:J1993"/>
    <mergeCell ref="B1991:B1993"/>
    <mergeCell ref="B1994:B1996"/>
    <mergeCell ref="B1997:B1999"/>
    <mergeCell ref="E2000:E2002"/>
    <mergeCell ref="F2000:F2002"/>
    <mergeCell ref="G2000:G2002"/>
    <mergeCell ref="J2000:J2002"/>
    <mergeCell ref="O2003:O2005"/>
    <mergeCell ref="P2003:P2005"/>
    <mergeCell ref="Q2003:Q2005"/>
    <mergeCell ref="H2003:H2005"/>
    <mergeCell ref="I2003:I2005"/>
    <mergeCell ref="J2003:J2005"/>
    <mergeCell ref="K2003:K2005"/>
    <mergeCell ref="L2003:L2005"/>
    <mergeCell ref="M2003:M2005"/>
    <mergeCell ref="N2003:N2005"/>
    <mergeCell ref="M2006:M2008"/>
    <mergeCell ref="N2006:N2008"/>
    <mergeCell ref="O2006:O2008"/>
    <mergeCell ref="P2006:P2008"/>
    <mergeCell ref="Q2006:Q2008"/>
    <mergeCell ref="F2006:F2008"/>
    <mergeCell ref="G2006:G2008"/>
    <mergeCell ref="H2006:H2008"/>
    <mergeCell ref="I2006:I2008"/>
    <mergeCell ref="J2006:J2008"/>
    <mergeCell ref="K2006:K2008"/>
    <mergeCell ref="L2006:L2008"/>
    <mergeCell ref="M1991:M1993"/>
    <mergeCell ref="N1991:N1993"/>
    <mergeCell ref="O1991:O1993"/>
    <mergeCell ref="T1994:T1996"/>
    <mergeCell ref="U1994:U1996"/>
    <mergeCell ref="V1994:V1996"/>
    <mergeCell ref="K1994:K1996"/>
    <mergeCell ref="L1994:L1996"/>
    <mergeCell ref="M1994:M1996"/>
    <mergeCell ref="N1994:N1996"/>
    <mergeCell ref="O1994:O1996"/>
    <mergeCell ref="P1994:P1996"/>
    <mergeCell ref="Q1994:Q1996"/>
    <mergeCell ref="I1997:I1999"/>
    <mergeCell ref="J1997:J1999"/>
    <mergeCell ref="K1997:K1999"/>
    <mergeCell ref="L1997:L1999"/>
    <mergeCell ref="M1997:M1999"/>
    <mergeCell ref="N1997:N1999"/>
    <mergeCell ref="O1997:O1999"/>
    <mergeCell ref="H2000:H2002"/>
    <mergeCell ref="I2000:I2002"/>
    <mergeCell ref="K2000:K2002"/>
    <mergeCell ref="L2000:L2002"/>
    <mergeCell ref="M2000:M2002"/>
    <mergeCell ref="N2000:N2002"/>
    <mergeCell ref="O2000:O2002"/>
    <mergeCell ref="T2003:T2005"/>
    <mergeCell ref="T2006:T2008"/>
    <mergeCell ref="U2006:U2008"/>
    <mergeCell ref="V2006:V2008"/>
    <mergeCell ref="P2009:P2010"/>
    <mergeCell ref="Q2009:Q2010"/>
    <mergeCell ref="T2009:T2010"/>
    <mergeCell ref="U2009:U2010"/>
    <mergeCell ref="V2009:V2010"/>
    <mergeCell ref="I2009:I2010"/>
    <mergeCell ref="J2009:J2010"/>
    <mergeCell ref="K2009:K2010"/>
    <mergeCell ref="L2009:L2010"/>
    <mergeCell ref="M2009:M2010"/>
    <mergeCell ref="N2009:N2010"/>
    <mergeCell ref="O2009:O2010"/>
    <mergeCell ref="B2060:B2062"/>
    <mergeCell ref="B2063:B2065"/>
    <mergeCell ref="B2066:B2067"/>
    <mergeCell ref="B2068:B2070"/>
    <mergeCell ref="C2068:C2070"/>
    <mergeCell ref="D2068:D2070"/>
    <mergeCell ref="B2071:B2072"/>
    <mergeCell ref="T2073:T2075"/>
    <mergeCell ref="U2073:U2075"/>
    <mergeCell ref="V2073:V2075"/>
    <mergeCell ref="K2073:K2075"/>
    <mergeCell ref="L2073:L2075"/>
    <mergeCell ref="M2073:M2075"/>
    <mergeCell ref="N2073:N2075"/>
    <mergeCell ref="O2073:O2075"/>
    <mergeCell ref="P2073:P2075"/>
    <mergeCell ref="Q2073:Q2075"/>
    <mergeCell ref="E2073:E2075"/>
    <mergeCell ref="E2076:E2078"/>
    <mergeCell ref="F2076:F2078"/>
    <mergeCell ref="G2076:G2078"/>
    <mergeCell ref="H2076:H2078"/>
    <mergeCell ref="I2076:I2078"/>
    <mergeCell ref="Q2076:Q2078"/>
    <mergeCell ref="T2076:T2078"/>
    <mergeCell ref="U2076:U2078"/>
    <mergeCell ref="V2076:V2078"/>
    <mergeCell ref="J2076:J2078"/>
    <mergeCell ref="K2076:K2078"/>
    <mergeCell ref="L2076:L2078"/>
    <mergeCell ref="M2076:M2078"/>
    <mergeCell ref="N2076:N2078"/>
    <mergeCell ref="O2076:O2078"/>
    <mergeCell ref="P2076:P2078"/>
    <mergeCell ref="B2073:B2075"/>
    <mergeCell ref="F2073:F2075"/>
    <mergeCell ref="G2073:G2075"/>
    <mergeCell ref="H2073:H2075"/>
    <mergeCell ref="I2073:I2075"/>
    <mergeCell ref="J2073:J2075"/>
    <mergeCell ref="B2076:B2078"/>
    <mergeCell ref="Q2063:Q2065"/>
    <mergeCell ref="T2063:T2065"/>
    <mergeCell ref="U2063:U2065"/>
    <mergeCell ref="V2063:V2065"/>
    <mergeCell ref="J2063:J2065"/>
    <mergeCell ref="K2063:K2065"/>
    <mergeCell ref="L2063:L2065"/>
    <mergeCell ref="M2063:M2065"/>
    <mergeCell ref="N2063:N2065"/>
    <mergeCell ref="O2063:O2065"/>
    <mergeCell ref="P2063:P2065"/>
    <mergeCell ref="E2063:E2065"/>
    <mergeCell ref="F2063:F2065"/>
    <mergeCell ref="G2063:G2065"/>
    <mergeCell ref="H2063:H2065"/>
    <mergeCell ref="I2063:I2065"/>
    <mergeCell ref="E2066:E2067"/>
    <mergeCell ref="F2066:F2067"/>
    <mergeCell ref="G2066:G2067"/>
    <mergeCell ref="H2066:H2067"/>
    <mergeCell ref="I2066:I2067"/>
    <mergeCell ref="J2066:J2067"/>
    <mergeCell ref="K2066:K2067"/>
    <mergeCell ref="P1954:P1955"/>
    <mergeCell ref="Q1954:Q1955"/>
    <mergeCell ref="H1954:H1955"/>
    <mergeCell ref="I1954:I1955"/>
    <mergeCell ref="K1954:K1955"/>
    <mergeCell ref="L1954:L1955"/>
    <mergeCell ref="M1954:M1955"/>
    <mergeCell ref="N1954:N1955"/>
    <mergeCell ref="O1954:O1955"/>
    <mergeCell ref="M2068:M2070"/>
    <mergeCell ref="N2068:N2070"/>
    <mergeCell ref="O2068:O2070"/>
    <mergeCell ref="P2068:P2070"/>
    <mergeCell ref="Q2068:Q2070"/>
    <mergeCell ref="T2068:T2070"/>
    <mergeCell ref="U2068:U2070"/>
    <mergeCell ref="V2068:V2070"/>
    <mergeCell ref="F2068:F2070"/>
    <mergeCell ref="G2068:G2070"/>
    <mergeCell ref="H2068:H2070"/>
    <mergeCell ref="I2068:I2070"/>
    <mergeCell ref="J2068:J2070"/>
    <mergeCell ref="K2068:K2070"/>
    <mergeCell ref="L2068:L2070"/>
    <mergeCell ref="E2068:E2070"/>
    <mergeCell ref="E2071:E2072"/>
    <mergeCell ref="F2071:F2072"/>
    <mergeCell ref="G2071:G2072"/>
    <mergeCell ref="H2071:H2072"/>
    <mergeCell ref="I2071:I2072"/>
    <mergeCell ref="J2071:J2072"/>
    <mergeCell ref="R2071:R2072"/>
    <mergeCell ref="S2071:S2072"/>
    <mergeCell ref="T2071:T2072"/>
    <mergeCell ref="U2071:U2072"/>
    <mergeCell ref="V2071:V2072"/>
    <mergeCell ref="K2071:K2072"/>
    <mergeCell ref="L2071:L2072"/>
    <mergeCell ref="M2071:M2072"/>
    <mergeCell ref="N2071:N2072"/>
    <mergeCell ref="O2071:O2072"/>
    <mergeCell ref="P2071:P2072"/>
    <mergeCell ref="Q2071:Q2072"/>
    <mergeCell ref="P1997:P1999"/>
    <mergeCell ref="Q1997:Q1999"/>
    <mergeCell ref="T1997:T1999"/>
    <mergeCell ref="U1997:U1999"/>
    <mergeCell ref="V1997:V1999"/>
    <mergeCell ref="P2000:P2002"/>
    <mergeCell ref="Q2000:Q2002"/>
    <mergeCell ref="T2000:T2002"/>
    <mergeCell ref="U2000:U2002"/>
    <mergeCell ref="V2000:V2002"/>
    <mergeCell ref="U2003:U2005"/>
    <mergeCell ref="V2003:V2005"/>
    <mergeCell ref="P1991:P1993"/>
    <mergeCell ref="Q1991:Q1993"/>
    <mergeCell ref="T1991:T1993"/>
    <mergeCell ref="U1991:U1993"/>
    <mergeCell ref="V1991:V1993"/>
    <mergeCell ref="H1991:H1993"/>
    <mergeCell ref="I1991:I1993"/>
    <mergeCell ref="K1991:K1993"/>
    <mergeCell ref="L1991:L1993"/>
    <mergeCell ref="I1913:I1915"/>
    <mergeCell ref="J1913:J1915"/>
    <mergeCell ref="B1916:V1916"/>
    <mergeCell ref="T1913:T1915"/>
    <mergeCell ref="U1913:U1915"/>
    <mergeCell ref="V1913:V1915"/>
    <mergeCell ref="K1913:K1915"/>
    <mergeCell ref="L1913:L1915"/>
    <mergeCell ref="M1913:M1915"/>
    <mergeCell ref="N1913:N1915"/>
    <mergeCell ref="O1913:O1915"/>
    <mergeCell ref="P1913:P1915"/>
    <mergeCell ref="Q1913:Q1915"/>
    <mergeCell ref="B1908:B1909"/>
    <mergeCell ref="C1908:C1909"/>
    <mergeCell ref="D1908:D1909"/>
    <mergeCell ref="F1908:F1909"/>
    <mergeCell ref="G1908:G1909"/>
    <mergeCell ref="H1908:H1909"/>
    <mergeCell ref="B1910:B1912"/>
    <mergeCell ref="T1917:T1919"/>
    <mergeCell ref="U1917:U1919"/>
    <mergeCell ref="V1917:V1919"/>
    <mergeCell ref="K1917:K1919"/>
    <mergeCell ref="L1917:L1919"/>
    <mergeCell ref="M1917:M1919"/>
    <mergeCell ref="N1917:N1919"/>
    <mergeCell ref="O1917:O1919"/>
    <mergeCell ref="P1917:P1919"/>
    <mergeCell ref="Q1917:Q1919"/>
    <mergeCell ref="N1926:N1928"/>
    <mergeCell ref="O1926:O1928"/>
    <mergeCell ref="G1926:G1928"/>
    <mergeCell ref="H1926:H1928"/>
    <mergeCell ref="I1926:I1928"/>
    <mergeCell ref="J1926:J1928"/>
    <mergeCell ref="K1926:K1928"/>
    <mergeCell ref="L1926:L1928"/>
    <mergeCell ref="M1926:M1928"/>
    <mergeCell ref="R1923:R1925"/>
    <mergeCell ref="S1923:S1925"/>
    <mergeCell ref="T1923:T1925"/>
    <mergeCell ref="U1923:U1925"/>
    <mergeCell ref="V1923:V1925"/>
    <mergeCell ref="P1926:P1928"/>
    <mergeCell ref="Q1926:Q1928"/>
    <mergeCell ref="R1926:R1928"/>
    <mergeCell ref="S1926:S1928"/>
    <mergeCell ref="T1926:T1928"/>
    <mergeCell ref="U1926:U1928"/>
    <mergeCell ref="V1926:V1928"/>
    <mergeCell ref="P1890:P1891"/>
    <mergeCell ref="Q1890:Q1891"/>
    <mergeCell ref="T1890:T1891"/>
    <mergeCell ref="U1890:U1896"/>
    <mergeCell ref="V1890:V1896"/>
    <mergeCell ref="Q1892:Q1894"/>
    <mergeCell ref="Q1895:Q1896"/>
    <mergeCell ref="B1890:B1896"/>
    <mergeCell ref="C1890:C1892"/>
    <mergeCell ref="D1890:D1892"/>
    <mergeCell ref="E1890:E1896"/>
    <mergeCell ref="F1890:F1896"/>
    <mergeCell ref="G1890:G1891"/>
    <mergeCell ref="H1890:H1891"/>
    <mergeCell ref="N1897:N1899"/>
    <mergeCell ref="O1897:O1899"/>
    <mergeCell ref="P1897:P1899"/>
    <mergeCell ref="Q1897:Q1899"/>
    <mergeCell ref="G1897:G1899"/>
    <mergeCell ref="H1897:H1899"/>
    <mergeCell ref="I1897:I1899"/>
    <mergeCell ref="J1897:J1899"/>
    <mergeCell ref="K1897:K1899"/>
    <mergeCell ref="L1897:L1899"/>
    <mergeCell ref="M1897:M1899"/>
    <mergeCell ref="C1893:C1895"/>
    <mergeCell ref="D1893:D1895"/>
    <mergeCell ref="B1897:B1899"/>
    <mergeCell ref="C1897:C1899"/>
    <mergeCell ref="D1897:D1899"/>
    <mergeCell ref="E1897:E1899"/>
    <mergeCell ref="F1897:F1899"/>
    <mergeCell ref="I1901:I1902"/>
    <mergeCell ref="J1901:J1902"/>
    <mergeCell ref="K1901:K1902"/>
    <mergeCell ref="L1901:L1902"/>
    <mergeCell ref="M1901:M1902"/>
    <mergeCell ref="N1901:N1902"/>
    <mergeCell ref="O1901:O1902"/>
    <mergeCell ref="P1901:P1902"/>
    <mergeCell ref="Q1901:Q1902"/>
    <mergeCell ref="R1901:R1902"/>
    <mergeCell ref="S1901:S1902"/>
    <mergeCell ref="T1901:T1902"/>
    <mergeCell ref="U1901:U1902"/>
    <mergeCell ref="V1901:V1902"/>
    <mergeCell ref="E1901:E1902"/>
    <mergeCell ref="I1946:I1947"/>
    <mergeCell ref="J1946:J1947"/>
    <mergeCell ref="K1946:K1947"/>
    <mergeCell ref="L1946:L1947"/>
    <mergeCell ref="M1946:M1947"/>
    <mergeCell ref="N1946:N1947"/>
    <mergeCell ref="O1946:O1947"/>
    <mergeCell ref="E1946:E1947"/>
    <mergeCell ref="E1948:E1950"/>
    <mergeCell ref="F1948:F1950"/>
    <mergeCell ref="G1948:G1950"/>
    <mergeCell ref="B1946:B1947"/>
    <mergeCell ref="C1946:C1947"/>
    <mergeCell ref="D1946:D1947"/>
    <mergeCell ref="F1946:F1947"/>
    <mergeCell ref="G1946:G1947"/>
    <mergeCell ref="H1946:H1947"/>
    <mergeCell ref="B1948:B1950"/>
    <mergeCell ref="U1948:U1950"/>
    <mergeCell ref="V1948:V1950"/>
    <mergeCell ref="P1946:P1947"/>
    <mergeCell ref="Q1946:Q1947"/>
    <mergeCell ref="T1946:T1947"/>
    <mergeCell ref="U1946:U1947"/>
    <mergeCell ref="V1946:V1947"/>
    <mergeCell ref="Q1948:Q1950"/>
    <mergeCell ref="T1948:T1950"/>
    <mergeCell ref="P1892:P1894"/>
    <mergeCell ref="P1895:P1896"/>
    <mergeCell ref="T1892:T1893"/>
    <mergeCell ref="T1895:T1896"/>
    <mergeCell ref="T1897:T1899"/>
    <mergeCell ref="U1897:U1899"/>
    <mergeCell ref="V1897:V1899"/>
    <mergeCell ref="T1903:T1904"/>
    <mergeCell ref="U1903:U1904"/>
    <mergeCell ref="V1903:V1904"/>
    <mergeCell ref="P1905:P1907"/>
    <mergeCell ref="Q1905:Q1907"/>
    <mergeCell ref="T1905:T1907"/>
    <mergeCell ref="U1905:U1907"/>
    <mergeCell ref="V1905:V1907"/>
    <mergeCell ref="I1905:I1907"/>
    <mergeCell ref="J1905:J1907"/>
    <mergeCell ref="K1905:K1907"/>
    <mergeCell ref="L1905:L1907"/>
    <mergeCell ref="M1905:M1907"/>
    <mergeCell ref="N1905:N1907"/>
    <mergeCell ref="O1905:O1907"/>
    <mergeCell ref="E1903:E1904"/>
    <mergeCell ref="B1905:B1907"/>
    <mergeCell ref="E1905:E1907"/>
    <mergeCell ref="F1905:F1907"/>
    <mergeCell ref="G1905:G1907"/>
    <mergeCell ref="H1905:H1907"/>
    <mergeCell ref="P1908:P1909"/>
    <mergeCell ref="Q1908:Q1909"/>
    <mergeCell ref="R1908:R1909"/>
    <mergeCell ref="S1908:S1909"/>
    <mergeCell ref="T1908:T1909"/>
    <mergeCell ref="U1908:U1909"/>
    <mergeCell ref="V1908:V1909"/>
    <mergeCell ref="I1908:I1909"/>
    <mergeCell ref="J1908:J1909"/>
    <mergeCell ref="P1938:P1940"/>
    <mergeCell ref="Q1938:Q1940"/>
    <mergeCell ref="T1938:T1940"/>
    <mergeCell ref="U1938:U1940"/>
    <mergeCell ref="V1938:V1940"/>
    <mergeCell ref="I1938:I1940"/>
    <mergeCell ref="J1938:J1940"/>
    <mergeCell ref="K1938:K1940"/>
    <mergeCell ref="L1938:L1940"/>
    <mergeCell ref="M1938:M1940"/>
    <mergeCell ref="N1938:N1940"/>
    <mergeCell ref="O1938:O1940"/>
    <mergeCell ref="B1938:B1940"/>
    <mergeCell ref="C1938:C1940"/>
    <mergeCell ref="D1938:D1940"/>
    <mergeCell ref="E1938:E1940"/>
    <mergeCell ref="F1938:F1940"/>
    <mergeCell ref="G1938:G1940"/>
    <mergeCell ref="H1938:H1940"/>
    <mergeCell ref="P1941:P1942"/>
    <mergeCell ref="Q1941:Q1942"/>
    <mergeCell ref="T1941:T1942"/>
    <mergeCell ref="U1941:U1942"/>
    <mergeCell ref="V1941:V1942"/>
    <mergeCell ref="I1941:I1942"/>
    <mergeCell ref="J1941:J1942"/>
    <mergeCell ref="K1941:K1942"/>
    <mergeCell ref="L1941:L1942"/>
    <mergeCell ref="M1941:M1942"/>
    <mergeCell ref="N1941:N1942"/>
    <mergeCell ref="O1941:O1942"/>
    <mergeCell ref="E1941:E1942"/>
    <mergeCell ref="E1943:E1945"/>
    <mergeCell ref="O1943:O1945"/>
    <mergeCell ref="P1943:P1945"/>
    <mergeCell ref="Q1943:Q1945"/>
    <mergeCell ref="T1943:T1945"/>
    <mergeCell ref="U1943:U1945"/>
    <mergeCell ref="V1943:V1945"/>
    <mergeCell ref="H1943:H1945"/>
    <mergeCell ref="I1943:I1945"/>
    <mergeCell ref="J1943:J1945"/>
    <mergeCell ref="K1943:K1945"/>
    <mergeCell ref="L1943:L1945"/>
    <mergeCell ref="M1943:M1945"/>
    <mergeCell ref="N1943:N1945"/>
    <mergeCell ref="F1943:F1945"/>
    <mergeCell ref="G1943:G1945"/>
    <mergeCell ref="B1941:B1942"/>
    <mergeCell ref="C1941:C1942"/>
    <mergeCell ref="D1941:D1942"/>
    <mergeCell ref="F1941:F1942"/>
    <mergeCell ref="G1941:G1942"/>
    <mergeCell ref="H1941:H1942"/>
    <mergeCell ref="B1943:B1945"/>
    <mergeCell ref="B1929:V1929"/>
    <mergeCell ref="B1930:V1930"/>
    <mergeCell ref="E1917:E1919"/>
    <mergeCell ref="E1920:E1921"/>
    <mergeCell ref="B1923:B1925"/>
    <mergeCell ref="E1923:E1925"/>
    <mergeCell ref="B1926:B1928"/>
    <mergeCell ref="F1926:F1928"/>
    <mergeCell ref="B1931:B1933"/>
    <mergeCell ref="F1931:F1933"/>
    <mergeCell ref="N1931:N1933"/>
    <mergeCell ref="O1931:O1933"/>
    <mergeCell ref="P1931:P1933"/>
    <mergeCell ref="Q1931:Q1933"/>
    <mergeCell ref="T1931:T1933"/>
    <mergeCell ref="U1931:U1933"/>
    <mergeCell ref="V1931:V1933"/>
    <mergeCell ref="K1923:K1925"/>
    <mergeCell ref="L1923:L1925"/>
    <mergeCell ref="M1923:M1925"/>
    <mergeCell ref="N1923:N1925"/>
    <mergeCell ref="O1923:O1925"/>
    <mergeCell ref="P1923:P1925"/>
    <mergeCell ref="Q1923:Q1925"/>
    <mergeCell ref="L1931:L1933"/>
    <mergeCell ref="M1931:M1933"/>
    <mergeCell ref="E1931:E1933"/>
    <mergeCell ref="E1935:E1937"/>
    <mergeCell ref="F1935:F1937"/>
    <mergeCell ref="G1935:G1937"/>
    <mergeCell ref="H1935:H1937"/>
    <mergeCell ref="I1935:I1937"/>
    <mergeCell ref="Q1935:Q1937"/>
    <mergeCell ref="T1935:T1937"/>
    <mergeCell ref="U1935:U1937"/>
    <mergeCell ref="V1935:V1937"/>
    <mergeCell ref="J1935:J1937"/>
    <mergeCell ref="K1935:K1937"/>
    <mergeCell ref="L1935:L1937"/>
    <mergeCell ref="M1935:M1937"/>
    <mergeCell ref="N1935:N1937"/>
    <mergeCell ref="O1935:O1937"/>
    <mergeCell ref="P1935:P1937"/>
    <mergeCell ref="E1926:E1928"/>
    <mergeCell ref="G1931:G1933"/>
    <mergeCell ref="H1931:H1933"/>
    <mergeCell ref="I1931:I1933"/>
    <mergeCell ref="J1931:J1933"/>
    <mergeCell ref="K1931:K1933"/>
    <mergeCell ref="B1935:B1937"/>
    <mergeCell ref="P1903:P1904"/>
    <mergeCell ref="Q1903:Q1904"/>
    <mergeCell ref="I1903:I1904"/>
    <mergeCell ref="J1903:J1904"/>
    <mergeCell ref="K1903:K1904"/>
    <mergeCell ref="L1903:L1904"/>
    <mergeCell ref="M1903:M1904"/>
    <mergeCell ref="N1903:N1904"/>
    <mergeCell ref="O1903:O1904"/>
    <mergeCell ref="B1917:B1919"/>
    <mergeCell ref="F1917:F1919"/>
    <mergeCell ref="G1917:G1919"/>
    <mergeCell ref="H1917:H1919"/>
    <mergeCell ref="I1917:I1919"/>
    <mergeCell ref="J1917:J1919"/>
    <mergeCell ref="B1920:B1921"/>
    <mergeCell ref="J1920:J1921"/>
    <mergeCell ref="P1920:P1921"/>
    <mergeCell ref="Q1920:Q1921"/>
    <mergeCell ref="T1920:T1921"/>
    <mergeCell ref="U1920:U1921"/>
    <mergeCell ref="V1920:V1921"/>
    <mergeCell ref="H1920:H1921"/>
    <mergeCell ref="I1920:I1921"/>
    <mergeCell ref="K1920:K1921"/>
    <mergeCell ref="L1920:L1921"/>
    <mergeCell ref="M1920:M1921"/>
    <mergeCell ref="N1920:N1921"/>
    <mergeCell ref="O1920:O1921"/>
    <mergeCell ref="B1922:V1922"/>
    <mergeCell ref="F1920:F1921"/>
    <mergeCell ref="G1920:G1921"/>
    <mergeCell ref="F1923:F1925"/>
    <mergeCell ref="G1923:G1925"/>
    <mergeCell ref="H1923:H1925"/>
    <mergeCell ref="I1923:I1925"/>
    <mergeCell ref="J1923:J1925"/>
    <mergeCell ref="K1908:K1909"/>
    <mergeCell ref="L1908:L1909"/>
    <mergeCell ref="M1908:M1909"/>
    <mergeCell ref="N1908:N1909"/>
    <mergeCell ref="O1908:O1909"/>
    <mergeCell ref="E1908:E1909"/>
    <mergeCell ref="E1910:E1912"/>
    <mergeCell ref="O1910:O1912"/>
    <mergeCell ref="P1910:P1912"/>
    <mergeCell ref="Q1910:Q1912"/>
    <mergeCell ref="T1910:T1912"/>
    <mergeCell ref="U1910:U1912"/>
    <mergeCell ref="V1910:V1912"/>
    <mergeCell ref="H1910:H1912"/>
    <mergeCell ref="I1910:I1912"/>
    <mergeCell ref="J1910:J1912"/>
    <mergeCell ref="K1910:K1912"/>
    <mergeCell ref="L1910:L1912"/>
    <mergeCell ref="M1910:M1912"/>
    <mergeCell ref="N1910:N1912"/>
    <mergeCell ref="F1910:F1912"/>
    <mergeCell ref="G1910:G1912"/>
    <mergeCell ref="B1913:B1915"/>
    <mergeCell ref="E1913:E1915"/>
    <mergeCell ref="F1913:F1915"/>
    <mergeCell ref="G1913:G1915"/>
    <mergeCell ref="H1913:H1915"/>
    <mergeCell ref="I1890:I1891"/>
    <mergeCell ref="J1890:J1891"/>
    <mergeCell ref="K1890:K1891"/>
    <mergeCell ref="L1890:L1891"/>
    <mergeCell ref="M1890:M1891"/>
    <mergeCell ref="N1890:N1891"/>
    <mergeCell ref="O1890:O1891"/>
    <mergeCell ref="N1892:N1894"/>
    <mergeCell ref="O1892:O1894"/>
    <mergeCell ref="G1892:G1894"/>
    <mergeCell ref="H1892:H1894"/>
    <mergeCell ref="I1892:I1894"/>
    <mergeCell ref="J1892:J1894"/>
    <mergeCell ref="K1892:K1894"/>
    <mergeCell ref="L1892:L1894"/>
    <mergeCell ref="M1892:M1894"/>
    <mergeCell ref="N1895:N1896"/>
    <mergeCell ref="O1895:O1896"/>
    <mergeCell ref="G1895:G1896"/>
    <mergeCell ref="H1895:H1896"/>
    <mergeCell ref="I1895:I1896"/>
    <mergeCell ref="J1895:J1896"/>
    <mergeCell ref="K1895:K1896"/>
    <mergeCell ref="L1895:L1896"/>
    <mergeCell ref="M1895:M1896"/>
    <mergeCell ref="F1903:F1904"/>
    <mergeCell ref="G1903:G1904"/>
    <mergeCell ref="B1901:B1902"/>
    <mergeCell ref="C1901:C1902"/>
    <mergeCell ref="D1901:D1902"/>
    <mergeCell ref="F1901:F1902"/>
    <mergeCell ref="G1901:G1902"/>
    <mergeCell ref="H1901:H1902"/>
    <mergeCell ref="B1903:B1904"/>
    <mergeCell ref="H1903:H1904"/>
    <mergeCell ref="B1881:B1883"/>
    <mergeCell ref="Q1881:Q1883"/>
    <mergeCell ref="T1881:T1883"/>
    <mergeCell ref="U1881:U1883"/>
    <mergeCell ref="V1881:V1883"/>
    <mergeCell ref="J1881:J1883"/>
    <mergeCell ref="K1881:K1883"/>
    <mergeCell ref="L1881:L1883"/>
    <mergeCell ref="M1881:M1883"/>
    <mergeCell ref="N1881:N1883"/>
    <mergeCell ref="O1881:O1883"/>
    <mergeCell ref="P1881:P1883"/>
    <mergeCell ref="E1876:E1878"/>
    <mergeCell ref="E1879:E1880"/>
    <mergeCell ref="E1881:E1883"/>
    <mergeCell ref="F1881:F1883"/>
    <mergeCell ref="G1881:G1883"/>
    <mergeCell ref="H1881:H1883"/>
    <mergeCell ref="I1881:I1883"/>
    <mergeCell ref="B1876:B1878"/>
    <mergeCell ref="C1876:C1878"/>
    <mergeCell ref="D1876:D1878"/>
    <mergeCell ref="F1876:F1878"/>
    <mergeCell ref="G1876:G1878"/>
    <mergeCell ref="H1876:H1878"/>
    <mergeCell ref="H1879:H1880"/>
    <mergeCell ref="T1884:T1886"/>
    <mergeCell ref="U1884:U1886"/>
    <mergeCell ref="V1884:V1886"/>
    <mergeCell ref="R1887:R1888"/>
    <mergeCell ref="S1887:S1888"/>
    <mergeCell ref="T1887:T1888"/>
    <mergeCell ref="U1887:U1888"/>
    <mergeCell ref="V1887:V1888"/>
    <mergeCell ref="K1884:K1886"/>
    <mergeCell ref="L1884:L1886"/>
    <mergeCell ref="M1884:M1886"/>
    <mergeCell ref="N1884:N1886"/>
    <mergeCell ref="O1884:O1886"/>
    <mergeCell ref="P1884:P1886"/>
    <mergeCell ref="Q1884:Q1886"/>
    <mergeCell ref="E1884:E1886"/>
    <mergeCell ref="E1887:E1888"/>
    <mergeCell ref="F1887:F1888"/>
    <mergeCell ref="G1887:G1888"/>
    <mergeCell ref="B1884:B1886"/>
    <mergeCell ref="F1884:F1886"/>
    <mergeCell ref="G1884:G1886"/>
    <mergeCell ref="H1884:H1886"/>
    <mergeCell ref="I1884:I1886"/>
    <mergeCell ref="J1884:J1886"/>
    <mergeCell ref="B1887:B1888"/>
    <mergeCell ref="J1887:J1888"/>
    <mergeCell ref="P1887:P1888"/>
    <mergeCell ref="Q1887:Q1888"/>
    <mergeCell ref="H1887:H1888"/>
    <mergeCell ref="I1887:I1888"/>
    <mergeCell ref="K1887:K1888"/>
    <mergeCell ref="L1887:L1888"/>
    <mergeCell ref="M1887:M1888"/>
    <mergeCell ref="N1887:N1888"/>
    <mergeCell ref="O1887:O1888"/>
    <mergeCell ref="B1873:B1875"/>
    <mergeCell ref="E1873:E1875"/>
    <mergeCell ref="O1873:O1875"/>
    <mergeCell ref="P1873:P1875"/>
    <mergeCell ref="Q1873:Q1875"/>
    <mergeCell ref="T1873:T1875"/>
    <mergeCell ref="U1873:U1875"/>
    <mergeCell ref="V1873:V1875"/>
    <mergeCell ref="N1865:N1866"/>
    <mergeCell ref="O1865:O1866"/>
    <mergeCell ref="P1865:P1866"/>
    <mergeCell ref="Q1865:Q1866"/>
    <mergeCell ref="R1865:R1866"/>
    <mergeCell ref="S1865:S1866"/>
    <mergeCell ref="T1865:T1866"/>
    <mergeCell ref="U1879:U1880"/>
    <mergeCell ref="V1879:V1880"/>
    <mergeCell ref="N1879:N1880"/>
    <mergeCell ref="O1879:O1880"/>
    <mergeCell ref="P1879:P1880"/>
    <mergeCell ref="Q1879:Q1880"/>
    <mergeCell ref="R1879:R1880"/>
    <mergeCell ref="S1879:S1880"/>
    <mergeCell ref="T1879:T1880"/>
    <mergeCell ref="M1873:M1875"/>
    <mergeCell ref="N1873:N1875"/>
    <mergeCell ref="F1873:F1875"/>
    <mergeCell ref="G1873:G1875"/>
    <mergeCell ref="H1873:H1875"/>
    <mergeCell ref="I1873:I1875"/>
    <mergeCell ref="J1873:J1875"/>
    <mergeCell ref="K1873:K1875"/>
    <mergeCell ref="L1873:L1875"/>
    <mergeCell ref="P1876:P1878"/>
    <mergeCell ref="Q1876:Q1878"/>
    <mergeCell ref="T1876:T1878"/>
    <mergeCell ref="U1876:U1878"/>
    <mergeCell ref="V1876:V1878"/>
    <mergeCell ref="I1876:I1878"/>
    <mergeCell ref="J1876:J1878"/>
    <mergeCell ref="K1876:K1878"/>
    <mergeCell ref="L1876:L1878"/>
    <mergeCell ref="M1876:M1878"/>
    <mergeCell ref="N1876:N1878"/>
    <mergeCell ref="O1876:O1878"/>
    <mergeCell ref="F1879:F1880"/>
    <mergeCell ref="G1879:G1880"/>
    <mergeCell ref="I1879:I1880"/>
    <mergeCell ref="J1879:J1880"/>
    <mergeCell ref="K1879:K1880"/>
    <mergeCell ref="L1879:L1880"/>
    <mergeCell ref="M1879:M1880"/>
    <mergeCell ref="B1879:B1880"/>
    <mergeCell ref="Q1871:Q1872"/>
    <mergeCell ref="T1871:T1872"/>
    <mergeCell ref="J1871:J1872"/>
    <mergeCell ref="K1871:K1872"/>
    <mergeCell ref="L1871:L1872"/>
    <mergeCell ref="M1871:M1872"/>
    <mergeCell ref="N1871:N1872"/>
    <mergeCell ref="O1871:O1872"/>
    <mergeCell ref="P1871:P1872"/>
    <mergeCell ref="U1865:U1866"/>
    <mergeCell ref="V1865:V1866"/>
    <mergeCell ref="U1871:U1872"/>
    <mergeCell ref="V1871:V1872"/>
    <mergeCell ref="B1861:B1863"/>
    <mergeCell ref="C1861:C1863"/>
    <mergeCell ref="D1861:D1863"/>
    <mergeCell ref="F1861:F1863"/>
    <mergeCell ref="G1861:G1863"/>
    <mergeCell ref="H1861:H1863"/>
    <mergeCell ref="H1865:H1866"/>
    <mergeCell ref="C1868:W1868"/>
    <mergeCell ref="B1869:V1869"/>
    <mergeCell ref="B1870:V1870"/>
    <mergeCell ref="F1865:F1866"/>
    <mergeCell ref="G1865:G1866"/>
    <mergeCell ref="I1865:I1866"/>
    <mergeCell ref="J1865:J1866"/>
    <mergeCell ref="K1865:K1866"/>
    <mergeCell ref="L1865:L1866"/>
    <mergeCell ref="M1865:M1866"/>
    <mergeCell ref="E1861:E1863"/>
    <mergeCell ref="E1865:E1866"/>
    <mergeCell ref="E1871:E1872"/>
    <mergeCell ref="F1871:F1872"/>
    <mergeCell ref="G1871:G1872"/>
    <mergeCell ref="H1871:H1872"/>
    <mergeCell ref="I1871:I1872"/>
    <mergeCell ref="B1865:B1866"/>
    <mergeCell ref="A1868:B1868"/>
    <mergeCell ref="B1871:B1872"/>
    <mergeCell ref="C1871:C1872"/>
    <mergeCell ref="D1871:D1872"/>
    <mergeCell ref="B1822:B1824"/>
    <mergeCell ref="C1822:C1824"/>
    <mergeCell ref="D1822:D1824"/>
    <mergeCell ref="F1822:F1824"/>
    <mergeCell ref="G1822:G1824"/>
    <mergeCell ref="H1822:H1824"/>
    <mergeCell ref="B1825:B1829"/>
    <mergeCell ref="R1830:R1833"/>
    <mergeCell ref="S1830:S1833"/>
    <mergeCell ref="T1830:T1833"/>
    <mergeCell ref="U1830:U1833"/>
    <mergeCell ref="V1830:V1833"/>
    <mergeCell ref="K1830:K1833"/>
    <mergeCell ref="L1830:L1833"/>
    <mergeCell ref="M1830:M1833"/>
    <mergeCell ref="N1830:N1833"/>
    <mergeCell ref="O1830:O1833"/>
    <mergeCell ref="P1830:P1833"/>
    <mergeCell ref="Q1830:Q1833"/>
    <mergeCell ref="E1830:E1833"/>
    <mergeCell ref="E1834:E1836"/>
    <mergeCell ref="E1838:E1840"/>
    <mergeCell ref="P1834:P1836"/>
    <mergeCell ref="Q1834:Q1836"/>
    <mergeCell ref="T1834:T1836"/>
    <mergeCell ref="U1834:U1836"/>
    <mergeCell ref="V1834:V1836"/>
    <mergeCell ref="H1834:H1836"/>
    <mergeCell ref="I1834:I1836"/>
    <mergeCell ref="K1834:K1836"/>
    <mergeCell ref="L1834:L1836"/>
    <mergeCell ref="M1834:M1836"/>
    <mergeCell ref="N1834:N1836"/>
    <mergeCell ref="O1834:O1836"/>
    <mergeCell ref="B1834:B1836"/>
    <mergeCell ref="B1838:B1840"/>
    <mergeCell ref="T1838:T1840"/>
    <mergeCell ref="U1838:U1840"/>
    <mergeCell ref="V1838:V1840"/>
    <mergeCell ref="K1838:K1840"/>
    <mergeCell ref="L1838:L1840"/>
    <mergeCell ref="M1838:M1840"/>
    <mergeCell ref="N1838:N1840"/>
    <mergeCell ref="O1838:O1840"/>
    <mergeCell ref="P1838:P1840"/>
    <mergeCell ref="Q1838:Q1840"/>
    <mergeCell ref="J1811:J1813"/>
    <mergeCell ref="K1811:K1813"/>
    <mergeCell ref="L1811:L1813"/>
    <mergeCell ref="M1811:M1813"/>
    <mergeCell ref="N1811:N1813"/>
    <mergeCell ref="O1811:O1813"/>
    <mergeCell ref="P1811:P1813"/>
    <mergeCell ref="O1825:O1829"/>
    <mergeCell ref="P1825:P1829"/>
    <mergeCell ref="H1825:H1829"/>
    <mergeCell ref="I1825:I1829"/>
    <mergeCell ref="J1825:J1829"/>
    <mergeCell ref="K1825:K1829"/>
    <mergeCell ref="L1825:L1829"/>
    <mergeCell ref="M1825:M1829"/>
    <mergeCell ref="N1825:N1829"/>
    <mergeCell ref="U1825:U1829"/>
    <mergeCell ref="V1825:V1829"/>
    <mergeCell ref="P1822:P1824"/>
    <mergeCell ref="Q1822:Q1824"/>
    <mergeCell ref="T1822:T1824"/>
    <mergeCell ref="U1822:U1824"/>
    <mergeCell ref="V1822:V1824"/>
    <mergeCell ref="Q1825:Q1829"/>
    <mergeCell ref="R1825:R1829"/>
    <mergeCell ref="L1819:L1821"/>
    <mergeCell ref="M1819:M1821"/>
    <mergeCell ref="E1819:E1821"/>
    <mergeCell ref="F1819:F1821"/>
    <mergeCell ref="G1819:G1821"/>
    <mergeCell ref="H1819:H1821"/>
    <mergeCell ref="I1819:I1821"/>
    <mergeCell ref="J1819:J1821"/>
    <mergeCell ref="K1819:K1821"/>
    <mergeCell ref="I1822:I1824"/>
    <mergeCell ref="J1822:J1824"/>
    <mergeCell ref="K1822:K1824"/>
    <mergeCell ref="L1822:L1824"/>
    <mergeCell ref="M1822:M1824"/>
    <mergeCell ref="N1822:N1824"/>
    <mergeCell ref="O1822:O1824"/>
    <mergeCell ref="E1822:E1824"/>
    <mergeCell ref="E1825:E1829"/>
    <mergeCell ref="F1825:F1829"/>
    <mergeCell ref="G1825:G1829"/>
    <mergeCell ref="S1825:S1829"/>
    <mergeCell ref="T1825:T1829"/>
    <mergeCell ref="P1861:P1863"/>
    <mergeCell ref="Q1861:Q1863"/>
    <mergeCell ref="T1861:T1863"/>
    <mergeCell ref="U1861:U1863"/>
    <mergeCell ref="V1861:V1863"/>
    <mergeCell ref="I1861:I1863"/>
    <mergeCell ref="J1861:J1863"/>
    <mergeCell ref="K1861:K1863"/>
    <mergeCell ref="L1861:L1863"/>
    <mergeCell ref="M1861:M1863"/>
    <mergeCell ref="N1861:N1863"/>
    <mergeCell ref="O1861:O1863"/>
    <mergeCell ref="K1800:K1802"/>
    <mergeCell ref="L1800:L1802"/>
    <mergeCell ref="M1800:M1802"/>
    <mergeCell ref="N1800:N1802"/>
    <mergeCell ref="O1800:O1802"/>
    <mergeCell ref="P1800:P1802"/>
    <mergeCell ref="Q1800:Q1802"/>
    <mergeCell ref="E1800:E1802"/>
    <mergeCell ref="E1803:E1804"/>
    <mergeCell ref="B1800:B1802"/>
    <mergeCell ref="F1800:F1802"/>
    <mergeCell ref="G1800:G1802"/>
    <mergeCell ref="H1800:H1802"/>
    <mergeCell ref="I1800:I1802"/>
    <mergeCell ref="J1800:J1802"/>
    <mergeCell ref="B1803:B1804"/>
    <mergeCell ref="J1803:J1804"/>
    <mergeCell ref="P1803:P1804"/>
    <mergeCell ref="Q1803:Q1804"/>
    <mergeCell ref="T1803:T1804"/>
    <mergeCell ref="U1803:U1804"/>
    <mergeCell ref="V1803:V1804"/>
    <mergeCell ref="H1803:H1804"/>
    <mergeCell ref="I1803:I1804"/>
    <mergeCell ref="K1803:K1804"/>
    <mergeCell ref="L1803:L1804"/>
    <mergeCell ref="M1803:M1804"/>
    <mergeCell ref="N1803:N1804"/>
    <mergeCell ref="O1803:O1804"/>
    <mergeCell ref="P1805:P1807"/>
    <mergeCell ref="Q1805:Q1807"/>
    <mergeCell ref="T1805:T1807"/>
    <mergeCell ref="U1805:U1807"/>
    <mergeCell ref="V1805:V1807"/>
    <mergeCell ref="I1805:I1807"/>
    <mergeCell ref="J1805:J1807"/>
    <mergeCell ref="K1805:K1807"/>
    <mergeCell ref="L1805:L1807"/>
    <mergeCell ref="M1805:M1807"/>
    <mergeCell ref="N1805:N1807"/>
    <mergeCell ref="O1805:O1807"/>
    <mergeCell ref="N1808:N1810"/>
    <mergeCell ref="O1808:O1810"/>
    <mergeCell ref="P1808:P1810"/>
    <mergeCell ref="Q1808:Q1810"/>
    <mergeCell ref="T1808:T1810"/>
    <mergeCell ref="U1808:U1810"/>
    <mergeCell ref="V1808:V1810"/>
    <mergeCell ref="F1808:F1810"/>
    <mergeCell ref="G1808:G1810"/>
    <mergeCell ref="I1808:I1810"/>
    <mergeCell ref="J1808:J1810"/>
    <mergeCell ref="E1854:E1856"/>
    <mergeCell ref="F1854:F1856"/>
    <mergeCell ref="G1854:G1856"/>
    <mergeCell ref="Q1854:Q1856"/>
    <mergeCell ref="T1854:T1856"/>
    <mergeCell ref="U1854:U1856"/>
    <mergeCell ref="V1854:V1856"/>
    <mergeCell ref="J1854:J1856"/>
    <mergeCell ref="K1854:K1856"/>
    <mergeCell ref="L1854:L1856"/>
    <mergeCell ref="M1854:M1856"/>
    <mergeCell ref="N1854:N1856"/>
    <mergeCell ref="O1854:O1856"/>
    <mergeCell ref="P1854:P1856"/>
    <mergeCell ref="B1857:V1857"/>
    <mergeCell ref="H1854:H1856"/>
    <mergeCell ref="I1854:I1856"/>
    <mergeCell ref="B1851:B1853"/>
    <mergeCell ref="F1851:F1853"/>
    <mergeCell ref="G1851:G1853"/>
    <mergeCell ref="H1851:H1853"/>
    <mergeCell ref="I1851:I1853"/>
    <mergeCell ref="J1851:J1853"/>
    <mergeCell ref="B1854:B1856"/>
    <mergeCell ref="P1858:P1860"/>
    <mergeCell ref="Q1858:Q1860"/>
    <mergeCell ref="T1858:T1860"/>
    <mergeCell ref="U1858:U1860"/>
    <mergeCell ref="V1858:V1860"/>
    <mergeCell ref="I1858:I1860"/>
    <mergeCell ref="J1858:J1860"/>
    <mergeCell ref="K1858:K1860"/>
    <mergeCell ref="L1858:L1860"/>
    <mergeCell ref="M1858:M1860"/>
    <mergeCell ref="N1858:N1860"/>
    <mergeCell ref="O1858:O1860"/>
    <mergeCell ref="B1858:B1860"/>
    <mergeCell ref="C1858:C1860"/>
    <mergeCell ref="D1858:D1860"/>
    <mergeCell ref="E1858:E1860"/>
    <mergeCell ref="F1858:F1860"/>
    <mergeCell ref="G1858:G1860"/>
    <mergeCell ref="H1858:H1860"/>
    <mergeCell ref="E1848:E1850"/>
    <mergeCell ref="F1848:F1850"/>
    <mergeCell ref="G1848:G1850"/>
    <mergeCell ref="Q1848:Q1850"/>
    <mergeCell ref="T1848:T1850"/>
    <mergeCell ref="U1848:U1850"/>
    <mergeCell ref="V1848:V1850"/>
    <mergeCell ref="J1848:J1850"/>
    <mergeCell ref="K1848:K1850"/>
    <mergeCell ref="L1848:L1850"/>
    <mergeCell ref="M1848:M1850"/>
    <mergeCell ref="N1848:N1850"/>
    <mergeCell ref="O1848:O1850"/>
    <mergeCell ref="P1848:P1850"/>
    <mergeCell ref="H1848:H1850"/>
    <mergeCell ref="I1848:I1850"/>
    <mergeCell ref="B1846:B1847"/>
    <mergeCell ref="F1846:F1847"/>
    <mergeCell ref="G1846:G1847"/>
    <mergeCell ref="H1846:H1847"/>
    <mergeCell ref="I1846:I1847"/>
    <mergeCell ref="J1846:J1847"/>
    <mergeCell ref="B1848:B1850"/>
    <mergeCell ref="T1851:T1853"/>
    <mergeCell ref="U1851:U1853"/>
    <mergeCell ref="V1851:V1853"/>
    <mergeCell ref="K1851:K1853"/>
    <mergeCell ref="L1851:L1853"/>
    <mergeCell ref="M1851:M1853"/>
    <mergeCell ref="N1851:N1853"/>
    <mergeCell ref="O1851:O1853"/>
    <mergeCell ref="P1851:P1853"/>
    <mergeCell ref="Q1851:Q1853"/>
    <mergeCell ref="E1851:E1853"/>
    <mergeCell ref="E1843:E1845"/>
    <mergeCell ref="F1843:F1845"/>
    <mergeCell ref="G1843:G1845"/>
    <mergeCell ref="Q1843:Q1845"/>
    <mergeCell ref="T1843:T1845"/>
    <mergeCell ref="U1843:U1845"/>
    <mergeCell ref="V1843:V1845"/>
    <mergeCell ref="J1843:J1845"/>
    <mergeCell ref="K1843:K1845"/>
    <mergeCell ref="L1843:L1845"/>
    <mergeCell ref="M1843:M1845"/>
    <mergeCell ref="N1843:N1845"/>
    <mergeCell ref="O1843:O1845"/>
    <mergeCell ref="P1843:P1845"/>
    <mergeCell ref="H1843:H1845"/>
    <mergeCell ref="I1843:I1845"/>
    <mergeCell ref="B1841:B1842"/>
    <mergeCell ref="F1841:F1842"/>
    <mergeCell ref="G1841:G1842"/>
    <mergeCell ref="H1841:H1842"/>
    <mergeCell ref="I1841:I1842"/>
    <mergeCell ref="J1841:J1842"/>
    <mergeCell ref="B1843:B1845"/>
    <mergeCell ref="R1846:R1847"/>
    <mergeCell ref="S1846:S1847"/>
    <mergeCell ref="T1846:T1847"/>
    <mergeCell ref="U1846:U1847"/>
    <mergeCell ref="V1846:V1847"/>
    <mergeCell ref="K1846:K1847"/>
    <mergeCell ref="L1846:L1847"/>
    <mergeCell ref="M1846:M1847"/>
    <mergeCell ref="N1846:N1847"/>
    <mergeCell ref="O1846:O1847"/>
    <mergeCell ref="P1846:P1847"/>
    <mergeCell ref="Q1846:Q1847"/>
    <mergeCell ref="E1846:E1847"/>
    <mergeCell ref="O1672:O1675"/>
    <mergeCell ref="P1672:P1675"/>
    <mergeCell ref="H1672:H1675"/>
    <mergeCell ref="I1672:I1675"/>
    <mergeCell ref="J1672:J1675"/>
    <mergeCell ref="K1672:K1675"/>
    <mergeCell ref="L1672:L1675"/>
    <mergeCell ref="M1672:M1675"/>
    <mergeCell ref="N1672:N1675"/>
    <mergeCell ref="B1830:B1833"/>
    <mergeCell ref="F1830:F1833"/>
    <mergeCell ref="G1830:G1833"/>
    <mergeCell ref="H1830:H1833"/>
    <mergeCell ref="I1830:I1833"/>
    <mergeCell ref="J1830:J1833"/>
    <mergeCell ref="J1834:J1836"/>
    <mergeCell ref="F1834:F1836"/>
    <mergeCell ref="G1834:G1836"/>
    <mergeCell ref="F1838:F1840"/>
    <mergeCell ref="G1838:G1840"/>
    <mergeCell ref="H1838:H1840"/>
    <mergeCell ref="I1838:I1840"/>
    <mergeCell ref="J1838:J1840"/>
    <mergeCell ref="T1841:T1842"/>
    <mergeCell ref="U1841:U1842"/>
    <mergeCell ref="V1841:V1842"/>
    <mergeCell ref="K1841:K1842"/>
    <mergeCell ref="L1841:L1842"/>
    <mergeCell ref="M1841:M1842"/>
    <mergeCell ref="N1841:N1842"/>
    <mergeCell ref="O1841:O1842"/>
    <mergeCell ref="P1841:P1842"/>
    <mergeCell ref="Q1841:Q1842"/>
    <mergeCell ref="E1841:E1842"/>
    <mergeCell ref="K1808:K1810"/>
    <mergeCell ref="L1808:L1810"/>
    <mergeCell ref="M1808:M1810"/>
    <mergeCell ref="B1808:B1810"/>
    <mergeCell ref="B1811:B1813"/>
    <mergeCell ref="B1814:B1816"/>
    <mergeCell ref="B1819:B1821"/>
    <mergeCell ref="F1803:F1804"/>
    <mergeCell ref="G1803:G1804"/>
    <mergeCell ref="B1805:B1807"/>
    <mergeCell ref="F1805:F1807"/>
    <mergeCell ref="G1805:G1807"/>
    <mergeCell ref="H1805:H1807"/>
    <mergeCell ref="H1808:H1810"/>
    <mergeCell ref="B1817:V1817"/>
    <mergeCell ref="B1818:V1818"/>
    <mergeCell ref="E1805:E1807"/>
    <mergeCell ref="E1808:E1810"/>
    <mergeCell ref="E1811:E1813"/>
    <mergeCell ref="F1811:F1813"/>
    <mergeCell ref="G1811:G1813"/>
    <mergeCell ref="H1811:H1813"/>
    <mergeCell ref="I1811:I1813"/>
    <mergeCell ref="N1819:N1821"/>
    <mergeCell ref="O1819:O1821"/>
    <mergeCell ref="P1819:P1821"/>
    <mergeCell ref="Q1819:Q1821"/>
    <mergeCell ref="T1819:T1821"/>
    <mergeCell ref="U1819:U1821"/>
    <mergeCell ref="V1819:V1821"/>
    <mergeCell ref="B1646:B1648"/>
    <mergeCell ref="B1649:B1650"/>
    <mergeCell ref="B1651:B1652"/>
    <mergeCell ref="B1653:B1654"/>
    <mergeCell ref="B1655:B1657"/>
    <mergeCell ref="C1655:C1657"/>
    <mergeCell ref="D1655:D1657"/>
    <mergeCell ref="N1655:N1657"/>
    <mergeCell ref="O1655:O1657"/>
    <mergeCell ref="P1655:P1657"/>
    <mergeCell ref="Q1655:Q1657"/>
    <mergeCell ref="T1655:T1657"/>
    <mergeCell ref="U1655:U1657"/>
    <mergeCell ref="V1655:V1657"/>
    <mergeCell ref="E1653:E1654"/>
    <mergeCell ref="F1653:F1654"/>
    <mergeCell ref="G1653:G1654"/>
    <mergeCell ref="H1653:H1654"/>
    <mergeCell ref="I1653:I1654"/>
    <mergeCell ref="J1653:J1654"/>
    <mergeCell ref="K1653:K1654"/>
    <mergeCell ref="L1655:L1657"/>
    <mergeCell ref="M1655:M1657"/>
    <mergeCell ref="E1655:E1657"/>
    <mergeCell ref="E1658:E1660"/>
    <mergeCell ref="F1658:F1660"/>
    <mergeCell ref="G1658:G1660"/>
    <mergeCell ref="H1658:H1660"/>
    <mergeCell ref="I1658:I1660"/>
    <mergeCell ref="Q1658:Q1660"/>
    <mergeCell ref="T1658:T1660"/>
    <mergeCell ref="U1658:U1660"/>
    <mergeCell ref="V1658:V1660"/>
    <mergeCell ref="J1658:J1660"/>
    <mergeCell ref="K1658:K1660"/>
    <mergeCell ref="L1658:L1660"/>
    <mergeCell ref="M1658:M1660"/>
    <mergeCell ref="N1658:N1660"/>
    <mergeCell ref="O1658:O1660"/>
    <mergeCell ref="P1658:P1660"/>
    <mergeCell ref="F1655:F1657"/>
    <mergeCell ref="G1655:G1657"/>
    <mergeCell ref="H1655:H1657"/>
    <mergeCell ref="I1655:I1657"/>
    <mergeCell ref="J1655:J1657"/>
    <mergeCell ref="K1655:K1657"/>
    <mergeCell ref="B1658:B1660"/>
    <mergeCell ref="F1646:F1648"/>
    <mergeCell ref="G1646:G1648"/>
    <mergeCell ref="P1646:P1648"/>
    <mergeCell ref="Q1646:Q1648"/>
    <mergeCell ref="T1646:T1648"/>
    <mergeCell ref="U1646:U1648"/>
    <mergeCell ref="V1646:V1648"/>
    <mergeCell ref="H1646:H1648"/>
    <mergeCell ref="I1646:I1648"/>
    <mergeCell ref="K1646:K1648"/>
    <mergeCell ref="L1646:L1648"/>
    <mergeCell ref="M1646:M1648"/>
    <mergeCell ref="N1646:N1648"/>
    <mergeCell ref="O1646:O1648"/>
    <mergeCell ref="L1651:L1652"/>
    <mergeCell ref="M1651:M1652"/>
    <mergeCell ref="N1651:N1652"/>
    <mergeCell ref="O1651:O1652"/>
    <mergeCell ref="P1651:P1652"/>
    <mergeCell ref="Q1651:Q1652"/>
    <mergeCell ref="T1651:T1652"/>
    <mergeCell ref="E1651:E1652"/>
    <mergeCell ref="F1651:F1652"/>
    <mergeCell ref="G1651:G1652"/>
    <mergeCell ref="H1651:H1652"/>
    <mergeCell ref="I1651:I1652"/>
    <mergeCell ref="J1651:J1652"/>
    <mergeCell ref="K1651:K1652"/>
    <mergeCell ref="U1653:U1654"/>
    <mergeCell ref="V1653:V1654"/>
    <mergeCell ref="L1653:L1654"/>
    <mergeCell ref="M1653:M1654"/>
    <mergeCell ref="N1653:N1654"/>
    <mergeCell ref="O1653:O1654"/>
    <mergeCell ref="P1653:P1654"/>
    <mergeCell ref="Q1653:Q1654"/>
    <mergeCell ref="T1653:T1654"/>
    <mergeCell ref="J1646:J1648"/>
    <mergeCell ref="Q1649:Q1650"/>
    <mergeCell ref="R1649:R1650"/>
    <mergeCell ref="S1649:S1650"/>
    <mergeCell ref="T1649:T1650"/>
    <mergeCell ref="U1649:U1650"/>
    <mergeCell ref="V1649:V1650"/>
    <mergeCell ref="J1649:J1650"/>
    <mergeCell ref="K1649:K1650"/>
    <mergeCell ref="L1649:L1650"/>
    <mergeCell ref="M1649:M1650"/>
    <mergeCell ref="N1649:N1650"/>
    <mergeCell ref="O1649:O1650"/>
    <mergeCell ref="P1649:P1650"/>
    <mergeCell ref="E1646:E1648"/>
    <mergeCell ref="E1649:E1650"/>
    <mergeCell ref="F1649:F1650"/>
    <mergeCell ref="G1649:G1650"/>
    <mergeCell ref="H1649:H1650"/>
    <mergeCell ref="I1649:I1650"/>
    <mergeCell ref="U1651:U1652"/>
    <mergeCell ref="V1651:V1652"/>
    <mergeCell ref="E1639:E1640"/>
    <mergeCell ref="O1639:O1640"/>
    <mergeCell ref="P1639:P1640"/>
    <mergeCell ref="Q1639:Q1640"/>
    <mergeCell ref="R1639:R1640"/>
    <mergeCell ref="S1639:S1640"/>
    <mergeCell ref="T1639:T1640"/>
    <mergeCell ref="U1639:U1640"/>
    <mergeCell ref="V1639:V1640"/>
    <mergeCell ref="F1639:F1640"/>
    <mergeCell ref="G1639:G1640"/>
    <mergeCell ref="J1639:J1640"/>
    <mergeCell ref="K1639:K1640"/>
    <mergeCell ref="L1639:L1640"/>
    <mergeCell ref="M1639:M1640"/>
    <mergeCell ref="N1639:N1640"/>
    <mergeCell ref="I1625:I1627"/>
    <mergeCell ref="E1629:E1631"/>
    <mergeCell ref="F1629:F1631"/>
    <mergeCell ref="G1629:G1631"/>
    <mergeCell ref="H1629:H1631"/>
    <mergeCell ref="I1629:I1631"/>
    <mergeCell ref="A1633:B1633"/>
    <mergeCell ref="H1639:H1640"/>
    <mergeCell ref="I1639:I1640"/>
    <mergeCell ref="B1629:B1631"/>
    <mergeCell ref="B1636:B1638"/>
    <mergeCell ref="F1636:F1638"/>
    <mergeCell ref="G1636:G1638"/>
    <mergeCell ref="H1636:H1638"/>
    <mergeCell ref="I1636:I1638"/>
    <mergeCell ref="B1639:B1640"/>
    <mergeCell ref="T1641:T1644"/>
    <mergeCell ref="U1641:U1644"/>
    <mergeCell ref="V1641:V1644"/>
    <mergeCell ref="K1641:K1644"/>
    <mergeCell ref="L1641:L1644"/>
    <mergeCell ref="M1641:M1644"/>
    <mergeCell ref="N1641:N1644"/>
    <mergeCell ref="O1641:O1644"/>
    <mergeCell ref="P1641:P1644"/>
    <mergeCell ref="Q1641:Q1644"/>
    <mergeCell ref="B1641:B1644"/>
    <mergeCell ref="F1641:F1644"/>
    <mergeCell ref="G1641:G1644"/>
    <mergeCell ref="H1641:H1644"/>
    <mergeCell ref="I1641:I1644"/>
    <mergeCell ref="J1641:J1644"/>
    <mergeCell ref="E1641:E1644"/>
    <mergeCell ref="Q1636:Q1638"/>
    <mergeCell ref="T1636:T1638"/>
    <mergeCell ref="J1636:J1638"/>
    <mergeCell ref="K1636:K1638"/>
    <mergeCell ref="L1636:L1638"/>
    <mergeCell ref="M1636:M1638"/>
    <mergeCell ref="N1636:N1638"/>
    <mergeCell ref="O1636:O1638"/>
    <mergeCell ref="P1636:P1638"/>
    <mergeCell ref="B1625:B1627"/>
    <mergeCell ref="C1625:C1627"/>
    <mergeCell ref="D1625:D1627"/>
    <mergeCell ref="E1625:E1627"/>
    <mergeCell ref="F1625:F1627"/>
    <mergeCell ref="G1625:G1627"/>
    <mergeCell ref="H1625:H1627"/>
    <mergeCell ref="T1625:T1627"/>
    <mergeCell ref="U1625:U1627"/>
    <mergeCell ref="V1625:V1627"/>
    <mergeCell ref="P1622:P1623"/>
    <mergeCell ref="Q1622:Q1623"/>
    <mergeCell ref="R1622:R1623"/>
    <mergeCell ref="S1622:S1623"/>
    <mergeCell ref="T1622:T1623"/>
    <mergeCell ref="U1622:U1623"/>
    <mergeCell ref="V1622:V1623"/>
    <mergeCell ref="P1625:P1627"/>
    <mergeCell ref="Q1625:Q1627"/>
    <mergeCell ref="J1625:J1627"/>
    <mergeCell ref="K1625:K1627"/>
    <mergeCell ref="L1625:L1627"/>
    <mergeCell ref="M1625:M1627"/>
    <mergeCell ref="N1625:N1627"/>
    <mergeCell ref="O1625:O1627"/>
    <mergeCell ref="B1628:V1628"/>
    <mergeCell ref="Q1629:Q1631"/>
    <mergeCell ref="T1629:T1631"/>
    <mergeCell ref="U1629:U1631"/>
    <mergeCell ref="V1629:V1631"/>
    <mergeCell ref="U1636:U1638"/>
    <mergeCell ref="V1636:V1638"/>
    <mergeCell ref="C1633:W1633"/>
    <mergeCell ref="B1634:V1634"/>
    <mergeCell ref="B1635:V1635"/>
    <mergeCell ref="J1629:J1631"/>
    <mergeCell ref="K1629:K1631"/>
    <mergeCell ref="L1629:L1631"/>
    <mergeCell ref="M1629:M1631"/>
    <mergeCell ref="N1629:N1631"/>
    <mergeCell ref="O1629:O1631"/>
    <mergeCell ref="P1629:P1631"/>
    <mergeCell ref="E1636:E1638"/>
    <mergeCell ref="I1622:I1623"/>
    <mergeCell ref="J1622:J1623"/>
    <mergeCell ref="K1622:K1623"/>
    <mergeCell ref="L1622:L1623"/>
    <mergeCell ref="M1622:M1623"/>
    <mergeCell ref="N1622:N1623"/>
    <mergeCell ref="O1622:O1623"/>
    <mergeCell ref="B1622:B1623"/>
    <mergeCell ref="C1622:C1623"/>
    <mergeCell ref="D1622:D1623"/>
    <mergeCell ref="E1622:E1623"/>
    <mergeCell ref="F1622:F1623"/>
    <mergeCell ref="G1622:G1623"/>
    <mergeCell ref="H1622:H1623"/>
    <mergeCell ref="H1615:H1618"/>
    <mergeCell ref="I1615:I1618"/>
    <mergeCell ref="B1613:B1614"/>
    <mergeCell ref="F1613:F1614"/>
    <mergeCell ref="G1613:G1614"/>
    <mergeCell ref="H1613:H1614"/>
    <mergeCell ref="I1613:I1614"/>
    <mergeCell ref="J1613:J1614"/>
    <mergeCell ref="B1615:B1618"/>
    <mergeCell ref="R1619:R1621"/>
    <mergeCell ref="S1619:S1621"/>
    <mergeCell ref="T1619:T1621"/>
    <mergeCell ref="U1619:U1621"/>
    <mergeCell ref="V1619:V1621"/>
    <mergeCell ref="K1619:K1621"/>
    <mergeCell ref="L1619:L1621"/>
    <mergeCell ref="M1619:M1621"/>
    <mergeCell ref="N1619:N1621"/>
    <mergeCell ref="O1619:O1621"/>
    <mergeCell ref="P1619:P1621"/>
    <mergeCell ref="Q1619:Q1621"/>
    <mergeCell ref="B1619:B1621"/>
    <mergeCell ref="E1619:E1621"/>
    <mergeCell ref="F1619:F1621"/>
    <mergeCell ref="G1619:G1621"/>
    <mergeCell ref="H1619:H1621"/>
    <mergeCell ref="I1619:I1621"/>
    <mergeCell ref="J1619:J1621"/>
    <mergeCell ref="T1613:T1614"/>
    <mergeCell ref="U1613:U1614"/>
    <mergeCell ref="V1613:V1614"/>
    <mergeCell ref="K1613:K1614"/>
    <mergeCell ref="L1613:L1614"/>
    <mergeCell ref="M1613:M1614"/>
    <mergeCell ref="N1613:N1614"/>
    <mergeCell ref="O1613:O1614"/>
    <mergeCell ref="P1613:P1614"/>
    <mergeCell ref="Q1613:Q1614"/>
    <mergeCell ref="E1613:E1614"/>
    <mergeCell ref="E1615:E1618"/>
    <mergeCell ref="F1615:F1618"/>
    <mergeCell ref="G1615:G1618"/>
    <mergeCell ref="Q1615:Q1618"/>
    <mergeCell ref="T1615:T1618"/>
    <mergeCell ref="U1615:U1618"/>
    <mergeCell ref="V1615:V1618"/>
    <mergeCell ref="J1615:J1618"/>
    <mergeCell ref="K1615:K1618"/>
    <mergeCell ref="L1615:L1618"/>
    <mergeCell ref="M1615:M1618"/>
    <mergeCell ref="R1572:R1573"/>
    <mergeCell ref="S1572:S1573"/>
    <mergeCell ref="T1572:T1575"/>
    <mergeCell ref="U1572:U1575"/>
    <mergeCell ref="V1572:V1575"/>
    <mergeCell ref="R1574:R1575"/>
    <mergeCell ref="S1574:S1575"/>
    <mergeCell ref="K1572:K1575"/>
    <mergeCell ref="L1572:L1575"/>
    <mergeCell ref="M1572:M1575"/>
    <mergeCell ref="N1572:N1575"/>
    <mergeCell ref="O1572:O1575"/>
    <mergeCell ref="P1572:P1575"/>
    <mergeCell ref="Q1572:Q1575"/>
    <mergeCell ref="B1572:B1575"/>
    <mergeCell ref="E1572:E1575"/>
    <mergeCell ref="F1572:F1575"/>
    <mergeCell ref="G1572:G1575"/>
    <mergeCell ref="H1572:H1575"/>
    <mergeCell ref="I1572:I1575"/>
    <mergeCell ref="J1572:J1575"/>
    <mergeCell ref="P1576:P1577"/>
    <mergeCell ref="Q1576:Q1577"/>
    <mergeCell ref="R1576:R1577"/>
    <mergeCell ref="S1576:S1577"/>
    <mergeCell ref="T1576:T1577"/>
    <mergeCell ref="U1576:U1577"/>
    <mergeCell ref="V1576:V1577"/>
    <mergeCell ref="I1576:I1577"/>
    <mergeCell ref="J1576:J1577"/>
    <mergeCell ref="K1576:K1577"/>
    <mergeCell ref="L1576:L1577"/>
    <mergeCell ref="M1576:M1577"/>
    <mergeCell ref="N1576:N1577"/>
    <mergeCell ref="O1576:O1577"/>
    <mergeCell ref="B1561:V1561"/>
    <mergeCell ref="B1562:V1562"/>
    <mergeCell ref="B1548:B1550"/>
    <mergeCell ref="B1551:B1553"/>
    <mergeCell ref="C1551:C1553"/>
    <mergeCell ref="D1551:D1553"/>
    <mergeCell ref="F1551:F1553"/>
    <mergeCell ref="G1551:G1553"/>
    <mergeCell ref="B1554:B1556"/>
    <mergeCell ref="B1569:B1571"/>
    <mergeCell ref="E1569:E1571"/>
    <mergeCell ref="F1569:F1571"/>
    <mergeCell ref="G1569:G1571"/>
    <mergeCell ref="H1569:H1571"/>
    <mergeCell ref="I1569:I1571"/>
    <mergeCell ref="J1569:J1571"/>
    <mergeCell ref="K1569:K1571"/>
    <mergeCell ref="L1569:L1571"/>
    <mergeCell ref="M1569:M1571"/>
    <mergeCell ref="N1569:N1571"/>
    <mergeCell ref="O1569:O1571"/>
    <mergeCell ref="P1569:P1571"/>
    <mergeCell ref="Q1569:Q1571"/>
    <mergeCell ref="T1563:T1565"/>
    <mergeCell ref="U1563:U1565"/>
    <mergeCell ref="V1563:V1565"/>
    <mergeCell ref="K1563:K1565"/>
    <mergeCell ref="L1563:L1565"/>
    <mergeCell ref="M1563:M1565"/>
    <mergeCell ref="N1563:N1565"/>
    <mergeCell ref="O1563:O1565"/>
    <mergeCell ref="P1563:P1565"/>
    <mergeCell ref="Q1563:Q1565"/>
    <mergeCell ref="E1563:E1565"/>
    <mergeCell ref="E1566:E1568"/>
    <mergeCell ref="F1566:F1568"/>
    <mergeCell ref="G1566:G1568"/>
    <mergeCell ref="Q1566:Q1568"/>
    <mergeCell ref="T1566:T1568"/>
    <mergeCell ref="U1566:U1568"/>
    <mergeCell ref="V1566:V1568"/>
    <mergeCell ref="J1566:J1568"/>
    <mergeCell ref="K1566:K1568"/>
    <mergeCell ref="L1566:L1568"/>
    <mergeCell ref="M1566:M1568"/>
    <mergeCell ref="N1566:N1568"/>
    <mergeCell ref="O1566:O1568"/>
    <mergeCell ref="P1566:P1568"/>
    <mergeCell ref="T1569:T1571"/>
    <mergeCell ref="U1569:U1571"/>
    <mergeCell ref="V1569:V1571"/>
    <mergeCell ref="H1566:H1568"/>
    <mergeCell ref="I1566:I1568"/>
    <mergeCell ref="B1563:B1565"/>
    <mergeCell ref="F1563:F1565"/>
    <mergeCell ref="G1563:G1565"/>
    <mergeCell ref="H1563:H1565"/>
    <mergeCell ref="I1563:I1565"/>
    <mergeCell ref="J1563:J1565"/>
    <mergeCell ref="B1566:B1568"/>
    <mergeCell ref="K1558:K1560"/>
    <mergeCell ref="L1558:L1560"/>
    <mergeCell ref="M1558:M1560"/>
    <mergeCell ref="N1558:N1560"/>
    <mergeCell ref="O1558:O1560"/>
    <mergeCell ref="P1558:P1560"/>
    <mergeCell ref="Q1558:Q1560"/>
    <mergeCell ref="B1558:B1560"/>
    <mergeCell ref="E1558:E1560"/>
    <mergeCell ref="F1558:F1560"/>
    <mergeCell ref="G1558:G1560"/>
    <mergeCell ref="H1558:H1560"/>
    <mergeCell ref="I1558:I1560"/>
    <mergeCell ref="J1558:J1560"/>
    <mergeCell ref="E1551:E1553"/>
    <mergeCell ref="E1554:E1556"/>
    <mergeCell ref="F1554:F1556"/>
    <mergeCell ref="G1554:G1556"/>
    <mergeCell ref="H1554:H1556"/>
    <mergeCell ref="I1554:I1556"/>
    <mergeCell ref="J1554:J1556"/>
    <mergeCell ref="K1554:K1556"/>
    <mergeCell ref="L1554:L1556"/>
    <mergeCell ref="V1554:V1556"/>
    <mergeCell ref="B1557:V1557"/>
    <mergeCell ref="M1554:M1556"/>
    <mergeCell ref="N1554:N1556"/>
    <mergeCell ref="O1554:O1556"/>
    <mergeCell ref="P1554:P1556"/>
    <mergeCell ref="Q1554:Q1556"/>
    <mergeCell ref="T1554:T1556"/>
    <mergeCell ref="U1554:U1556"/>
    <mergeCell ref="T1558:T1560"/>
    <mergeCell ref="U1558:U1560"/>
    <mergeCell ref="V1558:V1560"/>
    <mergeCell ref="E1548:E1550"/>
    <mergeCell ref="G1548:G1550"/>
    <mergeCell ref="H1548:H1550"/>
    <mergeCell ref="I1548:I1550"/>
    <mergeCell ref="J1548:J1550"/>
    <mergeCell ref="K1548:K1550"/>
    <mergeCell ref="U1548:U1550"/>
    <mergeCell ref="V1548:V1550"/>
    <mergeCell ref="L1548:L1550"/>
    <mergeCell ref="M1548:M1550"/>
    <mergeCell ref="N1548:N1550"/>
    <mergeCell ref="O1548:O1550"/>
    <mergeCell ref="P1548:P1550"/>
    <mergeCell ref="Q1548:Q1550"/>
    <mergeCell ref="T1548:T1550"/>
    <mergeCell ref="E1535:E1537"/>
    <mergeCell ref="E1538:E1540"/>
    <mergeCell ref="B1545:B1547"/>
    <mergeCell ref="C1545:C1547"/>
    <mergeCell ref="D1545:D1547"/>
    <mergeCell ref="F1545:F1547"/>
    <mergeCell ref="F1548:F1550"/>
    <mergeCell ref="O1551:O1553"/>
    <mergeCell ref="P1551:P1553"/>
    <mergeCell ref="Q1551:Q1553"/>
    <mergeCell ref="T1551:T1553"/>
    <mergeCell ref="U1551:U1553"/>
    <mergeCell ref="V1551:V1553"/>
    <mergeCell ref="H1551:H1553"/>
    <mergeCell ref="I1551:I1553"/>
    <mergeCell ref="J1551:J1553"/>
    <mergeCell ref="K1551:K1553"/>
    <mergeCell ref="L1551:L1553"/>
    <mergeCell ref="M1551:M1553"/>
    <mergeCell ref="N1551:N1553"/>
    <mergeCell ref="B1541:B1543"/>
    <mergeCell ref="E1541:E1543"/>
    <mergeCell ref="F1541:F1543"/>
    <mergeCell ref="G1541:G1543"/>
    <mergeCell ref="H1541:H1543"/>
    <mergeCell ref="I1541:I1543"/>
    <mergeCell ref="J1541:J1543"/>
    <mergeCell ref="B1544:V1544"/>
    <mergeCell ref="T1541:T1543"/>
    <mergeCell ref="U1541:U1543"/>
    <mergeCell ref="V1541:V1543"/>
    <mergeCell ref="K1541:K1543"/>
    <mergeCell ref="L1541:L1543"/>
    <mergeCell ref="M1541:M1543"/>
    <mergeCell ref="N1541:N1543"/>
    <mergeCell ref="O1541:O1543"/>
    <mergeCell ref="P1541:P1543"/>
    <mergeCell ref="Q1541:Q1543"/>
    <mergeCell ref="N1545:N1547"/>
    <mergeCell ref="O1545:O1547"/>
    <mergeCell ref="P1545:P1547"/>
    <mergeCell ref="Q1545:Q1547"/>
    <mergeCell ref="T1545:T1547"/>
    <mergeCell ref="U1545:U1547"/>
    <mergeCell ref="V1545:V1547"/>
    <mergeCell ref="G1545:G1547"/>
    <mergeCell ref="H1545:H1547"/>
    <mergeCell ref="I1545:I1547"/>
    <mergeCell ref="J1545:J1547"/>
    <mergeCell ref="K1545:K1547"/>
    <mergeCell ref="L1545:L1547"/>
    <mergeCell ref="M1545:M1547"/>
    <mergeCell ref="B1535:B1537"/>
    <mergeCell ref="C1535:C1537"/>
    <mergeCell ref="D1535:D1537"/>
    <mergeCell ref="F1535:F1537"/>
    <mergeCell ref="G1535:G1537"/>
    <mergeCell ref="H1535:H1537"/>
    <mergeCell ref="B1538:B1540"/>
    <mergeCell ref="E1545:E1547"/>
    <mergeCell ref="P1533:P1534"/>
    <mergeCell ref="Q1533:Q1534"/>
    <mergeCell ref="T1533:T1534"/>
    <mergeCell ref="U1533:U1534"/>
    <mergeCell ref="V1533:V1534"/>
    <mergeCell ref="I1533:I1534"/>
    <mergeCell ref="J1533:J1534"/>
    <mergeCell ref="K1533:K1534"/>
    <mergeCell ref="L1533:L1534"/>
    <mergeCell ref="M1533:M1534"/>
    <mergeCell ref="N1533:N1534"/>
    <mergeCell ref="O1533:O1534"/>
    <mergeCell ref="B1533:B1534"/>
    <mergeCell ref="C1533:C1534"/>
    <mergeCell ref="D1533:D1534"/>
    <mergeCell ref="E1533:E1534"/>
    <mergeCell ref="F1533:F1534"/>
    <mergeCell ref="G1533:G1534"/>
    <mergeCell ref="H1533:H1534"/>
    <mergeCell ref="P1535:P1537"/>
    <mergeCell ref="Q1535:Q1537"/>
    <mergeCell ref="T1535:T1537"/>
    <mergeCell ref="U1535:U1537"/>
    <mergeCell ref="V1535:V1537"/>
    <mergeCell ref="I1535:I1537"/>
    <mergeCell ref="J1535:J1537"/>
    <mergeCell ref="K1535:K1537"/>
    <mergeCell ref="L1535:L1537"/>
    <mergeCell ref="M1535:M1537"/>
    <mergeCell ref="N1535:N1537"/>
    <mergeCell ref="O1535:O1537"/>
    <mergeCell ref="F1538:F1540"/>
    <mergeCell ref="G1538:G1540"/>
    <mergeCell ref="O1538:O1540"/>
    <mergeCell ref="P1538:P1540"/>
    <mergeCell ref="Q1538:Q1540"/>
    <mergeCell ref="T1538:T1540"/>
    <mergeCell ref="U1538:U1540"/>
    <mergeCell ref="V1538:V1540"/>
    <mergeCell ref="H1538:H1540"/>
    <mergeCell ref="I1538:I1540"/>
    <mergeCell ref="J1538:J1540"/>
    <mergeCell ref="K1538:K1540"/>
    <mergeCell ref="L1538:L1540"/>
    <mergeCell ref="M1538:M1540"/>
    <mergeCell ref="N1538:N1540"/>
    <mergeCell ref="T1527:T1529"/>
    <mergeCell ref="U1527:U1529"/>
    <mergeCell ref="K1527:K1529"/>
    <mergeCell ref="L1527:L1529"/>
    <mergeCell ref="M1527:M1529"/>
    <mergeCell ref="N1527:N1529"/>
    <mergeCell ref="O1527:O1529"/>
    <mergeCell ref="P1527:P1529"/>
    <mergeCell ref="Q1527:Q1529"/>
    <mergeCell ref="L1518:L1521"/>
    <mergeCell ref="M1518:M1521"/>
    <mergeCell ref="E1518:E1521"/>
    <mergeCell ref="E1522:E1524"/>
    <mergeCell ref="B1527:B1529"/>
    <mergeCell ref="E1527:E1529"/>
    <mergeCell ref="B1530:B1532"/>
    <mergeCell ref="E1530:E1532"/>
    <mergeCell ref="H1522:H1524"/>
    <mergeCell ref="I1522:I1524"/>
    <mergeCell ref="F1518:F1521"/>
    <mergeCell ref="G1518:G1521"/>
    <mergeCell ref="H1518:H1521"/>
    <mergeCell ref="I1518:I1521"/>
    <mergeCell ref="J1518:J1521"/>
    <mergeCell ref="K1518:K1521"/>
    <mergeCell ref="B1522:B1524"/>
    <mergeCell ref="J1522:J1524"/>
    <mergeCell ref="K1522:K1524"/>
    <mergeCell ref="L1522:L1524"/>
    <mergeCell ref="M1522:M1524"/>
    <mergeCell ref="N1522:N1524"/>
    <mergeCell ref="O1522:O1524"/>
    <mergeCell ref="P1522:P1524"/>
    <mergeCell ref="B1526:V1526"/>
    <mergeCell ref="F1522:F1524"/>
    <mergeCell ref="G1522:G1524"/>
    <mergeCell ref="F1527:F1529"/>
    <mergeCell ref="G1527:G1529"/>
    <mergeCell ref="H1527:H1529"/>
    <mergeCell ref="I1527:I1529"/>
    <mergeCell ref="J1527:J1529"/>
    <mergeCell ref="O1530:O1532"/>
    <mergeCell ref="P1530:P1532"/>
    <mergeCell ref="Q1530:Q1532"/>
    <mergeCell ref="T1530:T1532"/>
    <mergeCell ref="U1530:U1532"/>
    <mergeCell ref="V1530:V1532"/>
    <mergeCell ref="Q1522:Q1524"/>
    <mergeCell ref="R1522:R1524"/>
    <mergeCell ref="S1522:S1524"/>
    <mergeCell ref="T1522:T1524"/>
    <mergeCell ref="U1522:U1524"/>
    <mergeCell ref="V1522:V1524"/>
    <mergeCell ref="V1527:V1529"/>
    <mergeCell ref="M1530:M1532"/>
    <mergeCell ref="N1530:N1532"/>
    <mergeCell ref="F1530:F1532"/>
    <mergeCell ref="G1530:G1532"/>
    <mergeCell ref="H1530:H1532"/>
    <mergeCell ref="I1530:I1532"/>
    <mergeCell ref="J1530:J1532"/>
    <mergeCell ref="K1530:K1532"/>
    <mergeCell ref="L1530:L1532"/>
    <mergeCell ref="F1501:F1502"/>
    <mergeCell ref="G1501:G1502"/>
    <mergeCell ref="B1504:B1505"/>
    <mergeCell ref="F1504:F1505"/>
    <mergeCell ref="G1504:G1505"/>
    <mergeCell ref="H1504:H1505"/>
    <mergeCell ref="H1506:H1508"/>
    <mergeCell ref="Q1509:Q1511"/>
    <mergeCell ref="T1509:T1511"/>
    <mergeCell ref="U1509:U1511"/>
    <mergeCell ref="V1509:V1511"/>
    <mergeCell ref="J1509:J1511"/>
    <mergeCell ref="K1509:K1511"/>
    <mergeCell ref="L1509:L1511"/>
    <mergeCell ref="M1509:M1511"/>
    <mergeCell ref="N1509:N1511"/>
    <mergeCell ref="O1509:O1511"/>
    <mergeCell ref="P1509:P1511"/>
    <mergeCell ref="F1506:F1508"/>
    <mergeCell ref="G1506:G1508"/>
    <mergeCell ref="E1509:E1511"/>
    <mergeCell ref="F1509:F1511"/>
    <mergeCell ref="G1509:G1511"/>
    <mergeCell ref="H1509:H1511"/>
    <mergeCell ref="I1509:I1511"/>
    <mergeCell ref="U1512:U1514"/>
    <mergeCell ref="V1512:V1514"/>
    <mergeCell ref="E1515:E1517"/>
    <mergeCell ref="F1515:F1517"/>
    <mergeCell ref="G1515:G1517"/>
    <mergeCell ref="H1515:H1517"/>
    <mergeCell ref="I1515:I1517"/>
    <mergeCell ref="J1515:J1517"/>
    <mergeCell ref="K1515:K1517"/>
    <mergeCell ref="O1506:O1508"/>
    <mergeCell ref="P1506:P1508"/>
    <mergeCell ref="Q1506:Q1508"/>
    <mergeCell ref="T1506:T1508"/>
    <mergeCell ref="U1506:U1508"/>
    <mergeCell ref="V1506:V1508"/>
    <mergeCell ref="E1504:E1505"/>
    <mergeCell ref="E1506:E1508"/>
    <mergeCell ref="I1506:I1508"/>
    <mergeCell ref="J1506:J1508"/>
    <mergeCell ref="K1506:K1508"/>
    <mergeCell ref="L1506:L1508"/>
    <mergeCell ref="M1506:M1508"/>
    <mergeCell ref="U1515:U1517"/>
    <mergeCell ref="V1515:V1517"/>
    <mergeCell ref="L1515:L1517"/>
    <mergeCell ref="M1515:M1517"/>
    <mergeCell ref="N1515:N1517"/>
    <mergeCell ref="O1515:O1517"/>
    <mergeCell ref="P1515:P1517"/>
    <mergeCell ref="Q1515:Q1517"/>
    <mergeCell ref="T1515:T1517"/>
    <mergeCell ref="U1518:U1521"/>
    <mergeCell ref="V1518:V1521"/>
    <mergeCell ref="N1518:N1521"/>
    <mergeCell ref="O1518:O1521"/>
    <mergeCell ref="P1518:P1521"/>
    <mergeCell ref="Q1518:Q1521"/>
    <mergeCell ref="R1518:R1521"/>
    <mergeCell ref="S1518:S1521"/>
    <mergeCell ref="T1518:T1521"/>
    <mergeCell ref="B1506:B1508"/>
    <mergeCell ref="B1509:B1511"/>
    <mergeCell ref="B1512:B1514"/>
    <mergeCell ref="B1515:B1517"/>
    <mergeCell ref="B1518:B1521"/>
    <mergeCell ref="Q1452:Q1453"/>
    <mergeCell ref="T1452:T1453"/>
    <mergeCell ref="U1452:U1453"/>
    <mergeCell ref="V1452:V1453"/>
    <mergeCell ref="J1452:J1453"/>
    <mergeCell ref="K1452:K1453"/>
    <mergeCell ref="L1452:L1453"/>
    <mergeCell ref="M1452:M1453"/>
    <mergeCell ref="N1452:N1453"/>
    <mergeCell ref="O1452:O1453"/>
    <mergeCell ref="P1452:P1453"/>
    <mergeCell ref="L1512:L1514"/>
    <mergeCell ref="M1512:M1514"/>
    <mergeCell ref="N1512:N1514"/>
    <mergeCell ref="O1512:O1514"/>
    <mergeCell ref="P1512:P1514"/>
    <mergeCell ref="Q1512:Q1514"/>
    <mergeCell ref="T1512:T1514"/>
    <mergeCell ref="E1512:E1514"/>
    <mergeCell ref="F1512:F1514"/>
    <mergeCell ref="G1512:G1514"/>
    <mergeCell ref="H1512:H1514"/>
    <mergeCell ref="I1512:I1514"/>
    <mergeCell ref="J1512:J1514"/>
    <mergeCell ref="K1512:K1514"/>
    <mergeCell ref="E1498:E1499"/>
    <mergeCell ref="E1501:E1502"/>
    <mergeCell ref="B1498:B1499"/>
    <mergeCell ref="F1498:F1499"/>
    <mergeCell ref="G1498:G1499"/>
    <mergeCell ref="H1498:H1499"/>
    <mergeCell ref="I1498:I1499"/>
    <mergeCell ref="J1498:J1499"/>
    <mergeCell ref="B1501:B1502"/>
    <mergeCell ref="J1501:J1502"/>
    <mergeCell ref="P1501:P1502"/>
    <mergeCell ref="Q1501:Q1502"/>
    <mergeCell ref="R1501:R1502"/>
    <mergeCell ref="S1501:S1502"/>
    <mergeCell ref="T1501:T1502"/>
    <mergeCell ref="U1501:U1502"/>
    <mergeCell ref="V1501:V1502"/>
    <mergeCell ref="H1501:H1502"/>
    <mergeCell ref="I1501:I1502"/>
    <mergeCell ref="K1501:K1502"/>
    <mergeCell ref="L1501:L1502"/>
    <mergeCell ref="M1501:M1502"/>
    <mergeCell ref="N1501:N1502"/>
    <mergeCell ref="O1501:O1502"/>
    <mergeCell ref="P1504:P1505"/>
    <mergeCell ref="Q1504:Q1505"/>
    <mergeCell ref="R1504:R1505"/>
    <mergeCell ref="S1504:S1505"/>
    <mergeCell ref="T1504:T1505"/>
    <mergeCell ref="U1504:U1505"/>
    <mergeCell ref="V1504:V1505"/>
    <mergeCell ref="I1504:I1505"/>
    <mergeCell ref="J1504:J1505"/>
    <mergeCell ref="K1504:K1505"/>
    <mergeCell ref="L1504:L1505"/>
    <mergeCell ref="M1504:M1505"/>
    <mergeCell ref="N1504:N1505"/>
    <mergeCell ref="O1504:O1505"/>
    <mergeCell ref="N1506:N1508"/>
    <mergeCell ref="R1438:R1439"/>
    <mergeCell ref="S1438:S1439"/>
    <mergeCell ref="T1438:T1439"/>
    <mergeCell ref="B1438:B1439"/>
    <mergeCell ref="B1440:B1442"/>
    <mergeCell ref="B1443:B1444"/>
    <mergeCell ref="Q1440:Q1442"/>
    <mergeCell ref="T1440:T1442"/>
    <mergeCell ref="U1440:U1442"/>
    <mergeCell ref="V1440:V1442"/>
    <mergeCell ref="J1440:J1442"/>
    <mergeCell ref="K1440:K1442"/>
    <mergeCell ref="L1440:L1442"/>
    <mergeCell ref="M1440:M1442"/>
    <mergeCell ref="N1440:N1442"/>
    <mergeCell ref="O1440:O1442"/>
    <mergeCell ref="P1440:P1442"/>
    <mergeCell ref="E1443:E1444"/>
    <mergeCell ref="F1443:F1444"/>
    <mergeCell ref="G1443:G1444"/>
    <mergeCell ref="H1443:H1444"/>
    <mergeCell ref="I1443:I1444"/>
    <mergeCell ref="J1443:J1444"/>
    <mergeCell ref="K1443:K1444"/>
    <mergeCell ref="B1445:V1445"/>
    <mergeCell ref="P1449:P1450"/>
    <mergeCell ref="Q1449:Q1450"/>
    <mergeCell ref="H1449:H1450"/>
    <mergeCell ref="I1449:I1450"/>
    <mergeCell ref="K1449:K1450"/>
    <mergeCell ref="L1449:L1450"/>
    <mergeCell ref="M1449:M1450"/>
    <mergeCell ref="N1449:N1450"/>
    <mergeCell ref="O1449:O1450"/>
    <mergeCell ref="B1427:B1429"/>
    <mergeCell ref="B1430:B1432"/>
    <mergeCell ref="R1430:R1432"/>
    <mergeCell ref="S1430:S1432"/>
    <mergeCell ref="T1430:T1432"/>
    <mergeCell ref="U1430:U1432"/>
    <mergeCell ref="V1430:V1432"/>
    <mergeCell ref="K1430:K1432"/>
    <mergeCell ref="L1430:L1432"/>
    <mergeCell ref="M1430:M1432"/>
    <mergeCell ref="N1430:N1432"/>
    <mergeCell ref="O1430:O1432"/>
    <mergeCell ref="P1430:P1432"/>
    <mergeCell ref="Q1430:Q1432"/>
    <mergeCell ref="B1423:B1426"/>
    <mergeCell ref="F1423:F1426"/>
    <mergeCell ref="G1423:G1426"/>
    <mergeCell ref="H1423:H1426"/>
    <mergeCell ref="I1423:I1426"/>
    <mergeCell ref="J1423:J1426"/>
    <mergeCell ref="J1427:J1429"/>
    <mergeCell ref="F1427:F1429"/>
    <mergeCell ref="G1427:G1429"/>
    <mergeCell ref="F1430:F1432"/>
    <mergeCell ref="G1430:G1432"/>
    <mergeCell ref="H1430:H1432"/>
    <mergeCell ref="I1430:I1432"/>
    <mergeCell ref="J1430:J1432"/>
    <mergeCell ref="T1433:T1434"/>
    <mergeCell ref="U1433:U1434"/>
    <mergeCell ref="V1433:V1434"/>
    <mergeCell ref="K1433:K1434"/>
    <mergeCell ref="L1433:L1434"/>
    <mergeCell ref="M1433:M1434"/>
    <mergeCell ref="N1433:N1434"/>
    <mergeCell ref="O1433:O1434"/>
    <mergeCell ref="P1433:P1434"/>
    <mergeCell ref="Q1433:Q1434"/>
    <mergeCell ref="B1433:B1434"/>
    <mergeCell ref="E1433:E1434"/>
    <mergeCell ref="F1433:F1434"/>
    <mergeCell ref="G1433:G1434"/>
    <mergeCell ref="H1433:H1434"/>
    <mergeCell ref="I1433:I1434"/>
    <mergeCell ref="J1433:J1434"/>
    <mergeCell ref="R1498:R1499"/>
    <mergeCell ref="S1498:S1499"/>
    <mergeCell ref="T1498:T1499"/>
    <mergeCell ref="U1498:U1499"/>
    <mergeCell ref="V1498:V1499"/>
    <mergeCell ref="K1498:K1499"/>
    <mergeCell ref="L1498:L1499"/>
    <mergeCell ref="M1498:M1499"/>
    <mergeCell ref="N1498:N1499"/>
    <mergeCell ref="O1498:O1499"/>
    <mergeCell ref="P1498:P1499"/>
    <mergeCell ref="Q1498:Q1499"/>
    <mergeCell ref="R1423:R1426"/>
    <mergeCell ref="S1423:S1426"/>
    <mergeCell ref="T1423:T1426"/>
    <mergeCell ref="U1423:U1426"/>
    <mergeCell ref="V1423:V1426"/>
    <mergeCell ref="K1423:K1426"/>
    <mergeCell ref="L1423:L1426"/>
    <mergeCell ref="M1423:M1426"/>
    <mergeCell ref="N1423:N1426"/>
    <mergeCell ref="O1423:O1426"/>
    <mergeCell ref="P1423:P1426"/>
    <mergeCell ref="Q1423:Q1426"/>
    <mergeCell ref="E1423:E1426"/>
    <mergeCell ref="E1427:E1429"/>
    <mergeCell ref="E1430:E1432"/>
    <mergeCell ref="P1427:P1429"/>
    <mergeCell ref="Q1427:Q1429"/>
    <mergeCell ref="T1427:T1429"/>
    <mergeCell ref="U1427:U1429"/>
    <mergeCell ref="V1427:V1429"/>
    <mergeCell ref="H1427:H1429"/>
    <mergeCell ref="I1427:I1429"/>
    <mergeCell ref="K1427:K1429"/>
    <mergeCell ref="L1427:L1429"/>
    <mergeCell ref="M1427:M1429"/>
    <mergeCell ref="N1427:N1429"/>
    <mergeCell ref="O1427:O1429"/>
    <mergeCell ref="P1435:P1437"/>
    <mergeCell ref="Q1435:Q1437"/>
    <mergeCell ref="T1435:T1437"/>
    <mergeCell ref="U1435:U1437"/>
    <mergeCell ref="V1435:V1437"/>
    <mergeCell ref="I1435:I1437"/>
    <mergeCell ref="J1435:J1437"/>
    <mergeCell ref="K1435:K1437"/>
    <mergeCell ref="L1435:L1437"/>
    <mergeCell ref="M1435:M1437"/>
    <mergeCell ref="N1435:N1437"/>
    <mergeCell ref="O1435:O1437"/>
    <mergeCell ref="U1443:U1444"/>
    <mergeCell ref="V1443:V1444"/>
    <mergeCell ref="L1443:L1444"/>
    <mergeCell ref="M1443:M1444"/>
    <mergeCell ref="N1443:N1444"/>
    <mergeCell ref="O1443:O1444"/>
    <mergeCell ref="P1443:P1444"/>
    <mergeCell ref="Q1443:Q1444"/>
    <mergeCell ref="T1443:T1444"/>
    <mergeCell ref="F1438:F1439"/>
    <mergeCell ref="G1438:G1439"/>
    <mergeCell ref="I1438:I1439"/>
    <mergeCell ref="J1438:J1439"/>
    <mergeCell ref="Q1491:Q1493"/>
    <mergeCell ref="T1491:T1493"/>
    <mergeCell ref="U1491:U1493"/>
    <mergeCell ref="V1491:V1493"/>
    <mergeCell ref="J1491:J1493"/>
    <mergeCell ref="K1491:K1493"/>
    <mergeCell ref="L1491:L1493"/>
    <mergeCell ref="M1491:M1493"/>
    <mergeCell ref="N1491:N1493"/>
    <mergeCell ref="O1491:O1493"/>
    <mergeCell ref="P1491:P1493"/>
    <mergeCell ref="E1491:E1493"/>
    <mergeCell ref="E1494:E1496"/>
    <mergeCell ref="F1494:F1496"/>
    <mergeCell ref="G1494:G1496"/>
    <mergeCell ref="O1494:O1496"/>
    <mergeCell ref="P1494:P1496"/>
    <mergeCell ref="Q1494:Q1496"/>
    <mergeCell ref="T1494:T1496"/>
    <mergeCell ref="U1494:U1496"/>
    <mergeCell ref="V1494:V1496"/>
    <mergeCell ref="H1494:H1496"/>
    <mergeCell ref="I1494:I1496"/>
    <mergeCell ref="J1494:J1496"/>
    <mergeCell ref="K1494:K1496"/>
    <mergeCell ref="L1494:L1496"/>
    <mergeCell ref="M1494:M1496"/>
    <mergeCell ref="N1494:N1496"/>
    <mergeCell ref="B1487:B1489"/>
    <mergeCell ref="B1491:B1493"/>
    <mergeCell ref="F1491:F1493"/>
    <mergeCell ref="G1491:G1493"/>
    <mergeCell ref="H1491:H1493"/>
    <mergeCell ref="I1491:I1493"/>
    <mergeCell ref="B1494:B1496"/>
    <mergeCell ref="T1458:T1460"/>
    <mergeCell ref="U1458:U1460"/>
    <mergeCell ref="V1458:V1460"/>
    <mergeCell ref="O1482:O1484"/>
    <mergeCell ref="P1482:P1484"/>
    <mergeCell ref="Q1482:Q1484"/>
    <mergeCell ref="T1482:T1484"/>
    <mergeCell ref="U1482:U1484"/>
    <mergeCell ref="V1482:V1484"/>
    <mergeCell ref="H1482:H1484"/>
    <mergeCell ref="I1482:I1484"/>
    <mergeCell ref="J1482:J1484"/>
    <mergeCell ref="K1482:K1484"/>
    <mergeCell ref="L1482:L1484"/>
    <mergeCell ref="M1482:M1484"/>
    <mergeCell ref="N1482:N1484"/>
    <mergeCell ref="T1487:T1489"/>
    <mergeCell ref="U1487:U1489"/>
    <mergeCell ref="V1487:V1489"/>
    <mergeCell ref="K1487:K1489"/>
    <mergeCell ref="L1487:L1489"/>
    <mergeCell ref="M1487:M1489"/>
    <mergeCell ref="N1487:N1489"/>
    <mergeCell ref="O1487:O1489"/>
    <mergeCell ref="P1487:P1489"/>
    <mergeCell ref="Q1487:Q1489"/>
    <mergeCell ref="E1487:E1489"/>
    <mergeCell ref="F1487:F1489"/>
    <mergeCell ref="G1487:G1489"/>
    <mergeCell ref="H1487:H1489"/>
    <mergeCell ref="I1487:I1489"/>
    <mergeCell ref="J1487:J1489"/>
    <mergeCell ref="B1490:V1490"/>
    <mergeCell ref="F1435:F1437"/>
    <mergeCell ref="G1435:G1437"/>
    <mergeCell ref="H1435:H1437"/>
    <mergeCell ref="H1438:H1439"/>
    <mergeCell ref="T1446:T1448"/>
    <mergeCell ref="U1446:U1448"/>
    <mergeCell ref="V1446:V1448"/>
    <mergeCell ref="T1449:T1450"/>
    <mergeCell ref="U1449:U1450"/>
    <mergeCell ref="V1449:V1450"/>
    <mergeCell ref="K1446:K1448"/>
    <mergeCell ref="L1446:L1448"/>
    <mergeCell ref="M1446:M1448"/>
    <mergeCell ref="N1446:N1448"/>
    <mergeCell ref="O1446:O1448"/>
    <mergeCell ref="P1446:P1448"/>
    <mergeCell ref="Q1446:Q1448"/>
    <mergeCell ref="F1449:F1450"/>
    <mergeCell ref="G1449:G1450"/>
    <mergeCell ref="B1451:V1451"/>
    <mergeCell ref="B1449:B1450"/>
    <mergeCell ref="B1452:B1453"/>
    <mergeCell ref="B1454:V1454"/>
    <mergeCell ref="B1455:V1455"/>
    <mergeCell ref="B1446:B1448"/>
    <mergeCell ref="F1446:F1448"/>
    <mergeCell ref="G1446:G1448"/>
    <mergeCell ref="H1446:H1448"/>
    <mergeCell ref="I1446:I1448"/>
    <mergeCell ref="J1446:J1448"/>
    <mergeCell ref="J1449:J1450"/>
    <mergeCell ref="E1452:E1453"/>
    <mergeCell ref="E1456:E1457"/>
    <mergeCell ref="F1456:F1457"/>
    <mergeCell ref="G1456:G1457"/>
    <mergeCell ref="O1456:O1457"/>
    <mergeCell ref="P1456:P1457"/>
    <mergeCell ref="Q1456:Q1457"/>
    <mergeCell ref="T1456:T1457"/>
    <mergeCell ref="U1456:U1457"/>
    <mergeCell ref="V1456:V1457"/>
    <mergeCell ref="H1456:H1457"/>
    <mergeCell ref="I1456:I1457"/>
    <mergeCell ref="J1456:J1457"/>
    <mergeCell ref="K1456:K1457"/>
    <mergeCell ref="L1456:L1457"/>
    <mergeCell ref="M1456:M1457"/>
    <mergeCell ref="N1456:N1457"/>
    <mergeCell ref="E1446:E1448"/>
    <mergeCell ref="E1449:E1450"/>
    <mergeCell ref="F1452:F1453"/>
    <mergeCell ref="G1452:G1453"/>
    <mergeCell ref="H1452:H1453"/>
    <mergeCell ref="I1452:I1453"/>
    <mergeCell ref="B1456:B1457"/>
    <mergeCell ref="K1438:K1439"/>
    <mergeCell ref="L1438:L1439"/>
    <mergeCell ref="M1438:M1439"/>
    <mergeCell ref="U1438:U1439"/>
    <mergeCell ref="V1438:V1439"/>
    <mergeCell ref="N1438:N1439"/>
    <mergeCell ref="O1438:O1439"/>
    <mergeCell ref="P1438:P1439"/>
    <mergeCell ref="Q1438:Q1439"/>
    <mergeCell ref="T1477:T1479"/>
    <mergeCell ref="U1477:U1479"/>
    <mergeCell ref="V1477:V1479"/>
    <mergeCell ref="K1477:K1479"/>
    <mergeCell ref="L1477:L1479"/>
    <mergeCell ref="M1477:M1479"/>
    <mergeCell ref="N1477:N1479"/>
    <mergeCell ref="O1477:O1479"/>
    <mergeCell ref="P1477:P1479"/>
    <mergeCell ref="Q1477:Q1479"/>
    <mergeCell ref="B1477:B1479"/>
    <mergeCell ref="E1477:E1479"/>
    <mergeCell ref="F1477:F1479"/>
    <mergeCell ref="G1477:G1479"/>
    <mergeCell ref="H1477:H1479"/>
    <mergeCell ref="I1477:I1479"/>
    <mergeCell ref="J1477:J1479"/>
    <mergeCell ref="P1480:P1481"/>
    <mergeCell ref="Q1480:Q1481"/>
    <mergeCell ref="R1480:R1481"/>
    <mergeCell ref="S1480:S1481"/>
    <mergeCell ref="T1480:T1481"/>
    <mergeCell ref="U1480:U1481"/>
    <mergeCell ref="V1480:V1481"/>
    <mergeCell ref="I1480:I1481"/>
    <mergeCell ref="J1480:J1481"/>
    <mergeCell ref="K1480:K1481"/>
    <mergeCell ref="L1480:L1481"/>
    <mergeCell ref="M1480:M1481"/>
    <mergeCell ref="N1480:N1481"/>
    <mergeCell ref="O1480:O1481"/>
    <mergeCell ref="E1480:E1481"/>
    <mergeCell ref="E1482:E1484"/>
    <mergeCell ref="F1482:F1484"/>
    <mergeCell ref="G1482:G1484"/>
    <mergeCell ref="B1480:B1481"/>
    <mergeCell ref="C1480:C1481"/>
    <mergeCell ref="D1480:D1481"/>
    <mergeCell ref="F1480:F1481"/>
    <mergeCell ref="G1480:G1481"/>
    <mergeCell ref="H1480:H1481"/>
    <mergeCell ref="B1482:B1484"/>
    <mergeCell ref="N1471:N1473"/>
    <mergeCell ref="O1471:O1473"/>
    <mergeCell ref="P1471:P1473"/>
    <mergeCell ref="Q1471:Q1473"/>
    <mergeCell ref="T1471:T1473"/>
    <mergeCell ref="U1471:U1473"/>
    <mergeCell ref="V1471:V1473"/>
    <mergeCell ref="G1471:G1473"/>
    <mergeCell ref="H1471:H1473"/>
    <mergeCell ref="I1471:I1473"/>
    <mergeCell ref="J1471:J1473"/>
    <mergeCell ref="K1471:K1473"/>
    <mergeCell ref="L1471:L1473"/>
    <mergeCell ref="M1471:M1473"/>
    <mergeCell ref="F1461:F1462"/>
    <mergeCell ref="G1461:G1462"/>
    <mergeCell ref="B1463:B1465"/>
    <mergeCell ref="F1463:F1465"/>
    <mergeCell ref="G1463:G1465"/>
    <mergeCell ref="H1463:H1465"/>
    <mergeCell ref="H1466:H1467"/>
    <mergeCell ref="E1471:E1473"/>
    <mergeCell ref="E1474:E1476"/>
    <mergeCell ref="F1474:F1476"/>
    <mergeCell ref="G1474:G1476"/>
    <mergeCell ref="H1474:H1476"/>
    <mergeCell ref="I1474:I1476"/>
    <mergeCell ref="J1474:J1476"/>
    <mergeCell ref="K1474:K1476"/>
    <mergeCell ref="L1474:L1476"/>
    <mergeCell ref="T1474:T1476"/>
    <mergeCell ref="U1474:U1476"/>
    <mergeCell ref="V1474:V1476"/>
    <mergeCell ref="M1474:M1476"/>
    <mergeCell ref="N1474:N1476"/>
    <mergeCell ref="O1474:O1476"/>
    <mergeCell ref="P1474:P1476"/>
    <mergeCell ref="Q1474:Q1476"/>
    <mergeCell ref="R1474:R1476"/>
    <mergeCell ref="S1474:S1476"/>
    <mergeCell ref="B1466:B1467"/>
    <mergeCell ref="B1468:B1470"/>
    <mergeCell ref="B1471:B1473"/>
    <mergeCell ref="C1471:C1473"/>
    <mergeCell ref="D1471:D1473"/>
    <mergeCell ref="F1471:F1473"/>
    <mergeCell ref="B1474:B1476"/>
    <mergeCell ref="P1463:P1465"/>
    <mergeCell ref="Q1463:Q1465"/>
    <mergeCell ref="T1463:T1465"/>
    <mergeCell ref="U1463:U1465"/>
    <mergeCell ref="V1463:V1465"/>
    <mergeCell ref="I1463:I1465"/>
    <mergeCell ref="J1463:J1465"/>
    <mergeCell ref="K1463:K1465"/>
    <mergeCell ref="L1463:L1465"/>
    <mergeCell ref="M1463:M1465"/>
    <mergeCell ref="N1463:N1465"/>
    <mergeCell ref="O1463:O1465"/>
    <mergeCell ref="F1466:F1467"/>
    <mergeCell ref="G1466:G1467"/>
    <mergeCell ref="I1466:I1467"/>
    <mergeCell ref="J1466:J1467"/>
    <mergeCell ref="K1466:K1467"/>
    <mergeCell ref="L1466:L1467"/>
    <mergeCell ref="M1466:M1467"/>
    <mergeCell ref="U1466:U1467"/>
    <mergeCell ref="V1466:V1467"/>
    <mergeCell ref="N1466:N1467"/>
    <mergeCell ref="O1466:O1467"/>
    <mergeCell ref="P1466:P1467"/>
    <mergeCell ref="Q1466:Q1467"/>
    <mergeCell ref="R1466:R1467"/>
    <mergeCell ref="S1466:S1467"/>
    <mergeCell ref="T1466:T1467"/>
    <mergeCell ref="E1463:E1465"/>
    <mergeCell ref="E1466:E1467"/>
    <mergeCell ref="E1468:E1470"/>
    <mergeCell ref="F1468:F1470"/>
    <mergeCell ref="G1468:G1470"/>
    <mergeCell ref="H1468:H1470"/>
    <mergeCell ref="I1468:I1470"/>
    <mergeCell ref="Q1468:Q1470"/>
    <mergeCell ref="R1468:R1470"/>
    <mergeCell ref="S1468:S1470"/>
    <mergeCell ref="T1468:T1470"/>
    <mergeCell ref="U1468:U1470"/>
    <mergeCell ref="V1468:V1470"/>
    <mergeCell ref="J1468:J1470"/>
    <mergeCell ref="K1468:K1470"/>
    <mergeCell ref="L1468:L1470"/>
    <mergeCell ref="M1468:M1470"/>
    <mergeCell ref="N1468:N1470"/>
    <mergeCell ref="O1468:O1470"/>
    <mergeCell ref="P1468:P1470"/>
    <mergeCell ref="E1418:E1422"/>
    <mergeCell ref="M1418:M1422"/>
    <mergeCell ref="N1418:N1422"/>
    <mergeCell ref="O1418:O1422"/>
    <mergeCell ref="P1418:P1422"/>
    <mergeCell ref="Q1418:Q1422"/>
    <mergeCell ref="T1418:T1422"/>
    <mergeCell ref="U1418:U1422"/>
    <mergeCell ref="V1418:V1422"/>
    <mergeCell ref="F1418:F1422"/>
    <mergeCell ref="G1418:G1422"/>
    <mergeCell ref="H1418:H1422"/>
    <mergeCell ref="I1418:I1422"/>
    <mergeCell ref="J1418:J1422"/>
    <mergeCell ref="K1418:K1422"/>
    <mergeCell ref="L1418:L1422"/>
    <mergeCell ref="E1407:E1409"/>
    <mergeCell ref="E1410:E1411"/>
    <mergeCell ref="B1415:B1417"/>
    <mergeCell ref="C1415:C1417"/>
    <mergeCell ref="D1415:D1417"/>
    <mergeCell ref="F1415:F1417"/>
    <mergeCell ref="B1418:B1422"/>
    <mergeCell ref="K1458:K1460"/>
    <mergeCell ref="L1458:L1460"/>
    <mergeCell ref="M1458:M1460"/>
    <mergeCell ref="N1458:N1460"/>
    <mergeCell ref="O1458:O1460"/>
    <mergeCell ref="P1458:P1460"/>
    <mergeCell ref="Q1458:Q1460"/>
    <mergeCell ref="E1458:E1460"/>
    <mergeCell ref="E1461:E1462"/>
    <mergeCell ref="B1458:B1460"/>
    <mergeCell ref="F1458:F1460"/>
    <mergeCell ref="G1458:G1460"/>
    <mergeCell ref="H1458:H1460"/>
    <mergeCell ref="I1458:I1460"/>
    <mergeCell ref="J1458:J1460"/>
    <mergeCell ref="B1461:B1462"/>
    <mergeCell ref="J1461:J1462"/>
    <mergeCell ref="P1461:P1462"/>
    <mergeCell ref="Q1461:Q1462"/>
    <mergeCell ref="R1461:R1462"/>
    <mergeCell ref="S1461:S1462"/>
    <mergeCell ref="T1461:T1462"/>
    <mergeCell ref="U1461:U1462"/>
    <mergeCell ref="V1461:V1462"/>
    <mergeCell ref="H1461:H1462"/>
    <mergeCell ref="I1461:I1462"/>
    <mergeCell ref="K1461:K1462"/>
    <mergeCell ref="L1461:L1462"/>
    <mergeCell ref="M1461:M1462"/>
    <mergeCell ref="N1461:N1462"/>
    <mergeCell ref="O1461:O1462"/>
    <mergeCell ref="E1435:E1437"/>
    <mergeCell ref="E1438:E1439"/>
    <mergeCell ref="E1440:E1442"/>
    <mergeCell ref="F1440:F1442"/>
    <mergeCell ref="G1440:G1442"/>
    <mergeCell ref="H1440:H1442"/>
    <mergeCell ref="I1440:I1442"/>
    <mergeCell ref="B1435:B1437"/>
    <mergeCell ref="C1435:C1437"/>
    <mergeCell ref="D1435:D1437"/>
    <mergeCell ref="B1410:B1411"/>
    <mergeCell ref="B1412:B1414"/>
    <mergeCell ref="E1412:E1414"/>
    <mergeCell ref="F1412:F1414"/>
    <mergeCell ref="G1412:G1414"/>
    <mergeCell ref="H1412:H1414"/>
    <mergeCell ref="I1412:I1414"/>
    <mergeCell ref="S1412:S1414"/>
    <mergeCell ref="T1412:T1414"/>
    <mergeCell ref="U1412:U1414"/>
    <mergeCell ref="V1412:V1414"/>
    <mergeCell ref="N1410:N1411"/>
    <mergeCell ref="O1410:O1411"/>
    <mergeCell ref="P1410:P1411"/>
    <mergeCell ref="Q1410:Q1411"/>
    <mergeCell ref="T1410:T1411"/>
    <mergeCell ref="U1410:U1411"/>
    <mergeCell ref="V1410:V1411"/>
    <mergeCell ref="B1407:B1409"/>
    <mergeCell ref="C1407:C1409"/>
    <mergeCell ref="D1407:D1409"/>
    <mergeCell ref="F1407:F1409"/>
    <mergeCell ref="G1407:G1409"/>
    <mergeCell ref="H1407:H1409"/>
    <mergeCell ref="H1410:H1411"/>
    <mergeCell ref="N1415:N1417"/>
    <mergeCell ref="O1415:O1417"/>
    <mergeCell ref="P1415:P1417"/>
    <mergeCell ref="Q1415:Q1417"/>
    <mergeCell ref="T1415:T1417"/>
    <mergeCell ref="U1415:U1417"/>
    <mergeCell ref="V1415:V1417"/>
    <mergeCell ref="G1415:G1417"/>
    <mergeCell ref="H1415:H1417"/>
    <mergeCell ref="I1415:I1417"/>
    <mergeCell ref="J1415:J1417"/>
    <mergeCell ref="K1415:K1417"/>
    <mergeCell ref="L1415:L1417"/>
    <mergeCell ref="M1415:M1417"/>
    <mergeCell ref="E1415:E1417"/>
    <mergeCell ref="Q1412:Q1414"/>
    <mergeCell ref="R1412:R1414"/>
    <mergeCell ref="J1412:J1414"/>
    <mergeCell ref="K1412:K1414"/>
    <mergeCell ref="L1412:L1414"/>
    <mergeCell ref="M1412:M1414"/>
    <mergeCell ref="N1412:N1414"/>
    <mergeCell ref="O1412:O1414"/>
    <mergeCell ref="P1412:P1414"/>
    <mergeCell ref="P1405:P1406"/>
    <mergeCell ref="Q1405:Q1406"/>
    <mergeCell ref="H1405:H1406"/>
    <mergeCell ref="I1405:I1406"/>
    <mergeCell ref="K1405:K1406"/>
    <mergeCell ref="L1405:L1406"/>
    <mergeCell ref="M1405:M1406"/>
    <mergeCell ref="N1405:N1406"/>
    <mergeCell ref="O1405:O1406"/>
    <mergeCell ref="P1407:P1409"/>
    <mergeCell ref="Q1407:Q1409"/>
    <mergeCell ref="T1407:T1409"/>
    <mergeCell ref="U1407:U1409"/>
    <mergeCell ref="V1407:V1409"/>
    <mergeCell ref="I1407:I1409"/>
    <mergeCell ref="J1407:J1409"/>
    <mergeCell ref="K1407:K1409"/>
    <mergeCell ref="L1407:L1409"/>
    <mergeCell ref="M1407:M1409"/>
    <mergeCell ref="N1407:N1409"/>
    <mergeCell ref="O1407:O1409"/>
    <mergeCell ref="F1410:F1411"/>
    <mergeCell ref="G1410:G1411"/>
    <mergeCell ref="I1410:I1411"/>
    <mergeCell ref="J1410:J1411"/>
    <mergeCell ref="K1410:K1411"/>
    <mergeCell ref="L1410:L1411"/>
    <mergeCell ref="M1410:M1411"/>
    <mergeCell ref="E1399:E1401"/>
    <mergeCell ref="F1399:F1401"/>
    <mergeCell ref="G1399:G1401"/>
    <mergeCell ref="Q1399:Q1401"/>
    <mergeCell ref="T1399:T1401"/>
    <mergeCell ref="U1399:U1401"/>
    <mergeCell ref="V1399:V1401"/>
    <mergeCell ref="J1399:J1401"/>
    <mergeCell ref="K1399:K1401"/>
    <mergeCell ref="L1399:L1401"/>
    <mergeCell ref="M1399:M1401"/>
    <mergeCell ref="N1399:N1401"/>
    <mergeCell ref="O1399:O1401"/>
    <mergeCell ref="P1399:P1401"/>
    <mergeCell ref="H1399:H1401"/>
    <mergeCell ref="I1399:I1401"/>
    <mergeCell ref="B1397:B1398"/>
    <mergeCell ref="F1397:F1398"/>
    <mergeCell ref="G1397:G1398"/>
    <mergeCell ref="H1397:H1398"/>
    <mergeCell ref="I1397:I1398"/>
    <mergeCell ref="J1397:J1398"/>
    <mergeCell ref="B1399:B1401"/>
    <mergeCell ref="T1402:T1404"/>
    <mergeCell ref="U1402:U1404"/>
    <mergeCell ref="V1402:V1404"/>
    <mergeCell ref="T1405:T1406"/>
    <mergeCell ref="U1405:U1406"/>
    <mergeCell ref="V1405:V1406"/>
    <mergeCell ref="K1402:K1404"/>
    <mergeCell ref="L1402:L1404"/>
    <mergeCell ref="M1402:M1404"/>
    <mergeCell ref="N1402:N1404"/>
    <mergeCell ref="O1402:O1404"/>
    <mergeCell ref="P1402:P1404"/>
    <mergeCell ref="Q1402:Q1404"/>
    <mergeCell ref="E1402:E1404"/>
    <mergeCell ref="E1405:E1406"/>
    <mergeCell ref="F1405:F1406"/>
    <mergeCell ref="G1405:G1406"/>
    <mergeCell ref="B1402:B1404"/>
    <mergeCell ref="F1402:F1404"/>
    <mergeCell ref="G1402:G1404"/>
    <mergeCell ref="H1402:H1404"/>
    <mergeCell ref="I1402:I1404"/>
    <mergeCell ref="J1402:J1404"/>
    <mergeCell ref="B1405:B1406"/>
    <mergeCell ref="J1405:J1406"/>
    <mergeCell ref="H1392:H1394"/>
    <mergeCell ref="I1392:I1394"/>
    <mergeCell ref="J1392:J1394"/>
    <mergeCell ref="K1392:K1394"/>
    <mergeCell ref="L1392:L1394"/>
    <mergeCell ref="M1392:M1394"/>
    <mergeCell ref="N1392:N1394"/>
    <mergeCell ref="B1395:B1396"/>
    <mergeCell ref="E1395:E1396"/>
    <mergeCell ref="F1395:F1396"/>
    <mergeCell ref="G1395:G1396"/>
    <mergeCell ref="H1395:H1396"/>
    <mergeCell ref="I1395:I1396"/>
    <mergeCell ref="J1395:J1396"/>
    <mergeCell ref="F1392:F1394"/>
    <mergeCell ref="G1392:G1394"/>
    <mergeCell ref="B1387:B1388"/>
    <mergeCell ref="B1389:B1391"/>
    <mergeCell ref="F1389:F1391"/>
    <mergeCell ref="G1389:G1391"/>
    <mergeCell ref="H1389:H1391"/>
    <mergeCell ref="I1389:I1391"/>
    <mergeCell ref="B1392:B1394"/>
    <mergeCell ref="R1397:R1398"/>
    <mergeCell ref="S1397:S1398"/>
    <mergeCell ref="T1397:T1398"/>
    <mergeCell ref="U1397:U1398"/>
    <mergeCell ref="V1397:V1398"/>
    <mergeCell ref="K1397:K1398"/>
    <mergeCell ref="L1397:L1398"/>
    <mergeCell ref="M1397:M1398"/>
    <mergeCell ref="N1397:N1398"/>
    <mergeCell ref="O1397:O1398"/>
    <mergeCell ref="P1397:P1398"/>
    <mergeCell ref="Q1397:Q1398"/>
    <mergeCell ref="E1397:E1398"/>
    <mergeCell ref="E1374:E1376"/>
    <mergeCell ref="F1374:F1376"/>
    <mergeCell ref="G1374:G1376"/>
    <mergeCell ref="H1374:H1376"/>
    <mergeCell ref="I1374:I1376"/>
    <mergeCell ref="J1374:J1376"/>
    <mergeCell ref="K1374:K1376"/>
    <mergeCell ref="L1374:L1376"/>
    <mergeCell ref="M1374:M1376"/>
    <mergeCell ref="T1374:T1376"/>
    <mergeCell ref="U1374:U1376"/>
    <mergeCell ref="V1374:V1376"/>
    <mergeCell ref="C1384:W1384"/>
    <mergeCell ref="B1385:V1385"/>
    <mergeCell ref="H1387:H1388"/>
    <mergeCell ref="I1387:I1388"/>
    <mergeCell ref="J1387:J1388"/>
    <mergeCell ref="K1387:K1388"/>
    <mergeCell ref="L1387:L1388"/>
    <mergeCell ref="M1387:M1388"/>
    <mergeCell ref="N1387:N1388"/>
    <mergeCell ref="O1387:O1388"/>
    <mergeCell ref="P1387:P1388"/>
    <mergeCell ref="Q1387:Q1388"/>
    <mergeCell ref="R1395:R1396"/>
    <mergeCell ref="S1395:S1396"/>
    <mergeCell ref="K1395:K1396"/>
    <mergeCell ref="L1395:L1396"/>
    <mergeCell ref="M1395:M1396"/>
    <mergeCell ref="N1395:N1396"/>
    <mergeCell ref="O1395:O1396"/>
    <mergeCell ref="P1395:P1396"/>
    <mergeCell ref="Q1395:Q1396"/>
    <mergeCell ref="T1387:T1388"/>
    <mergeCell ref="U1387:U1388"/>
    <mergeCell ref="T1389:T1391"/>
    <mergeCell ref="U1389:U1391"/>
    <mergeCell ref="V1389:V1391"/>
    <mergeCell ref="T1395:T1396"/>
    <mergeCell ref="U1395:U1396"/>
    <mergeCell ref="V1395:V1396"/>
    <mergeCell ref="B1386:V1386"/>
    <mergeCell ref="C1387:C1388"/>
    <mergeCell ref="D1387:D1388"/>
    <mergeCell ref="E1387:E1388"/>
    <mergeCell ref="F1387:F1388"/>
    <mergeCell ref="G1387:G1388"/>
    <mergeCell ref="V1387:V1388"/>
    <mergeCell ref="J1389:J1391"/>
    <mergeCell ref="K1389:K1391"/>
    <mergeCell ref="L1389:L1391"/>
    <mergeCell ref="M1389:M1391"/>
    <mergeCell ref="N1389:N1391"/>
    <mergeCell ref="O1389:O1391"/>
    <mergeCell ref="P1389:P1391"/>
    <mergeCell ref="Q1389:Q1391"/>
    <mergeCell ref="E1389:E1391"/>
    <mergeCell ref="E1392:E1394"/>
    <mergeCell ref="O1392:O1394"/>
    <mergeCell ref="P1392:P1394"/>
    <mergeCell ref="Q1392:Q1394"/>
    <mergeCell ref="T1392:T1394"/>
    <mergeCell ref="U1392:U1394"/>
    <mergeCell ref="V1392:V1394"/>
    <mergeCell ref="H1368:H1370"/>
    <mergeCell ref="B1368:B1370"/>
    <mergeCell ref="B1371:B1373"/>
    <mergeCell ref="B1374:B1376"/>
    <mergeCell ref="C1377:C1379"/>
    <mergeCell ref="D1377:D1379"/>
    <mergeCell ref="E1377:E1379"/>
    <mergeCell ref="H1377:H1379"/>
    <mergeCell ref="H1380:H1382"/>
    <mergeCell ref="I1380:I1382"/>
    <mergeCell ref="J1380:J1382"/>
    <mergeCell ref="K1380:K1382"/>
    <mergeCell ref="L1380:L1382"/>
    <mergeCell ref="M1380:M1382"/>
    <mergeCell ref="N1380:N1382"/>
    <mergeCell ref="O1380:O1382"/>
    <mergeCell ref="B1377:B1379"/>
    <mergeCell ref="B1380:B1382"/>
    <mergeCell ref="C1380:C1382"/>
    <mergeCell ref="D1380:D1382"/>
    <mergeCell ref="E1380:E1382"/>
    <mergeCell ref="F1380:F1382"/>
    <mergeCell ref="G1380:G1382"/>
    <mergeCell ref="A1384:B1384"/>
    <mergeCell ref="B1358:B1361"/>
    <mergeCell ref="C1358:C1359"/>
    <mergeCell ref="D1358:D1359"/>
    <mergeCell ref="E1358:E1361"/>
    <mergeCell ref="F1358:F1361"/>
    <mergeCell ref="G1358:G1361"/>
    <mergeCell ref="H1358:H1361"/>
    <mergeCell ref="N1368:N1370"/>
    <mergeCell ref="O1368:O1370"/>
    <mergeCell ref="F1368:F1370"/>
    <mergeCell ref="G1368:G1370"/>
    <mergeCell ref="I1368:I1370"/>
    <mergeCell ref="J1368:J1370"/>
    <mergeCell ref="K1368:K1370"/>
    <mergeCell ref="L1368:L1370"/>
    <mergeCell ref="M1368:M1370"/>
    <mergeCell ref="E1362:E1366"/>
    <mergeCell ref="E1368:E1370"/>
    <mergeCell ref="E1371:E1373"/>
    <mergeCell ref="F1371:F1373"/>
    <mergeCell ref="G1371:G1373"/>
    <mergeCell ref="H1371:H1373"/>
    <mergeCell ref="I1371:I1373"/>
    <mergeCell ref="N1371:N1373"/>
    <mergeCell ref="N1374:N1376"/>
    <mergeCell ref="O1374:O1376"/>
    <mergeCell ref="J1371:J1373"/>
    <mergeCell ref="K1371:K1373"/>
    <mergeCell ref="L1371:L1373"/>
    <mergeCell ref="M1371:M1373"/>
    <mergeCell ref="O1371:O1373"/>
    <mergeCell ref="N1377:N1379"/>
    <mergeCell ref="O1377:O1379"/>
    <mergeCell ref="F1377:F1379"/>
    <mergeCell ref="G1377:G1379"/>
    <mergeCell ref="I1377:I1379"/>
    <mergeCell ref="J1377:J1379"/>
    <mergeCell ref="K1377:K1379"/>
    <mergeCell ref="L1377:L1379"/>
    <mergeCell ref="M1377:M1379"/>
    <mergeCell ref="E1348:E1350"/>
    <mergeCell ref="E1351:E1353"/>
    <mergeCell ref="F1351:F1353"/>
    <mergeCell ref="G1351:G1353"/>
    <mergeCell ref="O1351:O1353"/>
    <mergeCell ref="P1351:P1353"/>
    <mergeCell ref="Q1351:Q1353"/>
    <mergeCell ref="T1351:T1353"/>
    <mergeCell ref="U1351:U1353"/>
    <mergeCell ref="V1351:V1353"/>
    <mergeCell ref="H1351:H1353"/>
    <mergeCell ref="I1351:I1353"/>
    <mergeCell ref="J1351:J1353"/>
    <mergeCell ref="K1351:K1353"/>
    <mergeCell ref="L1351:L1353"/>
    <mergeCell ref="M1351:M1353"/>
    <mergeCell ref="N1351:N1353"/>
    <mergeCell ref="B1348:B1350"/>
    <mergeCell ref="C1348:C1350"/>
    <mergeCell ref="D1348:D1350"/>
    <mergeCell ref="F1348:F1350"/>
    <mergeCell ref="G1348:G1350"/>
    <mergeCell ref="H1348:H1350"/>
    <mergeCell ref="B1351:B1353"/>
    <mergeCell ref="T1355:T1357"/>
    <mergeCell ref="U1355:U1357"/>
    <mergeCell ref="V1355:V1357"/>
    <mergeCell ref="T1358:T1361"/>
    <mergeCell ref="U1358:U1361"/>
    <mergeCell ref="V1358:V1361"/>
    <mergeCell ref="I1362:I1366"/>
    <mergeCell ref="J1362:J1366"/>
    <mergeCell ref="K1362:K1366"/>
    <mergeCell ref="L1362:L1366"/>
    <mergeCell ref="M1362:M1366"/>
    <mergeCell ref="N1362:N1366"/>
    <mergeCell ref="O1362:O1366"/>
    <mergeCell ref="C1360:C1361"/>
    <mergeCell ref="D1360:D1361"/>
    <mergeCell ref="B1362:B1366"/>
    <mergeCell ref="F1362:F1366"/>
    <mergeCell ref="G1362:G1366"/>
    <mergeCell ref="H1362:H1366"/>
    <mergeCell ref="K1348:K1350"/>
    <mergeCell ref="L1348:L1350"/>
    <mergeCell ref="M1348:M1350"/>
    <mergeCell ref="N1348:N1350"/>
    <mergeCell ref="O1348:O1350"/>
    <mergeCell ref="P1358:P1361"/>
    <mergeCell ref="Q1358:Q1361"/>
    <mergeCell ref="I1358:I1361"/>
    <mergeCell ref="J1358:J1361"/>
    <mergeCell ref="K1358:K1361"/>
    <mergeCell ref="L1358:L1361"/>
    <mergeCell ref="M1358:M1361"/>
    <mergeCell ref="N1358:N1361"/>
    <mergeCell ref="O1358:O1361"/>
    <mergeCell ref="P1362:P1366"/>
    <mergeCell ref="Q1362:Q1366"/>
    <mergeCell ref="R1362:R1363"/>
    <mergeCell ref="S1362:S1363"/>
    <mergeCell ref="T1362:T1366"/>
    <mergeCell ref="U1362:U1366"/>
    <mergeCell ref="V1362:V1366"/>
    <mergeCell ref="R1364:R1365"/>
    <mergeCell ref="S1364:S1365"/>
    <mergeCell ref="T1368:T1370"/>
    <mergeCell ref="U1368:U1370"/>
    <mergeCell ref="V1368:V1370"/>
    <mergeCell ref="U1371:U1373"/>
    <mergeCell ref="V1371:V1373"/>
    <mergeCell ref="U1380:U1382"/>
    <mergeCell ref="V1380:V1382"/>
    <mergeCell ref="T1371:T1373"/>
    <mergeCell ref="T1377:T1379"/>
    <mergeCell ref="U1377:U1379"/>
    <mergeCell ref="V1377:V1379"/>
    <mergeCell ref="P1380:P1382"/>
    <mergeCell ref="Q1380:Q1382"/>
    <mergeCell ref="T1380:T1382"/>
    <mergeCell ref="P1368:P1370"/>
    <mergeCell ref="Q1368:Q1370"/>
    <mergeCell ref="P1374:P1376"/>
    <mergeCell ref="Q1374:Q1376"/>
    <mergeCell ref="P1371:P1373"/>
    <mergeCell ref="Q1371:Q1373"/>
    <mergeCell ref="P1377:P1379"/>
    <mergeCell ref="Q1377:Q1379"/>
    <mergeCell ref="B1305:B1306"/>
    <mergeCell ref="Q1305:Q1306"/>
    <mergeCell ref="R1305:R1306"/>
    <mergeCell ref="S1305:S1306"/>
    <mergeCell ref="T1305:T1306"/>
    <mergeCell ref="U1305:U1306"/>
    <mergeCell ref="V1305:V1306"/>
    <mergeCell ref="J1305:J1306"/>
    <mergeCell ref="K1305:K1306"/>
    <mergeCell ref="L1305:L1306"/>
    <mergeCell ref="M1305:M1306"/>
    <mergeCell ref="N1305:N1306"/>
    <mergeCell ref="O1305:O1306"/>
    <mergeCell ref="P1305:P1306"/>
    <mergeCell ref="K1355:K1357"/>
    <mergeCell ref="L1355:L1357"/>
    <mergeCell ref="M1355:M1357"/>
    <mergeCell ref="N1355:N1357"/>
    <mergeCell ref="O1355:O1357"/>
    <mergeCell ref="P1355:P1357"/>
    <mergeCell ref="Q1355:Q1357"/>
    <mergeCell ref="B1355:B1357"/>
    <mergeCell ref="E1355:E1357"/>
    <mergeCell ref="F1355:F1357"/>
    <mergeCell ref="G1355:G1357"/>
    <mergeCell ref="H1355:H1357"/>
    <mergeCell ref="I1355:I1357"/>
    <mergeCell ref="J1355:J1357"/>
    <mergeCell ref="O1341:O1343"/>
    <mergeCell ref="P1341:P1343"/>
    <mergeCell ref="I1341:I1343"/>
    <mergeCell ref="J1341:J1343"/>
    <mergeCell ref="K1341:K1343"/>
    <mergeCell ref="L1341:L1343"/>
    <mergeCell ref="M1341:M1343"/>
    <mergeCell ref="N1341:N1343"/>
    <mergeCell ref="B1344:V1344"/>
    <mergeCell ref="O1345:O1347"/>
    <mergeCell ref="P1345:P1347"/>
    <mergeCell ref="Q1345:Q1347"/>
    <mergeCell ref="T1345:T1347"/>
    <mergeCell ref="U1345:U1347"/>
    <mergeCell ref="V1345:V1347"/>
    <mergeCell ref="H1345:H1347"/>
    <mergeCell ref="I1345:I1347"/>
    <mergeCell ref="J1345:J1347"/>
    <mergeCell ref="K1345:K1347"/>
    <mergeCell ref="L1345:L1347"/>
    <mergeCell ref="M1345:M1347"/>
    <mergeCell ref="N1345:N1347"/>
    <mergeCell ref="H1341:H1343"/>
    <mergeCell ref="B1345:B1347"/>
    <mergeCell ref="C1345:C1347"/>
    <mergeCell ref="D1345:D1347"/>
    <mergeCell ref="E1345:E1347"/>
    <mergeCell ref="F1345:F1347"/>
    <mergeCell ref="G1345:G1347"/>
    <mergeCell ref="P1348:P1350"/>
    <mergeCell ref="Q1348:Q1350"/>
    <mergeCell ref="T1348:T1350"/>
    <mergeCell ref="U1348:U1350"/>
    <mergeCell ref="V1348:V1350"/>
    <mergeCell ref="I1348:I1350"/>
    <mergeCell ref="J1348:J1350"/>
    <mergeCell ref="V1291:V1293"/>
    <mergeCell ref="F1291:F1293"/>
    <mergeCell ref="G1291:G1293"/>
    <mergeCell ref="J1291:J1293"/>
    <mergeCell ref="K1291:K1293"/>
    <mergeCell ref="L1291:L1293"/>
    <mergeCell ref="M1291:M1293"/>
    <mergeCell ref="N1291:N1293"/>
    <mergeCell ref="E1286:E1288"/>
    <mergeCell ref="E1291:E1293"/>
    <mergeCell ref="H1291:H1293"/>
    <mergeCell ref="I1291:I1293"/>
    <mergeCell ref="B1284:B1285"/>
    <mergeCell ref="B1286:B1288"/>
    <mergeCell ref="F1286:F1288"/>
    <mergeCell ref="G1286:G1288"/>
    <mergeCell ref="H1286:H1288"/>
    <mergeCell ref="I1286:I1288"/>
    <mergeCell ref="B1291:B1293"/>
    <mergeCell ref="T1294:T1296"/>
    <mergeCell ref="U1294:U1296"/>
    <mergeCell ref="V1294:V1296"/>
    <mergeCell ref="K1294:K1296"/>
    <mergeCell ref="L1294:L1296"/>
    <mergeCell ref="M1294:M1296"/>
    <mergeCell ref="N1294:N1296"/>
    <mergeCell ref="O1294:O1296"/>
    <mergeCell ref="P1294:P1296"/>
    <mergeCell ref="Q1294:Q1296"/>
    <mergeCell ref="F1297:F1298"/>
    <mergeCell ref="G1297:G1298"/>
    <mergeCell ref="P1297:P1298"/>
    <mergeCell ref="Q1297:Q1298"/>
    <mergeCell ref="T1297:T1298"/>
    <mergeCell ref="U1297:U1298"/>
    <mergeCell ref="V1297:V1298"/>
    <mergeCell ref="H1297:H1298"/>
    <mergeCell ref="I1297:I1298"/>
    <mergeCell ref="K1297:K1298"/>
    <mergeCell ref="L1297:L1298"/>
    <mergeCell ref="M1297:M1298"/>
    <mergeCell ref="N1297:N1298"/>
    <mergeCell ref="O1297:O1298"/>
    <mergeCell ref="B1294:B1296"/>
    <mergeCell ref="F1294:F1296"/>
    <mergeCell ref="G1294:G1296"/>
    <mergeCell ref="H1294:H1296"/>
    <mergeCell ref="I1294:I1296"/>
    <mergeCell ref="J1294:J1296"/>
    <mergeCell ref="B1297:B1298"/>
    <mergeCell ref="J1297:J1298"/>
    <mergeCell ref="I1338:I1340"/>
    <mergeCell ref="J1338:J1340"/>
    <mergeCell ref="K1338:K1340"/>
    <mergeCell ref="L1338:L1340"/>
    <mergeCell ref="M1338:M1340"/>
    <mergeCell ref="N1338:N1340"/>
    <mergeCell ref="O1338:O1340"/>
    <mergeCell ref="E1338:E1340"/>
    <mergeCell ref="E1341:E1343"/>
    <mergeCell ref="F1341:F1343"/>
    <mergeCell ref="G1341:G1343"/>
    <mergeCell ref="B1338:B1340"/>
    <mergeCell ref="C1338:C1340"/>
    <mergeCell ref="D1338:D1340"/>
    <mergeCell ref="F1338:F1340"/>
    <mergeCell ref="G1338:G1340"/>
    <mergeCell ref="H1338:H1340"/>
    <mergeCell ref="B1341:B1343"/>
    <mergeCell ref="U1341:U1343"/>
    <mergeCell ref="V1341:V1343"/>
    <mergeCell ref="P1338:P1340"/>
    <mergeCell ref="Q1338:Q1340"/>
    <mergeCell ref="T1338:T1340"/>
    <mergeCell ref="U1338:U1340"/>
    <mergeCell ref="V1338:V1340"/>
    <mergeCell ref="Q1341:Q1343"/>
    <mergeCell ref="T1341:T1343"/>
    <mergeCell ref="T1278:T1279"/>
    <mergeCell ref="U1278:U1279"/>
    <mergeCell ref="I1281:I1283"/>
    <mergeCell ref="J1281:J1283"/>
    <mergeCell ref="K1281:K1283"/>
    <mergeCell ref="L1281:L1283"/>
    <mergeCell ref="M1281:M1283"/>
    <mergeCell ref="N1281:N1283"/>
    <mergeCell ref="O1281:O1283"/>
    <mergeCell ref="P1281:P1283"/>
    <mergeCell ref="Q1281:Q1283"/>
    <mergeCell ref="R1281:R1283"/>
    <mergeCell ref="S1281:S1283"/>
    <mergeCell ref="T1281:T1283"/>
    <mergeCell ref="U1281:U1283"/>
    <mergeCell ref="V1281:V1283"/>
    <mergeCell ref="E1281:E1283"/>
    <mergeCell ref="E1284:E1285"/>
    <mergeCell ref="F1284:F1285"/>
    <mergeCell ref="G1284:G1285"/>
    <mergeCell ref="H1284:H1285"/>
    <mergeCell ref="I1284:I1285"/>
    <mergeCell ref="J1284:J1285"/>
    <mergeCell ref="K1284:K1285"/>
    <mergeCell ref="L1284:L1285"/>
    <mergeCell ref="M1284:M1285"/>
    <mergeCell ref="N1284:N1285"/>
    <mergeCell ref="O1284:O1285"/>
    <mergeCell ref="Q1286:Q1288"/>
    <mergeCell ref="R1286:R1288"/>
    <mergeCell ref="S1286:S1288"/>
    <mergeCell ref="T1286:T1288"/>
    <mergeCell ref="U1286:U1288"/>
    <mergeCell ref="V1286:V1288"/>
    <mergeCell ref="J1286:J1288"/>
    <mergeCell ref="K1286:K1288"/>
    <mergeCell ref="L1286:L1288"/>
    <mergeCell ref="T1329:T1331"/>
    <mergeCell ref="U1329:U1331"/>
    <mergeCell ref="V1329:V1331"/>
    <mergeCell ref="K1329:K1331"/>
    <mergeCell ref="L1329:L1331"/>
    <mergeCell ref="M1329:M1331"/>
    <mergeCell ref="N1329:N1331"/>
    <mergeCell ref="O1329:O1331"/>
    <mergeCell ref="P1329:P1331"/>
    <mergeCell ref="Q1329:Q1331"/>
    <mergeCell ref="E1329:E1331"/>
    <mergeCell ref="E1333:E1335"/>
    <mergeCell ref="E1336:E1337"/>
    <mergeCell ref="P1333:P1335"/>
    <mergeCell ref="Q1333:Q1335"/>
    <mergeCell ref="T1333:T1335"/>
    <mergeCell ref="U1333:U1335"/>
    <mergeCell ref="V1333:V1335"/>
    <mergeCell ref="H1333:H1335"/>
    <mergeCell ref="I1333:I1335"/>
    <mergeCell ref="K1333:K1335"/>
    <mergeCell ref="L1333:L1335"/>
    <mergeCell ref="M1333:M1335"/>
    <mergeCell ref="N1333:N1335"/>
    <mergeCell ref="O1333:O1335"/>
    <mergeCell ref="B1333:B1335"/>
    <mergeCell ref="B1336:B1337"/>
    <mergeCell ref="C1336:C1337"/>
    <mergeCell ref="D1336:D1337"/>
    <mergeCell ref="R1336:R1337"/>
    <mergeCell ref="S1336:S1337"/>
    <mergeCell ref="T1336:T1337"/>
    <mergeCell ref="U1336:U1337"/>
    <mergeCell ref="V1336:V1337"/>
    <mergeCell ref="K1336:K1337"/>
    <mergeCell ref="L1336:L1337"/>
    <mergeCell ref="M1336:M1337"/>
    <mergeCell ref="N1336:N1337"/>
    <mergeCell ref="O1336:O1337"/>
    <mergeCell ref="P1336:P1337"/>
    <mergeCell ref="Q1336:Q1337"/>
    <mergeCell ref="F1333:F1335"/>
    <mergeCell ref="G1333:G1335"/>
    <mergeCell ref="F1336:F1337"/>
    <mergeCell ref="G1336:G1337"/>
    <mergeCell ref="H1336:H1337"/>
    <mergeCell ref="I1336:I1337"/>
    <mergeCell ref="J1336:J1337"/>
    <mergeCell ref="B1329:B1331"/>
    <mergeCell ref="F1329:F1331"/>
    <mergeCell ref="G1329:G1331"/>
    <mergeCell ref="H1329:H1331"/>
    <mergeCell ref="I1329:I1331"/>
    <mergeCell ref="J1329:J1331"/>
    <mergeCell ref="J1333:J1335"/>
    <mergeCell ref="E1312:E1314"/>
    <mergeCell ref="F1312:F1314"/>
    <mergeCell ref="G1312:G1314"/>
    <mergeCell ref="O1312:O1314"/>
    <mergeCell ref="P1312:P1314"/>
    <mergeCell ref="Q1312:Q1314"/>
    <mergeCell ref="T1312:T1314"/>
    <mergeCell ref="U1312:U1314"/>
    <mergeCell ref="V1312:V1314"/>
    <mergeCell ref="H1312:H1314"/>
    <mergeCell ref="I1312:I1314"/>
    <mergeCell ref="J1312:J1314"/>
    <mergeCell ref="K1312:K1314"/>
    <mergeCell ref="L1312:L1314"/>
    <mergeCell ref="M1312:M1314"/>
    <mergeCell ref="N1312:N1314"/>
    <mergeCell ref="B1310:B1311"/>
    <mergeCell ref="C1310:C1311"/>
    <mergeCell ref="D1310:D1311"/>
    <mergeCell ref="F1310:F1311"/>
    <mergeCell ref="G1310:G1311"/>
    <mergeCell ref="H1310:H1311"/>
    <mergeCell ref="B1312:B1314"/>
    <mergeCell ref="T1315:T1317"/>
    <mergeCell ref="U1315:U1317"/>
    <mergeCell ref="V1315:V1317"/>
    <mergeCell ref="K1315:K1317"/>
    <mergeCell ref="L1315:L1317"/>
    <mergeCell ref="M1315:M1317"/>
    <mergeCell ref="N1315:N1317"/>
    <mergeCell ref="O1315:O1317"/>
    <mergeCell ref="P1315:P1317"/>
    <mergeCell ref="Q1315:Q1317"/>
    <mergeCell ref="B1315:B1317"/>
    <mergeCell ref="B1300:B1302"/>
    <mergeCell ref="F1300:F1302"/>
    <mergeCell ref="G1300:G1302"/>
    <mergeCell ref="H1300:H1302"/>
    <mergeCell ref="H1303:H1304"/>
    <mergeCell ref="P1307:P1309"/>
    <mergeCell ref="Q1307:Q1309"/>
    <mergeCell ref="T1307:T1309"/>
    <mergeCell ref="U1307:U1309"/>
    <mergeCell ref="V1307:V1309"/>
    <mergeCell ref="I1307:I1309"/>
    <mergeCell ref="J1307:J1309"/>
    <mergeCell ref="K1307:K1309"/>
    <mergeCell ref="L1307:L1309"/>
    <mergeCell ref="M1307:M1309"/>
    <mergeCell ref="N1307:N1309"/>
    <mergeCell ref="O1307:O1309"/>
    <mergeCell ref="B1307:B1309"/>
    <mergeCell ref="C1307:C1309"/>
    <mergeCell ref="D1307:D1309"/>
    <mergeCell ref="E1307:E1309"/>
    <mergeCell ref="F1307:F1309"/>
    <mergeCell ref="G1307:G1309"/>
    <mergeCell ref="H1307:H1309"/>
    <mergeCell ref="P1310:P1311"/>
    <mergeCell ref="Q1310:Q1311"/>
    <mergeCell ref="T1310:T1311"/>
    <mergeCell ref="U1310:U1311"/>
    <mergeCell ref="V1310:V1311"/>
    <mergeCell ref="I1310:I1311"/>
    <mergeCell ref="J1310:J1311"/>
    <mergeCell ref="K1310:K1311"/>
    <mergeCell ref="L1310:L1311"/>
    <mergeCell ref="M1310:M1311"/>
    <mergeCell ref="N1310:N1311"/>
    <mergeCell ref="O1310:O1311"/>
    <mergeCell ref="E1310:E1311"/>
    <mergeCell ref="P1300:P1302"/>
    <mergeCell ref="Q1300:Q1302"/>
    <mergeCell ref="T1300:T1302"/>
    <mergeCell ref="U1300:U1302"/>
    <mergeCell ref="V1300:V1302"/>
    <mergeCell ref="I1300:I1302"/>
    <mergeCell ref="J1300:J1302"/>
    <mergeCell ref="K1300:K1302"/>
    <mergeCell ref="L1300:L1302"/>
    <mergeCell ref="M1300:M1302"/>
    <mergeCell ref="N1300:N1302"/>
    <mergeCell ref="O1300:O1302"/>
    <mergeCell ref="N1303:N1304"/>
    <mergeCell ref="O1303:O1304"/>
    <mergeCell ref="P1303:P1304"/>
    <mergeCell ref="Q1303:Q1304"/>
    <mergeCell ref="T1303:T1304"/>
    <mergeCell ref="U1303:U1304"/>
    <mergeCell ref="V1303:V1304"/>
    <mergeCell ref="F1303:F1304"/>
    <mergeCell ref="G1303:G1304"/>
    <mergeCell ref="I1303:I1304"/>
    <mergeCell ref="J1303:J1304"/>
    <mergeCell ref="K1303:K1304"/>
    <mergeCell ref="L1303:L1304"/>
    <mergeCell ref="M1303:M1304"/>
    <mergeCell ref="B1303:B1304"/>
    <mergeCell ref="J755:J757"/>
    <mergeCell ref="K755:K757"/>
    <mergeCell ref="L755:L757"/>
    <mergeCell ref="M755:M757"/>
    <mergeCell ref="N755:N757"/>
    <mergeCell ref="O755:O757"/>
    <mergeCell ref="U758:U760"/>
    <mergeCell ref="V758:V760"/>
    <mergeCell ref="N758:N760"/>
    <mergeCell ref="O758:O760"/>
    <mergeCell ref="P758:P760"/>
    <mergeCell ref="Q758:Q760"/>
    <mergeCell ref="R758:R760"/>
    <mergeCell ref="S758:S760"/>
    <mergeCell ref="T758:T760"/>
    <mergeCell ref="O785:O789"/>
    <mergeCell ref="P785:P789"/>
    <mergeCell ref="H785:H789"/>
    <mergeCell ref="I785:I789"/>
    <mergeCell ref="J785:J789"/>
    <mergeCell ref="K785:K789"/>
    <mergeCell ref="L785:L789"/>
    <mergeCell ref="M785:M789"/>
    <mergeCell ref="N785:N789"/>
    <mergeCell ref="E1300:E1302"/>
    <mergeCell ref="E1303:E1304"/>
    <mergeCell ref="E1305:E1306"/>
    <mergeCell ref="F1305:F1306"/>
    <mergeCell ref="G1305:G1306"/>
    <mergeCell ref="H1305:H1306"/>
    <mergeCell ref="I1305:I1306"/>
    <mergeCell ref="E1294:E1296"/>
    <mergeCell ref="E1297:E1298"/>
    <mergeCell ref="M1286:M1288"/>
    <mergeCell ref="N1286:N1288"/>
    <mergeCell ref="O1286:O1288"/>
    <mergeCell ref="P1286:P1288"/>
    <mergeCell ref="B1277:V1277"/>
    <mergeCell ref="B1278:B1279"/>
    <mergeCell ref="E1278:E1279"/>
    <mergeCell ref="F1278:F1279"/>
    <mergeCell ref="G1278:G1279"/>
    <mergeCell ref="H1278:H1279"/>
    <mergeCell ref="I1278:I1279"/>
    <mergeCell ref="P1284:P1285"/>
    <mergeCell ref="Q1284:Q1285"/>
    <mergeCell ref="R1284:R1285"/>
    <mergeCell ref="S1284:S1285"/>
    <mergeCell ref="T1284:T1285"/>
    <mergeCell ref="U1284:U1285"/>
    <mergeCell ref="V1278:V1279"/>
    <mergeCell ref="B1280:V1280"/>
    <mergeCell ref="B1281:B1283"/>
    <mergeCell ref="F1281:F1283"/>
    <mergeCell ref="G1281:G1283"/>
    <mergeCell ref="H1281:H1283"/>
    <mergeCell ref="V1284:V1285"/>
    <mergeCell ref="B1289:V1289"/>
    <mergeCell ref="B1290:V1290"/>
    <mergeCell ref="O1291:O1293"/>
    <mergeCell ref="P1291:P1293"/>
    <mergeCell ref="Q1291:Q1293"/>
    <mergeCell ref="T1291:T1293"/>
    <mergeCell ref="U1291:U1293"/>
    <mergeCell ref="G720:G721"/>
    <mergeCell ref="H720:H721"/>
    <mergeCell ref="B722:B724"/>
    <mergeCell ref="E720:E721"/>
    <mergeCell ref="E722:E724"/>
    <mergeCell ref="B727:B730"/>
    <mergeCell ref="E727:E730"/>
    <mergeCell ref="F727:F730"/>
    <mergeCell ref="G727:G730"/>
    <mergeCell ref="H727:H730"/>
    <mergeCell ref="P731:P733"/>
    <mergeCell ref="Q731:Q733"/>
    <mergeCell ref="T731:T733"/>
    <mergeCell ref="U731:U733"/>
    <mergeCell ref="V731:V733"/>
    <mergeCell ref="I731:I733"/>
    <mergeCell ref="J731:J733"/>
    <mergeCell ref="K731:K733"/>
    <mergeCell ref="L731:L733"/>
    <mergeCell ref="M731:M733"/>
    <mergeCell ref="N731:N733"/>
    <mergeCell ref="O731:O733"/>
    <mergeCell ref="B731:B733"/>
    <mergeCell ref="C731:C733"/>
    <mergeCell ref="D731:D733"/>
    <mergeCell ref="E731:E733"/>
    <mergeCell ref="F731:F733"/>
    <mergeCell ref="G731:G733"/>
    <mergeCell ref="H731:H733"/>
    <mergeCell ref="P735:P737"/>
    <mergeCell ref="Q735:Q737"/>
    <mergeCell ref="T735:T737"/>
    <mergeCell ref="U735:U737"/>
    <mergeCell ref="V735:V737"/>
    <mergeCell ref="I735:I737"/>
    <mergeCell ref="J735:J737"/>
    <mergeCell ref="K735:K737"/>
    <mergeCell ref="L735:L737"/>
    <mergeCell ref="M735:M737"/>
    <mergeCell ref="N735:N737"/>
    <mergeCell ref="O735:O737"/>
    <mergeCell ref="E735:E737"/>
    <mergeCell ref="B735:B737"/>
    <mergeCell ref="C735:C737"/>
    <mergeCell ref="D735:D737"/>
    <mergeCell ref="F735:F737"/>
    <mergeCell ref="G735:G737"/>
    <mergeCell ref="H735:H737"/>
    <mergeCell ref="P776:P778"/>
    <mergeCell ref="Q776:Q778"/>
    <mergeCell ref="T776:T778"/>
    <mergeCell ref="U776:U778"/>
    <mergeCell ref="V776:V778"/>
    <mergeCell ref="T779:T780"/>
    <mergeCell ref="U779:U780"/>
    <mergeCell ref="V779:V780"/>
    <mergeCell ref="B779:B780"/>
    <mergeCell ref="C779:C780"/>
    <mergeCell ref="D779:D780"/>
    <mergeCell ref="E779:E780"/>
    <mergeCell ref="F779:F780"/>
    <mergeCell ref="G779:G780"/>
    <mergeCell ref="H779:H780"/>
    <mergeCell ref="L717:L719"/>
    <mergeCell ref="M717:M719"/>
    <mergeCell ref="E717:E719"/>
    <mergeCell ref="F717:F719"/>
    <mergeCell ref="G717:G719"/>
    <mergeCell ref="H717:H719"/>
    <mergeCell ref="I717:I719"/>
    <mergeCell ref="J717:J719"/>
    <mergeCell ref="K717:K719"/>
    <mergeCell ref="I720:I721"/>
    <mergeCell ref="J720:J721"/>
    <mergeCell ref="K720:K721"/>
    <mergeCell ref="L720:L721"/>
    <mergeCell ref="M720:M721"/>
    <mergeCell ref="N720:N721"/>
    <mergeCell ref="O720:O721"/>
    <mergeCell ref="F722:F724"/>
    <mergeCell ref="G722:G724"/>
    <mergeCell ref="Q722:Q724"/>
    <mergeCell ref="R722:R724"/>
    <mergeCell ref="S722:S724"/>
    <mergeCell ref="T722:T724"/>
    <mergeCell ref="U722:U724"/>
    <mergeCell ref="V722:V724"/>
    <mergeCell ref="B725:V725"/>
    <mergeCell ref="B726:V726"/>
    <mergeCell ref="P720:P721"/>
    <mergeCell ref="Q720:Q721"/>
    <mergeCell ref="R720:R721"/>
    <mergeCell ref="S720:S721"/>
    <mergeCell ref="T720:T721"/>
    <mergeCell ref="U720:U721"/>
    <mergeCell ref="V720:V721"/>
    <mergeCell ref="P727:P730"/>
    <mergeCell ref="Q727:Q730"/>
    <mergeCell ref="T727:T730"/>
    <mergeCell ref="U727:U730"/>
    <mergeCell ref="V727:V730"/>
    <mergeCell ref="I727:I730"/>
    <mergeCell ref="J727:J730"/>
    <mergeCell ref="K727:K730"/>
    <mergeCell ref="L727:L730"/>
    <mergeCell ref="M727:M730"/>
    <mergeCell ref="N727:N730"/>
    <mergeCell ref="O727:O730"/>
    <mergeCell ref="B720:B721"/>
    <mergeCell ref="C720:C721"/>
    <mergeCell ref="D720:D721"/>
    <mergeCell ref="F720:F721"/>
    <mergeCell ref="M768:M770"/>
    <mergeCell ref="N768:N770"/>
    <mergeCell ref="O768:O770"/>
    <mergeCell ref="P768:P770"/>
    <mergeCell ref="Q768:Q770"/>
    <mergeCell ref="T768:T770"/>
    <mergeCell ref="U768:U770"/>
    <mergeCell ref="V768:V770"/>
    <mergeCell ref="F768:F770"/>
    <mergeCell ref="G768:G770"/>
    <mergeCell ref="H768:H770"/>
    <mergeCell ref="I768:I770"/>
    <mergeCell ref="J768:J770"/>
    <mergeCell ref="K768:K770"/>
    <mergeCell ref="L768:L770"/>
    <mergeCell ref="I776:I778"/>
    <mergeCell ref="J776:J778"/>
    <mergeCell ref="K776:K778"/>
    <mergeCell ref="L776:L778"/>
    <mergeCell ref="M776:M778"/>
    <mergeCell ref="N776:N778"/>
    <mergeCell ref="O776:O778"/>
    <mergeCell ref="B776:B778"/>
    <mergeCell ref="C776:C778"/>
    <mergeCell ref="D776:D778"/>
    <mergeCell ref="E776:E778"/>
    <mergeCell ref="F776:F778"/>
    <mergeCell ref="G776:G778"/>
    <mergeCell ref="H776:H778"/>
    <mergeCell ref="F758:F760"/>
    <mergeCell ref="G758:G760"/>
    <mergeCell ref="E761:E765"/>
    <mergeCell ref="F761:F765"/>
    <mergeCell ref="G761:G765"/>
    <mergeCell ref="H761:H765"/>
    <mergeCell ref="I761:I765"/>
    <mergeCell ref="E768:E770"/>
    <mergeCell ref="E771:E775"/>
    <mergeCell ref="F771:F775"/>
    <mergeCell ref="G771:G775"/>
    <mergeCell ref="H771:H775"/>
    <mergeCell ref="I771:I775"/>
    <mergeCell ref="J771:J775"/>
    <mergeCell ref="R771:R772"/>
    <mergeCell ref="S771:S772"/>
    <mergeCell ref="T771:T775"/>
    <mergeCell ref="U771:U775"/>
    <mergeCell ref="V771:V775"/>
    <mergeCell ref="R773:R774"/>
    <mergeCell ref="S773:S774"/>
    <mergeCell ref="K771:K775"/>
    <mergeCell ref="L771:L775"/>
    <mergeCell ref="M771:M775"/>
    <mergeCell ref="N771:N775"/>
    <mergeCell ref="O771:O775"/>
    <mergeCell ref="P771:P775"/>
    <mergeCell ref="Q771:Q775"/>
    <mergeCell ref="B758:B760"/>
    <mergeCell ref="B761:B765"/>
    <mergeCell ref="B766:B767"/>
    <mergeCell ref="B768:B770"/>
    <mergeCell ref="C768:C770"/>
    <mergeCell ref="D768:D770"/>
    <mergeCell ref="B771:B775"/>
    <mergeCell ref="T750:T754"/>
    <mergeCell ref="U750:U754"/>
    <mergeCell ref="V750:V754"/>
    <mergeCell ref="T755:T757"/>
    <mergeCell ref="U755:U757"/>
    <mergeCell ref="V755:V757"/>
    <mergeCell ref="E755:E757"/>
    <mergeCell ref="E758:E760"/>
    <mergeCell ref="I758:I760"/>
    <mergeCell ref="J758:J760"/>
    <mergeCell ref="K758:K760"/>
    <mergeCell ref="L758:L760"/>
    <mergeCell ref="M758:M760"/>
    <mergeCell ref="B755:B757"/>
    <mergeCell ref="C755:C757"/>
    <mergeCell ref="D755:D757"/>
    <mergeCell ref="F755:F757"/>
    <mergeCell ref="G755:G757"/>
    <mergeCell ref="H755:H757"/>
    <mergeCell ref="H758:H760"/>
    <mergeCell ref="Q761:Q765"/>
    <mergeCell ref="T761:T765"/>
    <mergeCell ref="U761:U765"/>
    <mergeCell ref="V761:V765"/>
    <mergeCell ref="J761:J765"/>
    <mergeCell ref="K761:K765"/>
    <mergeCell ref="L761:L765"/>
    <mergeCell ref="M761:M765"/>
    <mergeCell ref="N761:N765"/>
    <mergeCell ref="O761:O765"/>
    <mergeCell ref="P761:P765"/>
    <mergeCell ref="E766:E767"/>
    <mergeCell ref="F766:F767"/>
    <mergeCell ref="G766:G767"/>
    <mergeCell ref="H766:H767"/>
    <mergeCell ref="I766:I767"/>
    <mergeCell ref="J766:J767"/>
    <mergeCell ref="K766:K767"/>
    <mergeCell ref="U766:U767"/>
    <mergeCell ref="V766:V767"/>
    <mergeCell ref="L766:L767"/>
    <mergeCell ref="M766:M767"/>
    <mergeCell ref="N766:N767"/>
    <mergeCell ref="O766:O767"/>
    <mergeCell ref="P766:P767"/>
    <mergeCell ref="Q766:Q767"/>
    <mergeCell ref="T766:T767"/>
    <mergeCell ref="K750:K754"/>
    <mergeCell ref="L750:L754"/>
    <mergeCell ref="M750:M754"/>
    <mergeCell ref="N750:N754"/>
    <mergeCell ref="O750:O754"/>
    <mergeCell ref="P750:P754"/>
    <mergeCell ref="Q750:Q754"/>
    <mergeCell ref="B750:B754"/>
    <mergeCell ref="E750:E754"/>
    <mergeCell ref="F750:F754"/>
    <mergeCell ref="G750:G754"/>
    <mergeCell ref="H750:H754"/>
    <mergeCell ref="I750:I754"/>
    <mergeCell ref="J750:J754"/>
    <mergeCell ref="P755:P757"/>
    <mergeCell ref="Q755:Q757"/>
    <mergeCell ref="I755:I757"/>
    <mergeCell ref="O722:O724"/>
    <mergeCell ref="P722:P724"/>
    <mergeCell ref="H722:H724"/>
    <mergeCell ref="I722:I724"/>
    <mergeCell ref="J722:J724"/>
    <mergeCell ref="K722:K724"/>
    <mergeCell ref="L722:L724"/>
    <mergeCell ref="M722:M724"/>
    <mergeCell ref="N722:N724"/>
    <mergeCell ref="E743:E745"/>
    <mergeCell ref="E746:E748"/>
    <mergeCell ref="F746:F748"/>
    <mergeCell ref="G746:G748"/>
    <mergeCell ref="O746:O748"/>
    <mergeCell ref="P746:P748"/>
    <mergeCell ref="Q746:Q748"/>
    <mergeCell ref="R746:R748"/>
    <mergeCell ref="S746:S748"/>
    <mergeCell ref="T746:T748"/>
    <mergeCell ref="U746:U748"/>
    <mergeCell ref="V746:V748"/>
    <mergeCell ref="H746:H748"/>
    <mergeCell ref="I746:I748"/>
    <mergeCell ref="J746:J748"/>
    <mergeCell ref="K746:K748"/>
    <mergeCell ref="L746:L748"/>
    <mergeCell ref="M746:M748"/>
    <mergeCell ref="N746:N748"/>
    <mergeCell ref="B743:B745"/>
    <mergeCell ref="C743:C745"/>
    <mergeCell ref="D743:D745"/>
    <mergeCell ref="F743:F745"/>
    <mergeCell ref="G743:G745"/>
    <mergeCell ref="H743:H745"/>
    <mergeCell ref="B746:B748"/>
    <mergeCell ref="E738:E742"/>
    <mergeCell ref="F738:F742"/>
    <mergeCell ref="G738:G742"/>
    <mergeCell ref="O738:O742"/>
    <mergeCell ref="P738:P742"/>
    <mergeCell ref="Q738:Q742"/>
    <mergeCell ref="T738:T742"/>
    <mergeCell ref="U738:U742"/>
    <mergeCell ref="V738:V742"/>
    <mergeCell ref="H738:H742"/>
    <mergeCell ref="I738:I742"/>
    <mergeCell ref="J738:J742"/>
    <mergeCell ref="K738:K742"/>
    <mergeCell ref="L738:L742"/>
    <mergeCell ref="M738:M742"/>
    <mergeCell ref="N738:N742"/>
    <mergeCell ref="B738:B742"/>
    <mergeCell ref="P743:P745"/>
    <mergeCell ref="Q743:Q745"/>
    <mergeCell ref="T743:T745"/>
    <mergeCell ref="U743:U745"/>
    <mergeCell ref="V743:V745"/>
    <mergeCell ref="I743:I745"/>
    <mergeCell ref="J743:J745"/>
    <mergeCell ref="K743:K745"/>
    <mergeCell ref="L743:L745"/>
    <mergeCell ref="M743:M745"/>
    <mergeCell ref="N743:N745"/>
    <mergeCell ref="O743:O745"/>
    <mergeCell ref="K668:K670"/>
    <mergeCell ref="L668:L670"/>
    <mergeCell ref="M668:M670"/>
    <mergeCell ref="N668:N670"/>
    <mergeCell ref="O668:O670"/>
    <mergeCell ref="P668:P670"/>
    <mergeCell ref="Q668:Q670"/>
    <mergeCell ref="E668:E670"/>
    <mergeCell ref="E671:E672"/>
    <mergeCell ref="F671:F672"/>
    <mergeCell ref="G671:G672"/>
    <mergeCell ref="B668:B670"/>
    <mergeCell ref="F668:F670"/>
    <mergeCell ref="G668:G670"/>
    <mergeCell ref="H668:H670"/>
    <mergeCell ref="I668:I670"/>
    <mergeCell ref="J668:J670"/>
    <mergeCell ref="B671:B672"/>
    <mergeCell ref="J671:J672"/>
    <mergeCell ref="T671:T672"/>
    <mergeCell ref="U671:U672"/>
    <mergeCell ref="R668:R670"/>
    <mergeCell ref="S668:S670"/>
    <mergeCell ref="T668:T670"/>
    <mergeCell ref="U668:U670"/>
    <mergeCell ref="V668:V670"/>
    <mergeCell ref="R671:R672"/>
    <mergeCell ref="S671:S672"/>
    <mergeCell ref="V671:V672"/>
    <mergeCell ref="P671:P672"/>
    <mergeCell ref="Q671:Q672"/>
    <mergeCell ref="H671:H672"/>
    <mergeCell ref="I671:I672"/>
    <mergeCell ref="K671:K672"/>
    <mergeCell ref="L671:L672"/>
    <mergeCell ref="M671:M672"/>
    <mergeCell ref="N671:N672"/>
    <mergeCell ref="O671:O672"/>
    <mergeCell ref="B657:B659"/>
    <mergeCell ref="E657:E659"/>
    <mergeCell ref="F657:F659"/>
    <mergeCell ref="G657:G659"/>
    <mergeCell ref="H657:H659"/>
    <mergeCell ref="I657:I659"/>
    <mergeCell ref="J657:J659"/>
    <mergeCell ref="I660:I661"/>
    <mergeCell ref="J660:J661"/>
    <mergeCell ref="K660:K661"/>
    <mergeCell ref="L660:L661"/>
    <mergeCell ref="M660:M661"/>
    <mergeCell ref="N660:N661"/>
    <mergeCell ref="O660:O661"/>
    <mergeCell ref="E660:E661"/>
    <mergeCell ref="E662:E664"/>
    <mergeCell ref="U662:U664"/>
    <mergeCell ref="V662:V664"/>
    <mergeCell ref="P660:P661"/>
    <mergeCell ref="Q660:Q661"/>
    <mergeCell ref="T660:T661"/>
    <mergeCell ref="U660:U661"/>
    <mergeCell ref="V660:V661"/>
    <mergeCell ref="Q662:Q664"/>
    <mergeCell ref="T662:T664"/>
    <mergeCell ref="T665:T667"/>
    <mergeCell ref="U665:U667"/>
    <mergeCell ref="V665:V667"/>
    <mergeCell ref="F662:F664"/>
    <mergeCell ref="G662:G664"/>
    <mergeCell ref="B660:B661"/>
    <mergeCell ref="C660:C661"/>
    <mergeCell ref="D660:D661"/>
    <mergeCell ref="F660:F661"/>
    <mergeCell ref="G660:G661"/>
    <mergeCell ref="H660:H661"/>
    <mergeCell ref="B662:B664"/>
    <mergeCell ref="E713:E715"/>
    <mergeCell ref="B717:B719"/>
    <mergeCell ref="R717:R719"/>
    <mergeCell ref="S717:S719"/>
    <mergeCell ref="E650:E652"/>
    <mergeCell ref="E653:E655"/>
    <mergeCell ref="F653:F655"/>
    <mergeCell ref="G653:G655"/>
    <mergeCell ref="H653:H655"/>
    <mergeCell ref="I653:I655"/>
    <mergeCell ref="J653:J655"/>
    <mergeCell ref="K653:K655"/>
    <mergeCell ref="L653:L655"/>
    <mergeCell ref="M653:M655"/>
    <mergeCell ref="N653:N655"/>
    <mergeCell ref="V653:V655"/>
    <mergeCell ref="B656:V656"/>
    <mergeCell ref="O653:O655"/>
    <mergeCell ref="P653:P655"/>
    <mergeCell ref="Q653:Q655"/>
    <mergeCell ref="R653:R655"/>
    <mergeCell ref="S653:S655"/>
    <mergeCell ref="T653:T655"/>
    <mergeCell ref="U653:U655"/>
    <mergeCell ref="B647:B648"/>
    <mergeCell ref="B650:B652"/>
    <mergeCell ref="F650:F652"/>
    <mergeCell ref="G650:G652"/>
    <mergeCell ref="H650:H652"/>
    <mergeCell ref="I650:I652"/>
    <mergeCell ref="B653:B655"/>
    <mergeCell ref="T657:T659"/>
    <mergeCell ref="U657:U659"/>
    <mergeCell ref="V657:V659"/>
    <mergeCell ref="O662:O664"/>
    <mergeCell ref="P662:P664"/>
    <mergeCell ref="H662:H664"/>
    <mergeCell ref="I662:I664"/>
    <mergeCell ref="J662:J664"/>
    <mergeCell ref="K662:K664"/>
    <mergeCell ref="L662:L664"/>
    <mergeCell ref="M662:M664"/>
    <mergeCell ref="N662:N664"/>
    <mergeCell ref="B665:B667"/>
    <mergeCell ref="E665:E667"/>
    <mergeCell ref="F665:F667"/>
    <mergeCell ref="G665:G667"/>
    <mergeCell ref="H665:H667"/>
    <mergeCell ref="I665:I667"/>
    <mergeCell ref="J665:J667"/>
    <mergeCell ref="K665:K667"/>
    <mergeCell ref="L665:L667"/>
    <mergeCell ref="M665:M667"/>
    <mergeCell ref="N665:N667"/>
    <mergeCell ref="O665:O667"/>
    <mergeCell ref="P665:P667"/>
    <mergeCell ref="Q665:Q667"/>
    <mergeCell ref="K657:K659"/>
    <mergeCell ref="L657:L659"/>
    <mergeCell ref="M657:M659"/>
    <mergeCell ref="N657:N659"/>
    <mergeCell ref="O657:O659"/>
    <mergeCell ref="P657:P659"/>
    <mergeCell ref="Q657:Q659"/>
    <mergeCell ref="B704:V704"/>
    <mergeCell ref="Q705:Q707"/>
    <mergeCell ref="T705:T707"/>
    <mergeCell ref="U705:U707"/>
    <mergeCell ref="V705:V707"/>
    <mergeCell ref="J705:J707"/>
    <mergeCell ref="K705:K707"/>
    <mergeCell ref="L705:L707"/>
    <mergeCell ref="M705:M707"/>
    <mergeCell ref="N705:N707"/>
    <mergeCell ref="O705:O707"/>
    <mergeCell ref="P705:P707"/>
    <mergeCell ref="T717:T719"/>
    <mergeCell ref="U717:U719"/>
    <mergeCell ref="T713:T715"/>
    <mergeCell ref="U713:U715"/>
    <mergeCell ref="V713:V715"/>
    <mergeCell ref="N717:N719"/>
    <mergeCell ref="O717:O719"/>
    <mergeCell ref="P717:P719"/>
    <mergeCell ref="Q717:Q719"/>
    <mergeCell ref="V717:V719"/>
    <mergeCell ref="B702:B703"/>
    <mergeCell ref="B705:B707"/>
    <mergeCell ref="F705:F707"/>
    <mergeCell ref="G705:G707"/>
    <mergeCell ref="H705:H707"/>
    <mergeCell ref="I705:I707"/>
    <mergeCell ref="B708:B710"/>
    <mergeCell ref="O708:O710"/>
    <mergeCell ref="P708:P710"/>
    <mergeCell ref="Q708:Q710"/>
    <mergeCell ref="R708:R710"/>
    <mergeCell ref="S708:S710"/>
    <mergeCell ref="T708:T710"/>
    <mergeCell ref="U708:U710"/>
    <mergeCell ref="V708:V710"/>
    <mergeCell ref="H708:H710"/>
    <mergeCell ref="I708:I710"/>
    <mergeCell ref="J708:J710"/>
    <mergeCell ref="K708:K710"/>
    <mergeCell ref="L708:L710"/>
    <mergeCell ref="M708:M710"/>
    <mergeCell ref="N708:N710"/>
    <mergeCell ref="F708:F710"/>
    <mergeCell ref="G708:G710"/>
    <mergeCell ref="F713:F715"/>
    <mergeCell ref="G713:G715"/>
    <mergeCell ref="H713:H715"/>
    <mergeCell ref="I713:I715"/>
    <mergeCell ref="J713:J715"/>
    <mergeCell ref="K713:K715"/>
    <mergeCell ref="L713:L715"/>
    <mergeCell ref="M713:M715"/>
    <mergeCell ref="N713:N715"/>
    <mergeCell ref="O713:O715"/>
    <mergeCell ref="P713:P715"/>
    <mergeCell ref="Q713:Q715"/>
    <mergeCell ref="B716:V716"/>
    <mergeCell ref="E705:E707"/>
    <mergeCell ref="E708:E710"/>
    <mergeCell ref="B713:B715"/>
    <mergeCell ref="C713:C715"/>
    <mergeCell ref="D713:D715"/>
    <mergeCell ref="B699:B701"/>
    <mergeCell ref="E699:E701"/>
    <mergeCell ref="F699:F701"/>
    <mergeCell ref="T699:T701"/>
    <mergeCell ref="U699:U701"/>
    <mergeCell ref="Q692:Q693"/>
    <mergeCell ref="T692:T693"/>
    <mergeCell ref="U692:U693"/>
    <mergeCell ref="V692:V693"/>
    <mergeCell ref="V695:V697"/>
    <mergeCell ref="P699:P701"/>
    <mergeCell ref="Q699:Q701"/>
    <mergeCell ref="V699:V701"/>
    <mergeCell ref="N699:N701"/>
    <mergeCell ref="O699:O701"/>
    <mergeCell ref="G699:G701"/>
    <mergeCell ref="H699:H701"/>
    <mergeCell ref="I699:I701"/>
    <mergeCell ref="J699:J701"/>
    <mergeCell ref="K699:K701"/>
    <mergeCell ref="L699:L701"/>
    <mergeCell ref="M699:M701"/>
    <mergeCell ref="R702:R703"/>
    <mergeCell ref="S702:S703"/>
    <mergeCell ref="T702:T703"/>
    <mergeCell ref="U702:U703"/>
    <mergeCell ref="V702:V703"/>
    <mergeCell ref="K702:K703"/>
    <mergeCell ref="L702:L703"/>
    <mergeCell ref="M702:M703"/>
    <mergeCell ref="N702:N703"/>
    <mergeCell ref="O702:O703"/>
    <mergeCell ref="P702:P703"/>
    <mergeCell ref="Q702:Q703"/>
    <mergeCell ref="E702:E703"/>
    <mergeCell ref="F702:F703"/>
    <mergeCell ref="G702:G703"/>
    <mergeCell ref="H702:H703"/>
    <mergeCell ref="I702:I703"/>
    <mergeCell ref="J702:J703"/>
    <mergeCell ref="T695:T697"/>
    <mergeCell ref="U695:U697"/>
    <mergeCell ref="K695:K697"/>
    <mergeCell ref="L695:L697"/>
    <mergeCell ref="M695:M697"/>
    <mergeCell ref="N695:N697"/>
    <mergeCell ref="O695:O697"/>
    <mergeCell ref="P695:P697"/>
    <mergeCell ref="Q695:Q697"/>
    <mergeCell ref="L689:L691"/>
    <mergeCell ref="M689:M691"/>
    <mergeCell ref="H692:H693"/>
    <mergeCell ref="I692:I693"/>
    <mergeCell ref="F689:F691"/>
    <mergeCell ref="G689:G691"/>
    <mergeCell ref="H689:H691"/>
    <mergeCell ref="I689:I691"/>
    <mergeCell ref="J689:J691"/>
    <mergeCell ref="K689:K691"/>
    <mergeCell ref="B692:B693"/>
    <mergeCell ref="J692:J693"/>
    <mergeCell ref="K692:K693"/>
    <mergeCell ref="L692:L693"/>
    <mergeCell ref="M692:M693"/>
    <mergeCell ref="N692:N693"/>
    <mergeCell ref="O692:O693"/>
    <mergeCell ref="P692:P693"/>
    <mergeCell ref="B694:V694"/>
    <mergeCell ref="F692:F693"/>
    <mergeCell ref="G692:G693"/>
    <mergeCell ref="F695:F697"/>
    <mergeCell ref="G695:G697"/>
    <mergeCell ref="H695:H697"/>
    <mergeCell ref="I695:I697"/>
    <mergeCell ref="J695:J697"/>
    <mergeCell ref="E689:E691"/>
    <mergeCell ref="E692:E693"/>
    <mergeCell ref="B695:B697"/>
    <mergeCell ref="E695:E697"/>
    <mergeCell ref="N684:N685"/>
    <mergeCell ref="O684:O685"/>
    <mergeCell ref="P684:P685"/>
    <mergeCell ref="Q684:Q685"/>
    <mergeCell ref="T684:T685"/>
    <mergeCell ref="U684:U685"/>
    <mergeCell ref="V684:V685"/>
    <mergeCell ref="F684:F685"/>
    <mergeCell ref="G684:G685"/>
    <mergeCell ref="I684:I685"/>
    <mergeCell ref="J684:J685"/>
    <mergeCell ref="K684:K685"/>
    <mergeCell ref="L684:L685"/>
    <mergeCell ref="M684:M685"/>
    <mergeCell ref="B684:B685"/>
    <mergeCell ref="B686:B688"/>
    <mergeCell ref="B689:B691"/>
    <mergeCell ref="B681:B683"/>
    <mergeCell ref="C681:C683"/>
    <mergeCell ref="D681:D683"/>
    <mergeCell ref="F681:F683"/>
    <mergeCell ref="G681:G683"/>
    <mergeCell ref="H681:H683"/>
    <mergeCell ref="H684:H685"/>
    <mergeCell ref="Q686:Q688"/>
    <mergeCell ref="T686:T688"/>
    <mergeCell ref="U686:U688"/>
    <mergeCell ref="V686:V688"/>
    <mergeCell ref="E681:E683"/>
    <mergeCell ref="E684:E685"/>
    <mergeCell ref="E686:E688"/>
    <mergeCell ref="F686:F688"/>
    <mergeCell ref="G686:G688"/>
    <mergeCell ref="H686:H688"/>
    <mergeCell ref="I686:I688"/>
    <mergeCell ref="N689:N691"/>
    <mergeCell ref="O689:O691"/>
    <mergeCell ref="P689:P691"/>
    <mergeCell ref="Q689:Q691"/>
    <mergeCell ref="T689:T691"/>
    <mergeCell ref="U689:U691"/>
    <mergeCell ref="V689:V691"/>
    <mergeCell ref="J686:J688"/>
    <mergeCell ref="K686:K688"/>
    <mergeCell ref="L686:L688"/>
    <mergeCell ref="M686:M688"/>
    <mergeCell ref="N686:N688"/>
    <mergeCell ref="O686:O688"/>
    <mergeCell ref="P686:P688"/>
    <mergeCell ref="H676:H678"/>
    <mergeCell ref="I676:I678"/>
    <mergeCell ref="B673:B675"/>
    <mergeCell ref="F673:F675"/>
    <mergeCell ref="G673:G675"/>
    <mergeCell ref="H673:H675"/>
    <mergeCell ref="I673:I675"/>
    <mergeCell ref="J673:J675"/>
    <mergeCell ref="B676:B678"/>
    <mergeCell ref="T679:T680"/>
    <mergeCell ref="U679:U680"/>
    <mergeCell ref="V679:V680"/>
    <mergeCell ref="K679:K680"/>
    <mergeCell ref="L679:L680"/>
    <mergeCell ref="M679:M680"/>
    <mergeCell ref="N679:N680"/>
    <mergeCell ref="O679:O680"/>
    <mergeCell ref="P679:P680"/>
    <mergeCell ref="Q679:Q680"/>
    <mergeCell ref="B679:B680"/>
    <mergeCell ref="E679:E680"/>
    <mergeCell ref="F679:F680"/>
    <mergeCell ref="G679:G680"/>
    <mergeCell ref="H679:H680"/>
    <mergeCell ref="I679:I680"/>
    <mergeCell ref="J679:J680"/>
    <mergeCell ref="P681:P683"/>
    <mergeCell ref="Q681:Q683"/>
    <mergeCell ref="T681:T683"/>
    <mergeCell ref="U681:U683"/>
    <mergeCell ref="V681:V683"/>
    <mergeCell ref="I681:I683"/>
    <mergeCell ref="J681:J683"/>
    <mergeCell ref="K681:K683"/>
    <mergeCell ref="L681:L683"/>
    <mergeCell ref="M681:M683"/>
    <mergeCell ref="N681:N683"/>
    <mergeCell ref="O681:O683"/>
    <mergeCell ref="T673:T675"/>
    <mergeCell ref="U673:U675"/>
    <mergeCell ref="V673:V675"/>
    <mergeCell ref="K673:K675"/>
    <mergeCell ref="L673:L675"/>
    <mergeCell ref="M673:M675"/>
    <mergeCell ref="N673:N675"/>
    <mergeCell ref="O673:O675"/>
    <mergeCell ref="P673:P675"/>
    <mergeCell ref="Q673:Q675"/>
    <mergeCell ref="E673:E675"/>
    <mergeCell ref="E676:E678"/>
    <mergeCell ref="F676:F678"/>
    <mergeCell ref="G676:G678"/>
    <mergeCell ref="Q676:Q678"/>
    <mergeCell ref="T676:T678"/>
    <mergeCell ref="U676:U678"/>
    <mergeCell ref="V676:V678"/>
    <mergeCell ref="J676:J678"/>
    <mergeCell ref="K676:K678"/>
    <mergeCell ref="L676:L678"/>
    <mergeCell ref="M676:M678"/>
    <mergeCell ref="N676:N678"/>
    <mergeCell ref="O676:O678"/>
    <mergeCell ref="P676:P678"/>
    <mergeCell ref="B633:B635"/>
    <mergeCell ref="B636:B640"/>
    <mergeCell ref="B641:B643"/>
    <mergeCell ref="Q636:Q640"/>
    <mergeCell ref="R636:R640"/>
    <mergeCell ref="S636:S640"/>
    <mergeCell ref="T636:T640"/>
    <mergeCell ref="U636:U640"/>
    <mergeCell ref="V636:V640"/>
    <mergeCell ref="J636:J640"/>
    <mergeCell ref="K636:K640"/>
    <mergeCell ref="L636:L640"/>
    <mergeCell ref="M636:M640"/>
    <mergeCell ref="N636:N640"/>
    <mergeCell ref="O636:O640"/>
    <mergeCell ref="P636:P640"/>
    <mergeCell ref="E641:E643"/>
    <mergeCell ref="F641:F643"/>
    <mergeCell ref="G641:G643"/>
    <mergeCell ref="H641:H643"/>
    <mergeCell ref="I641:I643"/>
    <mergeCell ref="J641:J643"/>
    <mergeCell ref="K641:K643"/>
    <mergeCell ref="E644:E646"/>
    <mergeCell ref="E647:E648"/>
    <mergeCell ref="B644:B646"/>
    <mergeCell ref="C644:C646"/>
    <mergeCell ref="D644:D646"/>
    <mergeCell ref="F644:F646"/>
    <mergeCell ref="G644:G646"/>
    <mergeCell ref="H644:H646"/>
    <mergeCell ref="H647:H648"/>
    <mergeCell ref="E630:E632"/>
    <mergeCell ref="E633:E635"/>
    <mergeCell ref="E636:E640"/>
    <mergeCell ref="F636:F640"/>
    <mergeCell ref="G636:G640"/>
    <mergeCell ref="H636:H640"/>
    <mergeCell ref="I636:I640"/>
    <mergeCell ref="B630:B632"/>
    <mergeCell ref="F630:F632"/>
    <mergeCell ref="G630:G632"/>
    <mergeCell ref="H630:H632"/>
    <mergeCell ref="H633:H635"/>
    <mergeCell ref="P644:P646"/>
    <mergeCell ref="Q644:Q646"/>
    <mergeCell ref="I644:I646"/>
    <mergeCell ref="J644:J646"/>
    <mergeCell ref="K644:K646"/>
    <mergeCell ref="L644:L646"/>
    <mergeCell ref="M644:M646"/>
    <mergeCell ref="N644:N646"/>
    <mergeCell ref="O644:O646"/>
    <mergeCell ref="N647:N648"/>
    <mergeCell ref="O647:O648"/>
    <mergeCell ref="P647:P648"/>
    <mergeCell ref="Q647:Q648"/>
    <mergeCell ref="F647:F648"/>
    <mergeCell ref="G647:G648"/>
    <mergeCell ref="I647:I648"/>
    <mergeCell ref="J647:J648"/>
    <mergeCell ref="K647:K648"/>
    <mergeCell ref="L647:L648"/>
    <mergeCell ref="M647:M648"/>
    <mergeCell ref="L641:L643"/>
    <mergeCell ref="M641:M643"/>
    <mergeCell ref="N641:N643"/>
    <mergeCell ref="O641:O643"/>
    <mergeCell ref="P641:P643"/>
    <mergeCell ref="Q641:Q643"/>
    <mergeCell ref="T641:T643"/>
    <mergeCell ref="T647:T648"/>
    <mergeCell ref="U647:U648"/>
    <mergeCell ref="T650:T652"/>
    <mergeCell ref="U650:U652"/>
    <mergeCell ref="V650:V652"/>
    <mergeCell ref="U641:U643"/>
    <mergeCell ref="V641:V643"/>
    <mergeCell ref="T644:T646"/>
    <mergeCell ref="U644:U646"/>
    <mergeCell ref="V644:V646"/>
    <mergeCell ref="R647:R648"/>
    <mergeCell ref="S647:S648"/>
    <mergeCell ref="V647:V648"/>
    <mergeCell ref="F633:F635"/>
    <mergeCell ref="G633:G635"/>
    <mergeCell ref="I633:I635"/>
    <mergeCell ref="J633:J635"/>
    <mergeCell ref="K633:K635"/>
    <mergeCell ref="L633:L635"/>
    <mergeCell ref="M633:M635"/>
    <mergeCell ref="U633:U635"/>
    <mergeCell ref="V633:V635"/>
    <mergeCell ref="N633:N635"/>
    <mergeCell ref="O633:O635"/>
    <mergeCell ref="P633:P635"/>
    <mergeCell ref="Q633:Q635"/>
    <mergeCell ref="R633:R635"/>
    <mergeCell ref="S633:S635"/>
    <mergeCell ref="T633:T635"/>
    <mergeCell ref="J650:J652"/>
    <mergeCell ref="K650:K652"/>
    <mergeCell ref="L650:L652"/>
    <mergeCell ref="M650:M652"/>
    <mergeCell ref="N650:N652"/>
    <mergeCell ref="O650:O652"/>
    <mergeCell ref="P650:P652"/>
    <mergeCell ref="Q650:Q652"/>
    <mergeCell ref="T619:T621"/>
    <mergeCell ref="U619:U621"/>
    <mergeCell ref="V619:V621"/>
    <mergeCell ref="K619:K621"/>
    <mergeCell ref="L619:L621"/>
    <mergeCell ref="M619:M621"/>
    <mergeCell ref="N619:N621"/>
    <mergeCell ref="O619:O621"/>
    <mergeCell ref="P619:P621"/>
    <mergeCell ref="Q619:Q621"/>
    <mergeCell ref="P630:P632"/>
    <mergeCell ref="Q630:Q632"/>
    <mergeCell ref="I630:I632"/>
    <mergeCell ref="J630:J632"/>
    <mergeCell ref="K630:K632"/>
    <mergeCell ref="L630:L632"/>
    <mergeCell ref="M630:M632"/>
    <mergeCell ref="N630:N632"/>
    <mergeCell ref="O630:O632"/>
    <mergeCell ref="E619:E621"/>
    <mergeCell ref="E622:E623"/>
    <mergeCell ref="B619:B621"/>
    <mergeCell ref="F619:F621"/>
    <mergeCell ref="G619:G621"/>
    <mergeCell ref="H619:H621"/>
    <mergeCell ref="I619:I621"/>
    <mergeCell ref="J619:J621"/>
    <mergeCell ref="B622:B623"/>
    <mergeCell ref="J622:J623"/>
    <mergeCell ref="P622:P623"/>
    <mergeCell ref="Q622:Q623"/>
    <mergeCell ref="T622:T623"/>
    <mergeCell ref="U622:U623"/>
    <mergeCell ref="V622:V623"/>
    <mergeCell ref="H622:H623"/>
    <mergeCell ref="I622:I623"/>
    <mergeCell ref="K622:K623"/>
    <mergeCell ref="L622:L623"/>
    <mergeCell ref="M622:M623"/>
    <mergeCell ref="N622:N623"/>
    <mergeCell ref="O622:O623"/>
    <mergeCell ref="I624:I626"/>
    <mergeCell ref="J624:J626"/>
    <mergeCell ref="K624:K626"/>
    <mergeCell ref="L624:L626"/>
    <mergeCell ref="M624:M626"/>
    <mergeCell ref="N624:N626"/>
    <mergeCell ref="O624:O626"/>
    <mergeCell ref="T630:T632"/>
    <mergeCell ref="U630:U632"/>
    <mergeCell ref="P624:P626"/>
    <mergeCell ref="Q624:Q626"/>
    <mergeCell ref="T624:T626"/>
    <mergeCell ref="U624:U626"/>
    <mergeCell ref="V624:V626"/>
    <mergeCell ref="R630:R632"/>
    <mergeCell ref="S630:S632"/>
    <mergeCell ref="V630:V632"/>
    <mergeCell ref="E624:E626"/>
    <mergeCell ref="E627:E629"/>
    <mergeCell ref="O511:O513"/>
    <mergeCell ref="U518:U519"/>
    <mergeCell ref="V518:V519"/>
    <mergeCell ref="L518:L519"/>
    <mergeCell ref="M518:M519"/>
    <mergeCell ref="N518:N519"/>
    <mergeCell ref="O518:O519"/>
    <mergeCell ref="P518:P519"/>
    <mergeCell ref="Q518:Q519"/>
    <mergeCell ref="T518:T519"/>
    <mergeCell ref="L520:L523"/>
    <mergeCell ref="M520:M523"/>
    <mergeCell ref="E520:E523"/>
    <mergeCell ref="F520:F523"/>
    <mergeCell ref="G520:G523"/>
    <mergeCell ref="H520:H523"/>
    <mergeCell ref="I520:I523"/>
    <mergeCell ref="J520:J523"/>
    <mergeCell ref="K520:K523"/>
    <mergeCell ref="U520:U523"/>
    <mergeCell ref="V520:V523"/>
    <mergeCell ref="N520:N523"/>
    <mergeCell ref="O520:O523"/>
    <mergeCell ref="P520:P523"/>
    <mergeCell ref="Q520:Q523"/>
    <mergeCell ref="R520:R523"/>
    <mergeCell ref="S520:S523"/>
    <mergeCell ref="T520:T523"/>
    <mergeCell ref="H525:H526"/>
    <mergeCell ref="I525:I526"/>
    <mergeCell ref="J525:J526"/>
    <mergeCell ref="K525:K526"/>
    <mergeCell ref="L525:L526"/>
    <mergeCell ref="M525:M526"/>
    <mergeCell ref="N525:N526"/>
    <mergeCell ref="O525:O526"/>
    <mergeCell ref="P525:P526"/>
    <mergeCell ref="Q525:Q526"/>
    <mergeCell ref="V489:V491"/>
    <mergeCell ref="Q492:Q494"/>
    <mergeCell ref="T492:T494"/>
    <mergeCell ref="T495:T497"/>
    <mergeCell ref="U495:U497"/>
    <mergeCell ref="V495:V497"/>
    <mergeCell ref="F492:F494"/>
    <mergeCell ref="G492:G494"/>
    <mergeCell ref="B489:B491"/>
    <mergeCell ref="C489:C491"/>
    <mergeCell ref="D489:D491"/>
    <mergeCell ref="F489:F491"/>
    <mergeCell ref="G489:G491"/>
    <mergeCell ref="H489:H491"/>
    <mergeCell ref="B492:B494"/>
    <mergeCell ref="I498:I500"/>
    <mergeCell ref="J498:J500"/>
    <mergeCell ref="K498:K500"/>
    <mergeCell ref="L498:L500"/>
    <mergeCell ref="M498:M500"/>
    <mergeCell ref="N498:N500"/>
    <mergeCell ref="O498:O500"/>
    <mergeCell ref="E498:E500"/>
    <mergeCell ref="E501:E503"/>
    <mergeCell ref="F501:F503"/>
    <mergeCell ref="G501:G503"/>
    <mergeCell ref="B498:B500"/>
    <mergeCell ref="C498:C500"/>
    <mergeCell ref="D498:D500"/>
    <mergeCell ref="F498:F500"/>
    <mergeCell ref="G498:G500"/>
    <mergeCell ref="H498:H500"/>
    <mergeCell ref="B501:B503"/>
    <mergeCell ref="U501:U503"/>
    <mergeCell ref="V501:V503"/>
    <mergeCell ref="P498:P500"/>
    <mergeCell ref="Q498:Q500"/>
    <mergeCell ref="T498:T500"/>
    <mergeCell ref="U498:U500"/>
    <mergeCell ref="V498:V500"/>
    <mergeCell ref="Q501:Q503"/>
    <mergeCell ref="T501:T503"/>
    <mergeCell ref="B495:B497"/>
    <mergeCell ref="E495:E497"/>
    <mergeCell ref="F495:F497"/>
    <mergeCell ref="G495:G497"/>
    <mergeCell ref="H495:H497"/>
    <mergeCell ref="I495:I497"/>
    <mergeCell ref="J495:J497"/>
    <mergeCell ref="K495:K497"/>
    <mergeCell ref="L495:L497"/>
    <mergeCell ref="M495:M497"/>
    <mergeCell ref="N495:N497"/>
    <mergeCell ref="O495:O497"/>
    <mergeCell ref="P495:P497"/>
    <mergeCell ref="Q495:Q497"/>
    <mergeCell ref="E482:E485"/>
    <mergeCell ref="E486:E488"/>
    <mergeCell ref="B476:B478"/>
    <mergeCell ref="B479:B481"/>
    <mergeCell ref="B482:B485"/>
    <mergeCell ref="C482:C485"/>
    <mergeCell ref="D482:D485"/>
    <mergeCell ref="F482:F485"/>
    <mergeCell ref="B486:B488"/>
    <mergeCell ref="I489:I491"/>
    <mergeCell ref="J489:J491"/>
    <mergeCell ref="K489:K491"/>
    <mergeCell ref="L489:L491"/>
    <mergeCell ref="M489:M491"/>
    <mergeCell ref="N489:N491"/>
    <mergeCell ref="O489:O491"/>
    <mergeCell ref="E489:E491"/>
    <mergeCell ref="E492:E494"/>
    <mergeCell ref="U492:U494"/>
    <mergeCell ref="P489:P491"/>
    <mergeCell ref="Q489:Q491"/>
    <mergeCell ref="T489:T491"/>
    <mergeCell ref="U489:U491"/>
    <mergeCell ref="T511:T513"/>
    <mergeCell ref="U511:U513"/>
    <mergeCell ref="V511:V513"/>
    <mergeCell ref="E508:E510"/>
    <mergeCell ref="E511:E513"/>
    <mergeCell ref="I508:I510"/>
    <mergeCell ref="J508:J510"/>
    <mergeCell ref="K508:K510"/>
    <mergeCell ref="L508:L510"/>
    <mergeCell ref="M508:M510"/>
    <mergeCell ref="N508:N510"/>
    <mergeCell ref="O508:O510"/>
    <mergeCell ref="B504:B507"/>
    <mergeCell ref="C504:C505"/>
    <mergeCell ref="D504:D505"/>
    <mergeCell ref="E504:E507"/>
    <mergeCell ref="F504:F507"/>
    <mergeCell ref="G504:G507"/>
    <mergeCell ref="H504:H507"/>
    <mergeCell ref="B511:B513"/>
    <mergeCell ref="B514:B516"/>
    <mergeCell ref="B518:B519"/>
    <mergeCell ref="B520:B523"/>
    <mergeCell ref="C506:C507"/>
    <mergeCell ref="D506:D507"/>
    <mergeCell ref="B508:B510"/>
    <mergeCell ref="F508:F510"/>
    <mergeCell ref="G508:G510"/>
    <mergeCell ref="H508:H510"/>
    <mergeCell ref="H511:H513"/>
    <mergeCell ref="Q514:Q516"/>
    <mergeCell ref="T514:T516"/>
    <mergeCell ref="U514:U516"/>
    <mergeCell ref="V514:V516"/>
    <mergeCell ref="J514:J516"/>
    <mergeCell ref="K514:K516"/>
    <mergeCell ref="L514:L516"/>
    <mergeCell ref="M514:M516"/>
    <mergeCell ref="N514:N516"/>
    <mergeCell ref="O514:O516"/>
    <mergeCell ref="P514:P516"/>
    <mergeCell ref="B517:V517"/>
    <mergeCell ref="F511:F513"/>
    <mergeCell ref="G511:G513"/>
    <mergeCell ref="E514:E516"/>
    <mergeCell ref="F514:F516"/>
    <mergeCell ref="G514:G516"/>
    <mergeCell ref="H514:H516"/>
    <mergeCell ref="I514:I516"/>
    <mergeCell ref="E518:E519"/>
    <mergeCell ref="F518:F519"/>
    <mergeCell ref="G518:G519"/>
    <mergeCell ref="H518:H519"/>
    <mergeCell ref="I518:I519"/>
    <mergeCell ref="J518:J519"/>
    <mergeCell ref="K518:K519"/>
    <mergeCell ref="P511:P513"/>
    <mergeCell ref="Q511:Q513"/>
    <mergeCell ref="I511:I513"/>
    <mergeCell ref="J511:J513"/>
    <mergeCell ref="K511:K513"/>
    <mergeCell ref="L511:L513"/>
    <mergeCell ref="M511:M513"/>
    <mergeCell ref="N511:N513"/>
    <mergeCell ref="O492:O494"/>
    <mergeCell ref="P492:P494"/>
    <mergeCell ref="H492:H494"/>
    <mergeCell ref="I492:I494"/>
    <mergeCell ref="J492:J494"/>
    <mergeCell ref="K492:K494"/>
    <mergeCell ref="L492:L494"/>
    <mergeCell ref="M492:M494"/>
    <mergeCell ref="N492:N494"/>
    <mergeCell ref="O501:O503"/>
    <mergeCell ref="P501:P503"/>
    <mergeCell ref="H501:H503"/>
    <mergeCell ref="I501:I503"/>
    <mergeCell ref="J501:J503"/>
    <mergeCell ref="K501:K503"/>
    <mergeCell ref="L501:L503"/>
    <mergeCell ref="M501:M503"/>
    <mergeCell ref="N501:N503"/>
    <mergeCell ref="P504:P507"/>
    <mergeCell ref="Q504:Q507"/>
    <mergeCell ref="T504:T507"/>
    <mergeCell ref="U504:U507"/>
    <mergeCell ref="V504:V507"/>
    <mergeCell ref="I504:I507"/>
    <mergeCell ref="J504:J507"/>
    <mergeCell ref="K504:K507"/>
    <mergeCell ref="L504:L507"/>
    <mergeCell ref="M504:M507"/>
    <mergeCell ref="N504:N507"/>
    <mergeCell ref="O504:O507"/>
    <mergeCell ref="P508:P510"/>
    <mergeCell ref="Q508:Q510"/>
    <mergeCell ref="T508:T510"/>
    <mergeCell ref="U508:U510"/>
    <mergeCell ref="V508:V510"/>
    <mergeCell ref="V492:V494"/>
    <mergeCell ref="O461:O463"/>
    <mergeCell ref="P461:P463"/>
    <mergeCell ref="Q461:Q463"/>
    <mergeCell ref="E461:E463"/>
    <mergeCell ref="E464:E467"/>
    <mergeCell ref="F464:F467"/>
    <mergeCell ref="G464:G467"/>
    <mergeCell ref="J464:J467"/>
    <mergeCell ref="K464:K467"/>
    <mergeCell ref="L464:L467"/>
    <mergeCell ref="M464:M467"/>
    <mergeCell ref="N464:N467"/>
    <mergeCell ref="O464:O467"/>
    <mergeCell ref="P464:P467"/>
    <mergeCell ref="B468:V468"/>
    <mergeCell ref="B469:B470"/>
    <mergeCell ref="E469:E470"/>
    <mergeCell ref="F469:F470"/>
    <mergeCell ref="G469:G470"/>
    <mergeCell ref="H469:H470"/>
    <mergeCell ref="I469:I470"/>
    <mergeCell ref="J469:J470"/>
    <mergeCell ref="T464:T467"/>
    <mergeCell ref="T469:T470"/>
    <mergeCell ref="U469:U470"/>
    <mergeCell ref="V469:V470"/>
    <mergeCell ref="Q464:Q467"/>
    <mergeCell ref="R464:R465"/>
    <mergeCell ref="S464:S465"/>
    <mergeCell ref="U464:U467"/>
    <mergeCell ref="V464:V467"/>
    <mergeCell ref="R466:R467"/>
    <mergeCell ref="S466:S467"/>
    <mergeCell ref="P455:P457"/>
    <mergeCell ref="Q455:Q457"/>
    <mergeCell ref="T455:T457"/>
    <mergeCell ref="U455:U457"/>
    <mergeCell ref="V455:V457"/>
    <mergeCell ref="I455:I457"/>
    <mergeCell ref="J455:J457"/>
    <mergeCell ref="K455:K457"/>
    <mergeCell ref="L455:L457"/>
    <mergeCell ref="M455:M457"/>
    <mergeCell ref="N455:N457"/>
    <mergeCell ref="O455:O457"/>
    <mergeCell ref="E455:E457"/>
    <mergeCell ref="E458:E460"/>
    <mergeCell ref="F458:F460"/>
    <mergeCell ref="G458:G460"/>
    <mergeCell ref="O458:O460"/>
    <mergeCell ref="P458:P460"/>
    <mergeCell ref="Q458:Q460"/>
    <mergeCell ref="T458:T460"/>
    <mergeCell ref="U458:U460"/>
    <mergeCell ref="V458:V460"/>
    <mergeCell ref="H458:H460"/>
    <mergeCell ref="I458:I460"/>
    <mergeCell ref="J458:J460"/>
    <mergeCell ref="K458:K460"/>
    <mergeCell ref="L458:L460"/>
    <mergeCell ref="M458:M460"/>
    <mergeCell ref="N458:N460"/>
    <mergeCell ref="B455:B457"/>
    <mergeCell ref="C455:C457"/>
    <mergeCell ref="D455:D457"/>
    <mergeCell ref="F455:F457"/>
    <mergeCell ref="G455:G457"/>
    <mergeCell ref="H455:H457"/>
    <mergeCell ref="B458:B460"/>
    <mergeCell ref="F437:F438"/>
    <mergeCell ref="G437:G438"/>
    <mergeCell ref="H437:H438"/>
    <mergeCell ref="I437:I438"/>
    <mergeCell ref="P452:P454"/>
    <mergeCell ref="Q452:Q454"/>
    <mergeCell ref="T452:T454"/>
    <mergeCell ref="U452:U454"/>
    <mergeCell ref="V452:V454"/>
    <mergeCell ref="I452:I454"/>
    <mergeCell ref="J452:J454"/>
    <mergeCell ref="K452:K454"/>
    <mergeCell ref="L452:L454"/>
    <mergeCell ref="M452:M454"/>
    <mergeCell ref="N452:N454"/>
    <mergeCell ref="O452:O454"/>
    <mergeCell ref="B430:B434"/>
    <mergeCell ref="F430:F434"/>
    <mergeCell ref="G430:G434"/>
    <mergeCell ref="H430:H434"/>
    <mergeCell ref="I430:I434"/>
    <mergeCell ref="J430:J434"/>
    <mergeCell ref="J435:J436"/>
    <mergeCell ref="E430:E434"/>
    <mergeCell ref="E435:E436"/>
    <mergeCell ref="B439:B441"/>
    <mergeCell ref="C439:C441"/>
    <mergeCell ref="D439:D441"/>
    <mergeCell ref="F439:F441"/>
    <mergeCell ref="F442:F443"/>
    <mergeCell ref="K446:K448"/>
    <mergeCell ref="L446:L448"/>
    <mergeCell ref="M446:M448"/>
    <mergeCell ref="N446:N448"/>
    <mergeCell ref="O446:O448"/>
    <mergeCell ref="P446:P448"/>
    <mergeCell ref="Q446:Q448"/>
    <mergeCell ref="E446:E448"/>
    <mergeCell ref="E449:E451"/>
    <mergeCell ref="F449:F451"/>
    <mergeCell ref="G449:G451"/>
    <mergeCell ref="J449:J451"/>
    <mergeCell ref="K449:K451"/>
    <mergeCell ref="L449:L451"/>
    <mergeCell ref="M449:M451"/>
    <mergeCell ref="N449:N451"/>
    <mergeCell ref="O449:O451"/>
    <mergeCell ref="P449:P451"/>
    <mergeCell ref="Q449:Q451"/>
    <mergeCell ref="B452:B454"/>
    <mergeCell ref="C452:C454"/>
    <mergeCell ref="D452:D454"/>
    <mergeCell ref="E452:E454"/>
    <mergeCell ref="F452:F454"/>
    <mergeCell ref="G452:G454"/>
    <mergeCell ref="H452:H454"/>
    <mergeCell ref="E479:E481"/>
    <mergeCell ref="F479:F481"/>
    <mergeCell ref="G479:G481"/>
    <mergeCell ref="H479:H481"/>
    <mergeCell ref="I479:I481"/>
    <mergeCell ref="Q479:Q481"/>
    <mergeCell ref="T479:T481"/>
    <mergeCell ref="U479:U481"/>
    <mergeCell ref="V479:V481"/>
    <mergeCell ref="J479:J481"/>
    <mergeCell ref="K479:K481"/>
    <mergeCell ref="L479:L481"/>
    <mergeCell ref="M479:M481"/>
    <mergeCell ref="N479:N481"/>
    <mergeCell ref="O479:O481"/>
    <mergeCell ref="P479:P481"/>
    <mergeCell ref="N482:N485"/>
    <mergeCell ref="O482:O485"/>
    <mergeCell ref="P482:P485"/>
    <mergeCell ref="Q482:Q485"/>
    <mergeCell ref="T482:T485"/>
    <mergeCell ref="U482:U485"/>
    <mergeCell ref="V482:V485"/>
    <mergeCell ref="G482:G485"/>
    <mergeCell ref="H482:H485"/>
    <mergeCell ref="I482:I485"/>
    <mergeCell ref="J482:J485"/>
    <mergeCell ref="K482:K485"/>
    <mergeCell ref="L482:L485"/>
    <mergeCell ref="M482:M485"/>
    <mergeCell ref="M486:M488"/>
    <mergeCell ref="N486:N488"/>
    <mergeCell ref="O486:O488"/>
    <mergeCell ref="P486:P488"/>
    <mergeCell ref="Q486:Q488"/>
    <mergeCell ref="T486:T488"/>
    <mergeCell ref="U486:U488"/>
    <mergeCell ref="V486:V488"/>
    <mergeCell ref="F486:F488"/>
    <mergeCell ref="G486:G488"/>
    <mergeCell ref="H486:H488"/>
    <mergeCell ref="I486:I488"/>
    <mergeCell ref="J486:J488"/>
    <mergeCell ref="K486:K488"/>
    <mergeCell ref="L486:L488"/>
    <mergeCell ref="H464:H467"/>
    <mergeCell ref="I464:I467"/>
    <mergeCell ref="B461:B463"/>
    <mergeCell ref="F461:F463"/>
    <mergeCell ref="G461:G463"/>
    <mergeCell ref="H461:H463"/>
    <mergeCell ref="I461:I463"/>
    <mergeCell ref="J461:J463"/>
    <mergeCell ref="B464:B467"/>
    <mergeCell ref="R471:R473"/>
    <mergeCell ref="S471:S473"/>
    <mergeCell ref="T471:T473"/>
    <mergeCell ref="U471:U473"/>
    <mergeCell ref="V471:V473"/>
    <mergeCell ref="K471:K473"/>
    <mergeCell ref="L471:L473"/>
    <mergeCell ref="M471:M473"/>
    <mergeCell ref="N471:N473"/>
    <mergeCell ref="O471:O473"/>
    <mergeCell ref="P471:P473"/>
    <mergeCell ref="Q471:Q473"/>
    <mergeCell ref="B474:V474"/>
    <mergeCell ref="B475:V475"/>
    <mergeCell ref="F476:F478"/>
    <mergeCell ref="G476:G478"/>
    <mergeCell ref="P476:P478"/>
    <mergeCell ref="Q476:Q478"/>
    <mergeCell ref="R476:R478"/>
    <mergeCell ref="S476:S478"/>
    <mergeCell ref="T476:T478"/>
    <mergeCell ref="U476:U478"/>
    <mergeCell ref="V476:V478"/>
    <mergeCell ref="H476:H478"/>
    <mergeCell ref="I476:I478"/>
    <mergeCell ref="K476:K478"/>
    <mergeCell ref="L476:L478"/>
    <mergeCell ref="M476:M478"/>
    <mergeCell ref="N476:N478"/>
    <mergeCell ref="O476:O478"/>
    <mergeCell ref="B471:B473"/>
    <mergeCell ref="F471:F473"/>
    <mergeCell ref="G471:G473"/>
    <mergeCell ref="H471:H473"/>
    <mergeCell ref="I471:I473"/>
    <mergeCell ref="J471:J473"/>
    <mergeCell ref="J476:J478"/>
    <mergeCell ref="E471:E473"/>
    <mergeCell ref="E476:E478"/>
    <mergeCell ref="R469:R470"/>
    <mergeCell ref="S469:S470"/>
    <mergeCell ref="K469:K470"/>
    <mergeCell ref="L469:L470"/>
    <mergeCell ref="M469:M470"/>
    <mergeCell ref="N469:N470"/>
    <mergeCell ref="O469:O470"/>
    <mergeCell ref="P469:P470"/>
    <mergeCell ref="Q469:Q470"/>
    <mergeCell ref="T461:T463"/>
    <mergeCell ref="U461:U463"/>
    <mergeCell ref="V461:V463"/>
    <mergeCell ref="K461:K463"/>
    <mergeCell ref="L461:L463"/>
    <mergeCell ref="M461:M463"/>
    <mergeCell ref="N461:N463"/>
    <mergeCell ref="E439:E441"/>
    <mergeCell ref="E442:E443"/>
    <mergeCell ref="G442:G443"/>
    <mergeCell ref="H442:H443"/>
    <mergeCell ref="I442:I443"/>
    <mergeCell ref="J442:J443"/>
    <mergeCell ref="K442:K443"/>
    <mergeCell ref="S442:S443"/>
    <mergeCell ref="T442:T443"/>
    <mergeCell ref="U442:U443"/>
    <mergeCell ref="V442:V443"/>
    <mergeCell ref="U444:U445"/>
    <mergeCell ref="V444:V445"/>
    <mergeCell ref="L442:L443"/>
    <mergeCell ref="M442:M443"/>
    <mergeCell ref="N442:N443"/>
    <mergeCell ref="O442:O443"/>
    <mergeCell ref="P442:P443"/>
    <mergeCell ref="Q442:Q443"/>
    <mergeCell ref="R442:R443"/>
    <mergeCell ref="B442:B443"/>
    <mergeCell ref="B444:B445"/>
    <mergeCell ref="E444:E445"/>
    <mergeCell ref="F444:F445"/>
    <mergeCell ref="G444:G445"/>
    <mergeCell ref="H444:H445"/>
    <mergeCell ref="I444:I445"/>
    <mergeCell ref="J444:J445"/>
    <mergeCell ref="K444:K445"/>
    <mergeCell ref="H449:H451"/>
    <mergeCell ref="I449:I451"/>
    <mergeCell ref="B446:B448"/>
    <mergeCell ref="F446:F448"/>
    <mergeCell ref="G446:G448"/>
    <mergeCell ref="H446:H448"/>
    <mergeCell ref="I446:I448"/>
    <mergeCell ref="J446:J448"/>
    <mergeCell ref="B449:B451"/>
    <mergeCell ref="T439:T441"/>
    <mergeCell ref="U439:U441"/>
    <mergeCell ref="V439:V441"/>
    <mergeCell ref="J437:J438"/>
    <mergeCell ref="K437:K438"/>
    <mergeCell ref="L437:L438"/>
    <mergeCell ref="M437:M438"/>
    <mergeCell ref="N437:N438"/>
    <mergeCell ref="O437:O438"/>
    <mergeCell ref="P437:P438"/>
    <mergeCell ref="S444:S445"/>
    <mergeCell ref="T444:T445"/>
    <mergeCell ref="T446:T448"/>
    <mergeCell ref="U446:U448"/>
    <mergeCell ref="V446:V448"/>
    <mergeCell ref="T449:T451"/>
    <mergeCell ref="U449:U451"/>
    <mergeCell ref="V449:V451"/>
    <mergeCell ref="L444:L445"/>
    <mergeCell ref="M444:M445"/>
    <mergeCell ref="N444:N445"/>
    <mergeCell ref="O444:O445"/>
    <mergeCell ref="P444:P445"/>
    <mergeCell ref="Q444:Q445"/>
    <mergeCell ref="R444:R445"/>
    <mergeCell ref="N439:N441"/>
    <mergeCell ref="O439:O441"/>
    <mergeCell ref="P439:P441"/>
    <mergeCell ref="Q439:Q441"/>
    <mergeCell ref="G439:G441"/>
    <mergeCell ref="H439:H441"/>
    <mergeCell ref="I439:I441"/>
    <mergeCell ref="J439:J441"/>
    <mergeCell ref="K439:K441"/>
    <mergeCell ref="L439:L441"/>
    <mergeCell ref="M439:M441"/>
    <mergeCell ref="U437:U438"/>
    <mergeCell ref="V437:V438"/>
    <mergeCell ref="E425:E427"/>
    <mergeCell ref="U425:U427"/>
    <mergeCell ref="V425:V427"/>
    <mergeCell ref="B428:B429"/>
    <mergeCell ref="C428:C429"/>
    <mergeCell ref="D428:D429"/>
    <mergeCell ref="E428:E429"/>
    <mergeCell ref="F428:F429"/>
    <mergeCell ref="G428:G429"/>
    <mergeCell ref="H428:H429"/>
    <mergeCell ref="R428:R429"/>
    <mergeCell ref="S428:S429"/>
    <mergeCell ref="T428:T429"/>
    <mergeCell ref="U428:U429"/>
    <mergeCell ref="V428:V429"/>
    <mergeCell ref="P422:P424"/>
    <mergeCell ref="Q422:Q424"/>
    <mergeCell ref="T422:T424"/>
    <mergeCell ref="U422:U424"/>
    <mergeCell ref="V422:V424"/>
    <mergeCell ref="Q425:Q427"/>
    <mergeCell ref="T425:T427"/>
    <mergeCell ref="P435:P436"/>
    <mergeCell ref="Q435:Q436"/>
    <mergeCell ref="H435:H436"/>
    <mergeCell ref="I435:I436"/>
    <mergeCell ref="K435:K436"/>
    <mergeCell ref="L435:L436"/>
    <mergeCell ref="M435:M436"/>
    <mergeCell ref="N435:N436"/>
    <mergeCell ref="O435:O436"/>
    <mergeCell ref="Q437:Q438"/>
    <mergeCell ref="T437:T438"/>
    <mergeCell ref="P428:P429"/>
    <mergeCell ref="Q428:Q429"/>
    <mergeCell ref="I428:I429"/>
    <mergeCell ref="J428:J429"/>
    <mergeCell ref="K428:K429"/>
    <mergeCell ref="L428:L429"/>
    <mergeCell ref="M428:M429"/>
    <mergeCell ref="N428:N429"/>
    <mergeCell ref="O428:O429"/>
    <mergeCell ref="K430:K434"/>
    <mergeCell ref="L430:L434"/>
    <mergeCell ref="M430:M434"/>
    <mergeCell ref="N430:N434"/>
    <mergeCell ref="O430:O434"/>
    <mergeCell ref="P430:P434"/>
    <mergeCell ref="Q430:Q434"/>
    <mergeCell ref="T435:T436"/>
    <mergeCell ref="U435:U436"/>
    <mergeCell ref="V435:V436"/>
    <mergeCell ref="R430:R431"/>
    <mergeCell ref="S430:S431"/>
    <mergeCell ref="T430:T434"/>
    <mergeCell ref="U430:U434"/>
    <mergeCell ref="V430:V434"/>
    <mergeCell ref="R432:R433"/>
    <mergeCell ref="S432:S433"/>
    <mergeCell ref="B435:B436"/>
    <mergeCell ref="B437:B438"/>
    <mergeCell ref="F435:F436"/>
    <mergeCell ref="G435:G436"/>
    <mergeCell ref="E437:E438"/>
    <mergeCell ref="G415:G417"/>
    <mergeCell ref="H415:H417"/>
    <mergeCell ref="I415:I417"/>
    <mergeCell ref="J415:J417"/>
    <mergeCell ref="K415:K417"/>
    <mergeCell ref="L415:L417"/>
    <mergeCell ref="M415:M417"/>
    <mergeCell ref="M418:M421"/>
    <mergeCell ref="N418:N421"/>
    <mergeCell ref="O418:O421"/>
    <mergeCell ref="P418:P421"/>
    <mergeCell ref="Q418:Q421"/>
    <mergeCell ref="T418:T421"/>
    <mergeCell ref="U418:U421"/>
    <mergeCell ref="V418:V421"/>
    <mergeCell ref="F418:F421"/>
    <mergeCell ref="G418:G421"/>
    <mergeCell ref="H418:H421"/>
    <mergeCell ref="I418:I421"/>
    <mergeCell ref="J418:J421"/>
    <mergeCell ref="K418:K421"/>
    <mergeCell ref="L418:L421"/>
    <mergeCell ref="E415:E417"/>
    <mergeCell ref="E418:E421"/>
    <mergeCell ref="B409:B411"/>
    <mergeCell ref="B412:B414"/>
    <mergeCell ref="B415:B417"/>
    <mergeCell ref="C415:C417"/>
    <mergeCell ref="D415:D417"/>
    <mergeCell ref="F415:F417"/>
    <mergeCell ref="B418:B421"/>
    <mergeCell ref="I422:I424"/>
    <mergeCell ref="J422:J424"/>
    <mergeCell ref="K422:K424"/>
    <mergeCell ref="L422:L424"/>
    <mergeCell ref="M422:M424"/>
    <mergeCell ref="N422:N424"/>
    <mergeCell ref="O422:O424"/>
    <mergeCell ref="E422:E424"/>
    <mergeCell ref="N409:N411"/>
    <mergeCell ref="O409:O411"/>
    <mergeCell ref="P409:P411"/>
    <mergeCell ref="Q409:Q411"/>
    <mergeCell ref="T409:T411"/>
    <mergeCell ref="U409:U411"/>
    <mergeCell ref="V409:V411"/>
    <mergeCell ref="E406:E408"/>
    <mergeCell ref="E409:E411"/>
    <mergeCell ref="I409:I411"/>
    <mergeCell ref="J409:J411"/>
    <mergeCell ref="K409:K411"/>
    <mergeCell ref="L409:L411"/>
    <mergeCell ref="M409:M411"/>
    <mergeCell ref="O425:O427"/>
    <mergeCell ref="P425:P427"/>
    <mergeCell ref="H425:H427"/>
    <mergeCell ref="I425:I427"/>
    <mergeCell ref="J425:J427"/>
    <mergeCell ref="K425:K427"/>
    <mergeCell ref="L425:L427"/>
    <mergeCell ref="M425:M427"/>
    <mergeCell ref="N425:N427"/>
    <mergeCell ref="F425:F427"/>
    <mergeCell ref="G425:G427"/>
    <mergeCell ref="B422:B424"/>
    <mergeCell ref="C422:C424"/>
    <mergeCell ref="D422:D424"/>
    <mergeCell ref="F422:F424"/>
    <mergeCell ref="G422:G424"/>
    <mergeCell ref="H422:H424"/>
    <mergeCell ref="B425:B427"/>
    <mergeCell ref="B406:B408"/>
    <mergeCell ref="C406:C408"/>
    <mergeCell ref="D406:D408"/>
    <mergeCell ref="F406:F408"/>
    <mergeCell ref="G406:G408"/>
    <mergeCell ref="H406:H408"/>
    <mergeCell ref="H409:H411"/>
    <mergeCell ref="F409:F411"/>
    <mergeCell ref="G409:G411"/>
    <mergeCell ref="E412:E414"/>
    <mergeCell ref="F412:F414"/>
    <mergeCell ref="G412:G414"/>
    <mergeCell ref="H412:H414"/>
    <mergeCell ref="I412:I414"/>
    <mergeCell ref="Q412:Q414"/>
    <mergeCell ref="T412:T414"/>
    <mergeCell ref="U412:U414"/>
    <mergeCell ref="V412:V414"/>
    <mergeCell ref="J412:J414"/>
    <mergeCell ref="K412:K414"/>
    <mergeCell ref="L412:L414"/>
    <mergeCell ref="M412:M414"/>
    <mergeCell ref="N412:N414"/>
    <mergeCell ref="O412:O414"/>
    <mergeCell ref="P412:P414"/>
    <mergeCell ref="N415:N417"/>
    <mergeCell ref="O415:O417"/>
    <mergeCell ref="P415:P417"/>
    <mergeCell ref="Q415:Q417"/>
    <mergeCell ref="T415:T417"/>
    <mergeCell ref="U415:U417"/>
    <mergeCell ref="V415:V417"/>
    <mergeCell ref="P406:P408"/>
    <mergeCell ref="Q406:Q408"/>
    <mergeCell ref="I406:I408"/>
    <mergeCell ref="J406:J408"/>
    <mergeCell ref="K406:K408"/>
    <mergeCell ref="L406:L408"/>
    <mergeCell ref="M406:M408"/>
    <mergeCell ref="N406:N408"/>
    <mergeCell ref="O406:O408"/>
    <mergeCell ref="P401:P402"/>
    <mergeCell ref="Q401:Q402"/>
    <mergeCell ref="R401:R402"/>
    <mergeCell ref="S401:S402"/>
    <mergeCell ref="T401:T402"/>
    <mergeCell ref="U401:U402"/>
    <mergeCell ref="V401:V402"/>
    <mergeCell ref="I401:I402"/>
    <mergeCell ref="J401:J402"/>
    <mergeCell ref="K401:K402"/>
    <mergeCell ref="L401:L402"/>
    <mergeCell ref="M401:M402"/>
    <mergeCell ref="N401:N402"/>
    <mergeCell ref="O401:O402"/>
    <mergeCell ref="B403:V403"/>
    <mergeCell ref="B401:B402"/>
    <mergeCell ref="C401:C402"/>
    <mergeCell ref="D401:D402"/>
    <mergeCell ref="E401:E402"/>
    <mergeCell ref="F401:F402"/>
    <mergeCell ref="G401:G402"/>
    <mergeCell ref="H401:H402"/>
    <mergeCell ref="P404:P405"/>
    <mergeCell ref="Q404:Q405"/>
    <mergeCell ref="T404:T405"/>
    <mergeCell ref="U404:U405"/>
    <mergeCell ref="V404:V405"/>
    <mergeCell ref="T406:T408"/>
    <mergeCell ref="U406:U408"/>
    <mergeCell ref="V406:V408"/>
    <mergeCell ref="I404:I405"/>
    <mergeCell ref="J404:J405"/>
    <mergeCell ref="K404:K405"/>
    <mergeCell ref="L404:L405"/>
    <mergeCell ref="M404:M405"/>
    <mergeCell ref="N404:N405"/>
    <mergeCell ref="O404:O405"/>
    <mergeCell ref="B404:B405"/>
    <mergeCell ref="C404:C405"/>
    <mergeCell ref="D404:D405"/>
    <mergeCell ref="E404:E405"/>
    <mergeCell ref="F404:F405"/>
    <mergeCell ref="G404:G405"/>
    <mergeCell ref="H404:H405"/>
    <mergeCell ref="E393:E394"/>
    <mergeCell ref="F393:F394"/>
    <mergeCell ref="G393:G394"/>
    <mergeCell ref="O393:O394"/>
    <mergeCell ref="P393:P394"/>
    <mergeCell ref="Q393:Q394"/>
    <mergeCell ref="R393:R394"/>
    <mergeCell ref="S393:S394"/>
    <mergeCell ref="T393:T394"/>
    <mergeCell ref="U393:U394"/>
    <mergeCell ref="V393:V394"/>
    <mergeCell ref="H393:H394"/>
    <mergeCell ref="I393:I394"/>
    <mergeCell ref="J393:J394"/>
    <mergeCell ref="K393:K394"/>
    <mergeCell ref="L393:L394"/>
    <mergeCell ref="M393:M394"/>
    <mergeCell ref="N393:N394"/>
    <mergeCell ref="B391:B392"/>
    <mergeCell ref="C391:C392"/>
    <mergeCell ref="D391:D392"/>
    <mergeCell ref="F391:F392"/>
    <mergeCell ref="G391:G392"/>
    <mergeCell ref="H391:H392"/>
    <mergeCell ref="B393:B394"/>
    <mergeCell ref="P395:P397"/>
    <mergeCell ref="Q395:Q397"/>
    <mergeCell ref="T395:T397"/>
    <mergeCell ref="U395:U397"/>
    <mergeCell ref="V395:V397"/>
    <mergeCell ref="T398:T400"/>
    <mergeCell ref="U398:U400"/>
    <mergeCell ref="V398:V400"/>
    <mergeCell ref="B398:B400"/>
    <mergeCell ref="C398:C400"/>
    <mergeCell ref="D398:D400"/>
    <mergeCell ref="E398:E400"/>
    <mergeCell ref="F398:F400"/>
    <mergeCell ref="G398:G400"/>
    <mergeCell ref="H398:H400"/>
    <mergeCell ref="N607:N610"/>
    <mergeCell ref="O607:O610"/>
    <mergeCell ref="G607:G610"/>
    <mergeCell ref="H607:H610"/>
    <mergeCell ref="I607:I610"/>
    <mergeCell ref="J607:J610"/>
    <mergeCell ref="K607:K610"/>
    <mergeCell ref="L607:L610"/>
    <mergeCell ref="M607:M610"/>
    <mergeCell ref="P613:P615"/>
    <mergeCell ref="Q613:Q615"/>
    <mergeCell ref="I613:I615"/>
    <mergeCell ref="J613:J615"/>
    <mergeCell ref="K613:K615"/>
    <mergeCell ref="L613:L615"/>
    <mergeCell ref="M613:M615"/>
    <mergeCell ref="N613:N615"/>
    <mergeCell ref="O613:O615"/>
    <mergeCell ref="F622:F623"/>
    <mergeCell ref="G622:G623"/>
    <mergeCell ref="B624:B626"/>
    <mergeCell ref="F624:F626"/>
    <mergeCell ref="G624:G626"/>
    <mergeCell ref="H624:H626"/>
    <mergeCell ref="B627:B629"/>
    <mergeCell ref="H627:H629"/>
    <mergeCell ref="N627:N629"/>
    <mergeCell ref="O627:O629"/>
    <mergeCell ref="P627:P629"/>
    <mergeCell ref="Q627:Q629"/>
    <mergeCell ref="T627:T629"/>
    <mergeCell ref="U627:U629"/>
    <mergeCell ref="V627:V629"/>
    <mergeCell ref="F627:F629"/>
    <mergeCell ref="G627:G629"/>
    <mergeCell ref="I627:I629"/>
    <mergeCell ref="J627:J629"/>
    <mergeCell ref="K627:K629"/>
    <mergeCell ref="L627:L629"/>
    <mergeCell ref="M627:M629"/>
    <mergeCell ref="E613:E615"/>
    <mergeCell ref="E616:E618"/>
    <mergeCell ref="F616:F618"/>
    <mergeCell ref="G616:G618"/>
    <mergeCell ref="O616:O618"/>
    <mergeCell ref="P616:P618"/>
    <mergeCell ref="Q616:Q618"/>
    <mergeCell ref="T616:T618"/>
    <mergeCell ref="U616:U618"/>
    <mergeCell ref="V616:V618"/>
    <mergeCell ref="H616:H618"/>
    <mergeCell ref="I616:I618"/>
    <mergeCell ref="J616:J618"/>
    <mergeCell ref="K616:K618"/>
    <mergeCell ref="L616:L618"/>
    <mergeCell ref="M616:M618"/>
    <mergeCell ref="N616:N618"/>
    <mergeCell ref="B613:B615"/>
    <mergeCell ref="C613:C615"/>
    <mergeCell ref="D613:D615"/>
    <mergeCell ref="F613:F615"/>
    <mergeCell ref="G613:G615"/>
    <mergeCell ref="H613:H615"/>
    <mergeCell ref="B616:B618"/>
    <mergeCell ref="B589:B591"/>
    <mergeCell ref="F589:F591"/>
    <mergeCell ref="G589:G591"/>
    <mergeCell ref="H589:H591"/>
    <mergeCell ref="H592:H594"/>
    <mergeCell ref="Q595:Q596"/>
    <mergeCell ref="T595:T596"/>
    <mergeCell ref="U595:U596"/>
    <mergeCell ref="V595:V596"/>
    <mergeCell ref="E589:E591"/>
    <mergeCell ref="E592:E594"/>
    <mergeCell ref="E595:E596"/>
    <mergeCell ref="F595:F596"/>
    <mergeCell ref="G595:G596"/>
    <mergeCell ref="H595:H596"/>
    <mergeCell ref="I595:I596"/>
    <mergeCell ref="N597:N599"/>
    <mergeCell ref="O597:O599"/>
    <mergeCell ref="P597:P599"/>
    <mergeCell ref="Q597:Q599"/>
    <mergeCell ref="T597:T599"/>
    <mergeCell ref="U597:U599"/>
    <mergeCell ref="V597:V599"/>
    <mergeCell ref="J595:J596"/>
    <mergeCell ref="K595:K596"/>
    <mergeCell ref="L595:L596"/>
    <mergeCell ref="M595:M596"/>
    <mergeCell ref="N595:N596"/>
    <mergeCell ref="O595:O596"/>
    <mergeCell ref="P595:P596"/>
    <mergeCell ref="T604:T606"/>
    <mergeCell ref="U604:U606"/>
    <mergeCell ref="K604:K606"/>
    <mergeCell ref="L604:L606"/>
    <mergeCell ref="M604:M606"/>
    <mergeCell ref="N604:N606"/>
    <mergeCell ref="O604:O606"/>
    <mergeCell ref="P604:P606"/>
    <mergeCell ref="Q604:Q606"/>
    <mergeCell ref="B611:V611"/>
    <mergeCell ref="B612:V612"/>
    <mergeCell ref="T600:T602"/>
    <mergeCell ref="T613:T615"/>
    <mergeCell ref="U613:U615"/>
    <mergeCell ref="V613:V615"/>
    <mergeCell ref="Q600:Q602"/>
    <mergeCell ref="U600:U602"/>
    <mergeCell ref="V600:V602"/>
    <mergeCell ref="V604:V606"/>
    <mergeCell ref="P607:P610"/>
    <mergeCell ref="Q607:Q610"/>
    <mergeCell ref="V607:V610"/>
    <mergeCell ref="P589:P591"/>
    <mergeCell ref="Q589:Q591"/>
    <mergeCell ref="I589:I591"/>
    <mergeCell ref="J589:J591"/>
    <mergeCell ref="K589:K591"/>
    <mergeCell ref="L589:L591"/>
    <mergeCell ref="M589:M591"/>
    <mergeCell ref="N589:N591"/>
    <mergeCell ref="O589:O591"/>
    <mergeCell ref="R584:R586"/>
    <mergeCell ref="S584:S586"/>
    <mergeCell ref="T584:T586"/>
    <mergeCell ref="U584:U586"/>
    <mergeCell ref="V584:V586"/>
    <mergeCell ref="K584:K586"/>
    <mergeCell ref="L584:L586"/>
    <mergeCell ref="M584:M586"/>
    <mergeCell ref="N584:N586"/>
    <mergeCell ref="O584:O586"/>
    <mergeCell ref="P584:P586"/>
    <mergeCell ref="Q584:Q586"/>
    <mergeCell ref="E584:E586"/>
    <mergeCell ref="E587:E588"/>
    <mergeCell ref="B584:B586"/>
    <mergeCell ref="F584:F586"/>
    <mergeCell ref="G584:G586"/>
    <mergeCell ref="H584:H586"/>
    <mergeCell ref="I584:I586"/>
    <mergeCell ref="J584:J586"/>
    <mergeCell ref="B587:B588"/>
    <mergeCell ref="J587:J588"/>
    <mergeCell ref="H587:H588"/>
    <mergeCell ref="I587:I588"/>
    <mergeCell ref="K587:K588"/>
    <mergeCell ref="L587:L588"/>
    <mergeCell ref="M587:M588"/>
    <mergeCell ref="N587:N588"/>
    <mergeCell ref="O587:O588"/>
    <mergeCell ref="T589:T591"/>
    <mergeCell ref="U589:U591"/>
    <mergeCell ref="V589:V591"/>
    <mergeCell ref="P587:P588"/>
    <mergeCell ref="Q587:Q588"/>
    <mergeCell ref="R587:R588"/>
    <mergeCell ref="S587:S588"/>
    <mergeCell ref="T587:T588"/>
    <mergeCell ref="U587:U588"/>
    <mergeCell ref="V587:V588"/>
    <mergeCell ref="N592:N594"/>
    <mergeCell ref="O592:O594"/>
    <mergeCell ref="P592:P594"/>
    <mergeCell ref="E577:E579"/>
    <mergeCell ref="E580:E583"/>
    <mergeCell ref="F580:F583"/>
    <mergeCell ref="G580:G583"/>
    <mergeCell ref="S580:S583"/>
    <mergeCell ref="T580:T583"/>
    <mergeCell ref="B577:B579"/>
    <mergeCell ref="C577:C579"/>
    <mergeCell ref="D577:D579"/>
    <mergeCell ref="F577:F579"/>
    <mergeCell ref="G577:G579"/>
    <mergeCell ref="H577:H579"/>
    <mergeCell ref="B580:B583"/>
    <mergeCell ref="F597:F599"/>
    <mergeCell ref="G597:G599"/>
    <mergeCell ref="H597:H599"/>
    <mergeCell ref="I597:I599"/>
    <mergeCell ref="J597:J599"/>
    <mergeCell ref="K597:K599"/>
    <mergeCell ref="B600:B602"/>
    <mergeCell ref="E597:E599"/>
    <mergeCell ref="E600:E602"/>
    <mergeCell ref="B604:B606"/>
    <mergeCell ref="E604:E606"/>
    <mergeCell ref="B607:B610"/>
    <mergeCell ref="E607:E610"/>
    <mergeCell ref="F607:F610"/>
    <mergeCell ref="L597:L599"/>
    <mergeCell ref="M597:M599"/>
    <mergeCell ref="H600:H602"/>
    <mergeCell ref="I600:I602"/>
    <mergeCell ref="J600:J602"/>
    <mergeCell ref="K600:K602"/>
    <mergeCell ref="L600:L602"/>
    <mergeCell ref="M600:M602"/>
    <mergeCell ref="N600:N602"/>
    <mergeCell ref="O600:O602"/>
    <mergeCell ref="P600:P602"/>
    <mergeCell ref="B603:V603"/>
    <mergeCell ref="F600:F602"/>
    <mergeCell ref="G600:G602"/>
    <mergeCell ref="F604:F606"/>
    <mergeCell ref="G604:G606"/>
    <mergeCell ref="H604:H606"/>
    <mergeCell ref="I604:I606"/>
    <mergeCell ref="J604:J606"/>
    <mergeCell ref="T607:T610"/>
    <mergeCell ref="U607:U610"/>
    <mergeCell ref="Q592:Q594"/>
    <mergeCell ref="T592:T594"/>
    <mergeCell ref="U592:U594"/>
    <mergeCell ref="V592:V594"/>
    <mergeCell ref="F592:F594"/>
    <mergeCell ref="G592:G594"/>
    <mergeCell ref="I592:I594"/>
    <mergeCell ref="J592:J594"/>
    <mergeCell ref="K592:K594"/>
    <mergeCell ref="L592:L594"/>
    <mergeCell ref="M592:M594"/>
    <mergeCell ref="B592:B594"/>
    <mergeCell ref="B595:B596"/>
    <mergeCell ref="B597:B599"/>
    <mergeCell ref="F587:F588"/>
    <mergeCell ref="G587:G588"/>
    <mergeCell ref="O580:O583"/>
    <mergeCell ref="P580:P583"/>
    <mergeCell ref="H580:H583"/>
    <mergeCell ref="I580:I583"/>
    <mergeCell ref="J580:J583"/>
    <mergeCell ref="K580:K583"/>
    <mergeCell ref="L580:L583"/>
    <mergeCell ref="M580:M583"/>
    <mergeCell ref="N580:N583"/>
    <mergeCell ref="U580:U583"/>
    <mergeCell ref="V580:V583"/>
    <mergeCell ref="P577:P579"/>
    <mergeCell ref="Q577:Q579"/>
    <mergeCell ref="T577:T579"/>
    <mergeCell ref="U577:U579"/>
    <mergeCell ref="V577:V579"/>
    <mergeCell ref="Q580:Q583"/>
    <mergeCell ref="R580:R583"/>
    <mergeCell ref="N575:N576"/>
    <mergeCell ref="O575:O576"/>
    <mergeCell ref="G575:G576"/>
    <mergeCell ref="H575:H576"/>
    <mergeCell ref="I575:I576"/>
    <mergeCell ref="J575:J576"/>
    <mergeCell ref="K575:K576"/>
    <mergeCell ref="L575:L576"/>
    <mergeCell ref="M575:M576"/>
    <mergeCell ref="I577:I579"/>
    <mergeCell ref="J577:J579"/>
    <mergeCell ref="K577:K579"/>
    <mergeCell ref="L577:L579"/>
    <mergeCell ref="M577:M579"/>
    <mergeCell ref="N577:N579"/>
    <mergeCell ref="O577:O579"/>
    <mergeCell ref="E570:E572"/>
    <mergeCell ref="H570:H572"/>
    <mergeCell ref="I570:I572"/>
    <mergeCell ref="F566:F569"/>
    <mergeCell ref="G566:G569"/>
    <mergeCell ref="H566:H569"/>
    <mergeCell ref="I566:I569"/>
    <mergeCell ref="J566:J569"/>
    <mergeCell ref="K566:K569"/>
    <mergeCell ref="B570:B572"/>
    <mergeCell ref="Q570:Q572"/>
    <mergeCell ref="T570:T572"/>
    <mergeCell ref="U570:U572"/>
    <mergeCell ref="V570:V572"/>
    <mergeCell ref="F570:F572"/>
    <mergeCell ref="G570:G572"/>
    <mergeCell ref="B575:B576"/>
    <mergeCell ref="C575:C576"/>
    <mergeCell ref="D575:D576"/>
    <mergeCell ref="E575:E576"/>
    <mergeCell ref="F575:F576"/>
    <mergeCell ref="P575:P576"/>
    <mergeCell ref="Q575:Q576"/>
    <mergeCell ref="T575:T576"/>
    <mergeCell ref="U575:U576"/>
    <mergeCell ref="V575:V576"/>
    <mergeCell ref="J570:J572"/>
    <mergeCell ref="K570:K572"/>
    <mergeCell ref="L570:L572"/>
    <mergeCell ref="M570:M572"/>
    <mergeCell ref="N570:N572"/>
    <mergeCell ref="O570:O572"/>
    <mergeCell ref="P570:P572"/>
    <mergeCell ref="U566:U569"/>
    <mergeCell ref="V566:V569"/>
    <mergeCell ref="N566:N569"/>
    <mergeCell ref="O566:O569"/>
    <mergeCell ref="P566:P569"/>
    <mergeCell ref="Q566:Q569"/>
    <mergeCell ref="R566:R569"/>
    <mergeCell ref="S566:S569"/>
    <mergeCell ref="T566:T569"/>
    <mergeCell ref="B551:B553"/>
    <mergeCell ref="B554:B556"/>
    <mergeCell ref="B557:B559"/>
    <mergeCell ref="B560:B563"/>
    <mergeCell ref="B564:B565"/>
    <mergeCell ref="B566:B569"/>
    <mergeCell ref="B548:B550"/>
    <mergeCell ref="C548:C550"/>
    <mergeCell ref="D548:D550"/>
    <mergeCell ref="F548:F550"/>
    <mergeCell ref="G548:G550"/>
    <mergeCell ref="H548:H550"/>
    <mergeCell ref="H551:H553"/>
    <mergeCell ref="Q554:Q556"/>
    <mergeCell ref="T554:T556"/>
    <mergeCell ref="U554:U556"/>
    <mergeCell ref="V554:V556"/>
    <mergeCell ref="J554:J556"/>
    <mergeCell ref="K554:K556"/>
    <mergeCell ref="L554:L556"/>
    <mergeCell ref="M554:M556"/>
    <mergeCell ref="N554:N556"/>
    <mergeCell ref="O554:O556"/>
    <mergeCell ref="P554:P556"/>
    <mergeCell ref="F551:F553"/>
    <mergeCell ref="G551:G553"/>
    <mergeCell ref="E554:E556"/>
    <mergeCell ref="F554:F556"/>
    <mergeCell ref="G554:G556"/>
    <mergeCell ref="H554:H556"/>
    <mergeCell ref="I554:I556"/>
    <mergeCell ref="U557:U559"/>
    <mergeCell ref="V557:V559"/>
    <mergeCell ref="E560:E563"/>
    <mergeCell ref="F560:F563"/>
    <mergeCell ref="G560:G563"/>
    <mergeCell ref="H560:H563"/>
    <mergeCell ref="I560:I563"/>
    <mergeCell ref="J560:J563"/>
    <mergeCell ref="K560:K563"/>
    <mergeCell ref="L566:L569"/>
    <mergeCell ref="M566:M569"/>
    <mergeCell ref="E566:E569"/>
    <mergeCell ref="B539:B541"/>
    <mergeCell ref="B542:B544"/>
    <mergeCell ref="C542:C544"/>
    <mergeCell ref="D542:D544"/>
    <mergeCell ref="E542:E544"/>
    <mergeCell ref="P545:P547"/>
    <mergeCell ref="Q545:Q547"/>
    <mergeCell ref="T545:T547"/>
    <mergeCell ref="U545:U547"/>
    <mergeCell ref="V545:V547"/>
    <mergeCell ref="T548:T550"/>
    <mergeCell ref="U548:U550"/>
    <mergeCell ref="V548:V550"/>
    <mergeCell ref="I545:I547"/>
    <mergeCell ref="J545:J547"/>
    <mergeCell ref="K545:K547"/>
    <mergeCell ref="L545:L547"/>
    <mergeCell ref="M545:M547"/>
    <mergeCell ref="N545:N547"/>
    <mergeCell ref="O545:O547"/>
    <mergeCell ref="B545:B547"/>
    <mergeCell ref="C545:C547"/>
    <mergeCell ref="D545:D547"/>
    <mergeCell ref="E545:E547"/>
    <mergeCell ref="F545:F547"/>
    <mergeCell ref="G545:G547"/>
    <mergeCell ref="H545:H547"/>
    <mergeCell ref="N551:N553"/>
    <mergeCell ref="O551:O553"/>
    <mergeCell ref="P551:P553"/>
    <mergeCell ref="Q551:Q553"/>
    <mergeCell ref="T551:T553"/>
    <mergeCell ref="U551:U553"/>
    <mergeCell ref="V551:V553"/>
    <mergeCell ref="E548:E550"/>
    <mergeCell ref="E551:E553"/>
    <mergeCell ref="I551:I553"/>
    <mergeCell ref="J551:J553"/>
    <mergeCell ref="K551:K553"/>
    <mergeCell ref="L551:L553"/>
    <mergeCell ref="M551:M553"/>
    <mergeCell ref="U560:U563"/>
    <mergeCell ref="V560:V563"/>
    <mergeCell ref="L560:L563"/>
    <mergeCell ref="M560:M563"/>
    <mergeCell ref="N560:N563"/>
    <mergeCell ref="O560:O563"/>
    <mergeCell ref="P560:P563"/>
    <mergeCell ref="Q560:Q563"/>
    <mergeCell ref="T560:T563"/>
    <mergeCell ref="L564:L565"/>
    <mergeCell ref="M564:M565"/>
    <mergeCell ref="E564:E565"/>
    <mergeCell ref="F564:F565"/>
    <mergeCell ref="G564:G565"/>
    <mergeCell ref="H564:H565"/>
    <mergeCell ref="I564:I565"/>
    <mergeCell ref="J564:J565"/>
    <mergeCell ref="K564:K565"/>
    <mergeCell ref="U564:U565"/>
    <mergeCell ref="V564:V565"/>
    <mergeCell ref="N564:N565"/>
    <mergeCell ref="O564:O565"/>
    <mergeCell ref="P564:P565"/>
    <mergeCell ref="Q564:Q565"/>
    <mergeCell ref="R564:R565"/>
    <mergeCell ref="S564:S565"/>
    <mergeCell ref="T564:T565"/>
    <mergeCell ref="M542:M544"/>
    <mergeCell ref="N542:N544"/>
    <mergeCell ref="O542:O544"/>
    <mergeCell ref="P542:P544"/>
    <mergeCell ref="Q542:Q544"/>
    <mergeCell ref="T542:T544"/>
    <mergeCell ref="U542:U544"/>
    <mergeCell ref="V542:V544"/>
    <mergeCell ref="F542:F544"/>
    <mergeCell ref="G542:G544"/>
    <mergeCell ref="H542:H544"/>
    <mergeCell ref="I542:I544"/>
    <mergeCell ref="J542:J544"/>
    <mergeCell ref="K542:K544"/>
    <mergeCell ref="L542:L544"/>
    <mergeCell ref="E539:E541"/>
    <mergeCell ref="F539:F541"/>
    <mergeCell ref="G539:G541"/>
    <mergeCell ref="H539:H541"/>
    <mergeCell ref="I539:I541"/>
    <mergeCell ref="J539:J541"/>
    <mergeCell ref="K539:K541"/>
    <mergeCell ref="U539:U541"/>
    <mergeCell ref="V539:V541"/>
    <mergeCell ref="L539:L541"/>
    <mergeCell ref="M539:M541"/>
    <mergeCell ref="N539:N541"/>
    <mergeCell ref="O539:O541"/>
    <mergeCell ref="P539:P541"/>
    <mergeCell ref="Q539:Q541"/>
    <mergeCell ref="T539:T541"/>
    <mergeCell ref="P548:P550"/>
    <mergeCell ref="Q548:Q550"/>
    <mergeCell ref="I548:I550"/>
    <mergeCell ref="J548:J550"/>
    <mergeCell ref="K548:K550"/>
    <mergeCell ref="L548:L550"/>
    <mergeCell ref="M548:M550"/>
    <mergeCell ref="N548:N550"/>
    <mergeCell ref="O548:O550"/>
    <mergeCell ref="L557:L559"/>
    <mergeCell ref="M557:M559"/>
    <mergeCell ref="N557:N559"/>
    <mergeCell ref="O557:O559"/>
    <mergeCell ref="P557:P559"/>
    <mergeCell ref="Q557:Q559"/>
    <mergeCell ref="T557:T559"/>
    <mergeCell ref="E557:E559"/>
    <mergeCell ref="F557:F559"/>
    <mergeCell ref="G557:G559"/>
    <mergeCell ref="H557:H559"/>
    <mergeCell ref="I557:I559"/>
    <mergeCell ref="J557:J559"/>
    <mergeCell ref="K557:K559"/>
    <mergeCell ref="N533:N535"/>
    <mergeCell ref="O533:O535"/>
    <mergeCell ref="P533:P535"/>
    <mergeCell ref="Q533:Q535"/>
    <mergeCell ref="T533:T535"/>
    <mergeCell ref="U533:U535"/>
    <mergeCell ref="V533:V535"/>
    <mergeCell ref="E531:E532"/>
    <mergeCell ref="E533:E535"/>
    <mergeCell ref="I533:I535"/>
    <mergeCell ref="J533:J535"/>
    <mergeCell ref="K533:K535"/>
    <mergeCell ref="L533:L535"/>
    <mergeCell ref="M533:M535"/>
    <mergeCell ref="B525:B526"/>
    <mergeCell ref="A528:B528"/>
    <mergeCell ref="B531:B532"/>
    <mergeCell ref="F531:F532"/>
    <mergeCell ref="G531:G532"/>
    <mergeCell ref="H531:H532"/>
    <mergeCell ref="H533:H535"/>
    <mergeCell ref="Q536:Q538"/>
    <mergeCell ref="T536:T538"/>
    <mergeCell ref="U536:U538"/>
    <mergeCell ref="V536:V538"/>
    <mergeCell ref="J536:J538"/>
    <mergeCell ref="K536:K538"/>
    <mergeCell ref="L536:L538"/>
    <mergeCell ref="M536:M538"/>
    <mergeCell ref="N536:N538"/>
    <mergeCell ref="O536:O538"/>
    <mergeCell ref="P536:P538"/>
    <mergeCell ref="F533:F535"/>
    <mergeCell ref="G533:G535"/>
    <mergeCell ref="E536:E538"/>
    <mergeCell ref="F536:F538"/>
    <mergeCell ref="G536:G538"/>
    <mergeCell ref="H536:H538"/>
    <mergeCell ref="I536:I538"/>
    <mergeCell ref="B533:B535"/>
    <mergeCell ref="B536:B538"/>
    <mergeCell ref="P391:P392"/>
    <mergeCell ref="Q391:Q392"/>
    <mergeCell ref="R391:R392"/>
    <mergeCell ref="S391:S392"/>
    <mergeCell ref="T391:T392"/>
    <mergeCell ref="U391:U392"/>
    <mergeCell ref="V391:V392"/>
    <mergeCell ref="I391:I392"/>
    <mergeCell ref="J391:J392"/>
    <mergeCell ref="K391:K392"/>
    <mergeCell ref="L391:L392"/>
    <mergeCell ref="M391:M392"/>
    <mergeCell ref="N391:N392"/>
    <mergeCell ref="O391:O392"/>
    <mergeCell ref="R525:R526"/>
    <mergeCell ref="S525:S526"/>
    <mergeCell ref="T525:T526"/>
    <mergeCell ref="U525:U526"/>
    <mergeCell ref="C528:W528"/>
    <mergeCell ref="B529:V529"/>
    <mergeCell ref="B530:V530"/>
    <mergeCell ref="B524:V524"/>
    <mergeCell ref="C525:C526"/>
    <mergeCell ref="D525:D526"/>
    <mergeCell ref="E525:E526"/>
    <mergeCell ref="F525:F526"/>
    <mergeCell ref="G525:G526"/>
    <mergeCell ref="V525:V526"/>
    <mergeCell ref="P531:P532"/>
    <mergeCell ref="Q531:Q532"/>
    <mergeCell ref="T531:T532"/>
    <mergeCell ref="U531:U532"/>
    <mergeCell ref="V531:V532"/>
    <mergeCell ref="I531:I532"/>
    <mergeCell ref="J531:J532"/>
    <mergeCell ref="K531:K532"/>
    <mergeCell ref="L531:L532"/>
    <mergeCell ref="M531:M532"/>
    <mergeCell ref="N531:N532"/>
    <mergeCell ref="O531:O532"/>
    <mergeCell ref="I395:I397"/>
    <mergeCell ref="J395:J397"/>
    <mergeCell ref="K395:K397"/>
    <mergeCell ref="L395:L397"/>
    <mergeCell ref="M395:M397"/>
    <mergeCell ref="N395:N397"/>
    <mergeCell ref="O395:O397"/>
    <mergeCell ref="B395:B397"/>
    <mergeCell ref="C395:C397"/>
    <mergeCell ref="D395:D397"/>
    <mergeCell ref="E395:E397"/>
    <mergeCell ref="F395:F397"/>
    <mergeCell ref="G395:G397"/>
    <mergeCell ref="H395:H397"/>
    <mergeCell ref="P398:P400"/>
    <mergeCell ref="Q398:Q400"/>
    <mergeCell ref="I398:I400"/>
    <mergeCell ref="J398:J400"/>
    <mergeCell ref="K398:K400"/>
    <mergeCell ref="L398:L400"/>
    <mergeCell ref="M398:M400"/>
    <mergeCell ref="N398:N400"/>
    <mergeCell ref="O398:O400"/>
    <mergeCell ref="E391:E392"/>
    <mergeCell ref="G343:G345"/>
    <mergeCell ref="H343:H345"/>
    <mergeCell ref="I343:I345"/>
    <mergeCell ref="J343:J345"/>
    <mergeCell ref="K343:K345"/>
    <mergeCell ref="L343:L345"/>
    <mergeCell ref="M343:M345"/>
    <mergeCell ref="N343:N345"/>
    <mergeCell ref="O343:O345"/>
    <mergeCell ref="P343:P345"/>
    <mergeCell ref="Q343:Q345"/>
    <mergeCell ref="T343:T345"/>
    <mergeCell ref="U343:U345"/>
    <mergeCell ref="V343:V345"/>
    <mergeCell ref="H385:H387"/>
    <mergeCell ref="I385:I387"/>
    <mergeCell ref="B382:B384"/>
    <mergeCell ref="F382:F384"/>
    <mergeCell ref="G382:G384"/>
    <mergeCell ref="H382:H384"/>
    <mergeCell ref="I382:I384"/>
    <mergeCell ref="J382:J384"/>
    <mergeCell ref="B385:B387"/>
    <mergeCell ref="T388:T390"/>
    <mergeCell ref="U388:U390"/>
    <mergeCell ref="V388:V390"/>
    <mergeCell ref="K388:K390"/>
    <mergeCell ref="L388:L390"/>
    <mergeCell ref="M388:M390"/>
    <mergeCell ref="N388:N390"/>
    <mergeCell ref="O388:O390"/>
    <mergeCell ref="P388:P390"/>
    <mergeCell ref="Q388:Q390"/>
    <mergeCell ref="B388:B390"/>
    <mergeCell ref="E388:E390"/>
    <mergeCell ref="F388:F390"/>
    <mergeCell ref="G388:G390"/>
    <mergeCell ref="H388:H390"/>
    <mergeCell ref="I388:I390"/>
    <mergeCell ref="J388:J390"/>
    <mergeCell ref="E331:E333"/>
    <mergeCell ref="M331:M333"/>
    <mergeCell ref="N331:N333"/>
    <mergeCell ref="O331:O333"/>
    <mergeCell ref="P331:P333"/>
    <mergeCell ref="Q331:Q333"/>
    <mergeCell ref="F331:F333"/>
    <mergeCell ref="G331:G333"/>
    <mergeCell ref="H331:H333"/>
    <mergeCell ref="I331:I333"/>
    <mergeCell ref="J331:J333"/>
    <mergeCell ref="K331:K333"/>
    <mergeCell ref="L331:L333"/>
    <mergeCell ref="B324:B327"/>
    <mergeCell ref="B328:B330"/>
    <mergeCell ref="C328:C330"/>
    <mergeCell ref="D328:D330"/>
    <mergeCell ref="F328:F330"/>
    <mergeCell ref="G328:G330"/>
    <mergeCell ref="B331:B333"/>
    <mergeCell ref="E334:E335"/>
    <mergeCell ref="E336:E338"/>
    <mergeCell ref="K336:K338"/>
    <mergeCell ref="L336:L338"/>
    <mergeCell ref="M336:M338"/>
    <mergeCell ref="N336:N338"/>
    <mergeCell ref="O336:O338"/>
    <mergeCell ref="P336:P338"/>
    <mergeCell ref="Q336:Q338"/>
    <mergeCell ref="K334:K335"/>
    <mergeCell ref="L334:L335"/>
    <mergeCell ref="M334:M335"/>
    <mergeCell ref="N334:N335"/>
    <mergeCell ref="O334:O335"/>
    <mergeCell ref="P334:P335"/>
    <mergeCell ref="Q334:Q335"/>
    <mergeCell ref="M321:M323"/>
    <mergeCell ref="E321:E323"/>
    <mergeCell ref="E324:E327"/>
    <mergeCell ref="G324:G327"/>
    <mergeCell ref="H324:H327"/>
    <mergeCell ref="I324:I327"/>
    <mergeCell ref="J324:J327"/>
    <mergeCell ref="K324:K327"/>
    <mergeCell ref="S324:S327"/>
    <mergeCell ref="T324:T327"/>
    <mergeCell ref="U324:U327"/>
    <mergeCell ref="V324:V327"/>
    <mergeCell ref="L324:L327"/>
    <mergeCell ref="M324:M327"/>
    <mergeCell ref="N324:N327"/>
    <mergeCell ref="O324:O327"/>
    <mergeCell ref="P324:P327"/>
    <mergeCell ref="Q324:Q327"/>
    <mergeCell ref="R324:R327"/>
    <mergeCell ref="H328:H330"/>
    <mergeCell ref="I328:I330"/>
    <mergeCell ref="J328:J330"/>
    <mergeCell ref="K328:K330"/>
    <mergeCell ref="L328:L330"/>
    <mergeCell ref="M328:M330"/>
    <mergeCell ref="N328:N330"/>
    <mergeCell ref="E312:E313"/>
    <mergeCell ref="E314:E315"/>
    <mergeCell ref="B321:B323"/>
    <mergeCell ref="C321:C323"/>
    <mergeCell ref="D321:D323"/>
    <mergeCell ref="F321:F323"/>
    <mergeCell ref="F324:F327"/>
    <mergeCell ref="E328:E330"/>
    <mergeCell ref="G306:G307"/>
    <mergeCell ref="H306:H307"/>
    <mergeCell ref="I306:I307"/>
    <mergeCell ref="J306:J307"/>
    <mergeCell ref="K306:K307"/>
    <mergeCell ref="L306:L307"/>
    <mergeCell ref="M306:M307"/>
    <mergeCell ref="E306:E307"/>
    <mergeCell ref="G308:G310"/>
    <mergeCell ref="H308:H310"/>
    <mergeCell ref="I308:I310"/>
    <mergeCell ref="J308:J310"/>
    <mergeCell ref="K308:K310"/>
    <mergeCell ref="B311:V311"/>
    <mergeCell ref="H312:H313"/>
    <mergeCell ref="I312:I313"/>
    <mergeCell ref="J312:J313"/>
    <mergeCell ref="K312:K313"/>
    <mergeCell ref="L312:L313"/>
    <mergeCell ref="M312:M313"/>
    <mergeCell ref="N312:N313"/>
    <mergeCell ref="F314:F315"/>
    <mergeCell ref="G314:G315"/>
    <mergeCell ref="H314:H315"/>
    <mergeCell ref="I314:I315"/>
    <mergeCell ref="J314:J315"/>
    <mergeCell ref="K314:K315"/>
    <mergeCell ref="L314:L315"/>
    <mergeCell ref="V312:V313"/>
    <mergeCell ref="V314:V315"/>
    <mergeCell ref="O312:O313"/>
    <mergeCell ref="P312:P313"/>
    <mergeCell ref="Q312:Q313"/>
    <mergeCell ref="R312:R313"/>
    <mergeCell ref="S312:S313"/>
    <mergeCell ref="T312:T313"/>
    <mergeCell ref="U312:U313"/>
    <mergeCell ref="E308:E310"/>
    <mergeCell ref="B312:B313"/>
    <mergeCell ref="C312:C313"/>
    <mergeCell ref="D312:D313"/>
    <mergeCell ref="F312:F313"/>
    <mergeCell ref="G312:G313"/>
    <mergeCell ref="B314:B315"/>
    <mergeCell ref="T382:T384"/>
    <mergeCell ref="U382:U384"/>
    <mergeCell ref="V382:V384"/>
    <mergeCell ref="K382:K384"/>
    <mergeCell ref="L382:L384"/>
    <mergeCell ref="M382:M384"/>
    <mergeCell ref="N382:N384"/>
    <mergeCell ref="O382:O384"/>
    <mergeCell ref="P382:P384"/>
    <mergeCell ref="Q382:Q384"/>
    <mergeCell ref="E382:E384"/>
    <mergeCell ref="E385:E387"/>
    <mergeCell ref="F385:F387"/>
    <mergeCell ref="G385:G387"/>
    <mergeCell ref="Q385:Q387"/>
    <mergeCell ref="T385:T387"/>
    <mergeCell ref="U385:U387"/>
    <mergeCell ref="V385:V387"/>
    <mergeCell ref="J385:J387"/>
    <mergeCell ref="K385:K387"/>
    <mergeCell ref="L385:L387"/>
    <mergeCell ref="M385:M387"/>
    <mergeCell ref="N385:N387"/>
    <mergeCell ref="O385:O387"/>
    <mergeCell ref="P385:P387"/>
    <mergeCell ref="B317:B319"/>
    <mergeCell ref="E317:E319"/>
    <mergeCell ref="F317:F319"/>
    <mergeCell ref="G317:G319"/>
    <mergeCell ref="H317:H319"/>
    <mergeCell ref="I317:I319"/>
    <mergeCell ref="J317:J319"/>
    <mergeCell ref="K317:K319"/>
    <mergeCell ref="L317:L319"/>
    <mergeCell ref="M317:M319"/>
    <mergeCell ref="N317:N319"/>
    <mergeCell ref="O317:O319"/>
    <mergeCell ref="P317:P319"/>
    <mergeCell ref="Q317:Q319"/>
    <mergeCell ref="T317:T319"/>
    <mergeCell ref="U317:U319"/>
    <mergeCell ref="V317:V319"/>
    <mergeCell ref="B320:V320"/>
    <mergeCell ref="U331:U333"/>
    <mergeCell ref="V331:V333"/>
    <mergeCell ref="R334:R335"/>
    <mergeCell ref="S334:S335"/>
    <mergeCell ref="T334:T335"/>
    <mergeCell ref="U334:U335"/>
    <mergeCell ref="V334:V335"/>
    <mergeCell ref="T336:T338"/>
    <mergeCell ref="U336:U338"/>
    <mergeCell ref="V336:V338"/>
    <mergeCell ref="O328:O330"/>
    <mergeCell ref="P328:P330"/>
    <mergeCell ref="Q328:Q330"/>
    <mergeCell ref="T328:T330"/>
    <mergeCell ref="U328:U330"/>
    <mergeCell ref="V328:V330"/>
    <mergeCell ref="T331:T333"/>
    <mergeCell ref="N321:N323"/>
    <mergeCell ref="O321:O323"/>
    <mergeCell ref="P321:P323"/>
    <mergeCell ref="Q321:Q323"/>
    <mergeCell ref="T376:T378"/>
    <mergeCell ref="U376:U378"/>
    <mergeCell ref="V376:V378"/>
    <mergeCell ref="K376:K378"/>
    <mergeCell ref="L376:L378"/>
    <mergeCell ref="M376:M378"/>
    <mergeCell ref="N376:N378"/>
    <mergeCell ref="O376:O378"/>
    <mergeCell ref="P376:P378"/>
    <mergeCell ref="Q376:Q378"/>
    <mergeCell ref="E376:E378"/>
    <mergeCell ref="E379:E381"/>
    <mergeCell ref="F379:F381"/>
    <mergeCell ref="G379:G381"/>
    <mergeCell ref="Q379:Q381"/>
    <mergeCell ref="T379:T381"/>
    <mergeCell ref="U379:U381"/>
    <mergeCell ref="V379:V381"/>
    <mergeCell ref="J379:J381"/>
    <mergeCell ref="K379:K381"/>
    <mergeCell ref="L379:L381"/>
    <mergeCell ref="M379:M381"/>
    <mergeCell ref="N379:N381"/>
    <mergeCell ref="O379:O381"/>
    <mergeCell ref="P379:P381"/>
    <mergeCell ref="H379:H381"/>
    <mergeCell ref="I379:I381"/>
    <mergeCell ref="B376:B378"/>
    <mergeCell ref="F376:F378"/>
    <mergeCell ref="G376:G378"/>
    <mergeCell ref="H376:H378"/>
    <mergeCell ref="I376:I378"/>
    <mergeCell ref="J376:J378"/>
    <mergeCell ref="B379:B381"/>
    <mergeCell ref="H370:H372"/>
    <mergeCell ref="I370:I372"/>
    <mergeCell ref="B368:B369"/>
    <mergeCell ref="F368:F369"/>
    <mergeCell ref="G368:G369"/>
    <mergeCell ref="H368:H369"/>
    <mergeCell ref="I368:I369"/>
    <mergeCell ref="J368:J369"/>
    <mergeCell ref="B370:B372"/>
    <mergeCell ref="R368:R369"/>
    <mergeCell ref="S368:S369"/>
    <mergeCell ref="T368:T369"/>
    <mergeCell ref="U368:U369"/>
    <mergeCell ref="V368:V369"/>
    <mergeCell ref="K368:K369"/>
    <mergeCell ref="L368:L369"/>
    <mergeCell ref="M368:M369"/>
    <mergeCell ref="N368:N369"/>
    <mergeCell ref="O368:O369"/>
    <mergeCell ref="P368:P369"/>
    <mergeCell ref="Q368:Q369"/>
    <mergeCell ref="E368:E369"/>
    <mergeCell ref="E370:E372"/>
    <mergeCell ref="F370:F372"/>
    <mergeCell ref="G370:G372"/>
    <mergeCell ref="Q370:Q372"/>
    <mergeCell ref="T370:T372"/>
    <mergeCell ref="U370:U372"/>
    <mergeCell ref="V370:V372"/>
    <mergeCell ref="T373:T375"/>
    <mergeCell ref="U373:U375"/>
    <mergeCell ref="V373:V375"/>
    <mergeCell ref="J370:J372"/>
    <mergeCell ref="K370:K372"/>
    <mergeCell ref="L370:L372"/>
    <mergeCell ref="M370:M372"/>
    <mergeCell ref="N370:N372"/>
    <mergeCell ref="O370:O372"/>
    <mergeCell ref="P370:P372"/>
    <mergeCell ref="B373:B375"/>
    <mergeCell ref="C373:C375"/>
    <mergeCell ref="D373:D375"/>
    <mergeCell ref="E373:E375"/>
    <mergeCell ref="F373:F375"/>
    <mergeCell ref="G373:G375"/>
    <mergeCell ref="H373:H375"/>
    <mergeCell ref="P373:P375"/>
    <mergeCell ref="Q373:Q375"/>
    <mergeCell ref="I373:I375"/>
    <mergeCell ref="J373:J375"/>
    <mergeCell ref="K373:K375"/>
    <mergeCell ref="L373:L375"/>
    <mergeCell ref="M373:M375"/>
    <mergeCell ref="N373:N375"/>
    <mergeCell ref="O373:O375"/>
    <mergeCell ref="P363:P365"/>
    <mergeCell ref="Q363:Q365"/>
    <mergeCell ref="T363:T365"/>
    <mergeCell ref="U363:U365"/>
    <mergeCell ref="V363:V365"/>
    <mergeCell ref="G363:G365"/>
    <mergeCell ref="H363:H365"/>
    <mergeCell ref="K363:K365"/>
    <mergeCell ref="L363:L365"/>
    <mergeCell ref="M363:M365"/>
    <mergeCell ref="N363:N365"/>
    <mergeCell ref="O363:O365"/>
    <mergeCell ref="B358:B360"/>
    <mergeCell ref="F358:F360"/>
    <mergeCell ref="G358:G360"/>
    <mergeCell ref="H358:H360"/>
    <mergeCell ref="I358:I360"/>
    <mergeCell ref="J358:J360"/>
    <mergeCell ref="B361:B362"/>
    <mergeCell ref="J361:J362"/>
    <mergeCell ref="I363:I365"/>
    <mergeCell ref="J363:J365"/>
    <mergeCell ref="E363:E365"/>
    <mergeCell ref="E366:E367"/>
    <mergeCell ref="F366:F367"/>
    <mergeCell ref="G366:G367"/>
    <mergeCell ref="H366:H367"/>
    <mergeCell ref="I366:I367"/>
    <mergeCell ref="J366:J367"/>
    <mergeCell ref="K366:K367"/>
    <mergeCell ref="L366:L367"/>
    <mergeCell ref="T366:T367"/>
    <mergeCell ref="U366:U367"/>
    <mergeCell ref="V366:V367"/>
    <mergeCell ref="M366:M367"/>
    <mergeCell ref="N366:N367"/>
    <mergeCell ref="O366:O367"/>
    <mergeCell ref="P366:P367"/>
    <mergeCell ref="Q366:Q367"/>
    <mergeCell ref="R366:R367"/>
    <mergeCell ref="S366:S367"/>
    <mergeCell ref="F361:F362"/>
    <mergeCell ref="G361:G362"/>
    <mergeCell ref="B363:B365"/>
    <mergeCell ref="C363:C365"/>
    <mergeCell ref="D363:D365"/>
    <mergeCell ref="F363:F365"/>
    <mergeCell ref="B366:B367"/>
    <mergeCell ref="T358:T360"/>
    <mergeCell ref="U358:U360"/>
    <mergeCell ref="V358:V360"/>
    <mergeCell ref="K355:K357"/>
    <mergeCell ref="L355:L357"/>
    <mergeCell ref="M355:M357"/>
    <mergeCell ref="N355:N357"/>
    <mergeCell ref="O355:O357"/>
    <mergeCell ref="P355:P357"/>
    <mergeCell ref="Q355:Q357"/>
    <mergeCell ref="K358:K360"/>
    <mergeCell ref="L358:L360"/>
    <mergeCell ref="M358:M360"/>
    <mergeCell ref="N358:N360"/>
    <mergeCell ref="O358:O360"/>
    <mergeCell ref="P358:P360"/>
    <mergeCell ref="Q358:Q360"/>
    <mergeCell ref="E358:E360"/>
    <mergeCell ref="E361:E362"/>
    <mergeCell ref="P361:P362"/>
    <mergeCell ref="Q361:Q362"/>
    <mergeCell ref="R361:R362"/>
    <mergeCell ref="S361:S362"/>
    <mergeCell ref="T361:T362"/>
    <mergeCell ref="U361:U362"/>
    <mergeCell ref="V361:V362"/>
    <mergeCell ref="H361:H362"/>
    <mergeCell ref="I361:I362"/>
    <mergeCell ref="K361:K362"/>
    <mergeCell ref="L361:L362"/>
    <mergeCell ref="M361:M362"/>
    <mergeCell ref="N361:N362"/>
    <mergeCell ref="O361:O362"/>
    <mergeCell ref="E351:E353"/>
    <mergeCell ref="B355:B357"/>
    <mergeCell ref="E355:E357"/>
    <mergeCell ref="H351:H353"/>
    <mergeCell ref="I351:I353"/>
    <mergeCell ref="F348:F350"/>
    <mergeCell ref="G348:G350"/>
    <mergeCell ref="H348:H350"/>
    <mergeCell ref="I348:I350"/>
    <mergeCell ref="J348:J350"/>
    <mergeCell ref="K348:K350"/>
    <mergeCell ref="B351:B353"/>
    <mergeCell ref="Q351:Q353"/>
    <mergeCell ref="T351:T353"/>
    <mergeCell ref="U351:U353"/>
    <mergeCell ref="V351:V353"/>
    <mergeCell ref="V355:V357"/>
    <mergeCell ref="J351:J353"/>
    <mergeCell ref="K351:K353"/>
    <mergeCell ref="L351:L353"/>
    <mergeCell ref="M351:M353"/>
    <mergeCell ref="N351:N353"/>
    <mergeCell ref="O351:O353"/>
    <mergeCell ref="P351:P353"/>
    <mergeCell ref="F351:F353"/>
    <mergeCell ref="G351:G353"/>
    <mergeCell ref="F355:F357"/>
    <mergeCell ref="G355:G357"/>
    <mergeCell ref="H355:H357"/>
    <mergeCell ref="I355:I357"/>
    <mergeCell ref="J355:J357"/>
    <mergeCell ref="T355:T357"/>
    <mergeCell ref="U355:U357"/>
    <mergeCell ref="T314:T315"/>
    <mergeCell ref="U314:U315"/>
    <mergeCell ref="M314:M315"/>
    <mergeCell ref="N314:N315"/>
    <mergeCell ref="O314:O315"/>
    <mergeCell ref="P314:P315"/>
    <mergeCell ref="Q314:Q315"/>
    <mergeCell ref="R314:R315"/>
    <mergeCell ref="S314:S315"/>
    <mergeCell ref="B336:B338"/>
    <mergeCell ref="B339:B341"/>
    <mergeCell ref="B343:B345"/>
    <mergeCell ref="B348:B350"/>
    <mergeCell ref="B334:B335"/>
    <mergeCell ref="F334:F335"/>
    <mergeCell ref="G334:G335"/>
    <mergeCell ref="H334:H335"/>
    <mergeCell ref="I334:I335"/>
    <mergeCell ref="J334:J335"/>
    <mergeCell ref="J336:J338"/>
    <mergeCell ref="H336:H338"/>
    <mergeCell ref="I336:I338"/>
    <mergeCell ref="H339:H341"/>
    <mergeCell ref="I339:I341"/>
    <mergeCell ref="J339:J341"/>
    <mergeCell ref="K339:K341"/>
    <mergeCell ref="L339:L341"/>
    <mergeCell ref="V339:V341"/>
    <mergeCell ref="B342:V342"/>
    <mergeCell ref="M339:M341"/>
    <mergeCell ref="N339:N341"/>
    <mergeCell ref="O339:O341"/>
    <mergeCell ref="P339:P341"/>
    <mergeCell ref="Q339:Q341"/>
    <mergeCell ref="T339:T341"/>
    <mergeCell ref="U339:U341"/>
    <mergeCell ref="F336:F338"/>
    <mergeCell ref="G336:G338"/>
    <mergeCell ref="E339:E341"/>
    <mergeCell ref="F339:F341"/>
    <mergeCell ref="G339:G341"/>
    <mergeCell ref="E343:E345"/>
    <mergeCell ref="F343:F345"/>
    <mergeCell ref="U348:U350"/>
    <mergeCell ref="V348:V350"/>
    <mergeCell ref="B346:V346"/>
    <mergeCell ref="B347:V347"/>
    <mergeCell ref="N348:N350"/>
    <mergeCell ref="O348:O350"/>
    <mergeCell ref="P348:P350"/>
    <mergeCell ref="Q348:Q350"/>
    <mergeCell ref="T348:T350"/>
    <mergeCell ref="L348:L350"/>
    <mergeCell ref="M348:M350"/>
    <mergeCell ref="E348:E350"/>
    <mergeCell ref="T321:T323"/>
    <mergeCell ref="U321:U323"/>
    <mergeCell ref="V321:V323"/>
    <mergeCell ref="G321:G323"/>
    <mergeCell ref="H321:H323"/>
    <mergeCell ref="I321:I323"/>
    <mergeCell ref="J321:J323"/>
    <mergeCell ref="K321:K323"/>
    <mergeCell ref="L321:L323"/>
    <mergeCell ref="E284:E286"/>
    <mergeCell ref="F284:F286"/>
    <mergeCell ref="G284:G286"/>
    <mergeCell ref="H284:H286"/>
    <mergeCell ref="I284:I286"/>
    <mergeCell ref="Q284:Q286"/>
    <mergeCell ref="T284:T286"/>
    <mergeCell ref="U284:U286"/>
    <mergeCell ref="V284:V286"/>
    <mergeCell ref="J284:J286"/>
    <mergeCell ref="K284:K286"/>
    <mergeCell ref="L284:L286"/>
    <mergeCell ref="M284:M286"/>
    <mergeCell ref="N284:N286"/>
    <mergeCell ref="O284:O286"/>
    <mergeCell ref="P284:P286"/>
    <mergeCell ref="N287:N288"/>
    <mergeCell ref="O287:O288"/>
    <mergeCell ref="P287:P288"/>
    <mergeCell ref="Q287:Q288"/>
    <mergeCell ref="T287:T288"/>
    <mergeCell ref="U287:U288"/>
    <mergeCell ref="V287:V288"/>
    <mergeCell ref="B281:B283"/>
    <mergeCell ref="B284:B286"/>
    <mergeCell ref="B287:B288"/>
    <mergeCell ref="C287:C288"/>
    <mergeCell ref="D287:D288"/>
    <mergeCell ref="F287:F288"/>
    <mergeCell ref="B289:B291"/>
    <mergeCell ref="F289:F291"/>
    <mergeCell ref="U289:U291"/>
    <mergeCell ref="V289:V291"/>
    <mergeCell ref="L289:L291"/>
    <mergeCell ref="M289:M291"/>
    <mergeCell ref="N289:N291"/>
    <mergeCell ref="O289:O291"/>
    <mergeCell ref="P289:P291"/>
    <mergeCell ref="Q289:Q291"/>
    <mergeCell ref="T289:T291"/>
    <mergeCell ref="I275:I277"/>
    <mergeCell ref="J275:J277"/>
    <mergeCell ref="K275:K277"/>
    <mergeCell ref="U275:U277"/>
    <mergeCell ref="V275:V277"/>
    <mergeCell ref="L275:L277"/>
    <mergeCell ref="M275:M277"/>
    <mergeCell ref="N275:N277"/>
    <mergeCell ref="O275:O277"/>
    <mergeCell ref="P275:P277"/>
    <mergeCell ref="Q275:Q277"/>
    <mergeCell ref="T275:T277"/>
    <mergeCell ref="E264:E266"/>
    <mergeCell ref="E267:E269"/>
    <mergeCell ref="B270:B273"/>
    <mergeCell ref="E270:E273"/>
    <mergeCell ref="B275:B277"/>
    <mergeCell ref="C275:C277"/>
    <mergeCell ref="D275:D277"/>
    <mergeCell ref="P278:P280"/>
    <mergeCell ref="Q278:Q280"/>
    <mergeCell ref="T278:T280"/>
    <mergeCell ref="U278:U280"/>
    <mergeCell ref="V278:V280"/>
    <mergeCell ref="T281:T283"/>
    <mergeCell ref="U281:U283"/>
    <mergeCell ref="V281:V283"/>
    <mergeCell ref="E278:E280"/>
    <mergeCell ref="E281:E283"/>
    <mergeCell ref="I278:I280"/>
    <mergeCell ref="J278:J280"/>
    <mergeCell ref="K278:K280"/>
    <mergeCell ref="L278:L280"/>
    <mergeCell ref="M278:M280"/>
    <mergeCell ref="N278:N280"/>
    <mergeCell ref="O278:O280"/>
    <mergeCell ref="B278:B280"/>
    <mergeCell ref="C278:C280"/>
    <mergeCell ref="D278:D280"/>
    <mergeCell ref="F278:F280"/>
    <mergeCell ref="G278:G280"/>
    <mergeCell ref="H278:H280"/>
    <mergeCell ref="H281:H283"/>
    <mergeCell ref="F281:F283"/>
    <mergeCell ref="G281:G283"/>
    <mergeCell ref="N306:N307"/>
    <mergeCell ref="O306:O307"/>
    <mergeCell ref="P306:P307"/>
    <mergeCell ref="Q306:Q307"/>
    <mergeCell ref="T306:T307"/>
    <mergeCell ref="U306:U307"/>
    <mergeCell ref="V306:V307"/>
    <mergeCell ref="B300:B302"/>
    <mergeCell ref="B303:B305"/>
    <mergeCell ref="B306:B307"/>
    <mergeCell ref="C306:C307"/>
    <mergeCell ref="D306:D307"/>
    <mergeCell ref="F306:F307"/>
    <mergeCell ref="B308:B310"/>
    <mergeCell ref="F308:F310"/>
    <mergeCell ref="U308:U310"/>
    <mergeCell ref="V308:V310"/>
    <mergeCell ref="L308:L310"/>
    <mergeCell ref="M308:M310"/>
    <mergeCell ref="N308:N310"/>
    <mergeCell ref="O308:O310"/>
    <mergeCell ref="P308:P310"/>
    <mergeCell ref="Q308:Q310"/>
    <mergeCell ref="T308:T310"/>
    <mergeCell ref="H267:H269"/>
    <mergeCell ref="I267:I269"/>
    <mergeCell ref="F267:F269"/>
    <mergeCell ref="G267:G269"/>
    <mergeCell ref="F270:F273"/>
    <mergeCell ref="G270:G273"/>
    <mergeCell ref="H270:H273"/>
    <mergeCell ref="I270:I273"/>
    <mergeCell ref="J270:J273"/>
    <mergeCell ref="B267:B269"/>
    <mergeCell ref="Q267:Q269"/>
    <mergeCell ref="T267:T269"/>
    <mergeCell ref="U267:U269"/>
    <mergeCell ref="V267:V269"/>
    <mergeCell ref="J267:J269"/>
    <mergeCell ref="K267:K269"/>
    <mergeCell ref="L267:L269"/>
    <mergeCell ref="M267:M269"/>
    <mergeCell ref="N267:N269"/>
    <mergeCell ref="O267:O269"/>
    <mergeCell ref="P267:P269"/>
    <mergeCell ref="R270:R271"/>
    <mergeCell ref="S270:S271"/>
    <mergeCell ref="T270:T273"/>
    <mergeCell ref="U270:U273"/>
    <mergeCell ref="V270:V273"/>
    <mergeCell ref="R272:R273"/>
    <mergeCell ref="S272:S273"/>
    <mergeCell ref="K270:K273"/>
    <mergeCell ref="L270:L273"/>
    <mergeCell ref="M270:M273"/>
    <mergeCell ref="N270:N273"/>
    <mergeCell ref="O270:O273"/>
    <mergeCell ref="P270:P273"/>
    <mergeCell ref="Q270:Q273"/>
    <mergeCell ref="B274:V274"/>
    <mergeCell ref="P281:P283"/>
    <mergeCell ref="Q281:Q283"/>
    <mergeCell ref="I281:I283"/>
    <mergeCell ref="J281:J283"/>
    <mergeCell ref="T300:T302"/>
    <mergeCell ref="U300:U302"/>
    <mergeCell ref="V300:V302"/>
    <mergeCell ref="I300:I302"/>
    <mergeCell ref="J300:J302"/>
    <mergeCell ref="M300:M302"/>
    <mergeCell ref="N300:N302"/>
    <mergeCell ref="O300:O302"/>
    <mergeCell ref="P300:P302"/>
    <mergeCell ref="Q300:Q302"/>
    <mergeCell ref="E289:E291"/>
    <mergeCell ref="E292:E295"/>
    <mergeCell ref="B297:B299"/>
    <mergeCell ref="C297:C299"/>
    <mergeCell ref="D297:D299"/>
    <mergeCell ref="E297:E299"/>
    <mergeCell ref="E300:E302"/>
    <mergeCell ref="E303:E305"/>
    <mergeCell ref="F303:F305"/>
    <mergeCell ref="G303:G305"/>
    <mergeCell ref="H303:H305"/>
    <mergeCell ref="I303:I305"/>
    <mergeCell ref="J303:J305"/>
    <mergeCell ref="K303:K305"/>
    <mergeCell ref="U303:U305"/>
    <mergeCell ref="V303:V305"/>
    <mergeCell ref="L303:L305"/>
    <mergeCell ref="M303:M305"/>
    <mergeCell ref="N303:N305"/>
    <mergeCell ref="O303:O305"/>
    <mergeCell ref="P303:P305"/>
    <mergeCell ref="Q303:Q305"/>
    <mergeCell ref="T303:T305"/>
    <mergeCell ref="F292:F295"/>
    <mergeCell ref="G292:G295"/>
    <mergeCell ref="F297:F299"/>
    <mergeCell ref="G297:G299"/>
    <mergeCell ref="F300:F302"/>
    <mergeCell ref="G300:G302"/>
    <mergeCell ref="H300:H302"/>
    <mergeCell ref="K300:K302"/>
    <mergeCell ref="L300:L302"/>
    <mergeCell ref="H292:H295"/>
    <mergeCell ref="I292:I295"/>
    <mergeCell ref="H297:H299"/>
    <mergeCell ref="I297:I299"/>
    <mergeCell ref="J297:J299"/>
    <mergeCell ref="K297:K299"/>
    <mergeCell ref="L297:L299"/>
    <mergeCell ref="C258:C260"/>
    <mergeCell ref="D258:D260"/>
    <mergeCell ref="F258:F260"/>
    <mergeCell ref="G258:G260"/>
    <mergeCell ref="H258:H260"/>
    <mergeCell ref="B261:B263"/>
    <mergeCell ref="G287:G288"/>
    <mergeCell ref="H287:H288"/>
    <mergeCell ref="I287:I288"/>
    <mergeCell ref="J287:J288"/>
    <mergeCell ref="K287:K288"/>
    <mergeCell ref="L287:L288"/>
    <mergeCell ref="M287:M288"/>
    <mergeCell ref="E287:E288"/>
    <mergeCell ref="G289:G291"/>
    <mergeCell ref="H289:H291"/>
    <mergeCell ref="I289:I291"/>
    <mergeCell ref="J289:J291"/>
    <mergeCell ref="K289:K291"/>
    <mergeCell ref="B292:B295"/>
    <mergeCell ref="Q292:Q295"/>
    <mergeCell ref="T292:T295"/>
    <mergeCell ref="U292:U295"/>
    <mergeCell ref="V292:V295"/>
    <mergeCell ref="J292:J295"/>
    <mergeCell ref="K292:K295"/>
    <mergeCell ref="L292:L295"/>
    <mergeCell ref="M292:M295"/>
    <mergeCell ref="N292:N295"/>
    <mergeCell ref="O292:O295"/>
    <mergeCell ref="P292:P295"/>
    <mergeCell ref="M297:M299"/>
    <mergeCell ref="N297:N299"/>
    <mergeCell ref="O297:O299"/>
    <mergeCell ref="P297:P299"/>
    <mergeCell ref="Q297:Q299"/>
    <mergeCell ref="T297:T299"/>
    <mergeCell ref="U297:U299"/>
    <mergeCell ref="V297:V299"/>
    <mergeCell ref="T264:T266"/>
    <mergeCell ref="U264:U266"/>
    <mergeCell ref="V264:V266"/>
    <mergeCell ref="K264:K266"/>
    <mergeCell ref="L264:L266"/>
    <mergeCell ref="M264:M266"/>
    <mergeCell ref="N264:N266"/>
    <mergeCell ref="O264:O266"/>
    <mergeCell ref="P264:P266"/>
    <mergeCell ref="Q264:Q266"/>
    <mergeCell ref="B264:B266"/>
    <mergeCell ref="F264:F266"/>
    <mergeCell ref="G264:G266"/>
    <mergeCell ref="H264:H266"/>
    <mergeCell ref="I264:I266"/>
    <mergeCell ref="J264:J266"/>
    <mergeCell ref="K281:K283"/>
    <mergeCell ref="L281:L283"/>
    <mergeCell ref="M281:M283"/>
    <mergeCell ref="N281:N283"/>
    <mergeCell ref="O281:O283"/>
    <mergeCell ref="E275:E277"/>
    <mergeCell ref="F275:F277"/>
    <mergeCell ref="G275:G277"/>
    <mergeCell ref="H275:H277"/>
    <mergeCell ref="T253:T255"/>
    <mergeCell ref="U253:U255"/>
    <mergeCell ref="V253:V255"/>
    <mergeCell ref="T256:T257"/>
    <mergeCell ref="U256:U257"/>
    <mergeCell ref="V256:V257"/>
    <mergeCell ref="K253:K255"/>
    <mergeCell ref="L253:L255"/>
    <mergeCell ref="M253:M255"/>
    <mergeCell ref="N253:N255"/>
    <mergeCell ref="O253:O255"/>
    <mergeCell ref="P253:P255"/>
    <mergeCell ref="Q253:Q255"/>
    <mergeCell ref="E253:E255"/>
    <mergeCell ref="E256:E257"/>
    <mergeCell ref="F256:F257"/>
    <mergeCell ref="G256:G257"/>
    <mergeCell ref="B253:B255"/>
    <mergeCell ref="F253:F255"/>
    <mergeCell ref="G253:G255"/>
    <mergeCell ref="H253:H255"/>
    <mergeCell ref="I253:I255"/>
    <mergeCell ref="J253:J255"/>
    <mergeCell ref="B256:B257"/>
    <mergeCell ref="J256:J257"/>
    <mergeCell ref="O261:O263"/>
    <mergeCell ref="P261:P263"/>
    <mergeCell ref="H261:H263"/>
    <mergeCell ref="I261:I263"/>
    <mergeCell ref="J261:J263"/>
    <mergeCell ref="K261:K263"/>
    <mergeCell ref="L261:L263"/>
    <mergeCell ref="M261:M263"/>
    <mergeCell ref="N261:N263"/>
    <mergeCell ref="P256:P257"/>
    <mergeCell ref="Q256:Q257"/>
    <mergeCell ref="Q261:Q263"/>
    <mergeCell ref="H256:H257"/>
    <mergeCell ref="I256:I257"/>
    <mergeCell ref="K256:K257"/>
    <mergeCell ref="L256:L257"/>
    <mergeCell ref="M256:M257"/>
    <mergeCell ref="N256:N257"/>
    <mergeCell ref="O256:O257"/>
    <mergeCell ref="P258:P260"/>
    <mergeCell ref="Q258:Q260"/>
    <mergeCell ref="T258:T260"/>
    <mergeCell ref="U258:U260"/>
    <mergeCell ref="V258:V260"/>
    <mergeCell ref="T261:T263"/>
    <mergeCell ref="U261:U263"/>
    <mergeCell ref="V261:V263"/>
    <mergeCell ref="I258:I260"/>
    <mergeCell ref="J258:J260"/>
    <mergeCell ref="K258:K260"/>
    <mergeCell ref="L258:L260"/>
    <mergeCell ref="M258:M260"/>
    <mergeCell ref="N258:N260"/>
    <mergeCell ref="O258:O260"/>
    <mergeCell ref="E258:E260"/>
    <mergeCell ref="E261:E263"/>
    <mergeCell ref="F261:F263"/>
    <mergeCell ref="G261:G263"/>
    <mergeCell ref="B258:B260"/>
    <mergeCell ref="T246:T247"/>
    <mergeCell ref="U246:U247"/>
    <mergeCell ref="V246:V247"/>
    <mergeCell ref="K246:K247"/>
    <mergeCell ref="L246:L247"/>
    <mergeCell ref="M246:M247"/>
    <mergeCell ref="N246:N247"/>
    <mergeCell ref="O246:O247"/>
    <mergeCell ref="P246:P247"/>
    <mergeCell ref="Q246:Q247"/>
    <mergeCell ref="E246:E247"/>
    <mergeCell ref="E248:E251"/>
    <mergeCell ref="F248:F251"/>
    <mergeCell ref="G248:G251"/>
    <mergeCell ref="Q248:Q251"/>
    <mergeCell ref="R248:R251"/>
    <mergeCell ref="S248:S251"/>
    <mergeCell ref="T248:T251"/>
    <mergeCell ref="U248:U251"/>
    <mergeCell ref="V248:V251"/>
    <mergeCell ref="J248:J251"/>
    <mergeCell ref="K248:K251"/>
    <mergeCell ref="L248:L251"/>
    <mergeCell ref="M248:M251"/>
    <mergeCell ref="N248:N251"/>
    <mergeCell ref="O248:O251"/>
    <mergeCell ref="P248:P251"/>
    <mergeCell ref="H248:H251"/>
    <mergeCell ref="I248:I251"/>
    <mergeCell ref="B246:B247"/>
    <mergeCell ref="F246:F247"/>
    <mergeCell ref="G246:G247"/>
    <mergeCell ref="H246:H247"/>
    <mergeCell ref="I246:I247"/>
    <mergeCell ref="J246:J247"/>
    <mergeCell ref="B248:B251"/>
    <mergeCell ref="P236:P238"/>
    <mergeCell ref="Q236:Q238"/>
    <mergeCell ref="T236:T238"/>
    <mergeCell ref="U236:U238"/>
    <mergeCell ref="V236:V238"/>
    <mergeCell ref="I236:I238"/>
    <mergeCell ref="J236:J238"/>
    <mergeCell ref="K236:K238"/>
    <mergeCell ref="L236:L238"/>
    <mergeCell ref="M236:M238"/>
    <mergeCell ref="N236:N238"/>
    <mergeCell ref="O236:O238"/>
    <mergeCell ref="B236:B238"/>
    <mergeCell ref="C236:C238"/>
    <mergeCell ref="D236:D238"/>
    <mergeCell ref="E236:E238"/>
    <mergeCell ref="F236:F238"/>
    <mergeCell ref="G236:G238"/>
    <mergeCell ref="H236:H238"/>
    <mergeCell ref="I239:I241"/>
    <mergeCell ref="J239:J241"/>
    <mergeCell ref="K239:K241"/>
    <mergeCell ref="L239:L241"/>
    <mergeCell ref="M239:M241"/>
    <mergeCell ref="N239:N241"/>
    <mergeCell ref="O239:O241"/>
    <mergeCell ref="E239:E241"/>
    <mergeCell ref="E243:E245"/>
    <mergeCell ref="B239:B241"/>
    <mergeCell ref="C239:C241"/>
    <mergeCell ref="D239:D241"/>
    <mergeCell ref="F239:F241"/>
    <mergeCell ref="G239:G241"/>
    <mergeCell ref="H239:H241"/>
    <mergeCell ref="B243:B245"/>
    <mergeCell ref="H243:H245"/>
    <mergeCell ref="T243:T245"/>
    <mergeCell ref="U243:U245"/>
    <mergeCell ref="P239:P241"/>
    <mergeCell ref="Q239:Q241"/>
    <mergeCell ref="T239:T241"/>
    <mergeCell ref="U239:U241"/>
    <mergeCell ref="V239:V241"/>
    <mergeCell ref="P243:P245"/>
    <mergeCell ref="Q243:Q245"/>
    <mergeCell ref="V243:V245"/>
    <mergeCell ref="N243:N245"/>
    <mergeCell ref="O243:O245"/>
    <mergeCell ref="F243:F245"/>
    <mergeCell ref="G243:G245"/>
    <mergeCell ref="I243:I245"/>
    <mergeCell ref="J243:J245"/>
    <mergeCell ref="K243:K245"/>
    <mergeCell ref="L243:L245"/>
    <mergeCell ref="M243:M245"/>
    <mergeCell ref="P233:P235"/>
    <mergeCell ref="Q233:Q235"/>
    <mergeCell ref="I233:I235"/>
    <mergeCell ref="J233:J235"/>
    <mergeCell ref="K233:K235"/>
    <mergeCell ref="L233:L235"/>
    <mergeCell ref="M233:M235"/>
    <mergeCell ref="N233:N235"/>
    <mergeCell ref="O233:O235"/>
    <mergeCell ref="P228:P229"/>
    <mergeCell ref="Q228:Q229"/>
    <mergeCell ref="T228:T229"/>
    <mergeCell ref="U228:U229"/>
    <mergeCell ref="V228:V229"/>
    <mergeCell ref="I228:I229"/>
    <mergeCell ref="J228:J229"/>
    <mergeCell ref="K228:K229"/>
    <mergeCell ref="L228:L229"/>
    <mergeCell ref="M228:M229"/>
    <mergeCell ref="N228:N229"/>
    <mergeCell ref="O228:O229"/>
    <mergeCell ref="B228:B229"/>
    <mergeCell ref="C228:C229"/>
    <mergeCell ref="D228:D229"/>
    <mergeCell ref="E228:E229"/>
    <mergeCell ref="F228:F229"/>
    <mergeCell ref="G228:G229"/>
    <mergeCell ref="H228:H229"/>
    <mergeCell ref="P230:P232"/>
    <mergeCell ref="Q230:Q232"/>
    <mergeCell ref="T230:T232"/>
    <mergeCell ref="U230:U232"/>
    <mergeCell ref="V230:V232"/>
    <mergeCell ref="T233:T235"/>
    <mergeCell ref="U233:U235"/>
    <mergeCell ref="V233:V235"/>
    <mergeCell ref="I230:I232"/>
    <mergeCell ref="J230:J232"/>
    <mergeCell ref="K230:K232"/>
    <mergeCell ref="L230:L232"/>
    <mergeCell ref="M230:M232"/>
    <mergeCell ref="N230:N232"/>
    <mergeCell ref="O230:O232"/>
    <mergeCell ref="B230:B232"/>
    <mergeCell ref="C230:C232"/>
    <mergeCell ref="D230:D232"/>
    <mergeCell ref="E230:E232"/>
    <mergeCell ref="F230:F232"/>
    <mergeCell ref="G230:G232"/>
    <mergeCell ref="H230:H232"/>
    <mergeCell ref="B233:B235"/>
    <mergeCell ref="C233:C235"/>
    <mergeCell ref="D233:D235"/>
    <mergeCell ref="E233:E235"/>
    <mergeCell ref="F233:F235"/>
    <mergeCell ref="G233:G235"/>
    <mergeCell ref="H233:H235"/>
    <mergeCell ref="P217:P220"/>
    <mergeCell ref="Q217:Q220"/>
    <mergeCell ref="T217:T220"/>
    <mergeCell ref="U217:U220"/>
    <mergeCell ref="V217:V220"/>
    <mergeCell ref="I217:I220"/>
    <mergeCell ref="J217:J220"/>
    <mergeCell ref="K217:K220"/>
    <mergeCell ref="L217:L220"/>
    <mergeCell ref="M217:M220"/>
    <mergeCell ref="N217:N220"/>
    <mergeCell ref="O217:O220"/>
    <mergeCell ref="C219:C220"/>
    <mergeCell ref="D219:D220"/>
    <mergeCell ref="A222:B222"/>
    <mergeCell ref="C222:W222"/>
    <mergeCell ref="B223:V223"/>
    <mergeCell ref="B224:V224"/>
    <mergeCell ref="B217:B220"/>
    <mergeCell ref="C217:C218"/>
    <mergeCell ref="D217:D218"/>
    <mergeCell ref="E217:E220"/>
    <mergeCell ref="F217:F220"/>
    <mergeCell ref="G217:G220"/>
    <mergeCell ref="H217:H220"/>
    <mergeCell ref="P225:P227"/>
    <mergeCell ref="Q225:Q227"/>
    <mergeCell ref="T225:T227"/>
    <mergeCell ref="U225:U227"/>
    <mergeCell ref="V225:V227"/>
    <mergeCell ref="I225:I227"/>
    <mergeCell ref="J225:J227"/>
    <mergeCell ref="K225:K227"/>
    <mergeCell ref="L225:L227"/>
    <mergeCell ref="M225:M227"/>
    <mergeCell ref="N225:N227"/>
    <mergeCell ref="O225:O227"/>
    <mergeCell ref="B225:B227"/>
    <mergeCell ref="C225:C227"/>
    <mergeCell ref="D225:D227"/>
    <mergeCell ref="E225:E227"/>
    <mergeCell ref="F225:F227"/>
    <mergeCell ref="G225:G227"/>
    <mergeCell ref="H225:H227"/>
    <mergeCell ref="R184:R185"/>
    <mergeCell ref="S184:S185"/>
    <mergeCell ref="M182:M186"/>
    <mergeCell ref="N182:N186"/>
    <mergeCell ref="O182:O186"/>
    <mergeCell ref="P182:P186"/>
    <mergeCell ref="Q182:Q186"/>
    <mergeCell ref="R182:R183"/>
    <mergeCell ref="S182:S183"/>
    <mergeCell ref="N179:N181"/>
    <mergeCell ref="O179:O181"/>
    <mergeCell ref="F179:F181"/>
    <mergeCell ref="E182:E186"/>
    <mergeCell ref="F182:F186"/>
    <mergeCell ref="G182:G186"/>
    <mergeCell ref="H182:H186"/>
    <mergeCell ref="I182:I186"/>
    <mergeCell ref="J182:J186"/>
    <mergeCell ref="K182:K186"/>
    <mergeCell ref="L182:L186"/>
    <mergeCell ref="T182:T186"/>
    <mergeCell ref="U182:U186"/>
    <mergeCell ref="V182:V186"/>
    <mergeCell ref="G179:G181"/>
    <mergeCell ref="I179:I181"/>
    <mergeCell ref="J179:J181"/>
    <mergeCell ref="K179:K181"/>
    <mergeCell ref="L179:L181"/>
    <mergeCell ref="M179:M181"/>
    <mergeCell ref="B182:B186"/>
    <mergeCell ref="P193:P195"/>
    <mergeCell ref="Q193:Q195"/>
    <mergeCell ref="I193:I195"/>
    <mergeCell ref="J193:J195"/>
    <mergeCell ref="K193:K195"/>
    <mergeCell ref="L193:L195"/>
    <mergeCell ref="M193:M195"/>
    <mergeCell ref="N193:N195"/>
    <mergeCell ref="O193:O195"/>
    <mergeCell ref="U172:U174"/>
    <mergeCell ref="V172:V174"/>
    <mergeCell ref="F172:F174"/>
    <mergeCell ref="G172:G174"/>
    <mergeCell ref="H172:H174"/>
    <mergeCell ref="I172:I174"/>
    <mergeCell ref="J172:J174"/>
    <mergeCell ref="K172:K174"/>
    <mergeCell ref="L172:L174"/>
    <mergeCell ref="B162:B164"/>
    <mergeCell ref="B165:B167"/>
    <mergeCell ref="B168:B171"/>
    <mergeCell ref="C168:C171"/>
    <mergeCell ref="D168:D171"/>
    <mergeCell ref="B172:B174"/>
    <mergeCell ref="E172:E174"/>
    <mergeCell ref="I175:I178"/>
    <mergeCell ref="J175:J178"/>
    <mergeCell ref="K175:K178"/>
    <mergeCell ref="L175:L178"/>
    <mergeCell ref="M175:M178"/>
    <mergeCell ref="N175:N178"/>
    <mergeCell ref="O175:O178"/>
    <mergeCell ref="E175:E178"/>
    <mergeCell ref="E179:E181"/>
    <mergeCell ref="B175:B178"/>
    <mergeCell ref="C175:C178"/>
    <mergeCell ref="D175:D178"/>
    <mergeCell ref="F175:F178"/>
    <mergeCell ref="G175:G178"/>
    <mergeCell ref="H175:H178"/>
    <mergeCell ref="B179:B181"/>
    <mergeCell ref="H179:H181"/>
    <mergeCell ref="T179:T181"/>
    <mergeCell ref="U179:U181"/>
    <mergeCell ref="P175:P178"/>
    <mergeCell ref="Q175:Q178"/>
    <mergeCell ref="T175:T178"/>
    <mergeCell ref="U175:U178"/>
    <mergeCell ref="V175:V178"/>
    <mergeCell ref="P179:P181"/>
    <mergeCell ref="Q179:Q181"/>
    <mergeCell ref="V179:V181"/>
    <mergeCell ref="P213:P215"/>
    <mergeCell ref="Q213:Q215"/>
    <mergeCell ref="T213:T215"/>
    <mergeCell ref="U213:U215"/>
    <mergeCell ref="V213:V215"/>
    <mergeCell ref="I213:I215"/>
    <mergeCell ref="J213:J215"/>
    <mergeCell ref="K213:K215"/>
    <mergeCell ref="L213:L215"/>
    <mergeCell ref="M213:M215"/>
    <mergeCell ref="N213:N215"/>
    <mergeCell ref="O213:O215"/>
    <mergeCell ref="B216:V216"/>
    <mergeCell ref="F211:F212"/>
    <mergeCell ref="G211:G212"/>
    <mergeCell ref="B213:B215"/>
    <mergeCell ref="E213:E215"/>
    <mergeCell ref="F213:F215"/>
    <mergeCell ref="G213:G215"/>
    <mergeCell ref="H213:H215"/>
    <mergeCell ref="F162:F164"/>
    <mergeCell ref="G162:G164"/>
    <mergeCell ref="F165:F167"/>
    <mergeCell ref="G165:G167"/>
    <mergeCell ref="H165:H167"/>
    <mergeCell ref="I165:I167"/>
    <mergeCell ref="J165:J167"/>
    <mergeCell ref="E158:E161"/>
    <mergeCell ref="E162:E164"/>
    <mergeCell ref="E165:E167"/>
    <mergeCell ref="E168:E171"/>
    <mergeCell ref="F168:F171"/>
    <mergeCell ref="G168:G171"/>
    <mergeCell ref="H168:H171"/>
    <mergeCell ref="P162:P164"/>
    <mergeCell ref="Q162:Q164"/>
    <mergeCell ref="R162:R164"/>
    <mergeCell ref="S162:S164"/>
    <mergeCell ref="T162:T164"/>
    <mergeCell ref="U162:U164"/>
    <mergeCell ref="V162:V164"/>
    <mergeCell ref="H162:H164"/>
    <mergeCell ref="I162:I164"/>
    <mergeCell ref="K162:K164"/>
    <mergeCell ref="L162:L164"/>
    <mergeCell ref="M162:M164"/>
    <mergeCell ref="N162:N164"/>
    <mergeCell ref="O162:O164"/>
    <mergeCell ref="B158:B161"/>
    <mergeCell ref="F158:F161"/>
    <mergeCell ref="G158:G161"/>
    <mergeCell ref="H158:H161"/>
    <mergeCell ref="I158:I161"/>
    <mergeCell ref="J158:J161"/>
    <mergeCell ref="J162:J164"/>
    <mergeCell ref="T165:T167"/>
    <mergeCell ref="U165:U167"/>
    <mergeCell ref="V165:V167"/>
    <mergeCell ref="K165:K167"/>
    <mergeCell ref="L165:L167"/>
    <mergeCell ref="M165:M167"/>
    <mergeCell ref="N165:N167"/>
    <mergeCell ref="O165:O167"/>
    <mergeCell ref="P165:P167"/>
    <mergeCell ref="T208:T210"/>
    <mergeCell ref="U208:U210"/>
    <mergeCell ref="V208:V210"/>
    <mergeCell ref="K208:K210"/>
    <mergeCell ref="L208:L210"/>
    <mergeCell ref="M208:M210"/>
    <mergeCell ref="N208:N210"/>
    <mergeCell ref="O208:O210"/>
    <mergeCell ref="P208:P210"/>
    <mergeCell ref="Q208:Q210"/>
    <mergeCell ref="E208:E210"/>
    <mergeCell ref="E211:E212"/>
    <mergeCell ref="B208:B210"/>
    <mergeCell ref="F208:F210"/>
    <mergeCell ref="G208:G210"/>
    <mergeCell ref="H208:H210"/>
    <mergeCell ref="I208:I210"/>
    <mergeCell ref="J208:J210"/>
    <mergeCell ref="B211:B212"/>
    <mergeCell ref="J211:J212"/>
    <mergeCell ref="P211:P212"/>
    <mergeCell ref="Q211:Q212"/>
    <mergeCell ref="R211:R212"/>
    <mergeCell ref="S211:S212"/>
    <mergeCell ref="T211:T212"/>
    <mergeCell ref="U211:U212"/>
    <mergeCell ref="V211:V212"/>
    <mergeCell ref="H211:H212"/>
    <mergeCell ref="I211:I212"/>
    <mergeCell ref="K211:K212"/>
    <mergeCell ref="L211:L212"/>
    <mergeCell ref="M211:M212"/>
    <mergeCell ref="N211:N212"/>
    <mergeCell ref="O211:O212"/>
    <mergeCell ref="Q199:Q202"/>
    <mergeCell ref="T199:T202"/>
    <mergeCell ref="U199:U202"/>
    <mergeCell ref="V199:V202"/>
    <mergeCell ref="J199:J202"/>
    <mergeCell ref="K199:K202"/>
    <mergeCell ref="L199:L202"/>
    <mergeCell ref="M199:M202"/>
    <mergeCell ref="N199:N202"/>
    <mergeCell ref="O199:O202"/>
    <mergeCell ref="P199:P202"/>
    <mergeCell ref="B196:B198"/>
    <mergeCell ref="B199:B202"/>
    <mergeCell ref="E199:E202"/>
    <mergeCell ref="F199:F202"/>
    <mergeCell ref="G199:G202"/>
    <mergeCell ref="H199:H202"/>
    <mergeCell ref="I199:I202"/>
    <mergeCell ref="P203:P204"/>
    <mergeCell ref="Q203:Q204"/>
    <mergeCell ref="T203:T204"/>
    <mergeCell ref="U203:U204"/>
    <mergeCell ref="V203:V204"/>
    <mergeCell ref="I203:I204"/>
    <mergeCell ref="J203:J204"/>
    <mergeCell ref="K203:K204"/>
    <mergeCell ref="L203:L204"/>
    <mergeCell ref="M203:M204"/>
    <mergeCell ref="N203:N204"/>
    <mergeCell ref="O203:O204"/>
    <mergeCell ref="E203:E204"/>
    <mergeCell ref="E205:E207"/>
    <mergeCell ref="F205:F207"/>
    <mergeCell ref="G205:G207"/>
    <mergeCell ref="O205:O207"/>
    <mergeCell ref="P205:P207"/>
    <mergeCell ref="Q205:Q207"/>
    <mergeCell ref="R205:R207"/>
    <mergeCell ref="S205:S207"/>
    <mergeCell ref="T205:T207"/>
    <mergeCell ref="U205:U207"/>
    <mergeCell ref="V205:V207"/>
    <mergeCell ref="H205:H207"/>
    <mergeCell ref="I205:I207"/>
    <mergeCell ref="J205:J207"/>
    <mergeCell ref="K205:K207"/>
    <mergeCell ref="L205:L207"/>
    <mergeCell ref="M205:M207"/>
    <mergeCell ref="N205:N207"/>
    <mergeCell ref="B203:B204"/>
    <mergeCell ref="C203:C204"/>
    <mergeCell ref="D203:D204"/>
    <mergeCell ref="F203:F204"/>
    <mergeCell ref="G203:G204"/>
    <mergeCell ref="H203:H204"/>
    <mergeCell ref="B205:B207"/>
    <mergeCell ref="P189:P192"/>
    <mergeCell ref="Q189:Q192"/>
    <mergeCell ref="T189:T192"/>
    <mergeCell ref="U189:U192"/>
    <mergeCell ref="V189:V192"/>
    <mergeCell ref="T193:T195"/>
    <mergeCell ref="U193:U195"/>
    <mergeCell ref="V193:V195"/>
    <mergeCell ref="I189:I192"/>
    <mergeCell ref="J189:J192"/>
    <mergeCell ref="K189:K192"/>
    <mergeCell ref="L189:L192"/>
    <mergeCell ref="M189:M192"/>
    <mergeCell ref="N189:N192"/>
    <mergeCell ref="O189:O192"/>
    <mergeCell ref="E193:E195"/>
    <mergeCell ref="E196:E198"/>
    <mergeCell ref="N196:N198"/>
    <mergeCell ref="O196:O198"/>
    <mergeCell ref="P196:P198"/>
    <mergeCell ref="Q196:Q198"/>
    <mergeCell ref="T196:T198"/>
    <mergeCell ref="U196:U198"/>
    <mergeCell ref="V196:V198"/>
    <mergeCell ref="F196:F198"/>
    <mergeCell ref="G196:G198"/>
    <mergeCell ref="I196:I198"/>
    <mergeCell ref="J196:J198"/>
    <mergeCell ref="K196:K198"/>
    <mergeCell ref="L196:L198"/>
    <mergeCell ref="M196:M198"/>
    <mergeCell ref="B189:B192"/>
    <mergeCell ref="C189:C190"/>
    <mergeCell ref="D189:D190"/>
    <mergeCell ref="E189:E192"/>
    <mergeCell ref="F189:F192"/>
    <mergeCell ref="G189:G192"/>
    <mergeCell ref="H189:H192"/>
    <mergeCell ref="C191:C192"/>
    <mergeCell ref="D191:D192"/>
    <mergeCell ref="B193:B195"/>
    <mergeCell ref="F193:F195"/>
    <mergeCell ref="G193:G195"/>
    <mergeCell ref="H193:H195"/>
    <mergeCell ref="H196:H198"/>
    <mergeCell ref="B156:V156"/>
    <mergeCell ref="B157:V157"/>
    <mergeCell ref="H153:H155"/>
    <mergeCell ref="I153:I155"/>
    <mergeCell ref="J153:J155"/>
    <mergeCell ref="K153:K155"/>
    <mergeCell ref="L153:L155"/>
    <mergeCell ref="M153:M155"/>
    <mergeCell ref="N153:N155"/>
    <mergeCell ref="B150:B151"/>
    <mergeCell ref="C150:C151"/>
    <mergeCell ref="D150:D151"/>
    <mergeCell ref="F150:F151"/>
    <mergeCell ref="G150:G151"/>
    <mergeCell ref="H150:H151"/>
    <mergeCell ref="B153:B155"/>
    <mergeCell ref="T158:T161"/>
    <mergeCell ref="U158:U161"/>
    <mergeCell ref="V158:V161"/>
    <mergeCell ref="K158:K161"/>
    <mergeCell ref="L158:L161"/>
    <mergeCell ref="M158:M161"/>
    <mergeCell ref="N158:N161"/>
    <mergeCell ref="O158:O161"/>
    <mergeCell ref="P158:P161"/>
    <mergeCell ref="Q158:Q161"/>
    <mergeCell ref="R187:R188"/>
    <mergeCell ref="S187:S188"/>
    <mergeCell ref="T187:T188"/>
    <mergeCell ref="U187:U188"/>
    <mergeCell ref="V187:V188"/>
    <mergeCell ref="K187:K188"/>
    <mergeCell ref="L187:L188"/>
    <mergeCell ref="M187:M188"/>
    <mergeCell ref="N187:N188"/>
    <mergeCell ref="O187:O188"/>
    <mergeCell ref="P187:P188"/>
    <mergeCell ref="Q187:Q188"/>
    <mergeCell ref="B187:B188"/>
    <mergeCell ref="E187:E188"/>
    <mergeCell ref="F187:F188"/>
    <mergeCell ref="G187:G188"/>
    <mergeCell ref="H187:H188"/>
    <mergeCell ref="I187:I188"/>
    <mergeCell ref="J187:J188"/>
    <mergeCell ref="Q165:Q167"/>
    <mergeCell ref="P168:P171"/>
    <mergeCell ref="Q168:Q171"/>
    <mergeCell ref="T168:T171"/>
    <mergeCell ref="U168:U171"/>
    <mergeCell ref="V168:V171"/>
    <mergeCell ref="I168:I171"/>
    <mergeCell ref="J168:J171"/>
    <mergeCell ref="K168:K171"/>
    <mergeCell ref="L168:L171"/>
    <mergeCell ref="M168:M171"/>
    <mergeCell ref="N168:N171"/>
    <mergeCell ref="O168:O171"/>
    <mergeCell ref="M172:M174"/>
    <mergeCell ref="N172:N174"/>
    <mergeCell ref="O172:O174"/>
    <mergeCell ref="P172:P174"/>
    <mergeCell ref="Q172:Q174"/>
    <mergeCell ref="T172:T174"/>
    <mergeCell ref="B61:B63"/>
    <mergeCell ref="E61:E63"/>
    <mergeCell ref="F61:F63"/>
    <mergeCell ref="G61:G63"/>
    <mergeCell ref="H61:H63"/>
    <mergeCell ref="I61:I63"/>
    <mergeCell ref="J61:J63"/>
    <mergeCell ref="B64:V64"/>
    <mergeCell ref="T61:T63"/>
    <mergeCell ref="U61:U63"/>
    <mergeCell ref="V61:V63"/>
    <mergeCell ref="K61:K63"/>
    <mergeCell ref="L61:L63"/>
    <mergeCell ref="M61:M63"/>
    <mergeCell ref="N61:N63"/>
    <mergeCell ref="O61:O63"/>
    <mergeCell ref="P61:P63"/>
    <mergeCell ref="Q61:Q63"/>
    <mergeCell ref="P65:P67"/>
    <mergeCell ref="Q65:Q67"/>
    <mergeCell ref="T65:T67"/>
    <mergeCell ref="U65:U67"/>
    <mergeCell ref="V65:V67"/>
    <mergeCell ref="I65:I67"/>
    <mergeCell ref="J65:J67"/>
    <mergeCell ref="K65:K67"/>
    <mergeCell ref="L65:L67"/>
    <mergeCell ref="M65:M67"/>
    <mergeCell ref="N65:N67"/>
    <mergeCell ref="O65:O67"/>
    <mergeCell ref="E150:E151"/>
    <mergeCell ref="E153:E155"/>
    <mergeCell ref="F153:F155"/>
    <mergeCell ref="G153:G155"/>
    <mergeCell ref="O153:O155"/>
    <mergeCell ref="P153:P155"/>
    <mergeCell ref="Q153:Q155"/>
    <mergeCell ref="T153:T155"/>
    <mergeCell ref="U153:U155"/>
    <mergeCell ref="V153:V155"/>
    <mergeCell ref="V53:V55"/>
    <mergeCell ref="F53:F55"/>
    <mergeCell ref="G53:G55"/>
    <mergeCell ref="H53:H55"/>
    <mergeCell ref="I53:I55"/>
    <mergeCell ref="J53:J55"/>
    <mergeCell ref="K53:K55"/>
    <mergeCell ref="L53:L55"/>
    <mergeCell ref="B44:B46"/>
    <mergeCell ref="B47:B49"/>
    <mergeCell ref="B50:B51"/>
    <mergeCell ref="C50:C51"/>
    <mergeCell ref="D50:D51"/>
    <mergeCell ref="F50:F51"/>
    <mergeCell ref="B53:B55"/>
    <mergeCell ref="P56:P57"/>
    <mergeCell ref="Q56:Q57"/>
    <mergeCell ref="R56:R57"/>
    <mergeCell ref="S56:S57"/>
    <mergeCell ref="T56:T57"/>
    <mergeCell ref="U56:U57"/>
    <mergeCell ref="V56:V57"/>
    <mergeCell ref="I56:I57"/>
    <mergeCell ref="J56:J57"/>
    <mergeCell ref="K56:K57"/>
    <mergeCell ref="L56:L57"/>
    <mergeCell ref="M56:M57"/>
    <mergeCell ref="N56:N57"/>
    <mergeCell ref="O56:O57"/>
    <mergeCell ref="F58:F60"/>
    <mergeCell ref="G58:G60"/>
    <mergeCell ref="O58:O60"/>
    <mergeCell ref="P58:P60"/>
    <mergeCell ref="Q58:Q60"/>
    <mergeCell ref="T58:T60"/>
    <mergeCell ref="U58:U60"/>
    <mergeCell ref="V58:V60"/>
    <mergeCell ref="H58:H60"/>
    <mergeCell ref="I58:I60"/>
    <mergeCell ref="J58:J60"/>
    <mergeCell ref="K58:K60"/>
    <mergeCell ref="L58:L60"/>
    <mergeCell ref="M58:M60"/>
    <mergeCell ref="N58:N60"/>
    <mergeCell ref="V44:V46"/>
    <mergeCell ref="N44:N46"/>
    <mergeCell ref="O44:O46"/>
    <mergeCell ref="P44:P46"/>
    <mergeCell ref="Q44:Q46"/>
    <mergeCell ref="R44:R46"/>
    <mergeCell ref="S44:S46"/>
    <mergeCell ref="T44:T46"/>
    <mergeCell ref="E41:E43"/>
    <mergeCell ref="E44:E46"/>
    <mergeCell ref="E47:E49"/>
    <mergeCell ref="F47:F49"/>
    <mergeCell ref="G47:G49"/>
    <mergeCell ref="H47:H49"/>
    <mergeCell ref="I47:I49"/>
    <mergeCell ref="Q47:Q49"/>
    <mergeCell ref="R47:R49"/>
    <mergeCell ref="S47:S49"/>
    <mergeCell ref="T47:T49"/>
    <mergeCell ref="U47:U49"/>
    <mergeCell ref="V47:V49"/>
    <mergeCell ref="J47:J49"/>
    <mergeCell ref="K47:K49"/>
    <mergeCell ref="L47:L49"/>
    <mergeCell ref="M47:M49"/>
    <mergeCell ref="N47:N49"/>
    <mergeCell ref="O47:O49"/>
    <mergeCell ref="P47:P49"/>
    <mergeCell ref="N50:N51"/>
    <mergeCell ref="O50:O51"/>
    <mergeCell ref="P50:P51"/>
    <mergeCell ref="Q50:Q51"/>
    <mergeCell ref="T50:T51"/>
    <mergeCell ref="U50:U51"/>
    <mergeCell ref="V50:V51"/>
    <mergeCell ref="G50:G51"/>
    <mergeCell ref="H50:H51"/>
    <mergeCell ref="I50:I51"/>
    <mergeCell ref="J50:J51"/>
    <mergeCell ref="K50:K51"/>
    <mergeCell ref="L50:L51"/>
    <mergeCell ref="M50:M51"/>
    <mergeCell ref="F41:F43"/>
    <mergeCell ref="G41:G43"/>
    <mergeCell ref="H41:H43"/>
    <mergeCell ref="H44:H46"/>
    <mergeCell ref="E50:E51"/>
    <mergeCell ref="H31:H33"/>
    <mergeCell ref="I31:I33"/>
    <mergeCell ref="B28:B30"/>
    <mergeCell ref="F28:F30"/>
    <mergeCell ref="G28:G30"/>
    <mergeCell ref="H28:H30"/>
    <mergeCell ref="I28:I30"/>
    <mergeCell ref="J28:J30"/>
    <mergeCell ref="B31:B33"/>
    <mergeCell ref="K36:K38"/>
    <mergeCell ref="L36:L38"/>
    <mergeCell ref="M36:M38"/>
    <mergeCell ref="N36:N38"/>
    <mergeCell ref="O36:O38"/>
    <mergeCell ref="P36:P38"/>
    <mergeCell ref="Q36:Q38"/>
    <mergeCell ref="E36:E38"/>
    <mergeCell ref="E39:E40"/>
    <mergeCell ref="B36:B38"/>
    <mergeCell ref="F36:F38"/>
    <mergeCell ref="G36:G38"/>
    <mergeCell ref="H36:H38"/>
    <mergeCell ref="I36:I38"/>
    <mergeCell ref="J36:J38"/>
    <mergeCell ref="B39:B40"/>
    <mergeCell ref="J39:J40"/>
    <mergeCell ref="U41:U43"/>
    <mergeCell ref="V41:V43"/>
    <mergeCell ref="T36:T38"/>
    <mergeCell ref="U36:U38"/>
    <mergeCell ref="V36:V38"/>
    <mergeCell ref="T39:T40"/>
    <mergeCell ref="U39:U40"/>
    <mergeCell ref="V39:V40"/>
    <mergeCell ref="T41:T43"/>
    <mergeCell ref="F39:F40"/>
    <mergeCell ref="G39:G40"/>
    <mergeCell ref="B41:B43"/>
    <mergeCell ref="R147:R149"/>
    <mergeCell ref="S147:S149"/>
    <mergeCell ref="T147:T149"/>
    <mergeCell ref="U147:U149"/>
    <mergeCell ref="V147:V149"/>
    <mergeCell ref="K147:K149"/>
    <mergeCell ref="L147:L149"/>
    <mergeCell ref="M147:M149"/>
    <mergeCell ref="N147:N149"/>
    <mergeCell ref="O147:O149"/>
    <mergeCell ref="P147:P149"/>
    <mergeCell ref="Q147:Q149"/>
    <mergeCell ref="B147:B149"/>
    <mergeCell ref="E147:E149"/>
    <mergeCell ref="F147:F149"/>
    <mergeCell ref="G147:G149"/>
    <mergeCell ref="H147:H149"/>
    <mergeCell ref="I147:I149"/>
    <mergeCell ref="J147:J149"/>
    <mergeCell ref="P150:P151"/>
    <mergeCell ref="Q150:Q151"/>
    <mergeCell ref="T150:T151"/>
    <mergeCell ref="U150:U151"/>
    <mergeCell ref="V150:V151"/>
    <mergeCell ref="I150:I151"/>
    <mergeCell ref="J150:J151"/>
    <mergeCell ref="K150:K151"/>
    <mergeCell ref="L150:L151"/>
    <mergeCell ref="M150:M151"/>
    <mergeCell ref="N150:N151"/>
    <mergeCell ref="O150:O151"/>
    <mergeCell ref="B152:V152"/>
    <mergeCell ref="T28:T30"/>
    <mergeCell ref="U28:U30"/>
    <mergeCell ref="V28:V30"/>
    <mergeCell ref="K28:K30"/>
    <mergeCell ref="L28:L30"/>
    <mergeCell ref="M28:M30"/>
    <mergeCell ref="N28:N30"/>
    <mergeCell ref="O28:O30"/>
    <mergeCell ref="P28:P30"/>
    <mergeCell ref="Q28:Q30"/>
    <mergeCell ref="E28:E30"/>
    <mergeCell ref="E31:E33"/>
    <mergeCell ref="F31:F33"/>
    <mergeCell ref="G31:G33"/>
    <mergeCell ref="Q31:Q33"/>
    <mergeCell ref="T31:T33"/>
    <mergeCell ref="U31:U33"/>
    <mergeCell ref="V31:V33"/>
    <mergeCell ref="J31:J33"/>
    <mergeCell ref="K31:K33"/>
    <mergeCell ref="L31:L33"/>
    <mergeCell ref="M31:M33"/>
    <mergeCell ref="N31:N33"/>
    <mergeCell ref="O31:O33"/>
    <mergeCell ref="P31:P33"/>
    <mergeCell ref="T34:T35"/>
    <mergeCell ref="U34:U35"/>
    <mergeCell ref="V34:V35"/>
    <mergeCell ref="P41:P43"/>
    <mergeCell ref="Q41:Q43"/>
    <mergeCell ref="I41:I43"/>
    <mergeCell ref="J41:J43"/>
    <mergeCell ref="U140:U141"/>
    <mergeCell ref="V140:V141"/>
    <mergeCell ref="N140:N141"/>
    <mergeCell ref="O140:O141"/>
    <mergeCell ref="P140:P141"/>
    <mergeCell ref="Q140:Q141"/>
    <mergeCell ref="R140:R141"/>
    <mergeCell ref="S140:S141"/>
    <mergeCell ref="T140:T141"/>
    <mergeCell ref="T142:T144"/>
    <mergeCell ref="U142:U144"/>
    <mergeCell ref="V142:V144"/>
    <mergeCell ref="T145:T146"/>
    <mergeCell ref="U145:U146"/>
    <mergeCell ref="V145:V146"/>
    <mergeCell ref="K142:K144"/>
    <mergeCell ref="L142:L144"/>
    <mergeCell ref="M142:M144"/>
    <mergeCell ref="N142:N144"/>
    <mergeCell ref="O142:O144"/>
    <mergeCell ref="P142:P144"/>
    <mergeCell ref="Q142:Q144"/>
    <mergeCell ref="E142:E144"/>
    <mergeCell ref="E145:E146"/>
    <mergeCell ref="F145:F146"/>
    <mergeCell ref="G145:G146"/>
    <mergeCell ref="B142:B144"/>
    <mergeCell ref="F142:F144"/>
    <mergeCell ref="G142:G144"/>
    <mergeCell ref="H142:H144"/>
    <mergeCell ref="I142:I144"/>
    <mergeCell ref="J142:J144"/>
    <mergeCell ref="B145:B146"/>
    <mergeCell ref="J145:J146"/>
    <mergeCell ref="P145:P146"/>
    <mergeCell ref="Q145:Q146"/>
    <mergeCell ref="H145:H146"/>
    <mergeCell ref="I145:I146"/>
    <mergeCell ref="K145:K146"/>
    <mergeCell ref="L145:L146"/>
    <mergeCell ref="M145:M146"/>
    <mergeCell ref="N145:N146"/>
    <mergeCell ref="O145:O146"/>
    <mergeCell ref="V71:V72"/>
    <mergeCell ref="J71:J72"/>
    <mergeCell ref="K71:K72"/>
    <mergeCell ref="L71:L72"/>
    <mergeCell ref="M71:M72"/>
    <mergeCell ref="N71:N72"/>
    <mergeCell ref="O71:O72"/>
    <mergeCell ref="P71:P72"/>
    <mergeCell ref="E73:E75"/>
    <mergeCell ref="F73:F75"/>
    <mergeCell ref="G73:G75"/>
    <mergeCell ref="H73:H75"/>
    <mergeCell ref="I73:I75"/>
    <mergeCell ref="J73:J75"/>
    <mergeCell ref="K73:K75"/>
    <mergeCell ref="U73:U75"/>
    <mergeCell ref="V73:V75"/>
    <mergeCell ref="L73:L75"/>
    <mergeCell ref="M73:M75"/>
    <mergeCell ref="N73:N75"/>
    <mergeCell ref="O73:O75"/>
    <mergeCell ref="P73:P75"/>
    <mergeCell ref="Q73:Q75"/>
    <mergeCell ref="T73:T75"/>
    <mergeCell ref="B76:B78"/>
    <mergeCell ref="E76:E78"/>
    <mergeCell ref="F76:F78"/>
    <mergeCell ref="G76:G78"/>
    <mergeCell ref="H76:H78"/>
    <mergeCell ref="I76:I78"/>
    <mergeCell ref="J76:J78"/>
    <mergeCell ref="T76:T78"/>
    <mergeCell ref="U76:U78"/>
    <mergeCell ref="V76:V78"/>
    <mergeCell ref="K76:K78"/>
    <mergeCell ref="L76:L78"/>
    <mergeCell ref="M76:M78"/>
    <mergeCell ref="N76:N78"/>
    <mergeCell ref="O76:O78"/>
    <mergeCell ref="P76:P78"/>
    <mergeCell ref="Q76:Q78"/>
    <mergeCell ref="B71:B72"/>
    <mergeCell ref="C71:C72"/>
    <mergeCell ref="D71:D72"/>
    <mergeCell ref="B73:B75"/>
    <mergeCell ref="C73:C75"/>
    <mergeCell ref="D73:D75"/>
    <mergeCell ref="P137:P139"/>
    <mergeCell ref="Q137:Q139"/>
    <mergeCell ref="T137:T139"/>
    <mergeCell ref="U137:U139"/>
    <mergeCell ref="V137:V139"/>
    <mergeCell ref="I137:I139"/>
    <mergeCell ref="J137:J139"/>
    <mergeCell ref="K137:K139"/>
    <mergeCell ref="L137:L139"/>
    <mergeCell ref="M137:M139"/>
    <mergeCell ref="N137:N139"/>
    <mergeCell ref="O137:O139"/>
    <mergeCell ref="E137:E139"/>
    <mergeCell ref="E140:E141"/>
    <mergeCell ref="B137:B139"/>
    <mergeCell ref="C137:C139"/>
    <mergeCell ref="D137:D139"/>
    <mergeCell ref="F137:F139"/>
    <mergeCell ref="G137:G139"/>
    <mergeCell ref="H137:H139"/>
    <mergeCell ref="B140:B141"/>
    <mergeCell ref="H140:H141"/>
    <mergeCell ref="F140:F141"/>
    <mergeCell ref="G140:G141"/>
    <mergeCell ref="I140:I141"/>
    <mergeCell ref="J140:J141"/>
    <mergeCell ref="K140:K141"/>
    <mergeCell ref="L140:L141"/>
    <mergeCell ref="M140:M141"/>
    <mergeCell ref="B56:B57"/>
    <mergeCell ref="C56:C57"/>
    <mergeCell ref="D56:D57"/>
    <mergeCell ref="F56:F57"/>
    <mergeCell ref="G56:G57"/>
    <mergeCell ref="H56:H57"/>
    <mergeCell ref="B58:B60"/>
    <mergeCell ref="N68:N70"/>
    <mergeCell ref="O68:O70"/>
    <mergeCell ref="P68:P70"/>
    <mergeCell ref="Q68:Q70"/>
    <mergeCell ref="T68:T70"/>
    <mergeCell ref="U68:U70"/>
    <mergeCell ref="V68:V70"/>
    <mergeCell ref="F68:F70"/>
    <mergeCell ref="G68:G70"/>
    <mergeCell ref="I68:I70"/>
    <mergeCell ref="J68:J70"/>
    <mergeCell ref="K68:K70"/>
    <mergeCell ref="L68:L70"/>
    <mergeCell ref="M68:M70"/>
    <mergeCell ref="E56:E57"/>
    <mergeCell ref="E58:E60"/>
    <mergeCell ref="B65:B67"/>
    <mergeCell ref="F65:F67"/>
    <mergeCell ref="G65:G67"/>
    <mergeCell ref="H65:H67"/>
    <mergeCell ref="H68:H70"/>
    <mergeCell ref="E65:E67"/>
    <mergeCell ref="E68:E70"/>
    <mergeCell ref="E71:E72"/>
    <mergeCell ref="F71:F72"/>
    <mergeCell ref="G71:G72"/>
    <mergeCell ref="H71:H72"/>
    <mergeCell ref="I71:I72"/>
    <mergeCell ref="T130:T132"/>
    <mergeCell ref="U130:U132"/>
    <mergeCell ref="V130:V132"/>
    <mergeCell ref="K130:K132"/>
    <mergeCell ref="L130:L132"/>
    <mergeCell ref="M130:M132"/>
    <mergeCell ref="N130:N132"/>
    <mergeCell ref="O130:O132"/>
    <mergeCell ref="P130:P132"/>
    <mergeCell ref="Q130:Q132"/>
    <mergeCell ref="E130:E132"/>
    <mergeCell ref="E133:E135"/>
    <mergeCell ref="F133:F135"/>
    <mergeCell ref="G133:G135"/>
    <mergeCell ref="Q133:Q135"/>
    <mergeCell ref="R133:R135"/>
    <mergeCell ref="S133:S135"/>
    <mergeCell ref="T133:T135"/>
    <mergeCell ref="U133:U135"/>
    <mergeCell ref="V133:V135"/>
    <mergeCell ref="J133:J135"/>
    <mergeCell ref="K133:K135"/>
    <mergeCell ref="L133:L135"/>
    <mergeCell ref="M133:M135"/>
    <mergeCell ref="N133:N135"/>
    <mergeCell ref="O133:O135"/>
    <mergeCell ref="P133:P135"/>
    <mergeCell ref="H133:H135"/>
    <mergeCell ref="I133:I135"/>
    <mergeCell ref="B130:B132"/>
    <mergeCell ref="F130:F132"/>
    <mergeCell ref="G130:G132"/>
    <mergeCell ref="H130:H132"/>
    <mergeCell ref="I130:I132"/>
    <mergeCell ref="J130:J132"/>
    <mergeCell ref="B133:B135"/>
    <mergeCell ref="T121:T123"/>
    <mergeCell ref="U121:U123"/>
    <mergeCell ref="V121:V123"/>
    <mergeCell ref="K121:K123"/>
    <mergeCell ref="L121:L123"/>
    <mergeCell ref="M121:M123"/>
    <mergeCell ref="N121:N123"/>
    <mergeCell ref="O121:O123"/>
    <mergeCell ref="P121:P123"/>
    <mergeCell ref="Q121:Q123"/>
    <mergeCell ref="E121:E123"/>
    <mergeCell ref="E124:E126"/>
    <mergeCell ref="F124:F126"/>
    <mergeCell ref="G124:G126"/>
    <mergeCell ref="H124:H126"/>
    <mergeCell ref="I124:I126"/>
    <mergeCell ref="Q124:Q126"/>
    <mergeCell ref="T124:T126"/>
    <mergeCell ref="U124:U126"/>
    <mergeCell ref="V124:V126"/>
    <mergeCell ref="T127:T129"/>
    <mergeCell ref="U127:U129"/>
    <mergeCell ref="V127:V129"/>
    <mergeCell ref="J124:J126"/>
    <mergeCell ref="K124:K126"/>
    <mergeCell ref="L124:L126"/>
    <mergeCell ref="M124:M126"/>
    <mergeCell ref="N124:N126"/>
    <mergeCell ref="O124:O126"/>
    <mergeCell ref="P124:P126"/>
    <mergeCell ref="B121:B123"/>
    <mergeCell ref="F121:F123"/>
    <mergeCell ref="G121:G123"/>
    <mergeCell ref="H121:H123"/>
    <mergeCell ref="I121:I123"/>
    <mergeCell ref="J121:J123"/>
    <mergeCell ref="B124:B126"/>
    <mergeCell ref="B127:B129"/>
    <mergeCell ref="C127:C129"/>
    <mergeCell ref="D127:D129"/>
    <mergeCell ref="E127:E129"/>
    <mergeCell ref="F127:F129"/>
    <mergeCell ref="G127:G129"/>
    <mergeCell ref="H127:H129"/>
    <mergeCell ref="P127:P129"/>
    <mergeCell ref="Q127:Q129"/>
    <mergeCell ref="I127:I129"/>
    <mergeCell ref="J127:J129"/>
    <mergeCell ref="K127:K129"/>
    <mergeCell ref="L127:L129"/>
    <mergeCell ref="M127:M129"/>
    <mergeCell ref="N127:N129"/>
    <mergeCell ref="O127:O129"/>
    <mergeCell ref="P112:P114"/>
    <mergeCell ref="Q112:Q114"/>
    <mergeCell ref="T112:T114"/>
    <mergeCell ref="U112:U114"/>
    <mergeCell ref="V112:V114"/>
    <mergeCell ref="I112:I114"/>
    <mergeCell ref="J112:J114"/>
    <mergeCell ref="K112:K114"/>
    <mergeCell ref="L112:L114"/>
    <mergeCell ref="M112:M114"/>
    <mergeCell ref="N112:N114"/>
    <mergeCell ref="O112:O114"/>
    <mergeCell ref="B112:B114"/>
    <mergeCell ref="C112:C114"/>
    <mergeCell ref="D112:D114"/>
    <mergeCell ref="E112:E114"/>
    <mergeCell ref="F112:F114"/>
    <mergeCell ref="G112:G114"/>
    <mergeCell ref="H112:H114"/>
    <mergeCell ref="P115:P117"/>
    <mergeCell ref="Q115:Q117"/>
    <mergeCell ref="T115:T117"/>
    <mergeCell ref="U115:U117"/>
    <mergeCell ref="V115:V117"/>
    <mergeCell ref="I115:I117"/>
    <mergeCell ref="J115:J117"/>
    <mergeCell ref="K115:K117"/>
    <mergeCell ref="L115:L117"/>
    <mergeCell ref="M115:M117"/>
    <mergeCell ref="N115:N117"/>
    <mergeCell ref="O115:O117"/>
    <mergeCell ref="E115:E117"/>
    <mergeCell ref="E118:E120"/>
    <mergeCell ref="F118:F120"/>
    <mergeCell ref="G118:G120"/>
    <mergeCell ref="O118:O120"/>
    <mergeCell ref="P118:P120"/>
    <mergeCell ref="Q118:Q120"/>
    <mergeCell ref="T118:T120"/>
    <mergeCell ref="U118:U120"/>
    <mergeCell ref="V118:V120"/>
    <mergeCell ref="H118:H120"/>
    <mergeCell ref="I118:I120"/>
    <mergeCell ref="J118:J120"/>
    <mergeCell ref="K118:K120"/>
    <mergeCell ref="L118:L120"/>
    <mergeCell ref="M118:M120"/>
    <mergeCell ref="N118:N120"/>
    <mergeCell ref="B115:B117"/>
    <mergeCell ref="C115:C117"/>
    <mergeCell ref="D115:D117"/>
    <mergeCell ref="F115:F117"/>
    <mergeCell ref="G115:G117"/>
    <mergeCell ref="H115:H117"/>
    <mergeCell ref="B118:B120"/>
    <mergeCell ref="T108:T109"/>
    <mergeCell ref="U108:U109"/>
    <mergeCell ref="V108:V109"/>
    <mergeCell ref="K108:K109"/>
    <mergeCell ref="L108:L109"/>
    <mergeCell ref="M108:M109"/>
    <mergeCell ref="N108:N109"/>
    <mergeCell ref="O108:O109"/>
    <mergeCell ref="P108:P109"/>
    <mergeCell ref="Q108:Q109"/>
    <mergeCell ref="E108:E109"/>
    <mergeCell ref="E110:E111"/>
    <mergeCell ref="F110:F111"/>
    <mergeCell ref="G110:G111"/>
    <mergeCell ref="Q110:Q111"/>
    <mergeCell ref="T110:T111"/>
    <mergeCell ref="U110:U111"/>
    <mergeCell ref="V110:V111"/>
    <mergeCell ref="J110:J111"/>
    <mergeCell ref="K110:K111"/>
    <mergeCell ref="L110:L111"/>
    <mergeCell ref="M110:M111"/>
    <mergeCell ref="N110:N111"/>
    <mergeCell ref="O110:O111"/>
    <mergeCell ref="P110:P111"/>
    <mergeCell ref="H110:H111"/>
    <mergeCell ref="I110:I111"/>
    <mergeCell ref="B108:B109"/>
    <mergeCell ref="F108:F109"/>
    <mergeCell ref="G108:G109"/>
    <mergeCell ref="H108:H109"/>
    <mergeCell ref="I108:I109"/>
    <mergeCell ref="J108:J109"/>
    <mergeCell ref="B110:B111"/>
    <mergeCell ref="T103:T105"/>
    <mergeCell ref="U103:U105"/>
    <mergeCell ref="V103:V105"/>
    <mergeCell ref="T106:T107"/>
    <mergeCell ref="U106:U107"/>
    <mergeCell ref="V106:V107"/>
    <mergeCell ref="K103:K105"/>
    <mergeCell ref="L103:L105"/>
    <mergeCell ref="M103:M105"/>
    <mergeCell ref="N103:N105"/>
    <mergeCell ref="O103:O105"/>
    <mergeCell ref="P103:P105"/>
    <mergeCell ref="Q103:Q105"/>
    <mergeCell ref="E103:E105"/>
    <mergeCell ref="E106:E107"/>
    <mergeCell ref="F106:F107"/>
    <mergeCell ref="G106:G107"/>
    <mergeCell ref="B103:B105"/>
    <mergeCell ref="F103:F105"/>
    <mergeCell ref="G103:G105"/>
    <mergeCell ref="H103:H105"/>
    <mergeCell ref="I103:I105"/>
    <mergeCell ref="J103:J105"/>
    <mergeCell ref="B106:B107"/>
    <mergeCell ref="J106:J107"/>
    <mergeCell ref="P106:P107"/>
    <mergeCell ref="Q106:Q107"/>
    <mergeCell ref="H106:H107"/>
    <mergeCell ref="I106:I107"/>
    <mergeCell ref="K106:K107"/>
    <mergeCell ref="L106:L107"/>
    <mergeCell ref="M106:M107"/>
    <mergeCell ref="N106:N107"/>
    <mergeCell ref="O106:O107"/>
    <mergeCell ref="L96:L97"/>
    <mergeCell ref="M96:M97"/>
    <mergeCell ref="R98:R99"/>
    <mergeCell ref="S98:S99"/>
    <mergeCell ref="T98:T99"/>
    <mergeCell ref="U98:U99"/>
    <mergeCell ref="V98:V99"/>
    <mergeCell ref="K98:K99"/>
    <mergeCell ref="L98:L99"/>
    <mergeCell ref="M98:M99"/>
    <mergeCell ref="N98:N99"/>
    <mergeCell ref="O98:O99"/>
    <mergeCell ref="P98:P99"/>
    <mergeCell ref="Q98:Q99"/>
    <mergeCell ref="E98:E99"/>
    <mergeCell ref="E100:E102"/>
    <mergeCell ref="F100:F102"/>
    <mergeCell ref="G100:G102"/>
    <mergeCell ref="Q100:Q102"/>
    <mergeCell ref="T100:T102"/>
    <mergeCell ref="U100:U102"/>
    <mergeCell ref="V100:V102"/>
    <mergeCell ref="J100:J102"/>
    <mergeCell ref="K100:K102"/>
    <mergeCell ref="L100:L102"/>
    <mergeCell ref="M100:M102"/>
    <mergeCell ref="N100:N102"/>
    <mergeCell ref="O100:O102"/>
    <mergeCell ref="P100:P102"/>
    <mergeCell ref="H100:H102"/>
    <mergeCell ref="I100:I102"/>
    <mergeCell ref="B98:B99"/>
    <mergeCell ref="F98:F99"/>
    <mergeCell ref="G98:G99"/>
    <mergeCell ref="H98:H99"/>
    <mergeCell ref="I98:I99"/>
    <mergeCell ref="J98:J99"/>
    <mergeCell ref="B100:B102"/>
    <mergeCell ref="B88:B90"/>
    <mergeCell ref="E88:E90"/>
    <mergeCell ref="M88:M90"/>
    <mergeCell ref="N88:N90"/>
    <mergeCell ref="O88:O90"/>
    <mergeCell ref="P88:P90"/>
    <mergeCell ref="Q88:Q90"/>
    <mergeCell ref="T88:T90"/>
    <mergeCell ref="U88:U90"/>
    <mergeCell ref="V88:V90"/>
    <mergeCell ref="F82:F83"/>
    <mergeCell ref="G82:G83"/>
    <mergeCell ref="F85:F87"/>
    <mergeCell ref="G85:G87"/>
    <mergeCell ref="H85:H87"/>
    <mergeCell ref="I85:I87"/>
    <mergeCell ref="J85:J87"/>
    <mergeCell ref="T96:T97"/>
    <mergeCell ref="U96:U97"/>
    <mergeCell ref="P93:P95"/>
    <mergeCell ref="Q93:Q95"/>
    <mergeCell ref="T93:T95"/>
    <mergeCell ref="U93:U95"/>
    <mergeCell ref="V93:V95"/>
    <mergeCell ref="P96:P97"/>
    <mergeCell ref="Q96:Q97"/>
    <mergeCell ref="V96:V97"/>
    <mergeCell ref="K88:K90"/>
    <mergeCell ref="L88:L90"/>
    <mergeCell ref="B91:V91"/>
    <mergeCell ref="B92:V92"/>
    <mergeCell ref="C88:C90"/>
    <mergeCell ref="D88:D90"/>
    <mergeCell ref="F88:F90"/>
    <mergeCell ref="G88:G90"/>
    <mergeCell ref="H88:H90"/>
    <mergeCell ref="I88:I90"/>
    <mergeCell ref="J88:J90"/>
    <mergeCell ref="I93:I95"/>
    <mergeCell ref="J93:J95"/>
    <mergeCell ref="K93:K95"/>
    <mergeCell ref="L93:L95"/>
    <mergeCell ref="M93:M95"/>
    <mergeCell ref="N93:N95"/>
    <mergeCell ref="O93:O95"/>
    <mergeCell ref="E93:E95"/>
    <mergeCell ref="E96:E97"/>
    <mergeCell ref="B93:B95"/>
    <mergeCell ref="C93:C95"/>
    <mergeCell ref="D93:D95"/>
    <mergeCell ref="F93:F95"/>
    <mergeCell ref="G93:G95"/>
    <mergeCell ref="H93:H95"/>
    <mergeCell ref="B96:B97"/>
    <mergeCell ref="H96:H97"/>
    <mergeCell ref="R96:R97"/>
    <mergeCell ref="S96:S97"/>
    <mergeCell ref="N96:N97"/>
    <mergeCell ref="O96:O97"/>
    <mergeCell ref="F96:F97"/>
    <mergeCell ref="G96:G97"/>
    <mergeCell ref="I96:I97"/>
    <mergeCell ref="J96:J97"/>
    <mergeCell ref="K96:K97"/>
    <mergeCell ref="V79:V81"/>
    <mergeCell ref="K79:K81"/>
    <mergeCell ref="L79:L81"/>
    <mergeCell ref="M79:M81"/>
    <mergeCell ref="N79:N81"/>
    <mergeCell ref="O79:O81"/>
    <mergeCell ref="P79:P81"/>
    <mergeCell ref="Q79:Q81"/>
    <mergeCell ref="B79:B81"/>
    <mergeCell ref="F79:F81"/>
    <mergeCell ref="G79:G81"/>
    <mergeCell ref="H79:H81"/>
    <mergeCell ref="I79:I81"/>
    <mergeCell ref="J79:J81"/>
    <mergeCell ref="B82:B83"/>
    <mergeCell ref="J82:J83"/>
    <mergeCell ref="P82:P83"/>
    <mergeCell ref="Q82:Q83"/>
    <mergeCell ref="T82:T83"/>
    <mergeCell ref="U82:U83"/>
    <mergeCell ref="V82:V83"/>
    <mergeCell ref="V85:V87"/>
    <mergeCell ref="H82:H83"/>
    <mergeCell ref="I82:I83"/>
    <mergeCell ref="K82:K83"/>
    <mergeCell ref="L82:L83"/>
    <mergeCell ref="M82:M83"/>
    <mergeCell ref="N82:N83"/>
    <mergeCell ref="O82:O83"/>
    <mergeCell ref="B84:V84"/>
    <mergeCell ref="E79:E81"/>
    <mergeCell ref="E82:E83"/>
    <mergeCell ref="B85:B87"/>
    <mergeCell ref="C85:C87"/>
    <mergeCell ref="D85:D87"/>
    <mergeCell ref="E85:E87"/>
    <mergeCell ref="B34:B35"/>
    <mergeCell ref="E34:E35"/>
    <mergeCell ref="F34:F35"/>
    <mergeCell ref="G34:G35"/>
    <mergeCell ref="H34:H35"/>
    <mergeCell ref="I34:I35"/>
    <mergeCell ref="J34:J35"/>
    <mergeCell ref="K34:K35"/>
    <mergeCell ref="L34:L35"/>
    <mergeCell ref="M34:M35"/>
    <mergeCell ref="N34:N35"/>
    <mergeCell ref="O34:O35"/>
    <mergeCell ref="P34:P35"/>
    <mergeCell ref="Q34:Q35"/>
    <mergeCell ref="P39:P40"/>
    <mergeCell ref="Q39:Q40"/>
    <mergeCell ref="H39:H40"/>
    <mergeCell ref="I39:I40"/>
    <mergeCell ref="K39:K40"/>
    <mergeCell ref="L39:L40"/>
    <mergeCell ref="M39:M40"/>
    <mergeCell ref="N39:N40"/>
    <mergeCell ref="O39:O40"/>
    <mergeCell ref="T85:T87"/>
    <mergeCell ref="U85:U87"/>
    <mergeCell ref="K85:K87"/>
    <mergeCell ref="L85:L87"/>
    <mergeCell ref="M85:M87"/>
    <mergeCell ref="N85:N87"/>
    <mergeCell ref="O85:O87"/>
    <mergeCell ref="P85:P87"/>
    <mergeCell ref="Q85:Q87"/>
    <mergeCell ref="R79:R81"/>
    <mergeCell ref="S79:S81"/>
    <mergeCell ref="T79:T81"/>
    <mergeCell ref="U79:U81"/>
    <mergeCell ref="Q71:Q72"/>
    <mergeCell ref="R71:R72"/>
    <mergeCell ref="S71:S72"/>
    <mergeCell ref="T71:T72"/>
    <mergeCell ref="U71:U72"/>
    <mergeCell ref="B68:B70"/>
    <mergeCell ref="K41:K43"/>
    <mergeCell ref="L41:L43"/>
    <mergeCell ref="M41:M43"/>
    <mergeCell ref="N41:N43"/>
    <mergeCell ref="O41:O43"/>
    <mergeCell ref="F44:F46"/>
    <mergeCell ref="G44:G46"/>
    <mergeCell ref="I44:I46"/>
    <mergeCell ref="J44:J46"/>
    <mergeCell ref="K44:K46"/>
    <mergeCell ref="L44:L46"/>
    <mergeCell ref="M44:M46"/>
    <mergeCell ref="U44:U46"/>
    <mergeCell ref="B52:V52"/>
    <mergeCell ref="E53:E55"/>
    <mergeCell ref="M53:M55"/>
    <mergeCell ref="N53:N55"/>
    <mergeCell ref="O53:O55"/>
    <mergeCell ref="P53:P55"/>
    <mergeCell ref="Q53:Q55"/>
    <mergeCell ref="T53:T55"/>
    <mergeCell ref="U53:U55"/>
    <mergeCell ref="T22:T24"/>
    <mergeCell ref="U22:U24"/>
    <mergeCell ref="V22:V24"/>
    <mergeCell ref="K22:K24"/>
    <mergeCell ref="L22:L24"/>
    <mergeCell ref="M22:M24"/>
    <mergeCell ref="N22:N24"/>
    <mergeCell ref="O22:O24"/>
    <mergeCell ref="P22:P24"/>
    <mergeCell ref="Q22:Q24"/>
    <mergeCell ref="E22:E24"/>
    <mergeCell ref="E25:E27"/>
    <mergeCell ref="F25:F27"/>
    <mergeCell ref="G25:G27"/>
    <mergeCell ref="H25:H27"/>
    <mergeCell ref="I25:I27"/>
    <mergeCell ref="Q25:Q27"/>
    <mergeCell ref="T25:T27"/>
    <mergeCell ref="U25:U27"/>
    <mergeCell ref="V25:V27"/>
    <mergeCell ref="J25:J27"/>
    <mergeCell ref="K25:K27"/>
    <mergeCell ref="L25:L27"/>
    <mergeCell ref="M25:M27"/>
    <mergeCell ref="N25:N27"/>
    <mergeCell ref="O25:O27"/>
    <mergeCell ref="P25:P27"/>
    <mergeCell ref="B22:B24"/>
    <mergeCell ref="F22:F24"/>
    <mergeCell ref="G22:G24"/>
    <mergeCell ref="H22:H24"/>
    <mergeCell ref="I22:I24"/>
    <mergeCell ref="J22:J24"/>
    <mergeCell ref="B25:B27"/>
    <mergeCell ref="H19:H21"/>
    <mergeCell ref="I19:I21"/>
    <mergeCell ref="B16:B18"/>
    <mergeCell ref="F16:F18"/>
    <mergeCell ref="G16:G18"/>
    <mergeCell ref="H16:H18"/>
    <mergeCell ref="I16:I18"/>
    <mergeCell ref="J16:J18"/>
    <mergeCell ref="B19:B21"/>
    <mergeCell ref="T16:T18"/>
    <mergeCell ref="U16:U18"/>
    <mergeCell ref="V16:V18"/>
    <mergeCell ref="K16:K18"/>
    <mergeCell ref="L16:L18"/>
    <mergeCell ref="M16:M18"/>
    <mergeCell ref="N16:N18"/>
    <mergeCell ref="O16:O18"/>
    <mergeCell ref="P16:P18"/>
    <mergeCell ref="Q16:Q18"/>
    <mergeCell ref="E16:E18"/>
    <mergeCell ref="E19:E21"/>
    <mergeCell ref="F19:F21"/>
    <mergeCell ref="G19:G21"/>
    <mergeCell ref="Q19:Q21"/>
    <mergeCell ref="T19:T21"/>
    <mergeCell ref="U19:U21"/>
    <mergeCell ref="V19:V21"/>
    <mergeCell ref="J19:J21"/>
    <mergeCell ref="K19:K21"/>
    <mergeCell ref="L19:L21"/>
    <mergeCell ref="M19:M21"/>
    <mergeCell ref="N19:N21"/>
    <mergeCell ref="O19:O21"/>
    <mergeCell ref="P19:P21"/>
    <mergeCell ref="P10:P12"/>
    <mergeCell ref="Q10:Q12"/>
    <mergeCell ref="T10:T12"/>
    <mergeCell ref="U10:U12"/>
    <mergeCell ref="V10:V12"/>
    <mergeCell ref="I10:I12"/>
    <mergeCell ref="J10:J12"/>
    <mergeCell ref="K10:K12"/>
    <mergeCell ref="L10:L12"/>
    <mergeCell ref="M10:M12"/>
    <mergeCell ref="N10:N12"/>
    <mergeCell ref="O10:O12"/>
    <mergeCell ref="E10:E12"/>
    <mergeCell ref="E13:E15"/>
    <mergeCell ref="F13:F15"/>
    <mergeCell ref="G13:G15"/>
    <mergeCell ref="O13:O15"/>
    <mergeCell ref="P13:P15"/>
    <mergeCell ref="Q13:Q15"/>
    <mergeCell ref="T13:T15"/>
    <mergeCell ref="U13:U15"/>
    <mergeCell ref="V13:V15"/>
    <mergeCell ref="H13:H15"/>
    <mergeCell ref="I13:I15"/>
    <mergeCell ref="J13:J15"/>
    <mergeCell ref="K13:K15"/>
    <mergeCell ref="L13:L15"/>
    <mergeCell ref="M13:M15"/>
    <mergeCell ref="N13:N15"/>
    <mergeCell ref="B10:B12"/>
    <mergeCell ref="C10:C12"/>
    <mergeCell ref="D10:D12"/>
    <mergeCell ref="F10:F12"/>
    <mergeCell ref="G10:G12"/>
    <mergeCell ref="H10:H12"/>
    <mergeCell ref="B13:B15"/>
    <mergeCell ref="H1:O1"/>
    <mergeCell ref="Q1:S1"/>
    <mergeCell ref="J2:N2"/>
    <mergeCell ref="A3:B3"/>
    <mergeCell ref="C3:W3"/>
    <mergeCell ref="B4:V4"/>
    <mergeCell ref="B5:V5"/>
    <mergeCell ref="T6:T7"/>
    <mergeCell ref="U6:U7"/>
    <mergeCell ref="V6:V7"/>
    <mergeCell ref="K6:K7"/>
    <mergeCell ref="L6:L7"/>
    <mergeCell ref="M6:M7"/>
    <mergeCell ref="N6:N7"/>
    <mergeCell ref="O6:O7"/>
    <mergeCell ref="P6:P7"/>
    <mergeCell ref="Q6:Q7"/>
    <mergeCell ref="B6:B7"/>
    <mergeCell ref="E6:E7"/>
    <mergeCell ref="F6:F7"/>
    <mergeCell ref="G6:G7"/>
    <mergeCell ref="H6:H7"/>
    <mergeCell ref="I6:I7"/>
    <mergeCell ref="J6:J7"/>
    <mergeCell ref="P8:P9"/>
    <mergeCell ref="Q8:Q9"/>
    <mergeCell ref="R8:R9"/>
    <mergeCell ref="S8:S9"/>
    <mergeCell ref="T8:T9"/>
    <mergeCell ref="U8:U9"/>
    <mergeCell ref="V8:V9"/>
    <mergeCell ref="I8:I9"/>
    <mergeCell ref="J8:J9"/>
    <mergeCell ref="K8:K9"/>
    <mergeCell ref="L8:L9"/>
    <mergeCell ref="M8:M9"/>
    <mergeCell ref="N8:N9"/>
    <mergeCell ref="O8:O9"/>
    <mergeCell ref="B8:B9"/>
    <mergeCell ref="C8:C9"/>
    <mergeCell ref="D8:D9"/>
    <mergeCell ref="E8:E9"/>
    <mergeCell ref="F8:F9"/>
    <mergeCell ref="G8:G9"/>
    <mergeCell ref="H8:H9"/>
  </mergeCells>
  <phoneticPr fontId="6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47"/>
  <sheetViews>
    <sheetView workbookViewId="0">
      <pane ySplit="1" topLeftCell="A110" activePane="bottomLeft" state="frozen"/>
      <selection pane="bottomLeft" activeCell="A130" sqref="A130:C130"/>
    </sheetView>
  </sheetViews>
  <sheetFormatPr defaultColWidth="12.5703125" defaultRowHeight="15.75" customHeight="1" x14ac:dyDescent="0.2"/>
  <cols>
    <col min="1" max="1" width="2.5703125" customWidth="1"/>
    <col min="2" max="2" width="5.140625" customWidth="1"/>
    <col min="3" max="3" width="31.42578125" customWidth="1"/>
    <col min="4" max="4" width="22" customWidth="1"/>
    <col min="5" max="5" width="125.140625" customWidth="1"/>
    <col min="6" max="6" width="27.5703125" customWidth="1"/>
    <col min="7" max="7" width="2.5703125" customWidth="1"/>
  </cols>
  <sheetData>
    <row r="1" spans="1:7" x14ac:dyDescent="0.2">
      <c r="A1" s="240"/>
      <c r="B1" s="240"/>
      <c r="C1" s="240" t="str">
        <f ca="1">语言!$A$220</f>
        <v>支线故事</v>
      </c>
      <c r="D1" s="240" t="str">
        <f ca="1">语言!$A$1758</f>
        <v>NPC</v>
      </c>
      <c r="E1" s="240" t="s">
        <v>122</v>
      </c>
      <c r="F1" s="240" t="s">
        <v>123</v>
      </c>
      <c r="G1" s="240"/>
    </row>
    <row r="2" spans="1:7" x14ac:dyDescent="0.2">
      <c r="A2" s="241"/>
      <c r="B2" s="241"/>
      <c r="C2" s="241"/>
      <c r="D2" s="241"/>
      <c r="E2" s="241"/>
      <c r="F2" s="242"/>
      <c r="G2" s="242"/>
    </row>
    <row r="3" spans="1:7" x14ac:dyDescent="0.2">
      <c r="A3" s="241"/>
      <c r="B3" s="525" t="s">
        <v>124</v>
      </c>
      <c r="C3" s="371"/>
      <c r="D3" s="371"/>
      <c r="E3" s="371"/>
      <c r="F3" s="371"/>
      <c r="G3" s="242"/>
    </row>
    <row r="4" spans="1:7" x14ac:dyDescent="0.2">
      <c r="A4" s="241"/>
      <c r="B4" s="243" t="b">
        <v>0</v>
      </c>
      <c r="C4" s="243" t="str">
        <f ca="1">语言!$A$221</f>
        <v>旅行青年</v>
      </c>
      <c r="D4" s="243" t="str">
        <f ca="1">语言!$A$1940</f>
        <v>克里斯</v>
      </c>
      <c r="E4" s="243" t="str">
        <f ca="1">"Give "&amp;语言!$A$1940&amp;" a "&amp;道具!$C$3</f>
        <v>Give 克里斯 a ＨＰ恢复的葡萄</v>
      </c>
      <c r="F4" s="243" t="s">
        <v>18</v>
      </c>
      <c r="G4" s="242"/>
    </row>
    <row r="5" spans="1:7" x14ac:dyDescent="0.2">
      <c r="A5" s="241"/>
      <c r="B5" s="241"/>
      <c r="C5" s="241"/>
      <c r="D5" s="241"/>
      <c r="E5" s="241"/>
      <c r="F5" s="242"/>
      <c r="G5" s="242"/>
    </row>
    <row r="6" spans="1:7" x14ac:dyDescent="0.2">
      <c r="A6" s="573" t="str">
        <f ca="1">语言!$A$324</f>
        <v>弗洛斯特兰多地区</v>
      </c>
      <c r="B6" s="371"/>
      <c r="C6" s="371"/>
      <c r="D6" s="121"/>
      <c r="E6" s="121"/>
      <c r="F6" s="244"/>
      <c r="G6" s="244"/>
    </row>
    <row r="7" spans="1:7" x14ac:dyDescent="0.2">
      <c r="A7" s="245"/>
      <c r="B7" s="605" t="str">
        <f ca="1">语言!$A$325</f>
        <v>弗雷姆葛雷斯</v>
      </c>
      <c r="C7" s="371"/>
      <c r="D7" s="371"/>
      <c r="E7" s="371"/>
      <c r="F7" s="371"/>
      <c r="G7" s="245"/>
    </row>
    <row r="8" spans="1:7" x14ac:dyDescent="0.2">
      <c r="A8" s="244"/>
      <c r="B8" s="17" t="b">
        <v>0</v>
      </c>
      <c r="C8" s="17" t="str">
        <f ca="1">语言!$A$222</f>
        <v>圣火骑士迈尔斯（１）</v>
      </c>
      <c r="D8" s="17" t="str">
        <f ca="1">语言!$A$1983</f>
        <v>迈尔斯</v>
      </c>
      <c r="E8" s="17" t="str">
        <f ca="1">"Requires "&amp;语言!$A$35&amp;" Chapter 1 completed
"&amp;语言!$A$45&amp;" / "&amp;语言!$A$49&amp;": "&amp;道具!$I$42&amp;" from "&amp;语言!$A$1882&amp;" ("&amp;语言!$A$327&amp;") and share it with "&amp;语言!$A$1983</f>
        <v>Requires 欧菲莉亚 Chapter 1 completed
探查 / 打听: 某圣火骑士的传闻 from 前圣火骑士 (弗雷姆葛雷斯 -大圣堂-) and share it with 迈尔斯</v>
      </c>
      <c r="F8" s="17" t="str">
        <f ca="1">"1 500$
"&amp;语言!$A$540</f>
        <v>1 500$
增强ＨＰ的坚果</v>
      </c>
      <c r="G8" s="244"/>
    </row>
    <row r="9" spans="1:7" x14ac:dyDescent="0.2">
      <c r="A9" s="244"/>
      <c r="B9" s="17" t="b">
        <v>0</v>
      </c>
      <c r="C9" s="17" t="str">
        <f ca="1">语言!$A$223</f>
        <v>被冤枉的囚犯</v>
      </c>
      <c r="D9" s="17" t="str">
        <f ca="1">语言!$A$1760</f>
        <v>被怀疑的男子</v>
      </c>
      <c r="E9" s="17" t="str">
        <f ca="1">"Requires "&amp;语言!$A$35&amp;" Chapter 1 completed
Solution 1 - "&amp;语言!$A$45&amp;" / "&amp;语言!$A$49&amp;": "&amp;道具!$I$6&amp;" from "&amp;语言!$A$2128&amp;" ("&amp;语言!$A$325&amp;") and share info with "&amp;语言!$A$1760&amp;"
Solution 2 - "&amp;语言!$A$46&amp;" / "&amp;语言!$A$50&amp;": "&amp;道具!$F$34&amp;" from "&amp;语言!$A$1851&amp;" ("&amp;语言!$A$325&amp;") and give it to "&amp;语言!$A$1760</f>
        <v>Requires 欧菲莉亚 Chapter 1 completed
Solution 1 - 探查 / 打听: 杀人事件的真相 from 目击的女子 (弗雷姆葛雷斯) and share info with 被怀疑的男子
Solution 2 - 购买 / 偷取: 监狱的钥匙 from 醉醺醺的士兵 (弗雷姆葛雷斯) and give it to 被怀疑的男子</v>
      </c>
      <c r="F9" s="17" t="str">
        <f ca="1">"1 500$
"&amp;语言!$A$549</f>
        <v>1 500$
增强物防的坚果</v>
      </c>
      <c r="G9" s="244"/>
    </row>
    <row r="10" spans="1:7" x14ac:dyDescent="0.2">
      <c r="A10" s="244"/>
      <c r="B10" s="17" t="b">
        <v>0</v>
      </c>
      <c r="C10" s="17" t="str">
        <f ca="1">语言!$A$224</f>
        <v>沉睡在冻土的巨人</v>
      </c>
      <c r="D10" s="17" t="str">
        <f ca="1">语言!$A$1846</f>
        <v>醉心于研究的学者</v>
      </c>
      <c r="E10" s="17" t="str">
        <f ca="1">"Requires "&amp;语言!$A$35&amp;" Chapter 1 completed
"&amp;语言!$A$45&amp;" / "&amp;语言!$A$49&amp;": "&amp;道具!$I$60&amp;" from "&amp;语言!$A$1992&amp;", then go defeat "&amp;敌人!$C$496&amp;" ("&amp;语言!$A$330&amp;") and return "&amp;道具!$F$68&amp;" to "&amp;语言!$A$1846</f>
        <v>Requires 欧菲莉亚 Chapter 1 completed
探查 / 打听: 冰之巨人沉眠之处 from 嘟嘟囔囔的老人, then go defeat 冰之巨人约顿 (冰之洞窟) and return 约顿之角 to 醉心于研究的学者</v>
      </c>
      <c r="F10" s="17" t="str">
        <f ca="1">"4 500$
"&amp;语言!$A$673</f>
        <v>4 500$
灾祸之枪</v>
      </c>
      <c r="G10" s="244"/>
    </row>
    <row r="11" spans="1:7" x14ac:dyDescent="0.2">
      <c r="A11" s="244"/>
      <c r="B11" s="17" t="b">
        <v>0</v>
      </c>
      <c r="C11" s="17" t="str">
        <f ca="1">语言!$A$225</f>
        <v>莉安娜和爱丽莎，在那之后</v>
      </c>
      <c r="D11" s="17" t="str">
        <f ca="1">语言!$A$1955</f>
        <v>莉安娜</v>
      </c>
      <c r="E11" s="17" t="str">
        <f ca="1">"Requires both "&amp;语言!$A$35&amp;" and "&amp;语言!$A$42&amp;" Chapter 4 completed
After getting the quest, go talk to either "&amp;语言!$A$1955&amp;" or "&amp;语言!$A$1855&amp;" ("&amp;语言!$A$360&amp;") for a cutscene, this will spawn "&amp;语言!$A$2044&amp;" in the "&amp;语言!$A$362&amp;"
"&amp;语言!$A$47&amp;" / "&amp;语言!$A$51&amp;": "&amp;语言!$A$2044&amp;" ("&amp;语言!$A$362&amp;")"</f>
        <v>Requires both 欧菲莉亚 and 海茵特 Chapter 4 completed
After getting the quest, go talk to either 莉安娜 or 圣火骑士爱丽莎 (维斯帕米尔) for a cutscene, this will spawn 残党领袖 in the 净化之森
比试 / 唆使: 残党领袖 (净化之森)</v>
      </c>
      <c r="F11" s="17" t="str">
        <f ca="1">"11 000$
"&amp;语言!$A$780</f>
        <v>11 000$
大主教之杖</v>
      </c>
      <c r="G11" s="244"/>
    </row>
    <row r="12" spans="1:7" x14ac:dyDescent="0.2">
      <c r="A12" s="244"/>
      <c r="B12" s="606" t="str">
        <f ca="1">语言!$A$333</f>
        <v>史迪尔斯诺</v>
      </c>
      <c r="C12" s="371"/>
      <c r="D12" s="371"/>
      <c r="E12" s="371"/>
      <c r="F12" s="371"/>
      <c r="G12" s="244"/>
    </row>
    <row r="13" spans="1:7" x14ac:dyDescent="0.2">
      <c r="A13" s="244"/>
      <c r="B13" s="17" t="b">
        <v>0</v>
      </c>
      <c r="C13" s="17" t="str">
        <f ca="1">语言!$A$226</f>
        <v>圣火骑士迈尔斯（２）</v>
      </c>
      <c r="D13" s="17" t="str">
        <f ca="1">语言!$A$1983</f>
        <v>迈尔斯</v>
      </c>
      <c r="E13" s="17" t="str">
        <f ca="1">"Requires "&amp;支线!$C$8&amp;" completed
"&amp;语言!$A$47&amp;" / "&amp;语言!$A$51&amp;": "&amp;语言!$A$1983</f>
        <v>Requires 圣火骑士迈尔斯（１） completed
比试 / 唆使: 迈尔斯</v>
      </c>
      <c r="F13" s="17" t="str">
        <f ca="1">"6 600$
"&amp;语言!$A$541</f>
        <v>6 600$
增强ＨＰ的坚果（大）</v>
      </c>
      <c r="G13" s="244"/>
    </row>
    <row r="14" spans="1:7" x14ac:dyDescent="0.2">
      <c r="A14" s="244"/>
      <c r="B14" s="17" t="b">
        <v>0</v>
      </c>
      <c r="C14" s="17" t="str">
        <f ca="1">语言!$A$227</f>
        <v>暖心的发明</v>
      </c>
      <c r="D14" s="17" t="str">
        <f ca="1">语言!$A$1927</f>
        <v>绞尽脑汁的发明家</v>
      </c>
      <c r="E14" s="17" t="str">
        <f ca="1">语言!$A$46&amp;" / "&amp;语言!$A$50&amp;": "&amp;道具!$F$47&amp;", "&amp;道具!$F$48&amp;", "&amp;道具!$F$49&amp;" from NPCs in town and give them to "&amp;语言!$A$1927</f>
        <v>购买 / 偷取: 合适的木炭, 合适的麻秆, 合适的金属制容器 from NPCs in town and give them to 绞尽脑汁的发明家</v>
      </c>
      <c r="F14" s="17" t="str">
        <f ca="1">"4 800$
"&amp;语言!$A$540&amp;"
"&amp;语言!$A$558</f>
        <v>4 800$
增强ＨＰ的坚果
增强命中的坚果</v>
      </c>
      <c r="G14" s="244"/>
    </row>
    <row r="15" spans="1:7" x14ac:dyDescent="0.2">
      <c r="A15" s="244"/>
      <c r="B15" s="17" t="b">
        <v>0</v>
      </c>
      <c r="C15" s="17" t="str">
        <f ca="1">语言!$A$228</f>
        <v>年轻人的旅途</v>
      </c>
      <c r="D15" s="17" t="str">
        <f ca="1">IFERROR(__xludf.DUMMYFUNCTION("TRIM(REGEXEXTRACT(Language!$A$2032, ""[^\n/]*[^/]""))"),"Pensive Girl")</f>
        <v>Pensive Girl</v>
      </c>
      <c r="E15" s="17" t="str">
        <f ca="1">IFERROR(__xludf.DUMMYFUNCTION("""Solution 1 - ""&amp;Language!$A$47&amp;"" / ""&amp;Language!$A$51&amp;"": ""&amp;REGEXEXTRACT(Language!$A$2026,"".*[^\s/]"")&amp;"" (""&amp;Language!$A$333&amp;"")
Solution 2 - ""&amp;Language!$A$44&amp;"" / ""&amp;Language!$A$48&amp;"": ""&amp;Language!$A$2089&amp;"" (""&amp;Language!$A$464&amp;"") and bring him ba"&amp;"ck to ""&amp;TRIM(REGEXEXTRACT(Language!$A$2032, ""[^\n/]*[^/]""))"),"Solution 1 - Challenge / Provoke: Pathetic Father (Stillsnow)
Solution 2 - Guide / Allure: Tavern Proprietor (Quarrycrest) and bring him back to Pensive Girl")</f>
        <v>Solution 1 - Challenge / Provoke: Pathetic Father (Stillsnow)
Solution 2 - Guide / Allure: Tavern Proprietor (Quarrycrest) and bring him back to Pensive Girl</v>
      </c>
      <c r="F15" s="17" t="str">
        <f ca="1">"3 300$
"&amp;语言!$A$926</f>
        <v>3 300$
引诱缎带</v>
      </c>
      <c r="G15" s="244"/>
    </row>
    <row r="16" spans="1:7" x14ac:dyDescent="0.2">
      <c r="A16" s="244"/>
      <c r="B16" s="17" t="b">
        <v>0</v>
      </c>
      <c r="C16" s="17" t="str">
        <f ca="1">语言!$A$229</f>
        <v>亚莉安娜，在那之后（１）</v>
      </c>
      <c r="D16" s="17" t="str">
        <f ca="1">语言!$A$1779</f>
        <v>侍女亚莉安娜</v>
      </c>
      <c r="E16" s="17" t="str">
        <f ca="1">"Requires both "&amp;语言!$A$39&amp;" &amp; "&amp;语言!$A$42&amp;" chapter 4 completed
"&amp;语言!$A$44&amp;" / "&amp;语言!$A$48&amp;": "&amp;语言!$A$1779&amp;" and bring her to "&amp;语言!$A$1995&amp;" ("&amp;语言!$A$395&amp;")"</f>
        <v>Requires both 普里姆萝洁 &amp; 海茵特 chapter 4 completed
引导 / 诱惑: 侍女亚莉安娜 and bring her to 娜塔莉亚 (斯托冈德)</v>
      </c>
      <c r="F16" s="17" t="s">
        <v>125</v>
      </c>
      <c r="G16" s="244"/>
    </row>
    <row r="17" spans="1:7" x14ac:dyDescent="0.2">
      <c r="A17" s="244"/>
      <c r="B17" s="17" t="b">
        <v>0</v>
      </c>
      <c r="C17" s="17" t="str">
        <f ca="1">语言!$A$230</f>
        <v>亚莉安娜，在那之后（２）</v>
      </c>
      <c r="D17" s="17" t="str">
        <f ca="1">语言!$A$2019</f>
        <v>车夫厄伦</v>
      </c>
      <c r="E17" s="17" t="str">
        <f ca="1">"Requires quest "&amp;支线!$C$16&amp;" completed
"&amp;语言!$A$44&amp;" / "&amp;语言!$A$48&amp;": "&amp;语言!$A$2019&amp;" and bring him to "&amp;语言!$A$1995&amp;" ("&amp;语言!$A$395&amp;")"</f>
        <v>Requires quest 亚莉安娜，在那之后（１） completed
引导 / 诱惑: 车夫厄伦 and bring him to 娜塔莉亚 (斯托冈德)</v>
      </c>
      <c r="F17" s="17" t="str">
        <f ca="1">"11 000$
"&amp;语言!$A$687</f>
        <v>11 000$
金钢合金短刀</v>
      </c>
      <c r="G17" s="244"/>
    </row>
    <row r="18" spans="1:7" x14ac:dyDescent="0.2">
      <c r="A18" s="244"/>
      <c r="B18" s="606" t="str">
        <f ca="1">语言!$A$340</f>
        <v>诺斯利奇</v>
      </c>
      <c r="C18" s="371"/>
      <c r="D18" s="371"/>
      <c r="E18" s="371"/>
      <c r="F18" s="371"/>
      <c r="G18" s="244"/>
    </row>
    <row r="19" spans="1:7" x14ac:dyDescent="0.2">
      <c r="A19" s="244"/>
      <c r="B19" s="17" t="b">
        <v>0</v>
      </c>
      <c r="C19" s="17" t="str">
        <f ca="1">语言!$A$231</f>
        <v>圣火骑士迈尔斯（３）</v>
      </c>
      <c r="D19" s="17" t="str">
        <f ca="1">语言!$A$1983</f>
        <v>迈尔斯</v>
      </c>
      <c r="E19" s="17" t="str">
        <f ca="1">"Requires "&amp;支线!$C$13&amp;" completed
"&amp;语言!$A$46&amp;" / "&amp;语言!$A$50&amp;": "&amp;道具!$F$59&amp;" from "&amp;语言!$A$2041&amp;" ("&amp;语言!$A$340&amp;") and give it to "&amp;语言!$A$1983</f>
        <v>Requires 圣火骑士迈尔斯（２） completed
购买 / 偷取: 纪念之剑 from 讲究的商人 (诺斯利奇) and give it to 迈尔斯</v>
      </c>
      <c r="F19" s="17" t="str">
        <f ca="1">"11 000$
"&amp;语言!$A$884&amp;"
"&amp;语言!$A$542</f>
        <v>11 000$
圣火骑士的礼服
增强ＨＰ的坚果（特大）</v>
      </c>
      <c r="G19" s="244"/>
    </row>
    <row r="20" spans="1:7" x14ac:dyDescent="0.2">
      <c r="A20" s="244"/>
      <c r="B20" s="17" t="b">
        <v>0</v>
      </c>
      <c r="C20" s="17" t="str">
        <f ca="1">语言!$A$232</f>
        <v>名门的遗产</v>
      </c>
      <c r="D20" s="17" t="str">
        <f ca="1">IFERROR(__xludf.DUMMYFUNCTION("TRIM(REGEXEXTRACT(Language!$A$1817, ""[^\n/]*[^/]""))"),"Byron the Noble")</f>
        <v>Byron the Noble</v>
      </c>
      <c r="E20" s="17" t="str">
        <f ca="1">IFERROR(__xludf.DUMMYFUNCTION("""Solution 1 - ""&amp;Language!$A$45&amp;"" / ""&amp;Language!$A$49&amp;"": ""&amp;Inventory!$I$8&amp;"" from ""&amp;Language!$A$1916&amp;"" (""&amp;Language!$A$477&amp;"") and share info with ""&amp;TRIM(REGEXEXTRACT(Language!$A$1817, ""[^\n/]*[^/]""))&amp;""
Solution 2 - ""&amp;Language!$A$46&amp;"" / ""&amp;Lan"&amp;"guage!$A$50&amp;"": ""&amp;Inventory!$F$55&amp;"" from ""&amp;Language!$A$1970&amp;"" (""&amp;Language!$A$382&amp;"") and give to ""&amp;TRIM(REGEXEXTRACT(Language!$A$1817, ""[^\n/]*[^/]""))"),"Solution 1 - Scrutinize / Inquire: Byron Family Lineage from Highbrow Historian (S'warkii) and share info with Byron the Noble
Solution 2 - Purchase / Steal: Byron's Ring from Master Jeweler (Grandport) and give to Byron the Noble")</f>
        <v>Solution 1 - Scrutinize / Inquire: Byron Family Lineage from Highbrow Historian (S'warkii) and share info with Byron the Noble
Solution 2 - Purchase / Steal: Byron's Ring from Master Jeweler (Grandport) and give to Byron the Noble</v>
      </c>
      <c r="F20" s="17" t="str">
        <f ca="1">"9 000$
"&amp;语言!$A$560</f>
        <v>9 000$
增强命中的坚果（特大）</v>
      </c>
      <c r="G20" s="244"/>
    </row>
    <row r="21" spans="1:7" x14ac:dyDescent="0.2">
      <c r="A21" s="244"/>
      <c r="B21" s="17" t="b">
        <v>0</v>
      </c>
      <c r="C21" s="17" t="str">
        <f ca="1">语言!$A$233</f>
        <v>世界之龙</v>
      </c>
      <c r="D21" s="17" t="str">
        <f ca="1">语言!$A$2106</f>
        <v>旅行作家</v>
      </c>
      <c r="E21" s="17" t="str">
        <f ca="1">语言!$A$45&amp;" / "&amp;语言!$A$49&amp;":
"&amp;道具!$I$16&amp;" from "&amp;语言!$A$2117&amp;" ("&amp;语言!$A$333&amp;")
"&amp;道具!$I$17&amp;" from "&amp;语言!$A$1827&amp;" ("&amp;语言!$A$389&amp;")
"&amp;道具!$I$15&amp;" from "&amp;语言!$A$1763&amp;" ("&amp;语言!$A$471&amp;")
then share those 3 knowledge with "&amp;语言!$A$2106</f>
        <v>探查 / 打听:
佛洛斯特兰多的龙 from 铁腕的佣兵 (史迪尔斯诺)
哈伊兰多的龙 from 心胸宽阔的说书人 (鹅卵石村)
克里夫兰多的龙 from 爽朗的行商人 (欧亚威尔)
then share those 3 knowledge with 旅行作家</v>
      </c>
      <c r="F21" s="17" t="str">
        <f ca="1">"11 000$
"&amp;语言!$A$929</f>
        <v>11 000$
龙之领巾</v>
      </c>
      <c r="G21" s="244"/>
    </row>
    <row r="22" spans="1:7" x14ac:dyDescent="0.2">
      <c r="A22" s="244"/>
      <c r="B22" s="17" t="b">
        <v>0</v>
      </c>
      <c r="C22" s="17" t="str">
        <f ca="1">语言!$A$234</f>
        <v>药师欧根，在那之后</v>
      </c>
      <c r="D22" s="17" t="str">
        <f ca="1">语言!$A$2011</f>
        <v>药师欧根</v>
      </c>
      <c r="E22" s="17" t="str">
        <f ca="1">"Requires "&amp;语言!$A$40&amp;" chapter 4 completed
"&amp;语言!$A$46&amp;" / "&amp;语言!$A$50&amp;": "&amp;道具!$F$72&amp;" from "&amp;语言!$A$1880&amp;" ("&amp;语言!$A$483&amp;") and give it to "&amp;语言!$A$2011</f>
        <v>Requires 亚芬 chapter 4 completed
购买 / 偷取: 回忆草 from 卖花的女子 (维克塔霍洛) and give it to 药师欧根</v>
      </c>
      <c r="F22" s="17" t="str">
        <f ca="1">"9 000$
"&amp;语言!$A$717</f>
        <v>9 000$
双刃战斧</v>
      </c>
      <c r="G22" s="244"/>
    </row>
    <row r="23" spans="1:7" x14ac:dyDescent="0.2">
      <c r="A23" s="141"/>
      <c r="B23" s="141"/>
      <c r="C23" s="141"/>
      <c r="D23" s="245"/>
      <c r="E23" s="245"/>
      <c r="F23" s="245"/>
      <c r="G23" s="245"/>
    </row>
    <row r="24" spans="1:7" x14ac:dyDescent="0.2">
      <c r="A24" s="580" t="str">
        <f ca="1">语言!$A$345</f>
        <v>芙拉特兰多地区</v>
      </c>
      <c r="B24" s="371"/>
      <c r="C24" s="371"/>
      <c r="D24" s="246"/>
      <c r="E24" s="246"/>
      <c r="F24" s="246"/>
      <c r="G24" s="246"/>
    </row>
    <row r="25" spans="1:7" x14ac:dyDescent="0.2">
      <c r="A25" s="246"/>
      <c r="B25" s="607" t="str">
        <f ca="1">语言!$A$346</f>
        <v>阿特拉斯达姆</v>
      </c>
      <c r="C25" s="371"/>
      <c r="D25" s="371"/>
      <c r="E25" s="371"/>
      <c r="F25" s="371"/>
      <c r="G25" s="246"/>
    </row>
    <row r="26" spans="1:7" x14ac:dyDescent="0.2">
      <c r="A26" s="246"/>
      <c r="B26" s="24" t="b">
        <v>0</v>
      </c>
      <c r="C26" s="24" t="str">
        <f ca="1">语言!$A$235</f>
        <v>教师提拉奇亚（１）</v>
      </c>
      <c r="D26" s="24" t="str">
        <f ca="1">语言!$A$2094</f>
        <v>提拉奇亚</v>
      </c>
      <c r="E26" s="24" t="str">
        <f ca="1">"Requires "&amp;语言!$A$36&amp;" Chapter 1 completed
"&amp;语言!$A$47&amp;" / "&amp;语言!$A$51&amp;": "&amp;语言!$A$2062&amp;" ("&amp;语言!$A$346&amp;")"</f>
        <v>Requires 赛拉斯 Chapter 1 completed
比试 / 唆使: 眼神凶恶的高利贷钱庄 (阿特拉斯达姆)</v>
      </c>
      <c r="F26" s="24" t="str">
        <f ca="1">"1 500$
"&amp;语言!$A$543</f>
        <v>1 500$
增强ＳＰ的坚果</v>
      </c>
      <c r="G26" s="246"/>
    </row>
    <row r="27" spans="1:7" x14ac:dyDescent="0.2">
      <c r="A27" s="246"/>
      <c r="B27" s="24" t="b">
        <v>0</v>
      </c>
      <c r="C27" s="24" t="str">
        <f ca="1">语言!$A$236</f>
        <v>献给国王的珍品</v>
      </c>
      <c r="D27" s="24" t="str">
        <f ca="1">语言!$A$1819</f>
        <v>厨艺高超的厨师</v>
      </c>
      <c r="E27" s="24" t="str">
        <f ca="1">"Requires "&amp;语言!$A$36&amp;" Chapter 1 completed
"&amp;语言!$A$46&amp;" / "&amp;语言!$A$50&amp;":
"&amp;道具!$F$35&amp;" from "&amp;语言!$A$2102&amp;" ("&amp;语言!$A$346&amp;")
"&amp;道具!$F$36&amp;" from "&amp;语言!$A$2087&amp;" ("&amp;语言!$A$346&amp;")
"&amp;道具!$F$37&amp;" from "&amp;语言!$A$1812&amp;" ("&amp;语言!$A$346&amp;")
Give those items to "&amp;语言!$A$1819</f>
        <v>Requires 赛拉斯 Chapter 1 completed
购买 / 偷取:
顶级牛奶 from 市民 (阿特拉斯达姆)
帝王蟹 from 酒馆的客人 (阿特拉斯达姆)
大鸡的蛋 from 少年 (阿特拉斯达姆)
Give those items to 厨艺高超的厨师</v>
      </c>
      <c r="F27" s="24" t="str">
        <f ca="1">"1 500$
2 x "&amp;语言!$A$498</f>
        <v>1 500$
2 x ＨＰ恢复的葡萄（大）</v>
      </c>
      <c r="G27" s="246"/>
    </row>
    <row r="28" spans="1:7" x14ac:dyDescent="0.2">
      <c r="A28" s="246"/>
      <c r="B28" s="24" t="b">
        <v>0</v>
      </c>
      <c r="C28" s="24" t="str">
        <f ca="1">语言!$A$237</f>
        <v>黄金的世外桃源</v>
      </c>
      <c r="D28" s="24" t="str">
        <f ca="1">语言!$A$2024</f>
        <v>狂热的读书家</v>
      </c>
      <c r="E28" s="24" t="str">
        <f ca="1">"Requires "&amp;语言!$A$36&amp;" Chapter 1 completed
"&amp;语言!$A$45&amp;" / "&amp;语言!$A$49&amp;": "&amp;道具!$I$10&amp;" from "&amp;语言!$A$2058&amp;" ("&amp;语言!$A$428&amp;") and share with "&amp;语言!$A$2024</f>
        <v>Requires 赛拉斯 Chapter 1 completed
探查 / 打听: 黄金都市的传说 from 博学青年 (马尔沙利姆) and share with 狂热的读书家</v>
      </c>
      <c r="F28" s="24" t="str">
        <f ca="1">"9 000$
"&amp;语言!$A$926</f>
        <v>9 000$
引诱缎带</v>
      </c>
      <c r="G28" s="246"/>
    </row>
    <row r="29" spans="1:7" x14ac:dyDescent="0.2">
      <c r="A29" s="246"/>
      <c r="B29" s="24" t="b">
        <v>0</v>
      </c>
      <c r="C29" s="24" t="str">
        <f ca="1">语言!$A$238</f>
        <v>绝佳的画作</v>
      </c>
      <c r="D29" s="24" t="str">
        <f ca="1">语言!$A$1781</f>
        <v>喜爱绘画的贵族</v>
      </c>
      <c r="E29" s="24" t="str">
        <f ca="1">IFERROR(__xludf.DUMMYFUNCTION("""Requires ""&amp;Language!$A$36&amp;"" Chapter 1 completed
Solution 1 - ""&amp;Language!$A$44&amp;"" / ""&amp;Language!$A$48&amp;"": ""&amp;TRIM(REGEXEXTRACT(Language!$A$1949,""[^\n/]*[^/]""))&amp;"" (""&amp;Language!$A$444&amp;"") and bring him to ""&amp;Language!$A$1781&amp;""
Solution 2 - ""&amp;Langua"&amp;"ge!$A$46&amp;"" / ""&amp;Language!$A$50&amp;"": ""&amp;Inventory!$F$38&amp;"" from ""&amp;TRIM(REGEXEXTRACT(Language!$A$1949,""[^\n/]*[^/]""))&amp;"" (""&amp;Language!$A$444&amp;"") and give it to ""&amp;Language!$A$1781"),"Requires Cyrus Chapter 1 completed
Solution 1 - Guide / Allure: Landscape Artist (East Saintsbridge Traverse) and bring him to Art Lover
Solution 2 - Purchase / Steal: Final Masterpiece from Landscape Artist (East Saintsbridge Traverse) and give it to Art"&amp;" Lover")</f>
        <v>Requires Cyrus Chapter 1 completed
Solution 1 - Guide / Allure: Landscape Artist (East Saintsbridge Traverse) and bring him to Art Lover
Solution 2 - Purchase / Steal: Final Masterpiece from Landscape Artist (East Saintsbridge Traverse) and give it to Art Lover</v>
      </c>
      <c r="F29" s="24" t="s">
        <v>126</v>
      </c>
      <c r="G29" s="246"/>
    </row>
    <row r="30" spans="1:7" x14ac:dyDescent="0.2">
      <c r="A30" s="246"/>
      <c r="B30" s="607" t="str">
        <f ca="1">语言!$A$354</f>
        <v>诺布尔寇德</v>
      </c>
      <c r="C30" s="371"/>
      <c r="D30" s="371"/>
      <c r="E30" s="371"/>
      <c r="F30" s="371"/>
      <c r="G30" s="246"/>
    </row>
    <row r="31" spans="1:7" x14ac:dyDescent="0.2">
      <c r="A31" s="246"/>
      <c r="B31" s="24" t="b">
        <v>0</v>
      </c>
      <c r="C31" s="24" t="str">
        <f ca="1">语言!$A$239</f>
        <v>教师提拉奇亚（２）</v>
      </c>
      <c r="D31" s="24" t="str">
        <f ca="1">语言!$A$2094</f>
        <v>提拉奇亚</v>
      </c>
      <c r="E31" s="24" t="str">
        <f ca="1">"Requires "&amp;支线!$C$26&amp;" completed
"&amp;语言!$A$46&amp;" / "&amp;语言!$A$50&amp;": "&amp;道具!$F$60&amp;" from "&amp;语言!$A$1934&amp;" ("&amp;语言!$A$354&amp;") and give it to "&amp;语言!$A$2094</f>
        <v>Requires 教师提拉奇亚（１） completed
购买 / 偷取: 学习用具 from 捡东西的男子 (诺布尔寇德) and give it to 提拉奇亚</v>
      </c>
      <c r="F31" s="24" t="str">
        <f ca="1">"6 600$
"&amp;语言!$A$544</f>
        <v>6 600$
增强ＳＰ的坚果（大）</v>
      </c>
      <c r="G31" s="246"/>
    </row>
    <row r="32" spans="1:7" x14ac:dyDescent="0.2">
      <c r="A32" s="246"/>
      <c r="B32" s="24" t="b">
        <v>0</v>
      </c>
      <c r="C32" s="24" t="str">
        <f ca="1">语言!$A$240</f>
        <v>寻找父亲的旅行者克里斯（１）</v>
      </c>
      <c r="D32" s="24" t="str">
        <f ca="1">语言!$A$1940</f>
        <v>克里斯</v>
      </c>
      <c r="E32" s="24" t="str">
        <f ca="1">"Requires "&amp;支线!$C$4&amp;" completed
"&amp;语言!$A$44&amp;" / "&amp;语言!$A$48&amp;": "&amp;语言!$A$1786&amp;" ("&amp;语言!$A$354&amp;") and bring him to "&amp;语言!$A$1940</f>
        <v>Requires 旅行青年 completed
引导 / 诱惑: 想当艺人的男子 (诺布尔寇德) and bring him to 克里斯</v>
      </c>
      <c r="F32" s="24" t="s">
        <v>23</v>
      </c>
      <c r="G32" s="246"/>
    </row>
    <row r="33" spans="1:7" x14ac:dyDescent="0.2">
      <c r="A33" s="246"/>
      <c r="B33" s="24" t="b">
        <v>0</v>
      </c>
      <c r="C33" s="24" t="str">
        <f ca="1">语言!$A$241</f>
        <v>代为报复</v>
      </c>
      <c r="D33" s="24" t="str">
        <f ca="1">IFERROR(__xludf.DUMMYFUNCTION("TRIM(REGEXEXTRACT(Language!$A$1962, ""[^\n/]*[^/]""))"),"Luckless Sellsword")</f>
        <v>Luckless Sellsword</v>
      </c>
      <c r="E33" s="24" t="str">
        <f ca="1">IFERROR(__xludf.DUMMYFUNCTION("""Requires ""&amp;Language!$A$36&amp;"" Chapter 1 completed
""&amp;Language!$A$47&amp;"" / ""&amp;Language!$A$51&amp;"": ""&amp;Language!$A$1837&amp;"" (""&amp;Language!$A$346&amp;""), ""&amp;Language!$A$1838&amp;"" (""&amp;Language!$A$372&amp;""), ""&amp;Language!$A$1839&amp;"" (""&amp;Language!$A$491&amp;""),
then give all "&amp;"3 ""&amp;Inventory!$F$70&amp;"" to ""&amp;TRIM(REGEXEXTRACT(Language!$A$1962, ""[^\n/]*[^/]""))"),"Requires Cyrus Chapter 1 completed
Challenge / Provoke: Crest-bearing Drunk (Atlasdam), Crest-bearing Ruffian (Goldshore), Crest-bearing Swindler (Duskbarrow),
then give all 3 Mercenary Crest to Luckless Sellsword")</f>
        <v>Requires Cyrus Chapter 1 completed
Challenge / Provoke: Crest-bearing Drunk (Atlasdam), Crest-bearing Ruffian (Goldshore), Crest-bearing Swindler (Duskbarrow),
then give all 3 Mercenary Crest to Luckless Sellsword</v>
      </c>
      <c r="F33" s="24" t="str">
        <f ca="1">"6 500$
"&amp;语言!$A$847</f>
        <v>6 500$
老兵的头盔</v>
      </c>
      <c r="G33" s="246"/>
    </row>
    <row r="34" spans="1:7" x14ac:dyDescent="0.2">
      <c r="A34" s="246"/>
      <c r="B34" s="24" t="b">
        <v>0</v>
      </c>
      <c r="C34" s="24" t="str">
        <f ca="1">语言!$A$242</f>
        <v>守墓的工作</v>
      </c>
      <c r="D34" s="24" t="str">
        <f ca="1">语言!$A$2013</f>
        <v>守墓的老人</v>
      </c>
      <c r="E34" s="24" t="str">
        <f ca="1">"Solution 1 - "&amp;语言!$A$47&amp;" / "&amp;语言!$A$51&amp;": "&amp;语言!$A$1792&amp;" ("&amp;语言!$A$356&amp;")
Solution 2 - "&amp;语言!$A$46&amp;" / "&amp;语言!$A$50&amp;": "&amp;道具!$F$50&amp;" from "&amp;语言!$A$1759&amp;" ("&amp;语言!$A$354&amp;") and give to "&amp;语言!$A$2013</f>
        <v>Solution 1 - 比试 / 唆使: 拙笨的青年 (西诺布尔寇德平原)
Solution 2 - 购买 / 偷取: 老人也能用的短弓 from 成就的老人 (诺布尔寇德) and give to 守墓的老人</v>
      </c>
      <c r="F34" s="24" t="str">
        <f ca="1">"4 500$
"&amp;语言!$A$932</f>
        <v>4 500$
守墓人之证</v>
      </c>
      <c r="G34" s="246"/>
    </row>
    <row r="35" spans="1:7" x14ac:dyDescent="0.2">
      <c r="A35" s="246"/>
      <c r="B35" s="24" t="b">
        <v>0</v>
      </c>
      <c r="C35" s="24" t="str">
        <f ca="1">语言!$A$243</f>
        <v>米克与马克，在那之后</v>
      </c>
      <c r="D35" s="25" t="str">
        <f ca="1">语言!$A$1982&amp;"
(talk to "&amp;语言!$A$2020&amp;" or "&amp;语言!$A$1795&amp;" to start quest)"</f>
        <v>船员米克
(talk to 学者奥立克 or 学者巴勒姆 to start quest)</v>
      </c>
      <c r="E35" s="24" t="str">
        <f ca="1">IFERROR(__xludf.DUMMYFUNCTION("""Requires both ""&amp;Language!$A$37&amp;"" and ""&amp;Language!$A$41&amp;"" Chapter 4 completed
""&amp;Language!$A$47&amp;"" / ""&amp;Language!$A$51&amp;"": ""&amp;TRIM(REGEXEXTRACT(Language!$A$1953,""[^\n/]*[^/]""))"),"Requires both Tressa and Therion Chapter 4 completed
Challenge / Provoke: Leon Bastralle?")</f>
        <v>Requires both Tressa and Therion Chapter 4 completed
Challenge / Provoke: Leon Bastralle?</v>
      </c>
      <c r="F35" s="24" t="str">
        <f ca="1">"11 000$
"&amp;语言!$A$813</f>
        <v>11 000$
米克马克之盾</v>
      </c>
      <c r="G35" s="246"/>
    </row>
    <row r="36" spans="1:7" x14ac:dyDescent="0.2">
      <c r="A36" s="246"/>
      <c r="B36" s="607" t="str">
        <f ca="1">语言!$A$360</f>
        <v>维斯帕米尔</v>
      </c>
      <c r="C36" s="371"/>
      <c r="D36" s="371"/>
      <c r="E36" s="371"/>
      <c r="F36" s="371"/>
      <c r="G36" s="246"/>
    </row>
    <row r="37" spans="1:7" x14ac:dyDescent="0.2">
      <c r="A37" s="246"/>
      <c r="B37" s="24" t="b">
        <v>0</v>
      </c>
      <c r="C37" s="24" t="str">
        <f ca="1">语言!$A$244</f>
        <v>教师提拉奇亚（３）</v>
      </c>
      <c r="D37" s="24" t="str">
        <f ca="1">语言!$A$2094</f>
        <v>提拉奇亚</v>
      </c>
      <c r="E37" s="24" t="str">
        <f ca="1">"Requires "&amp;支线!$C$31&amp;" completed
"&amp;语言!$A$44&amp;" / "&amp;语言!$A$48&amp;": "&amp;语言!$A$2039&amp;" ("&amp;语言!$A$435&amp;") and bring her to "&amp;语言!$A$2094</f>
        <v>Requires 教师提拉奇亚（２） completed
引导 / 诱惑: 芭斯特 (库利亚布鲁克) and bring her to 提拉奇亚</v>
      </c>
      <c r="F37" s="24" t="str">
        <f ca="1">"11 000$
"&amp;语言!$A$836&amp;"
"&amp;语言!$A$545</f>
        <v>11 000$
教师的帽子
增强ＳＰ的坚果（特大）</v>
      </c>
      <c r="G37" s="246"/>
    </row>
    <row r="38" spans="1:7" x14ac:dyDescent="0.2">
      <c r="A38" s="246"/>
      <c r="B38" s="24" t="b">
        <v>0</v>
      </c>
      <c r="C38" s="24" t="str">
        <f ca="1">语言!$A$245</f>
        <v>村里的风车</v>
      </c>
      <c r="D38" s="24" t="str">
        <f ca="1">语言!$A$2067</f>
        <v>婀娜的农民</v>
      </c>
      <c r="E38" s="24" t="str">
        <f ca="1">"Solution 1 - "&amp;语言!$A$44&amp;" / "&amp;语言!$A$48&amp;": "&amp;语言!$A$1841&amp;" ("&amp;语言!$A$346&amp;") and bring him to "&amp;语言!$A$2067&amp;" ("&amp;语言!$A$360&amp;") (Requires "&amp;语言!$A$35&amp;" chapter 4 completed)
Solution 2 - "&amp;语言!$A$47&amp;" / "&amp;语言!$A$51&amp;": "&amp;语言!$A$1815&amp;" ("&amp;语言!$A$414&amp;") (Requires "&amp;语言!$A$39&amp;" chapter 1 completed)"</f>
        <v>Solution 1 - 引导 / 诱惑: 丹 (阿特拉斯达姆) and bring him to 婀娜的农民 (维斯帕米尔) (Requires 欧菲莉亚 chapter 4 completed)
Solution 2 - 比试 / 唆使: 布莱恩 (桑谢德) (Requires 普里姆萝洁 chapter 1 completed)</v>
      </c>
      <c r="F38" s="24" t="s">
        <v>127</v>
      </c>
      <c r="G38" s="246"/>
    </row>
    <row r="39" spans="1:7" x14ac:dyDescent="0.2">
      <c r="A39" s="246"/>
      <c r="B39" s="24" t="b">
        <v>0</v>
      </c>
      <c r="C39" s="24" t="str">
        <f ca="1">语言!$A$246</f>
        <v>害怕的羊</v>
      </c>
      <c r="D39" s="24" t="str">
        <f ca="1">语言!$A$1825</f>
        <v>悠闲的牧羊人</v>
      </c>
      <c r="E39" s="24" t="str">
        <f ca="1">"Requires "&amp;语言!$A$35&amp;" chapter 4 completed
"&amp;语言!$A$45&amp;" / "&amp;语言!$A$49&amp;": "&amp;道具!$I$58&amp;" from "&amp;语言!$A$2109&amp;" ("&amp;语言!$A$361&amp;")
Go beat "&amp;敌人!$C$498&amp;" ("&amp;语言!$A$362&amp;") to obtain "&amp;道具!$F$80&amp;" and give the item to "&amp;语言!$A$1825</f>
        <v>Requires 欧菲莉亚 chapter 4 completed
探查 / 打听: 大狼出现的地方 from 发抖的行商人 (西维斯帕米尔平原)
Go beat 玛纳加尔姆 (净化之森) to obtain 大狼的獠牙 and give the item to 悠闲的牧羊人</v>
      </c>
      <c r="F39" s="24" t="str">
        <f ca="1">"12 000$
"&amp;语言!$A$938</f>
        <v>12 000$
元素增幅器</v>
      </c>
      <c r="G39" s="246"/>
    </row>
    <row r="40" spans="1:7" x14ac:dyDescent="0.2">
      <c r="A40" s="247"/>
      <c r="B40" s="247"/>
      <c r="C40" s="247"/>
      <c r="D40" s="247"/>
      <c r="E40" s="247"/>
      <c r="F40" s="246"/>
      <c r="G40" s="246"/>
    </row>
    <row r="41" spans="1:7" x14ac:dyDescent="0.2">
      <c r="A41" s="557" t="str">
        <f ca="1">语言!$A$365</f>
        <v>寇斯特兰多地区</v>
      </c>
      <c r="B41" s="371"/>
      <c r="C41" s="371"/>
      <c r="D41" s="248"/>
      <c r="E41" s="248"/>
      <c r="F41" s="248"/>
      <c r="G41" s="248"/>
    </row>
    <row r="42" spans="1:7" x14ac:dyDescent="0.2">
      <c r="A42" s="249"/>
      <c r="B42" s="608" t="str">
        <f ca="1">语言!$A$366</f>
        <v>利布尔泰德</v>
      </c>
      <c r="C42" s="371"/>
      <c r="D42" s="371"/>
      <c r="E42" s="371"/>
      <c r="F42" s="371"/>
      <c r="G42" s="249"/>
    </row>
    <row r="43" spans="1:7" x14ac:dyDescent="0.2">
      <c r="A43" s="249"/>
      <c r="B43" s="38" t="b">
        <v>0</v>
      </c>
      <c r="C43" s="38" t="str">
        <f ca="1">语言!$A$247</f>
        <v>冒险家卢・曼（１）</v>
      </c>
      <c r="D43" s="38" t="str">
        <f ca="1">语言!$A$1952</f>
        <v>卢・曼</v>
      </c>
      <c r="E43" s="38" t="str">
        <f ca="1">"Requires "&amp;语言!$A$37&amp;" Chapter 1 completed
"&amp;语言!$A$46&amp;" / "&amp;语言!$A$50&amp;": "&amp;道具!$F$61&amp;" from "&amp;语言!$A$1773&amp;" ("&amp;语言!$A$366&amp;") and give it to "&amp;语言!$A$1952</f>
        <v>Requires 特蕾莎 Chapter 1 completed
购买 / 偷取: 冒险家的装备 from 旧货商 (利布尔泰德) and give it to 卢・曼</v>
      </c>
      <c r="F43" s="38" t="str">
        <f ca="1">"1 500$
"&amp;语言!$A$546</f>
        <v>1 500$
增强物攻的坚果</v>
      </c>
      <c r="G43" s="249"/>
    </row>
    <row r="44" spans="1:7" x14ac:dyDescent="0.2">
      <c r="A44" s="249"/>
      <c r="B44" s="38" t="b">
        <v>0</v>
      </c>
      <c r="C44" s="38" t="str">
        <f ca="1">语言!$A$248</f>
        <v>难缠的男子</v>
      </c>
      <c r="D44" s="38" t="str">
        <f ca="1">语言!$A$1972</f>
        <v>玛蒂尔达</v>
      </c>
      <c r="E44" s="38" t="str">
        <f ca="1">"Requires "&amp;语言!$A$37&amp;" Chapter 1 completed
Solution 1 - "&amp;语言!$A$47&amp;" / "&amp;语言!$A$51&amp;": "&amp;语言!$A$2100&amp;" ("&amp;语言!$A$366&amp;") and lose to him
Solution 2 - "&amp;语言!$A$44&amp;" / "&amp;语言!$A$48&amp;": "&amp;语言!$A$2101&amp;" ("&amp;语言!$A$366&amp;") and bring her to "&amp;语言!$A$2100</f>
        <v>Requires 特蕾莎 Chapter 1 completed
Solution 1 - 比试 / 唆使: 汤尼 (利布尔泰德) and lose to him
Solution 2 - 引导 / 诱惑: 汤尼的母亲 (利布尔泰德) and bring her to 汤尼</v>
      </c>
      <c r="F44" s="38" t="str">
        <f ca="1">"1 500$
"&amp;语言!$A$565</f>
        <v>1 500$
增强会心的坚果（大）</v>
      </c>
      <c r="G44" s="249"/>
    </row>
    <row r="45" spans="1:7" x14ac:dyDescent="0.2">
      <c r="A45" s="249"/>
      <c r="B45" s="38" t="b">
        <v>0</v>
      </c>
      <c r="C45" s="38" t="str">
        <f ca="1">语言!$A$249</f>
        <v>玛莉公主，在那之后</v>
      </c>
      <c r="D45" s="38" t="str">
        <f ca="1">语言!$A$2038</f>
        <v>玛莉公主</v>
      </c>
      <c r="E45" s="38" t="str">
        <f ca="1">"Requires "&amp;语言!$A$36&amp;" chapter 4 completed
"&amp;语言!$A$44&amp;" / "&amp;语言!$A$48&amp;": "&amp;语言!$A$2029&amp;" ("&amp;语言!$A$369&amp;") and bring him to "&amp;语言!$A$2038</f>
        <v>Requires 赛拉斯 chapter 4 completed
引导 / 诱惑: 保罗 (波隐岩窟) and bring him to 玛莉公主</v>
      </c>
      <c r="F45" s="38" t="str">
        <f ca="1">"9 000$
"&amp;语言!$A$783</f>
        <v>9 000$
绝对零度之杖</v>
      </c>
      <c r="G45" s="249"/>
    </row>
    <row r="46" spans="1:7" x14ac:dyDescent="0.2">
      <c r="A46" s="249"/>
      <c r="B46" s="608" t="str">
        <f ca="1">语言!$A$372</f>
        <v>葛鲁德修亚</v>
      </c>
      <c r="C46" s="371"/>
      <c r="D46" s="371"/>
      <c r="E46" s="371"/>
      <c r="F46" s="371"/>
      <c r="G46" s="249"/>
    </row>
    <row r="47" spans="1:7" x14ac:dyDescent="0.2">
      <c r="A47" s="249"/>
      <c r="B47" s="38" t="b">
        <v>0</v>
      </c>
      <c r="C47" s="38" t="str">
        <f ca="1">语言!$A$250</f>
        <v>冒险家卢・曼（２）</v>
      </c>
      <c r="D47" s="38" t="str">
        <f ca="1">语言!$A$1952</f>
        <v>卢・曼</v>
      </c>
      <c r="E47" s="38" t="str">
        <f ca="1">"Requires "&amp;支线!$C$43&amp;" completed
"&amp;语言!$A$44&amp;" / "&amp;语言!$A$48&amp;": "&amp;语言!$A$1912&amp;" ("&amp;语言!$A$366&amp;") and bring him to "&amp;语言!$A$1952</f>
        <v>Requires 冒险家卢・曼（１） completed
引导 / 诱惑: 哈里斯 (利布尔泰德) and bring him to 卢・曼</v>
      </c>
      <c r="F47" s="38" t="str">
        <f ca="1">"6 600$
"&amp;语言!$A$547</f>
        <v>6 600$
增强物攻的坚果（大）</v>
      </c>
      <c r="G47" s="249"/>
    </row>
    <row r="48" spans="1:7" x14ac:dyDescent="0.2">
      <c r="A48" s="249"/>
      <c r="B48" s="38" t="b">
        <v>0</v>
      </c>
      <c r="C48" s="38" t="str">
        <f ca="1">语言!$A$251</f>
        <v>被抛弃的男子</v>
      </c>
      <c r="D48" s="38" t="str">
        <f ca="1">IFERROR(__xludf.DUMMYFUNCTION("TRIM(REGEXEXTRACT(Language!$A$1883, ""[^\n/]*[^/]""))"),"Former Sailor")</f>
        <v>Former Sailor</v>
      </c>
      <c r="E48" s="38" t="str">
        <f ca="1">IFERROR(__xludf.DUMMYFUNCTION("Language!$A$44&amp;"" / ""&amp;Language!$A$48&amp;"": ""&amp;TRIM(REGEXEXTRACT(Language!$A$1767, ""[^\n/]*[^/]""))&amp;"" (""&amp;Language!$A$483&amp;"") then bring him to ""&amp;TRIM(REGEXEXTRACT(Language!$A$1883, ""[^\n/]*[^/]""))"),"Guide / Allure: Amnesiac (Victors Hollow) then bring him to Former Sailor")</f>
        <v>Guide / Allure: Amnesiac (Victors Hollow) then bring him to Former Sailor</v>
      </c>
      <c r="F48" s="38" t="str">
        <f ca="1">"4 500$
"&amp;语言!$A$940</f>
        <v>4 500$
元素守护者</v>
      </c>
      <c r="G48" s="249"/>
    </row>
    <row r="49" spans="1:7" x14ac:dyDescent="0.2">
      <c r="A49" s="249"/>
      <c r="B49" s="38" t="b">
        <v>0</v>
      </c>
      <c r="C49" s="38" t="str">
        <f ca="1">语言!$A$252</f>
        <v>商人的道路</v>
      </c>
      <c r="D49" s="38" t="str">
        <f ca="1">语言!$A$1976</f>
        <v>商会主人</v>
      </c>
      <c r="E49" s="38" t="str">
        <f ca="1">"Solution 1 -  "&amp;语言!$A$47&amp;" / "&amp;语言!$A$51&amp;": "&amp;语言!$A$1849&amp;" ("&amp;语言!$A$372&amp;")
Solution 2 - "&amp;语言!$A$45&amp;" / "&amp;语言!$A$49&amp;": "&amp;道具!$I$3&amp;" from "&amp;语言!$A$1945&amp;" ("&amp;语言!$A$376&amp;") and share info with "&amp;语言!$A$1976</f>
        <v>Solution 1 -  比试 / 唆使: 贵族德雷文 (葛鲁德修亚)
Solution 2 - 探查 / 打听: 安全的路线 from 熟门熟路的旅人 (西葛鲁德修亚海道) and share info with 商会主人</v>
      </c>
      <c r="F49" s="38" t="str">
        <f ca="1">"11 000$
"&amp;语言!$A$561&amp;"
"&amp;语言!$A$567</f>
        <v>11 000$
增强回避的坚果
增强速度的坚果</v>
      </c>
      <c r="G49" s="249"/>
    </row>
    <row r="50" spans="1:7" x14ac:dyDescent="0.2">
      <c r="A50" s="249"/>
      <c r="B50" s="38" t="b">
        <v>0</v>
      </c>
      <c r="C50" s="38" t="str">
        <f ca="1">语言!$A$253</f>
        <v>凶暴的海兽</v>
      </c>
      <c r="D50" s="38" t="str">
        <f ca="1">语言!$A$1877</f>
        <v>菜鸟渔夫</v>
      </c>
      <c r="E50" s="38" t="str">
        <f ca="1">语言!$A$46&amp;" / "&amp;语言!$A$50&amp;": "&amp;道具!$F$51&amp;" from "&amp;语言!$A$1877&amp;", then go beat "&amp;敌人!$C$500&amp;" ("&amp;语言!$A$377&amp;")"</f>
        <v>购买 / 偷取: 海兽之蛋 from 菜鸟渔夫, then go beat 海兽 (噬船海穴)</v>
      </c>
      <c r="F50" s="38" t="str">
        <f ca="1">"7 000$
"&amp;语言!$A$817</f>
        <v>7 000$
海兽之盾</v>
      </c>
      <c r="G50" s="249"/>
    </row>
    <row r="51" spans="1:7" x14ac:dyDescent="0.2">
      <c r="A51" s="249"/>
      <c r="B51" s="38" t="b">
        <v>0</v>
      </c>
      <c r="C51" s="38" t="str">
        <f ca="1">语言!$A$254</f>
        <v>寻找父亲的旅行者克里斯（２）</v>
      </c>
      <c r="D51" s="38" t="str">
        <f ca="1">语言!$A$1940</f>
        <v>克里斯</v>
      </c>
      <c r="E51" s="38" t="str">
        <f ca="1">"Requires "&amp;支线!$C$32&amp;" completed
"&amp;语言!$A$46&amp;" / "&amp;语言!$A$50&amp;": "&amp;道具!$F$79&amp;" from "&amp;语言!$A$2107&amp;" ("&amp;语言!$A$382&amp;") and give it to "&amp;语言!$A$1940&amp;" ("&amp;语言!$A$375&amp;")"</f>
        <v>Requires 寻找父亲的旅行者克里斯（１） completed
购买 / 偷取: 青金石 from 行商人 (格兰波特) and give it to 克里斯 (月隐海道)</v>
      </c>
      <c r="F51" s="38" t="s">
        <v>128</v>
      </c>
      <c r="G51" s="249"/>
    </row>
    <row r="52" spans="1:7" x14ac:dyDescent="0.2">
      <c r="A52" s="249"/>
      <c r="B52" s="608" t="str">
        <f ca="1">语言!$A$382</f>
        <v>格兰波特</v>
      </c>
      <c r="C52" s="371"/>
      <c r="D52" s="371"/>
      <c r="E52" s="371"/>
      <c r="F52" s="371"/>
      <c r="G52" s="249"/>
    </row>
    <row r="53" spans="1:7" x14ac:dyDescent="0.2">
      <c r="A53" s="249"/>
      <c r="B53" s="38" t="b">
        <v>0</v>
      </c>
      <c r="C53" s="38" t="str">
        <f ca="1">语言!$A$255</f>
        <v>冒险家卢・曼（３）</v>
      </c>
      <c r="D53" s="38" t="str">
        <f ca="1">语言!$A$1952</f>
        <v>卢・曼</v>
      </c>
      <c r="E53" s="38" t="str">
        <f ca="1">"Requires "&amp;支线!$C$47&amp;" completed
"&amp;语言!$A$47&amp;" / "&amp;语言!$A$51&amp;": "&amp;语言!$A$2126&amp;" ("&amp;语言!$A$382&amp;")"</f>
        <v>Requires 冒险家卢・曼（２） completed
比试 / 唆使: 港口的盗贼 (格兰波特)</v>
      </c>
      <c r="F53" s="38" t="str">
        <f ca="1">"11 000$
"&amp;语言!$A$837&amp;"
"&amp;语言!$A$548</f>
        <v>11 000$
冒险家的帽子
增强物攻的坚果（特大）</v>
      </c>
      <c r="G53" s="249"/>
    </row>
    <row r="54" spans="1:7" x14ac:dyDescent="0.2">
      <c r="A54" s="249"/>
      <c r="B54" s="38" t="b">
        <v>0</v>
      </c>
      <c r="C54" s="38" t="str">
        <f ca="1">语言!$A$256</f>
        <v>异国的香氛</v>
      </c>
      <c r="D54" s="38" t="str">
        <f ca="1">语言!$A$2129</f>
        <v>来自卡拉戈沙的女子</v>
      </c>
      <c r="E54" s="38" t="str">
        <f ca="1">"Solution 1 - "&amp;语言!$A$44&amp;" / "&amp;语言!$A$48&amp;": "&amp;语言!$A$2129&amp;" and bring her to "&amp;语言!$A$1823&amp;" ("&amp;语言!$A$366&amp;")
Solution 2 - "&amp;语言!$A$46&amp;" / "&amp;语言!$A$50&amp;": "&amp;道具!$F$76&amp;" from "&amp;语言!$A$2036&amp;" ("&amp;语言!$A$414&amp;")"</f>
        <v>Solution 1 - 引导 / 诱惑: 来自卡拉戈沙的女子 and bring her to 卡拉邦的男子 (利布尔泰德)
Solution 2 - 购买 / 偷取: 四轴花 from 魁伟的行商人 (桑谢德)</v>
      </c>
      <c r="F54" s="38" t="str">
        <f ca="1">"11 000$
"&amp;语言!$A$507</f>
        <v>11 000$
ＨＰ／ＳＰ／ＢＰ恢复的果酱</v>
      </c>
      <c r="G54" s="249"/>
    </row>
    <row r="55" spans="1:7" x14ac:dyDescent="0.2">
      <c r="A55" s="249"/>
      <c r="B55" s="38" t="b">
        <v>0</v>
      </c>
      <c r="C55" s="38" t="str">
        <f ca="1">语言!$A$257</f>
        <v>日记伯伯寻找的东西</v>
      </c>
      <c r="D55" s="38" t="str">
        <f ca="1">语言!$A$1926</f>
        <v>日记伯伯英格</v>
      </c>
      <c r="E55" s="38" t="str">
        <f ca="1">"Requires "&amp;语言!$A$37&amp;" chapter 4 completed
"&amp;语言!$A$46&amp;" / "&amp;语言!$A$50&amp;": 
"&amp;道具!$F$73&amp;" from "&amp;语言!$A$2040&amp;" ("&amp;语言!$A$457&amp;") 
"&amp;道具!$F$74&amp;" from "&amp;语言!$A$2055&amp;" ("&amp;语言!$A$420&amp;")
"&amp;道具!$F$75&amp;" from "&amp;语言!$A2068&amp;" ("&amp;语言!$A$491&amp;")
then gives all 3 items to "&amp;语言!$A$1926</f>
        <v>Requires 特蕾莎 chapter 4 completed
购买 / 偷取: 
想写在日记上的逸品 from 骄傲的收藏家 (柏达弗尔) 
想写在日记上的绝品 from 满足的商人 (威尔斯宾克)
想写在日记上的名品 from 窃笑的居民 (达斯克瓦罗)
then gives all 3 items to 日记伯伯英格</v>
      </c>
      <c r="F55" s="38" t="str">
        <f ca="1">"6 500$
"&amp;语言!$A$926</f>
        <v>6 500$
引诱缎带</v>
      </c>
      <c r="G55" s="249"/>
    </row>
    <row r="56" spans="1:7" x14ac:dyDescent="0.2">
      <c r="A56" s="249"/>
      <c r="B56" s="38" t="b">
        <v>0</v>
      </c>
      <c r="C56" s="38" t="str">
        <f ca="1">语言!$A$258</f>
        <v>寇蒂莉亚与诺雅，在那之后</v>
      </c>
      <c r="D56" s="38" t="str">
        <f ca="1">语言!$A$1834</f>
        <v>寇蒂莉亚</v>
      </c>
      <c r="E56" s="38" t="str">
        <f ca="1">"Requires both "&amp;语言!$A$37&amp;" &amp; "&amp;语言!$A$41&amp;" chapter 4 completed
"&amp;语言!$A$47&amp;" / "&amp;语言!$A$51&amp;": "&amp;语言!$A$1814&amp;" ("&amp;语言!$A$385&amp;") to obtain "&amp;道具!$F$78&amp;" and give it to "&amp;语言!$A1834</f>
        <v>Requires both 特蕾莎 &amp; 泰里翁 chapter 4 completed
比试 / 唆使: 山贼 (西格兰波特海道) to obtain 来自诺雅的信 and give it to 寇蒂莉亚</v>
      </c>
      <c r="F56" s="38" t="str">
        <f ca="1">"12 000$
"&amp;语言!$A$935</f>
        <v>12 000$
加护的饰章</v>
      </c>
      <c r="G56" s="249"/>
    </row>
    <row r="57" spans="1:7" x14ac:dyDescent="0.2">
      <c r="A57" s="249"/>
      <c r="B57" s="249"/>
      <c r="C57" s="249"/>
      <c r="D57" s="249"/>
      <c r="E57" s="249"/>
      <c r="F57" s="249"/>
      <c r="G57" s="249"/>
    </row>
    <row r="58" spans="1:7" x14ac:dyDescent="0.2">
      <c r="A58" s="592" t="str">
        <f ca="1">语言!$A$388</f>
        <v>哈伊兰多地区</v>
      </c>
      <c r="B58" s="371"/>
      <c r="C58" s="371"/>
      <c r="D58" s="250"/>
      <c r="E58" s="250"/>
      <c r="F58" s="250"/>
      <c r="G58" s="250"/>
    </row>
    <row r="59" spans="1:7" x14ac:dyDescent="0.2">
      <c r="A59" s="251"/>
      <c r="B59" s="609" t="str">
        <f ca="1">语言!$A$389</f>
        <v>鹅卵石村</v>
      </c>
      <c r="C59" s="371"/>
      <c r="D59" s="371"/>
      <c r="E59" s="371"/>
      <c r="F59" s="371"/>
      <c r="G59" s="251"/>
    </row>
    <row r="60" spans="1:7" x14ac:dyDescent="0.2">
      <c r="A60" s="251"/>
      <c r="B60" s="52" t="b">
        <v>0</v>
      </c>
      <c r="C60" s="52" t="str">
        <f ca="1">语言!$A$259</f>
        <v>历史研究家诺艾尔（１）</v>
      </c>
      <c r="D60" s="52" t="str">
        <f ca="1">语言!$A$2005</f>
        <v>诺艾尔</v>
      </c>
      <c r="E60" s="52" t="str">
        <f ca="1">"Requires "&amp;语言!$A$38&amp;" Chapter 1 completed
"&amp;语言!$A$44&amp;" / "&amp;语言!$A$48&amp;": "&amp;语言!$A$2005&amp;" and bring her to a grave in "&amp;语言!$A$392</f>
        <v>Requires 欧尔贝克 Chapter 1 completed
引导 / 诱惑: 诺艾尔 and bring her to a grave in 无垢巢穴</v>
      </c>
      <c r="F60" s="52" t="str">
        <f ca="1">"4 800$
"&amp;语言!$A$549</f>
        <v>4 800$
增强物防的坚果</v>
      </c>
      <c r="G60" s="251"/>
    </row>
    <row r="61" spans="1:7" x14ac:dyDescent="0.2">
      <c r="A61" s="251"/>
      <c r="B61" s="52" t="b">
        <v>0</v>
      </c>
      <c r="C61" s="52" t="str">
        <f ca="1">语言!$A$260</f>
        <v>农田的肥料</v>
      </c>
      <c r="D61" s="52" t="str">
        <f ca="1">语言!$A$1937</f>
        <v>笑容灿烂的农民</v>
      </c>
      <c r="E61" s="52" t="str">
        <f ca="1">"Requires "&amp;语言!$A$38&amp;" Chapter 1 completed
"&amp;语言!$A$46&amp;" / "&amp;语言!$A$50&amp;": "&amp;道具!$F$39&amp;" from "&amp;语言!$A$1835&amp;" ("&amp;语言!$A$389&amp;") and give it to "&amp;语言!$A$1937</f>
        <v>Requires 欧尔贝克 Chapter 1 completed
购买 / 偷取: 牛粪 from 健壮的养牛人 (鹅卵石村) and give it to 笑容灿烂的农民</v>
      </c>
      <c r="F61" s="52" t="str">
        <f ca="1">"1 500$
3 x "&amp;语言!$A$501</f>
        <v>1 500$
3 x ＳＰ恢复的李子（大）</v>
      </c>
      <c r="G61" s="251"/>
    </row>
    <row r="62" spans="1:7" x14ac:dyDescent="0.2">
      <c r="A62" s="251"/>
      <c r="B62" s="52" t="b">
        <v>0</v>
      </c>
      <c r="C62" s="52" t="str">
        <f ca="1">语言!$A$261</f>
        <v>无法忘怀的回忆</v>
      </c>
      <c r="D62" s="52" t="str">
        <f ca="1">语言!$A$1973</f>
        <v>忧郁的青年</v>
      </c>
      <c r="E62" s="52" t="str">
        <f ca="1">"Requires "&amp;语言!$A$38&amp;" Chapter 1 completed
Solution 1 -  "&amp;语言!$A$44&amp;" / "&amp;语言!$A$48&amp;": "&amp;语言!$A$1973&amp;" and bring him to Lorie's grave in "&amp;语言!$A$354&amp;"
Solution 2 - "&amp;语言!$A$46&amp;" / "&amp;语言!$A$50&amp;": "&amp;道具!$F$40&amp;" from "&amp;语言!$A$1762&amp;" ("&amp;语言!$A$354&amp;") and give it to "&amp;语言!$A$1973</f>
        <v>Requires 欧尔贝克 Chapter 1 completed
Solution 1 -  引导 / 诱惑: 忧郁的青年 and bring him to Lorie's grave in 诺布尔寇德
Solution 2 - 购买 / 偷取: 萝拉的记事本 from 给人好印象的古董商 (诺布尔寇德) and give it to 忧郁的青年</v>
      </c>
      <c r="F62" s="52" t="str">
        <f ca="1">"9 000$
"&amp;语言!$A$559</f>
        <v>9 000$
增强命中的坚果（大）</v>
      </c>
      <c r="G62" s="251"/>
    </row>
    <row r="63" spans="1:7" x14ac:dyDescent="0.2">
      <c r="A63" s="251"/>
      <c r="B63" s="609" t="str">
        <f ca="1">语言!$A$395</f>
        <v>斯托冈德</v>
      </c>
      <c r="C63" s="371"/>
      <c r="D63" s="371"/>
      <c r="E63" s="371"/>
      <c r="F63" s="371"/>
      <c r="G63" s="251"/>
    </row>
    <row r="64" spans="1:7" x14ac:dyDescent="0.2">
      <c r="A64" s="251"/>
      <c r="B64" s="52" t="b">
        <v>0</v>
      </c>
      <c r="C64" s="52" t="str">
        <f ca="1">语言!$A$262</f>
        <v>历史研究家诺艾尔（２）</v>
      </c>
      <c r="D64" s="52" t="str">
        <f ca="1">语言!$A$2005</f>
        <v>诺艾尔</v>
      </c>
      <c r="E64" s="52" t="str">
        <f ca="1">"Requires "&amp;支线!$C$60&amp;" completed
"&amp;语言!$A$45&amp;" / "&amp;语言!$A$49&amp;": "&amp;道具!$I$47&amp;" from "&amp;语言!$A$2122&amp;" ("&amp;语言!$A$396&amp;") and share it with "&amp;语言!$A$2005</f>
        <v>Requires 历史研究家诺艾尔（１） completed
探查 / 打听: 艾巴霍多的堡垒 from 随风起舞的吟游诗人 (斯托冈德 -下街-) and share it with 诺艾尔</v>
      </c>
      <c r="F64" s="52" t="str">
        <f ca="1">"6 600$
"&amp;语言!$A$550</f>
        <v>6 600$
增强物防的坚果（大）</v>
      </c>
      <c r="G64" s="251"/>
    </row>
    <row r="65" spans="1:7" x14ac:dyDescent="0.2">
      <c r="A65" s="251"/>
      <c r="B65" s="52" t="b">
        <v>0</v>
      </c>
      <c r="C65" s="52" t="str">
        <f ca="1">语言!$A$263</f>
        <v>无赖</v>
      </c>
      <c r="D65" s="52" t="str">
        <f ca="1">语言!$A$1853</f>
        <v>商店的老人</v>
      </c>
      <c r="E65" s="52" t="str">
        <f ca="1">IFERROR(__xludf.DUMMYFUNCTION("""Solution 1 - ""&amp;Language!$A$44&amp;"" / ""&amp;Language!$A$48&amp;"": ""&amp;TRIM(REGEXEXTRACT(Language!$A$1768, ""[^\n/]*[^/]""))&amp;"" (""&amp;Language!$A$414&amp;"") and bring her to ""&amp;Language!$A$2049&amp;"" (""&amp;Language!$A$395&amp;"") (""&amp;Language!$A$39&amp;"" chapter 1 required)
Solut"&amp;"ion 2 - ""&amp;Language!$A$47&amp;"" / ""&amp;Language!$A$51&amp;"": ""&amp;Language!$A$2099&amp;"" (""&amp;Language!$A$395&amp;"")"""),"Solution 1 - Guide / Allure: Amnesiac Girl (Sunshade) and bring her to Ruffian (Stonegard) (Primrose chapter 1 required)
Solution 2 - Challenge / Provoke: Tobias (Stonegard)")</f>
        <v>Solution 1 - Guide / Allure: Amnesiac Girl (Sunshade) and bring her to Ruffian (Stonegard) (Primrose chapter 1 required)
Solution 2 - Challenge / Provoke: Tobias (Stonegard)</v>
      </c>
      <c r="F65" s="52" t="str">
        <f ca="1">"5 000$
"&amp;语言!$A$939</f>
        <v>5 000$
守护者腰带</v>
      </c>
      <c r="G65" s="251"/>
    </row>
    <row r="66" spans="1:7" x14ac:dyDescent="0.2">
      <c r="A66" s="251"/>
      <c r="B66" s="52" t="b">
        <v>0</v>
      </c>
      <c r="C66" s="52" t="str">
        <f ca="1">语言!$A$264</f>
        <v>异国的语言</v>
      </c>
      <c r="D66" s="52" t="str">
        <f ca="1">语言!$A$1810</f>
        <v>制书工匠</v>
      </c>
      <c r="E66" s="52" t="str">
        <f ca="1">"Requires "&amp;语言!$A$37&amp;" Chapter 1 completed
"&amp;语言!$A$44&amp;" / "&amp;语言!$A$48&amp;": "&amp;语言!$A$1871&amp;" ("&amp;语言!$A$366&amp;") and bring her back to "&amp;语言!$A$1810</f>
        <v>Requires 特蕾莎 Chapter 1 completed
引导 / 诱惑: 异国的老婆婆 (利布尔泰德) and bring her back to 制书工匠</v>
      </c>
      <c r="F66" s="52" t="str">
        <f ca="1">"6 500$
"&amp;语言!$A$897</f>
        <v>6 500$
异国之服</v>
      </c>
      <c r="G66" s="251"/>
    </row>
    <row r="67" spans="1:7" x14ac:dyDescent="0.2">
      <c r="A67" s="251"/>
      <c r="B67" s="52" t="b">
        <v>0</v>
      </c>
      <c r="C67" s="52" t="str">
        <f ca="1">语言!$A$265</f>
        <v>王家的秘密</v>
      </c>
      <c r="D67" s="52" t="str">
        <f ca="1">语言!$A$1929</f>
        <v>喜欢历史的青年</v>
      </c>
      <c r="E67" s="52" t="str">
        <f ca="1">"Solution 1 - "&amp;语言!$A$45&amp;" / "&amp;语言!$A$49&amp;": "&amp;道具!$I$25&amp;" from "&amp;语言!$A$1994&amp;" ("&amp;语言!$A$400&amp;") and share info with "&amp;语言!$A$1929&amp;"
Solution 2 - "&amp;语言!$A$44&amp;" / "&amp;语言!$A$48&amp;": "&amp;语言!$A$2028&amp;" ("&amp;语言!$A$395&amp;") and bring him to "&amp;语言!$A$1929</f>
        <v>Solution 1 - 探查 / 打听: 守墓人的情报 from 无名的守墓人 (王家之墓) and share info with 喜欢历史的青年
Solution 2 - 引导 / 诱惑: 有高贵气息的青年 (斯托冈德) and bring him to 喜欢历史的青年</v>
      </c>
      <c r="F67" s="52" t="str">
        <f ca="1">"5 000$
"&amp;语言!$A$931</f>
        <v>5 000$
王家之证</v>
      </c>
      <c r="G67" s="251"/>
    </row>
    <row r="68" spans="1:7" x14ac:dyDescent="0.2">
      <c r="A68" s="251"/>
      <c r="B68" s="52" t="b">
        <v>0</v>
      </c>
      <c r="C68" s="52" t="str">
        <f ca="1">语言!$A$266</f>
        <v>学者拉塞尔，在那之后</v>
      </c>
      <c r="D68" s="52" t="str">
        <f ca="1">语言!$A$2053</f>
        <v>学者拉赛尔</v>
      </c>
      <c r="E68" s="52" t="str">
        <f ca="1">"Requires "&amp;语言!$A$36&amp;" chapter 4 completed
"&amp;语言!$A$45&amp;" / "&amp;语言!$A$49&amp;":
"&amp;道具!$I$27&amp;" from "&amp;语言!$A$1830&amp;" ("&amp;语言!$A$457&amp;")
"&amp;道具!$I$28&amp;" from "&amp;语言!$A$1886&amp;" ("&amp;语言!$A$333&amp;")
"&amp;道具!$I$29&amp;" from "&amp;语言!$A$2130&amp;" ("&amp;语言!$A$491&amp;")
then share those knowledge to "&amp;语言!$A$2053</f>
        <v>Requires 赛拉斯 chapter 4 completed
探查 / 打听:
克里夫兰多的历史 from 克里夫兰多的知识分子 (柏达弗尔)
弗罗斯特兰多的历史 from 弗洛斯特兰多的知识分子 (史迪尔斯诺)
伍多兰多的历史 from 伍多兰多的知识份子 (达斯克瓦罗)
then share those knowledge to 学者拉赛尔</v>
      </c>
      <c r="F68" s="52" t="str">
        <f ca="1">"9 000$
"&amp;语言!$A$881</f>
        <v>9 000$
告解盔甲</v>
      </c>
      <c r="G68" s="251"/>
    </row>
    <row r="69" spans="1:7" x14ac:dyDescent="0.2">
      <c r="A69" s="251"/>
      <c r="B69" s="609" t="str">
        <f ca="1">语言!$A$404</f>
        <v>艾巴霍多</v>
      </c>
      <c r="C69" s="371"/>
      <c r="D69" s="371"/>
      <c r="E69" s="371"/>
      <c r="F69" s="371"/>
      <c r="G69" s="251"/>
    </row>
    <row r="70" spans="1:7" x14ac:dyDescent="0.2">
      <c r="A70" s="251"/>
      <c r="B70" s="52" t="b">
        <v>0</v>
      </c>
      <c r="C70" s="52" t="str">
        <f ca="1">语言!$A$267</f>
        <v>历史研究家诺艾尔（３）</v>
      </c>
      <c r="D70" s="52" t="str">
        <f ca="1">语言!$A$2005</f>
        <v>诺艾尔</v>
      </c>
      <c r="E70" s="52" t="str">
        <f ca="1">"Requires "&amp;支线!$C$64&amp;" completed
"&amp;语言!$A$46&amp;" / "&amp;语言!$A$50&amp;": "&amp;道具!$F$62&amp;" from "&amp;语言!$A$2073&amp;" ("&amp;语言!$A$404&amp;") and give it to "&amp;语言!$A$2005</f>
        <v>Requires 历史研究家诺艾尔（２） completed
购买 / 偷取: 老旧的挂毯 from 大道具负责人 (艾巴霍多) and give it to 诺艾尔</v>
      </c>
      <c r="F70" s="52" t="str">
        <f ca="1">"11 000$
"&amp;语言!$A$839&amp;"
"&amp;语言!$A$551</f>
        <v>11 000$
历史研究家的帽子
增强物防的坚果（特大）</v>
      </c>
      <c r="G70" s="251"/>
    </row>
    <row r="71" spans="1:7" x14ac:dyDescent="0.2">
      <c r="A71" s="251"/>
      <c r="B71" s="52" t="b">
        <v>0</v>
      </c>
      <c r="C71" s="52" t="str">
        <f ca="1">语言!$A$268</f>
        <v>所谓演员</v>
      </c>
      <c r="D71" s="52" t="str">
        <f ca="1">语言!$A$1777</f>
        <v>狂热的演员</v>
      </c>
      <c r="E71" s="52" t="str">
        <f ca="1">"Solution 1 - "&amp;语言!$A$45&amp;" / "&amp;语言!$A$49&amp;": "&amp;道具!$I$54&amp;" from "&amp;语言!$A$1910&amp;" ("&amp;语言!$A$346&amp;") and share info with "&amp;语言!$A$1777&amp;"
Solution 2 - "&amp;语言!$A$46&amp;" / "&amp;语言!$A$50&amp;": "&amp;道具!$F$56&amp;" from "&amp;语言!$A$1836&amp;" ("&amp;语言!$A$382&amp;") and give to "&amp;语言!$A$1777</f>
        <v>Solution 1 - 探查 / 打听: 索克拉丝之诗 from 美丽的吟游诗人 (阿特拉斯达姆) and share info with 狂热的演员
Solution 2 - 购买 / 偷取: 索克拉斯之剑 from 诡异的旧货商 (格兰波特) and give to 狂热的演员</v>
      </c>
      <c r="F71" s="52" t="s">
        <v>127</v>
      </c>
      <c r="G71" s="251"/>
    </row>
    <row r="72" spans="1:7" x14ac:dyDescent="0.2">
      <c r="A72" s="251"/>
      <c r="B72" s="52" t="b">
        <v>0</v>
      </c>
      <c r="C72" s="52" t="str">
        <f ca="1">语言!$A$269</f>
        <v>舞台的主角</v>
      </c>
      <c r="D72" s="52" t="str">
        <f ca="1">语言!$A$1922</f>
        <v>团长</v>
      </c>
      <c r="E72" s="52" t="str">
        <f ca="1">语言!$A$47&amp;" / "&amp;语言!$A$51&amp;": "&amp;语言!$A$1922</f>
        <v>比试 / 唆使: 团长</v>
      </c>
      <c r="F72" s="52" t="str">
        <f ca="1">"15 000$
"&amp;语言!$A$507</f>
        <v>15 000$
ＨＰ／ＳＰ／ＢＰ恢复的果酱</v>
      </c>
      <c r="G72" s="251"/>
    </row>
    <row r="73" spans="1:7" x14ac:dyDescent="0.2">
      <c r="A73" s="253"/>
      <c r="B73" s="609" t="str">
        <f ca="1">语言!$A$479&amp;" (Quest giver location is actually in the Woodlands even though the quest is classified in the Highlands)"</f>
        <v>西希・沃尔基森道 (Quest giver location is actually in the Woodlands even though the quest is classified in the Highlands)</v>
      </c>
      <c r="C73" s="371"/>
      <c r="D73" s="371"/>
      <c r="E73" s="371"/>
      <c r="F73" s="371"/>
      <c r="G73" s="253"/>
    </row>
    <row r="74" spans="1:7" x14ac:dyDescent="0.2">
      <c r="A74" s="253"/>
      <c r="B74" s="201" t="b">
        <v>0</v>
      </c>
      <c r="C74" s="53" t="str">
        <f ca="1">语言!$A$270</f>
        <v>旅途的最后</v>
      </c>
      <c r="D74" s="53" t="str">
        <f ca="1">语言!$A$1923</f>
        <v>流浪剧团团长</v>
      </c>
      <c r="E74" s="53" t="str">
        <f ca="1">"Requires "&amp;支线!$C$136&amp;" completed,
Go to the "&amp;语言!$A$412&amp;" and complete the real final boss of the game"</f>
        <v>Requires 团长与阿尔法丝，在那之后 completed,
Go to the 终结之门 and complete the real final boss of the game</v>
      </c>
      <c r="F74" s="53" t="str">
        <f ca="1">"100 000$
"&amp;语言!$A$925</f>
        <v>100 000$
隔离缎带</v>
      </c>
      <c r="G74" s="253"/>
    </row>
    <row r="75" spans="1:7" x14ac:dyDescent="0.2">
      <c r="A75" s="251"/>
      <c r="B75" s="251"/>
      <c r="C75" s="251"/>
      <c r="D75" s="251"/>
      <c r="E75" s="251"/>
      <c r="F75" s="251"/>
      <c r="G75" s="251"/>
    </row>
    <row r="76" spans="1:7" x14ac:dyDescent="0.2">
      <c r="A76" s="600" t="str">
        <f ca="1">语言!$A$413</f>
        <v>桑兰多地区</v>
      </c>
      <c r="B76" s="371"/>
      <c r="C76" s="371"/>
      <c r="D76" s="254"/>
      <c r="E76" s="254"/>
      <c r="F76" s="254"/>
      <c r="G76" s="254"/>
    </row>
    <row r="77" spans="1:7" x14ac:dyDescent="0.2">
      <c r="A77" s="255"/>
      <c r="B77" s="610" t="str">
        <f ca="1">语言!$A$414</f>
        <v>桑谢德</v>
      </c>
      <c r="C77" s="371"/>
      <c r="D77" s="371"/>
      <c r="E77" s="371"/>
      <c r="F77" s="371"/>
      <c r="G77" s="255"/>
    </row>
    <row r="78" spans="1:7" x14ac:dyDescent="0.2">
      <c r="A78" s="255"/>
      <c r="B78" s="58" t="b">
        <v>0</v>
      </c>
      <c r="C78" s="58" t="str">
        <f ca="1">语言!$A$271</f>
        <v>巡游少女莉亚（１）</v>
      </c>
      <c r="D78" s="58" t="str">
        <f ca="1">IFERROR(__xludf.DUMMYFUNCTION("TRIM(REGEXEXTRACT(Language!$A$2124, ""[^\n/]*[^/]""))"),"Wayfaring Girl")</f>
        <v>Wayfaring Girl</v>
      </c>
      <c r="E78" s="58" t="str">
        <f ca="1">"Requires "&amp;语言!$A$39&amp;" Chapter 1 completed
"&amp;语言!$A$47&amp;" / "&amp;语言!$A$51&amp;": "&amp;语言!$A$1999&amp;" ("&amp;语言!$A$414&amp;")"</f>
        <v>Requires 普里姆萝洁 Chapter 1 completed
比试 / 唆使: 缠人的坏蛋 (桑谢德)</v>
      </c>
      <c r="F78" s="58" t="str">
        <f ca="1">"1 500$
"&amp;语言!$A$552</f>
        <v>1 500$
增强属攻的坚果</v>
      </c>
      <c r="G78" s="255"/>
    </row>
    <row r="79" spans="1:7" x14ac:dyDescent="0.2">
      <c r="A79" s="255"/>
      <c r="B79" s="58" t="b">
        <v>0</v>
      </c>
      <c r="C79" s="58" t="str">
        <f ca="1">语言!$A$272</f>
        <v>最后的演出</v>
      </c>
      <c r="D79" s="58" t="str">
        <f ca="1">语言!$A$1807</f>
        <v>蓝色舞娘</v>
      </c>
      <c r="E79" s="58" t="str">
        <f ca="1">"Requires "&amp;语言!$A$39&amp;" Chapter 1 completed
Solution 1 - "&amp;语言!$A$44&amp;" / "&amp;语言!$A$48&amp;": "&amp;语言!$A$1807&amp;" and bring her to "&amp;语言!$A$2065&amp;" ("&amp;语言!$A$414&amp;")
Solution 2 - "&amp;语言!$A$46&amp;" / "&amp;语言!$A$50&amp;": "&amp;道具!$F$41&amp;" from "&amp;语言!$A$2075&amp;" ("&amp;语言!$A$414&amp;") and give to "&amp;语言!$A$1807</f>
        <v>Requires 普里姆萝洁 Chapter 1 completed
Solution 1 - 引导 / 诱惑: 蓝色舞娘 and bring her to 体弱多病的少女 (桑谢德)
Solution 2 - 购买 / 偷取: 明星的礼服 from 明星舞娘 (桑谢德) and give to 蓝色舞娘</v>
      </c>
      <c r="F79" s="58" t="str">
        <f ca="1">"1 500$
"&amp;语言!$A$980</f>
        <v>1 500$
风之避邪符</v>
      </c>
      <c r="G79" s="255"/>
    </row>
    <row r="80" spans="1:7" x14ac:dyDescent="0.2">
      <c r="A80" s="255"/>
      <c r="B80" s="58" t="b">
        <v>0</v>
      </c>
      <c r="C80" s="58" t="str">
        <f ca="1">语言!$A$273</f>
        <v>酒馆的保镖</v>
      </c>
      <c r="D80" s="58" t="str">
        <f ca="1">语言!$A$1917</f>
        <v>酒馆的受雇店长</v>
      </c>
      <c r="E80" s="58" t="str">
        <f ca="1">IFERROR(__xludf.DUMMYFUNCTION("""Requires ""&amp;Language!$A$39&amp;"" Chapter 1 completed
""&amp;Language!$A$47&amp;"" / ""&amp;Language!$A$51&amp;"": ""&amp;TRIM(REGEXEXTRACT(Language!$A$1850, ""[^\n/]*[^/]""))&amp;"" (""&amp;Language!$A$414&amp;"")"""),"Requires Primrose Chapter 1 completed
Challenge / Provoke: Drunken Bouncer (Sunshade)")</f>
        <v>Requires Primrose Chapter 1 completed
Challenge / Provoke: Drunken Bouncer (Sunshade)</v>
      </c>
      <c r="F80" s="58" t="str">
        <f ca="1">"1 500$
"&amp;语言!$A$546</f>
        <v>1 500$
增强物攻的坚果</v>
      </c>
      <c r="G80" s="255"/>
    </row>
    <row r="81" spans="1:7" x14ac:dyDescent="0.2">
      <c r="A81" s="255"/>
      <c r="B81" s="58" t="b">
        <v>0</v>
      </c>
      <c r="C81" s="58" t="str">
        <f ca="1">语言!$A$274</f>
        <v>商人阿里，在那之后</v>
      </c>
      <c r="D81" s="58" t="str">
        <f ca="1">语言!$A$1765</f>
        <v>商人阿里</v>
      </c>
      <c r="E81" s="58" t="str">
        <f ca="1">"Requires "&amp;语言!$A$37&amp;" Chapter 4 completed
"&amp;语言!$A$44&amp;" / "&amp;语言!$A$48&amp;": "&amp;语言!$A$1969&amp;" ("&amp;语言!$A$428&amp;") and bring him back to "&amp;语言!$A$1765</f>
        <v>Requires 特蕾莎 Chapter 4 completed
引导 / 诱惑: 马露夫 (马尔沙利姆) and bring him back to 商人阿里</v>
      </c>
      <c r="F81" s="58" t="str">
        <f ca="1">"9 000$
"&amp;语言!$A$655</f>
        <v>9 000$
贸易风之枪</v>
      </c>
      <c r="G81" s="255"/>
    </row>
    <row r="82" spans="1:7" x14ac:dyDescent="0.2">
      <c r="A82" s="255"/>
      <c r="B82" s="610" t="str">
        <f ca="1">语言!$A$420</f>
        <v>威尔斯宾克</v>
      </c>
      <c r="C82" s="371"/>
      <c r="D82" s="371"/>
      <c r="E82" s="371"/>
      <c r="F82" s="371"/>
      <c r="G82" s="255"/>
    </row>
    <row r="83" spans="1:7" x14ac:dyDescent="0.2">
      <c r="A83" s="255"/>
      <c r="B83" s="58" t="b">
        <v>0</v>
      </c>
      <c r="C83" s="58" t="str">
        <f ca="1">语言!$A$275</f>
        <v>巡游少女莉亚（２）</v>
      </c>
      <c r="D83" s="58" t="str">
        <f ca="1">IFERROR(__xludf.DUMMYFUNCTION("TRIM(REGEXEXTRACT(Language!$A$2124, ""[\n][^\n/]*[^/]""))"),"Ria")</f>
        <v>Ria</v>
      </c>
      <c r="E83" s="58" t="str">
        <f ca="1">IFERROR(__xludf.DUMMYFUNCTION("""Requires ""&amp;Quests!$C$78&amp;"" completed
""&amp;Language!$A$46&amp;"" / ""&amp;Language!$A$50&amp;"": ""&amp;Inventory!$F$63&amp;"" from ""&amp;Language!$A$2108&amp;"" (""&amp;Language!$A$420&amp;"") and give to ""&amp;TRIM(REGEXEXTRACT(Language!$A$2124, ""[\n][^\n/]*[^/]""))"),"Requires Ria, Born to Roam (I) completed
Purchase / Steal: Tightly Sealed Envelope from Traveling Merchant (Wellspring) and give to Ria")</f>
        <v>Requires Ria, Born to Roam (I) completed
Purchase / Steal: Tightly Sealed Envelope from Traveling Merchant (Wellspring) and give to Ria</v>
      </c>
      <c r="F83" s="58" t="str">
        <f ca="1">"6 600$
"&amp;语言!$A$553</f>
        <v>6 600$
增强属攻的坚果（大）</v>
      </c>
      <c r="G83" s="255"/>
    </row>
    <row r="84" spans="1:7" x14ac:dyDescent="0.2">
      <c r="A84" s="255"/>
      <c r="B84" s="58" t="b">
        <v>0</v>
      </c>
      <c r="C84" s="58" t="str">
        <f ca="1">语言!$A$276</f>
        <v>探索甜味</v>
      </c>
      <c r="D84" s="58" t="str">
        <f ca="1">语言!$A$2084</f>
        <v>嗜甜如命的人</v>
      </c>
      <c r="E84" s="58" t="str">
        <f ca="1">语言!$A$46&amp;" / "&amp;语言!$A$50&amp;": "&amp;道具!$F$52&amp;" from "&amp;语言!$A$1885&amp;" ("&amp;语言!$A$333&amp;") and give to "&amp;语言!$A$2084</f>
        <v>购买 / 偷取: 甜菜根 from 雪国的农家 (史迪尔斯诺) and give to 嗜甜如命的人</v>
      </c>
      <c r="F84" s="58" t="str">
        <f ca="1">"4 500$
"&amp;语言!$A$971</f>
        <v>4 500$
美食家的护身符</v>
      </c>
      <c r="G84" s="255"/>
    </row>
    <row r="85" spans="1:7" x14ac:dyDescent="0.2">
      <c r="A85" s="255"/>
      <c r="B85" s="58" t="b">
        <v>0</v>
      </c>
      <c r="C85" s="58" t="str">
        <f ca="1">语言!$A$277</f>
        <v>潜伏在沙漠中的身影</v>
      </c>
      <c r="D85" s="58" t="str">
        <f ca="1">语言!$A$2074</f>
        <v>死心眼儿的士兵</v>
      </c>
      <c r="E85" s="58" t="str">
        <f ca="1">语言!$A$45&amp;" / "&amp;语言!$A$49&amp;": "&amp;道具!$I$48&amp;" from "&amp;语言!$A$1928&amp;" ("&amp;语言!$A$421&amp;")
Then go beat "&amp;敌人!$C$503&amp;" and "&amp;敌人!$C$504&amp;" ("&amp;语言!$A$423&amp;")"</f>
        <v>探查 / 打听: 驱使大蛇的男子 from 受伤的侦查兵 (北威尔斯宾克沙道)
Then go beat 巨大蛇 and 操蛇人 (流沙洞窟)</v>
      </c>
      <c r="F85" s="58" t="str">
        <f ca="1">"8 000$
"&amp;语言!$A$750</f>
        <v>8 000$
超越弓・幻</v>
      </c>
      <c r="G85" s="255"/>
    </row>
    <row r="86" spans="1:7" x14ac:dyDescent="0.2">
      <c r="A86" s="255"/>
      <c r="B86" s="58" t="b">
        <v>0</v>
      </c>
      <c r="C86" s="58" t="str">
        <f ca="1">语言!$A$278</f>
        <v>守卫队长贝尔，在那之后</v>
      </c>
      <c r="D86" s="58" t="str">
        <f ca="1">语言!$A$1793</f>
        <v>贝尔队长</v>
      </c>
      <c r="E86" s="58" t="str">
        <f ca="1">"Requires both "&amp;语言!$A$35&amp;" &amp; "&amp;语言!$A$38&amp;" chapter 4 completed
"&amp;语言!$A$45&amp;" / "&amp;语言!$A$49&amp;": "&amp;道具!$I$14&amp;" from "&amp;语言!$A$1806&amp;" ("&amp;语言!$A$372&amp;") and share info with "&amp;语言!$A$1793</f>
        <v>Requires both 欧菲莉亚 &amp; 欧尔贝克 chapter 4 completed
探查 / 打听: 唐纳文的情况 from 唐纳文神父 (葛鲁德修亚) and share info with 贝尔队长</v>
      </c>
      <c r="F86" s="58" t="str">
        <f ca="1">"9 000$
"&amp;语言!$A$927</f>
        <v>9 000$
队长的徽章</v>
      </c>
      <c r="G86" s="255"/>
    </row>
    <row r="87" spans="1:7" x14ac:dyDescent="0.2">
      <c r="A87" s="255"/>
      <c r="B87" s="610" t="str">
        <f ca="1">语言!$A$428</f>
        <v>马尔沙利姆</v>
      </c>
      <c r="C87" s="371"/>
      <c r="D87" s="371"/>
      <c r="E87" s="371"/>
      <c r="F87" s="371"/>
      <c r="G87" s="255"/>
    </row>
    <row r="88" spans="1:7" x14ac:dyDescent="0.2">
      <c r="A88" s="255"/>
      <c r="B88" s="58" t="b">
        <v>0</v>
      </c>
      <c r="C88" s="58" t="str">
        <f ca="1">语言!$A$279</f>
        <v>巡游少女莉亚（３）</v>
      </c>
      <c r="D88" s="58" t="str">
        <f ca="1">IFERROR(__xludf.DUMMYFUNCTION("TRIM(REGEXEXTRACT(Language!$A$2124, ""[\n][^\n/]*[^/]""))"),"Ria")</f>
        <v>Ria</v>
      </c>
      <c r="E88" s="58" t="str">
        <f ca="1">IFERROR(__xludf.DUMMYFUNCTION("""Requires ""&amp;Quests!$C$83&amp;"" completed
""&amp;Language!$A$45&amp;"" / ""&amp;Language!$A$49&amp;"": ""&amp;Inventory!$I$9&amp;"" from ""&amp;Language!$A$1828&amp;"" (""&amp;Language!$A$428&amp;"") and share it with ""&amp;TRIM(REGEXEXTRACT(Language!$A$2124, ""[\n][^\n/]*[^/]""))"),"Requires Ria, Born to Roam (II) completed
Scrutinize / Inquire: Chieftain's Schedule from Chieftain (Marsalim) and share it with Ria")</f>
        <v>Requires Ria, Born to Roam (II) completed
Scrutinize / Inquire: Chieftain's Schedule from Chieftain (Marsalim) and share it with Ria</v>
      </c>
      <c r="F88" s="58" t="str">
        <f ca="1">"11 000$
"&amp;语言!$A$883&amp;"
"&amp;语言!$A$554</f>
        <v>11 000$
公主大衣
增强属攻的坚果（特大）</v>
      </c>
      <c r="G88" s="255"/>
    </row>
    <row r="89" spans="1:7" x14ac:dyDescent="0.2">
      <c r="A89" s="255"/>
      <c r="B89" s="58" t="b">
        <v>0</v>
      </c>
      <c r="C89" s="58" t="str">
        <f ca="1">语言!$A$280</f>
        <v>从未见过的东西</v>
      </c>
      <c r="D89" s="58" t="str">
        <f ca="1">语言!$A$2012</f>
        <v>高龄贵族</v>
      </c>
      <c r="E89" s="58" t="str">
        <f ca="1">"Solution 1 - "&amp;语言!$A$47&amp;" / "&amp;语言!$A$51&amp;": "&amp;语言!$A$2085&amp;" ("&amp;语言!$A$428&amp;")
Solution 2 - "&amp;语言!$A$46&amp;" / "&amp;语言!$A$50&amp;": "&amp;道具!$F$57&amp;" from "&amp;语言!$A$2023&amp;" ("&amp;语言!$A$382&amp;") and give to "&amp;语言!$A$2012</f>
        <v>Solution 1 - 比试 / 唆使: 剑士尤里 (马尔沙利姆)
Solution 2 - 购买 / 偷取: 异国的冒险物语 from 兴奋的商人 (格兰波特) and give to 高龄贵族</v>
      </c>
      <c r="F89" s="58" t="str">
        <f ca="1">"11 000$
"&amp;语言!$A$926</f>
        <v>11 000$
引诱缎带</v>
      </c>
      <c r="G89" s="255"/>
    </row>
    <row r="90" spans="1:7" x14ac:dyDescent="0.2">
      <c r="A90" s="255"/>
      <c r="B90" s="58" t="b">
        <v>0</v>
      </c>
      <c r="C90" s="58" t="str">
        <f ca="1">语言!$A$281</f>
        <v>罪人的愿望</v>
      </c>
      <c r="D90" s="58" t="str">
        <f ca="1">语言!$A$1935</f>
        <v>罪人凯文</v>
      </c>
      <c r="E90" s="58" t="str">
        <f ca="1">语言!$A$45&amp;" / "&amp;语言!$A$49&amp;": "&amp;道具!$I$32&amp;" from "&amp;语言!$A$1950&amp;" ("&amp;语言!$A$382&amp;") and share with "&amp;语言!$A$1935</f>
        <v>探查 / 打听: 新生活 from 拉拉 (格兰波特) and share with 罪人凯文</v>
      </c>
      <c r="F90" s="58" t="str">
        <f ca="1">"300$
"&amp;语言!$A$507</f>
        <v>300$
ＨＰ／ＳＰ／ＢＰ恢复的果酱</v>
      </c>
      <c r="G90" s="255"/>
    </row>
    <row r="91" spans="1:7" x14ac:dyDescent="0.2">
      <c r="A91" s="255"/>
      <c r="B91" s="58" t="b">
        <v>0</v>
      </c>
      <c r="C91" s="58" t="str">
        <f ca="1">语言!$A$282</f>
        <v>克林姆王，在那之后</v>
      </c>
      <c r="D91" s="58" t="str">
        <f ca="1">语言!$A$1939</f>
        <v>克林姆王</v>
      </c>
      <c r="E91" s="58" t="str">
        <f ca="1">"Requires all 8 main quests completed
"&amp;语言!$A$44&amp;" / "&amp;语言!$A$48&amp;": "&amp;语言!$A2093&amp;" ("&amp;语言!$A$404&amp;") then bring him to "&amp;语言!$A$1939</f>
        <v>Requires all 8 main quests completed
引导 / 诱惑: 剧场管理人 (艾巴霍多) then bring him to 克林姆王</v>
      </c>
      <c r="F91" s="58" t="s">
        <v>17</v>
      </c>
      <c r="G91" s="255"/>
    </row>
    <row r="92" spans="1:7" x14ac:dyDescent="0.2">
      <c r="A92" s="255"/>
      <c r="B92" s="255"/>
      <c r="C92" s="255"/>
      <c r="D92" s="255"/>
      <c r="E92" s="255"/>
      <c r="F92" s="255"/>
      <c r="G92" s="255"/>
    </row>
    <row r="93" spans="1:7" x14ac:dyDescent="0.2">
      <c r="A93" s="573" t="str">
        <f ca="1">语言!$A$434</f>
        <v>利维兰多地区</v>
      </c>
      <c r="B93" s="371"/>
      <c r="C93" s="371"/>
      <c r="D93" s="256"/>
      <c r="E93" s="256"/>
      <c r="F93" s="256"/>
      <c r="G93" s="256"/>
    </row>
    <row r="94" spans="1:7" x14ac:dyDescent="0.2">
      <c r="A94" s="244"/>
      <c r="B94" s="606" t="str">
        <f ca="1">语言!$A$435</f>
        <v>库利亚布鲁克</v>
      </c>
      <c r="C94" s="371"/>
      <c r="D94" s="371"/>
      <c r="E94" s="371"/>
      <c r="F94" s="371"/>
      <c r="G94" s="244"/>
    </row>
    <row r="95" spans="1:7" x14ac:dyDescent="0.2">
      <c r="A95" s="244"/>
      <c r="B95" s="17" t="b">
        <v>0</v>
      </c>
      <c r="C95" s="17" t="str">
        <f ca="1">语言!$A$283</f>
        <v>孤儿梅莉儿（１）</v>
      </c>
      <c r="D95" s="17" t="str">
        <f ca="1">语言!$A$1978</f>
        <v>梅莉儿</v>
      </c>
      <c r="E95" s="17" t="str">
        <f ca="1">"Requires "&amp;语言!$A$40&amp;" Chapter 1 completed
"&amp;语言!$A$45&amp;" / "&amp;语言!$A$49&amp;": "&amp;道具!$I$35&amp;" from "&amp;语言!$A$1979&amp;" ("&amp;语言!$A$435&amp;") and share it with "&amp;语言!$A$1978</f>
        <v>Requires 亚芬 Chapter 1 completed
探查 / 打听: 梅莉儿的过去 from 梅莉儿的父亲 (库利亚布鲁克) and share it with 梅莉儿</v>
      </c>
      <c r="F95" s="17" t="str">
        <f ca="1">"1 500$
"&amp;语言!$A$555</f>
        <v>1 500$
增强属防的坚果</v>
      </c>
      <c r="G95" s="244"/>
    </row>
    <row r="96" spans="1:7" x14ac:dyDescent="0.2">
      <c r="A96" s="244"/>
      <c r="B96" s="17" t="b">
        <v>0</v>
      </c>
      <c r="C96" s="17" t="str">
        <f ca="1">语言!$A$284</f>
        <v>消失的鱼</v>
      </c>
      <c r="D96" s="17" t="str">
        <f ca="1">语言!$A$1770</f>
        <v>虹鲑鱼夫</v>
      </c>
      <c r="E96" s="17" t="str">
        <f ca="1">"Requires "&amp;语言!$A$40&amp;" Chapter 1 completed
Solution 1 - "&amp;语言!$A$47&amp;" / "&amp;语言!$A$51&amp;": "&amp;语言!$A$1876&amp;" ("&amp;语言!$A$436&amp;")
Solution 2 - "&amp;语言!$A$46&amp;" / "&amp;语言!$A$50&amp;": "&amp;道具!$F$42&amp;" from "&amp;语言!$A$1965&amp;" ("&amp;语言!$A$435&amp;") and give it to "&amp;语言!$A$1770</f>
        <v>Requires 亚芬 Chapter 1 completed
Solution 1 - 比试 / 唆使: 鱼贩 (西库利亚布鲁克川道)
Solution 2 - 购买 / 偷取: 小虾酱 from 厨师马格 (库利亚布鲁克) and give it to 虹鲑鱼夫</v>
      </c>
      <c r="F96" s="17" t="str">
        <f ca="1">"1 500$
"&amp;语言!$A$937</f>
        <v>1 500$
力量腰带</v>
      </c>
      <c r="G96" s="244"/>
    </row>
    <row r="97" spans="1:7" x14ac:dyDescent="0.2">
      <c r="A97" s="244"/>
      <c r="B97" s="17" t="b">
        <v>0</v>
      </c>
      <c r="C97" s="17" t="str">
        <f ca="1">语言!$A$285</f>
        <v>与孙子重逢</v>
      </c>
      <c r="D97" s="17" t="str">
        <f ca="1">IFERROR(__xludf.DUMMYFUNCTION("TRIM(REGEXEXTRACT(Language!$A$1960, ""[^\n/]*[^/]""))"),"Lost Grandfather")</f>
        <v>Lost Grandfather</v>
      </c>
      <c r="E97" s="17" t="str">
        <f ca="1">IFERROR(__xludf.DUMMYFUNCTION("""Requires ""&amp;Language!$A$40&amp;"" Chapter 1 completed
""&amp;Language!$A$44&amp;"" / ""&amp;Language!$A$48&amp;"": ""&amp;TRIM(REGEXEXTRACT(Language!$A$1960, ""[^\n/]*[^/]""))&amp;"" (""&amp;Language!$A$437&amp;"") and bring him to ""&amp;TRIM(REGEXEXTRACT(Language!$A$1958, ""[^\n/]*[^/]""))&amp;"&amp;""" (""&amp;Language!$A$435&amp;"")"""),"Requires Alfyn Chapter 1 completed
Guide / Allure: Lost Grandfather (South Clearbrook Traverse) and bring him to Lonely Grandchild (Clearbrook)")</f>
        <v>Requires Alfyn Chapter 1 completed
Guide / Allure: Lost Grandfather (South Clearbrook Traverse) and bring him to Lonely Grandchild (Clearbrook)</v>
      </c>
      <c r="F97" s="17" t="s">
        <v>34</v>
      </c>
      <c r="G97" s="244"/>
    </row>
    <row r="98" spans="1:7" x14ac:dyDescent="0.2">
      <c r="A98" s="244"/>
      <c r="B98" s="17" t="b">
        <v>0</v>
      </c>
      <c r="C98" s="17" t="str">
        <f ca="1">语言!$A$286</f>
        <v>药师杰夫，在那之后（１）</v>
      </c>
      <c r="D98" s="17" t="str">
        <f ca="1">语言!$A$2003</f>
        <v>妮娜</v>
      </c>
      <c r="E98" s="17" t="str">
        <f ca="1">"Requires both "&amp;语言!$A$36&amp;" &amp; "&amp;语言!$A$40&amp;" Chapter 4 completed
"&amp;语言!$A$46&amp;" / "&amp;语言!$A$50&amp;": "&amp;道具!$F$65&amp;" from "&amp;语言!$A$2135&amp;" and give it to "&amp;语言!$A$1974&amp;" ("&amp;语言!$A$346&amp;")"</f>
        <v>Requires both 赛拉斯 &amp; 亚芬 Chapter 4 completed
购买 / 偷取: 杰夫的信 from 药师杰夫 and give it to 图书馆员梅赛德斯 (阿特拉斯达姆)</v>
      </c>
      <c r="F98" s="17" t="s">
        <v>125</v>
      </c>
      <c r="G98" s="244"/>
    </row>
    <row r="99" spans="1:7" x14ac:dyDescent="0.2">
      <c r="A99" s="244"/>
      <c r="B99" s="17" t="b">
        <v>0</v>
      </c>
      <c r="C99" s="17" t="str">
        <f ca="1">语言!$A$287</f>
        <v>药师杰夫，在那之后（２）</v>
      </c>
      <c r="D99" s="17" t="str">
        <f ca="1">语言!$A$1974</f>
        <v>图书馆员梅赛德斯</v>
      </c>
      <c r="E99" s="17" t="str">
        <f ca="1">"Requires "&amp;支线!$C$98&amp;" completed
"&amp;语言!$A$46&amp;" / "&amp;语言!$A$50&amp;": "&amp;道具!$F$66&amp;" from "&amp;语言!$A$1974&amp;" ("&amp;语言!$A$346&amp;") and give it to "&amp;语言!$A$2135&amp;" ("&amp;语言!$A$435&amp;")"</f>
        <v>Requires 药师杰夫，在那之后（１） completed
购买 / 偷取: 图书馆员的信 from 图书馆员梅赛德斯 (阿特拉斯达姆) and give it to 药师杰夫 (库利亚布鲁克)</v>
      </c>
      <c r="F99" s="17" t="str">
        <f ca="1">"11 000$
"&amp;语言!$A$715</f>
        <v>11 000$
纪念之斧</v>
      </c>
      <c r="G99" s="244"/>
    </row>
    <row r="100" spans="1:7" x14ac:dyDescent="0.2">
      <c r="A100" s="244"/>
      <c r="B100" s="606" t="str">
        <f ca="1">语言!$A$441</f>
        <v>圣特布里吉</v>
      </c>
      <c r="C100" s="371"/>
      <c r="D100" s="371"/>
      <c r="E100" s="371"/>
      <c r="F100" s="371"/>
      <c r="G100" s="244"/>
    </row>
    <row r="101" spans="1:7" x14ac:dyDescent="0.2">
      <c r="A101" s="244"/>
      <c r="B101" s="17" t="b">
        <v>0</v>
      </c>
      <c r="C101" s="17" t="str">
        <f ca="1">语言!$A$288</f>
        <v>孤儿梅莉儿（２）</v>
      </c>
      <c r="D101" s="17" t="str">
        <f ca="1">语言!$A$1978</f>
        <v>梅莉儿</v>
      </c>
      <c r="E101" s="17" t="str">
        <f ca="1">"Requires "&amp;支线!$C$95&amp;" completed
"&amp;语言!$A$47&amp;" / "&amp;语言!$A$51&amp;": "&amp;语言!$A$1867&amp;" ("&amp;语言!$A$441&amp;")"</f>
        <v>Requires 孤儿梅莉儿（１） completed
比试 / 唆使: 潦倒的佣兵 (圣特布里吉)</v>
      </c>
      <c r="F101" s="17" t="str">
        <f ca="1">"6 600$
"&amp;语言!$A$556</f>
        <v>6 600$
增强属防的坚果（大）</v>
      </c>
      <c r="G101" s="244"/>
    </row>
    <row r="102" spans="1:7" x14ac:dyDescent="0.2">
      <c r="A102" s="244"/>
      <c r="B102" s="17" t="b">
        <v>0</v>
      </c>
      <c r="C102" s="17" t="str">
        <f ca="1">语言!$A$289</f>
        <v>命中注定之人（２）</v>
      </c>
      <c r="D102" s="19" t="str">
        <f ca="1">语言!$A$1766&amp;"
(talk to "&amp;语言!$A$1963&amp;" to start quest)"</f>
        <v>阿尔法丝
(talk to 莉布拉克 to start quest)</v>
      </c>
      <c r="E102" s="17" t="str">
        <f ca="1">"Requires "&amp;支线!$C$116&amp;" completed
"&amp;语言!$A$45&amp;" / "&amp;语言!$A$49&amp;": "&amp;道具!$I$5&amp;" from "&amp;语言!$A$1766&amp;" then share info with "&amp;语言!$A$1879&amp;" ("&amp;语言!$A$441&amp;")"</f>
        <v>Requires 命中注定之人（１） completed
探查 / 打听: 阿尔法丝之诗 from 阿尔法丝 then share info with 芙萝拉 (圣特布里吉)</v>
      </c>
      <c r="F102" s="17" t="s">
        <v>14</v>
      </c>
      <c r="G102" s="244"/>
    </row>
    <row r="103" spans="1:7" x14ac:dyDescent="0.2">
      <c r="A103" s="244"/>
      <c r="B103" s="17" t="b">
        <v>0</v>
      </c>
      <c r="C103" s="17" t="str">
        <f ca="1">语言!$A$290</f>
        <v>爱担心的男子</v>
      </c>
      <c r="D103" s="17" t="str">
        <f ca="1">语言!$A$2131</f>
        <v>爱担心的男子</v>
      </c>
      <c r="E103" s="17" t="str">
        <f ca="1">语言!$A$45&amp;" / "&amp;语言!$A$49&amp;": "&amp;道具!$I$18&amp;" from "&amp;语言!$A$1788&amp;" ("&amp;语言!$A$444&amp;") and share info with "&amp;语言!$A$2131</f>
        <v>探查 / 打听: 提早融雪 from 勤勉的学者 (东圣特布里吉川道) and share info with 爱担心的男子</v>
      </c>
      <c r="F103" s="17" t="str">
        <f ca="1">"6 600$
"&amp;语言!$A$543&amp;"
"&amp;语言!$A$555</f>
        <v>6 600$
增强ＳＰ的坚果
增强属防的坚果</v>
      </c>
      <c r="G103" s="244"/>
    </row>
    <row r="104" spans="1:7" x14ac:dyDescent="0.2">
      <c r="A104" s="244"/>
      <c r="B104" s="17" t="b">
        <v>0</v>
      </c>
      <c r="C104" s="17" t="str">
        <f ca="1">语言!$A$291</f>
        <v>盯上巡礼者的无耻之人</v>
      </c>
      <c r="D104" s="17" t="str">
        <f ca="1">语言!$A$1936</f>
        <v>温和厚道的的祭司</v>
      </c>
      <c r="E104" s="17" t="str">
        <f ca="1">IFERROR(__xludf.DUMMYFUNCTION("Language!$A$47&amp;"" / ""&amp;Language!$A$51&amp;"": ""&amp;TRIM(REGEXEXTRACT(Language!$A$2050,""[^\n/]*[^/]""))&amp;"" (""&amp;Language!$A$444&amp;"")"""),"Challenge / Provoke: Ruffian (East Saintsbridge Traverse)")</f>
        <v>Challenge / Provoke: Ruffian (East Saintsbridge Traverse)</v>
      </c>
      <c r="F104" s="17" t="str">
        <f ca="1">"6 600$
"&amp;语言!$A$506</f>
        <v>6 600$
ＨＰ／ＳＰ恢复的果酱</v>
      </c>
      <c r="G104" s="244"/>
    </row>
    <row r="105" spans="1:7" x14ac:dyDescent="0.2">
      <c r="A105" s="244"/>
      <c r="B105" s="17" t="b">
        <v>0</v>
      </c>
      <c r="C105" s="17" t="str">
        <f ca="1">语言!$A$292</f>
        <v>随着川流而来的尸体</v>
      </c>
      <c r="D105" s="17" t="str">
        <f ca="1">语言!$A$2047</f>
        <v>河边的居民</v>
      </c>
      <c r="E105" s="17" t="str">
        <f ca="1">IFERROR(__xludf.DUMMYFUNCTION("""Solution 1 - ""&amp;Language!$A$44&amp;"" / ""&amp;Language!$A$48&amp;"": ""&amp;TRIM(REGEXEXTRACT(Language!$A$2045, ""[^\n/]*[^/]""))&amp;"" (""&amp;Language!$A$483&amp;"") and bring her to ""&amp;Language!$A$2047&amp;""
Solution 2 - ""&amp;Language!$A$46&amp;"" / ""&amp;Language!$A$50&amp;"": ""&amp;Inventory!"&amp;"$F$71&amp;"" from ""&amp;Language!$A$2113&amp;"" (""&amp;Language!$A$445&amp;"") and give to ""&amp;Language!$A$2047"),"Solution 1 - Guide / Allure: Restless Woman (Victors Hollow) and bring her to River Dweller
Solution 2 - Purchase / Steal: Hugo's Journal from Unsavory Man (Farshore) and give to River Dweller")</f>
        <v>Solution 1 - Guide / Allure: Restless Woman (Victors Hollow) and bring her to River Dweller
Solution 2 - Purchase / Steal: Hugo's Journal from Unsavory Man (Farshore) and give to River Dweller</v>
      </c>
      <c r="F105" s="17" t="str">
        <f ca="1">"5 000$
"&amp;语言!$A$970</f>
        <v>5 000$
爱妻家的护身符</v>
      </c>
      <c r="G105" s="244"/>
    </row>
    <row r="106" spans="1:7" x14ac:dyDescent="0.2">
      <c r="A106" s="244"/>
      <c r="B106" s="17" t="b">
        <v>0</v>
      </c>
      <c r="C106" s="17" t="str">
        <f ca="1">语言!$A$293</f>
        <v>好友３人组，在那之后</v>
      </c>
      <c r="D106" s="19" t="str">
        <f ca="1">语言!$A$1996&amp;"
(talk to "&amp;语言!$A$1858&amp;" to start quest)"</f>
        <v>内特
(talk to 爱弥儿 to start quest)</v>
      </c>
      <c r="E106" s="17" t="str">
        <f ca="1">"Requires "&amp;语言!$A$35&amp;" chapter 4 completed
"&amp;语言!$A$46&amp;" / "&amp;语言!$A$50&amp;": "&amp;道具!$F$33&amp;" from "&amp;语言!$A$1816&amp;" ("&amp;语言!$A$441&amp;") and give it to "&amp;语言!$A$1996</f>
        <v>Requires 欧菲莉亚 chapter 4 completed
购买 / 偷取: 河边的花 from 孩子王 (圣特布里吉) and give it to 内特</v>
      </c>
      <c r="F106" s="17" t="str">
        <f ca="1">语言!$A$928</f>
        <v>友情的徽章</v>
      </c>
      <c r="G106" s="244"/>
    </row>
    <row r="107" spans="1:7" x14ac:dyDescent="0.2">
      <c r="A107" s="244"/>
      <c r="B107" s="606" t="str">
        <f ca="1">语言!$A$449</f>
        <v>利维福德</v>
      </c>
      <c r="C107" s="371"/>
      <c r="D107" s="371"/>
      <c r="E107" s="371"/>
      <c r="F107" s="371"/>
      <c r="G107" s="244"/>
    </row>
    <row r="108" spans="1:7" x14ac:dyDescent="0.2">
      <c r="A108" s="244"/>
      <c r="B108" s="17" t="b">
        <v>0</v>
      </c>
      <c r="C108" s="17" t="str">
        <f ca="1">语言!$A$294</f>
        <v>孤儿梅莉儿（３）</v>
      </c>
      <c r="D108" s="17" t="str">
        <f ca="1">语言!$A$1978</f>
        <v>梅莉儿</v>
      </c>
      <c r="E108" s="17" t="str">
        <f ca="1">"Requires "&amp;支线!$C$101&amp;" completed
"&amp;语言!$A$44&amp;" / "&amp;语言!$A$48&amp;": "&amp;语言!$A$1978&amp;", bring her to "&amp;语言!$A$2066&amp;" ("&amp;语言!$A$449&amp;")"</f>
        <v>Requires 孤儿梅莉儿（２） completed
引导 / 诱惑: 梅莉儿, bring her to Sickly Woman (利维福德)</v>
      </c>
      <c r="F108" s="17" t="str">
        <f ca="1">"11 000$
"&amp;语言!$A$882&amp;"
"&amp;语言!$A$557</f>
        <v>11 000$
名家铠甲
增强属防的坚果（特大）</v>
      </c>
      <c r="G108" s="244"/>
    </row>
    <row r="109" spans="1:7" x14ac:dyDescent="0.2">
      <c r="A109" s="244"/>
      <c r="B109" s="17" t="b">
        <v>0</v>
      </c>
      <c r="C109" s="17" t="str">
        <f ca="1">语言!$A$295</f>
        <v>梦想家贵族</v>
      </c>
      <c r="D109" s="17" t="str">
        <f ca="1">语言!$A$2061</f>
        <v>佣人</v>
      </c>
      <c r="E109" s="17" t="str">
        <f ca="1">IFERROR(__xludf.DUMMYFUNCTION("""Solution 1 - ""&amp;Language!$A$44&amp;"" / ""&amp;Language!$A$48&amp;"": ""&amp;TRIM(REGEXEXTRACT(Language!$A$1862, ""[^\n/]*[^/]""))&amp;"" (""&amp;Language!$A$346&amp;"") and bring him to ""&amp;TRIM(REGEXEXTRACT(Language!$A$1993, ""[^\n/]*[^/]""))&amp;"" (""&amp;Language!$A$472&amp;"")
Solution 2"&amp;" - ""&amp;Language!$A$47&amp;"" / ""&amp;Language!$A$51&amp;"": ""&amp;TRIM(REGEXEXTRACT(Language!$A$1993, ""[^\n/]*[^/]""))&amp;"" (""&amp;Language!$A$472&amp;"")"""),"Solution 1 - Guide / Allure: Enthusiastic Youth (Atlasdam) and bring him to Mysterious Knight (South Orewell Pass)
Solution 2 - Challenge / Provoke: Mysterious Knight (South Orewell Pass)")</f>
        <v>Solution 1 - Guide / Allure: Enthusiastic Youth (Atlasdam) and bring him to Mysterious Knight (South Orewell Pass)
Solution 2 - Challenge / Provoke: Mysterious Knight (South Orewell Pass)</v>
      </c>
      <c r="F109" s="17" t="str">
        <f ca="1">"11 000$
"&amp;语言!$A$566</f>
        <v>11 000$
增强会心的坚果（特大）</v>
      </c>
      <c r="G109" s="244"/>
    </row>
    <row r="110" spans="1:7" x14ac:dyDescent="0.2">
      <c r="A110" s="244"/>
      <c r="B110" s="17" t="b">
        <v>0</v>
      </c>
      <c r="C110" s="17" t="str">
        <f ca="1">语言!$A$296</f>
        <v>贵族的藏宝</v>
      </c>
      <c r="D110" s="17" t="str">
        <f ca="1">IFERROR(__xludf.DUMMYFUNCTION("TRIM(REGEXEXTRACT(Language!$A$2025, ""[^\n/]*[^/]""))"),"Passionate Youth")</f>
        <v>Passionate Youth</v>
      </c>
      <c r="E110" s="17" t="str">
        <f ca="1">IFERROR(__xludf.DUMMYFUNCTION("""Requires ""&amp;Language!$A$35&amp;"" chapter 4 completed
Solution 1 - ""&amp;Language!$A$45&amp;"" / ""&amp;Language!$A$49&amp;"": ""&amp;Inventory!$I$46&amp;"" from ""&amp;Language!$A$1865&amp;"" (""&amp;Language!$A$395&amp;"") and share info with ""&amp;TRIM(REGEXEXTRACT(Language!$A$2025, ""[^\n/]*[^/"&amp;"]""))&amp;""
Solution 2 - ""&amp;Language!$A$46&amp;"" / ""&amp;Language!$A$50&amp;"": ""&amp;Inventory!$F$58&amp;"" from ""&amp;Language!$A$1866&amp;"" (""&amp;Language!$A$346&amp;"") and give it to ""&amp;TRIM(REGEXEXTRACT(Language!$A$2025, ""[^\n/]*[^/]""))"),"Requires Ophilia chapter 4 completed
Solution 1 - Scrutinize / Inquire: The Fall of House Landar from Erstwhile Bodyguard (Stonegard) and share info with Passionate Youth
Solution 2 - Purchase / Steal: House Landar Records from Erstwhile Retainer (Atlasda"&amp;"m) and give it to Passionate Youth")</f>
        <v>Requires Ophilia chapter 4 completed
Solution 1 - Scrutinize / Inquire: The Fall of House Landar from Erstwhile Bodyguard (Stonegard) and share info with Passionate Youth
Solution 2 - Purchase / Steal: House Landar Records from Erstwhile Retainer (Atlasdam) and give it to Passionate Youth</v>
      </c>
      <c r="F110" s="17" t="str">
        <f ca="1">"15 000$
"&amp;语言!$A$507</f>
        <v>15 000$
ＨＰ／ＳＰ／ＢＰ恢复的果酱</v>
      </c>
      <c r="G110" s="244"/>
    </row>
    <row r="111" spans="1:7" x14ac:dyDescent="0.2">
      <c r="A111" s="244"/>
      <c r="B111" s="17" t="b">
        <v>0</v>
      </c>
      <c r="C111" s="17" t="str">
        <f ca="1">语言!$A$297</f>
        <v>哈洛德，在那之后后续</v>
      </c>
      <c r="D111" s="17" t="str">
        <f ca="1">语言!$A$2042</f>
        <v>反对势力士兵瑞吉</v>
      </c>
      <c r="E111" s="17" t="str">
        <f ca="1">"Requires "&amp;语言!$A$38&amp;" chapter 4 completed
"&amp;语言!$A$46&amp;" / "&amp;语言!$A$50&amp;": "&amp;道具!$F$67&amp;" from "&amp;语言!$A$1975&amp;" ("&amp;语言!$A$420&amp;", behind NPC to "&amp;语言!$A$47&amp;" / "&amp;语言!$A$51&amp;") and give it to "&amp;语言!$A$2042</f>
        <v>Requires 欧尔贝克 chapter 4 completed
购买 / 偷取: 传家之宝的项链 from 商人 (威尔斯宾克, behind NPC to 比试 / 唆使) and give it to 反对势力士兵瑞吉</v>
      </c>
      <c r="F111" s="17" t="str">
        <f ca="1">"8 000$
"&amp;语言!$A$621</f>
        <v>8 000$
哈洛德之剑</v>
      </c>
      <c r="G111" s="244"/>
    </row>
    <row r="112" spans="1:7" x14ac:dyDescent="0.2">
      <c r="A112" s="244"/>
      <c r="B112" s="244"/>
      <c r="C112" s="244"/>
      <c r="D112" s="244"/>
      <c r="E112" s="244"/>
      <c r="F112" s="244"/>
      <c r="G112" s="244"/>
    </row>
    <row r="113" spans="1:7" x14ac:dyDescent="0.2">
      <c r="A113" s="557" t="str">
        <f ca="1">语言!$A$456</f>
        <v>克里夫兰多地区</v>
      </c>
      <c r="B113" s="371"/>
      <c r="C113" s="371"/>
      <c r="D113" s="248"/>
      <c r="E113" s="248"/>
      <c r="F113" s="248"/>
      <c r="G113" s="248"/>
    </row>
    <row r="114" spans="1:7" x14ac:dyDescent="0.2">
      <c r="A114" s="249"/>
      <c r="B114" s="608" t="str">
        <f ca="1">语言!$A$457</f>
        <v>柏达弗尔</v>
      </c>
      <c r="C114" s="371"/>
      <c r="D114" s="371"/>
      <c r="E114" s="371"/>
      <c r="F114" s="371"/>
      <c r="G114" s="249"/>
    </row>
    <row r="115" spans="1:7" x14ac:dyDescent="0.2">
      <c r="A115" s="249"/>
      <c r="B115" s="38" t="b">
        <v>0</v>
      </c>
      <c r="C115" s="38" t="str">
        <f ca="1">语言!$A$298</f>
        <v>托付龙蛋的少女艾蜜莉（１）</v>
      </c>
      <c r="D115" s="38" t="str">
        <f ca="1">IFERROR(__xludf.DUMMYFUNCTION("TRIM(REGEXEXTRACT(Language!$A$1852, ""[^\n/]*[^/]""))"),"Egg-seeking Girl's")</f>
        <v>Egg-seeking Girl's</v>
      </c>
      <c r="E115" s="38" t="str">
        <f ca="1">IFERROR(__xludf.DUMMYFUNCTION("""Requires ""&amp;Language!$A$41&amp;"" Chapter 1 completed
""&amp;Language!$A$45&amp;"" / ""&amp;Language!$A$49&amp;"": ""&amp;Inventory!$F$69&amp;"" (""&amp;Language!$A$33&amp;"") from ""&amp;Language!$A$1884&amp;"" (""&amp;Language!$A$436&amp;"") and give to ""&amp;TRIM(REGEXEXTRACT(Language!$A$1852, ""[^\n/]*["&amp;"^/]""))"),"Requires Therion Chapter 1 completed
Scrutinize / Inquire: Giant Egg (A Hidden Item) from Friendly Farmer (West Clearbrook Traverse) and give to Egg-seeking Girl's")</f>
        <v>Requires Therion Chapter 1 completed
Scrutinize / Inquire: Giant Egg (A Hidden Item) from Friendly Farmer (West Clearbrook Traverse) and give to Egg-seeking Girl's</v>
      </c>
      <c r="F115" s="38" t="str">
        <f ca="1">"1 500$
"&amp;语言!$A$567</f>
        <v>1 500$
增强速度的坚果</v>
      </c>
      <c r="G115" s="249"/>
    </row>
    <row r="116" spans="1:7" x14ac:dyDescent="0.2">
      <c r="A116" s="249"/>
      <c r="B116" s="38" t="b">
        <v>0</v>
      </c>
      <c r="C116" s="38" t="str">
        <f ca="1">语言!$A$299</f>
        <v>命中注定之人（１）</v>
      </c>
      <c r="D116" s="38" t="str">
        <f ca="1">语言!$A$1766</f>
        <v>阿尔法丝</v>
      </c>
      <c r="E116" s="38" t="str">
        <f ca="1">"Requires "&amp;语言!$A$41&amp;" Chapter 1 completed
"&amp;语言!$A$47&amp;" / "&amp;语言!$A$51&amp;": "&amp;语言!$A$1766</f>
        <v>Requires 泰里翁 Chapter 1 completed
比试 / 唆使: 阿尔法丝</v>
      </c>
      <c r="F116" s="38" t="s">
        <v>19</v>
      </c>
      <c r="G116" s="249"/>
    </row>
    <row r="117" spans="1:7" x14ac:dyDescent="0.2">
      <c r="A117" s="249"/>
      <c r="B117" s="38" t="b">
        <v>0</v>
      </c>
      <c r="C117" s="38" t="str">
        <f ca="1">语言!$A$300</f>
        <v>谋反的火种</v>
      </c>
      <c r="D117" s="38" t="str">
        <f ca="1">语言!$A$2077</f>
        <v>认真的卫兵</v>
      </c>
      <c r="E117" s="38" t="str">
        <f ca="1">"Requires "&amp;语言!$A$41&amp;" Chapter 1 completed
Solution 1 - "&amp;语言!$A$45&amp;" / "&amp;语言!$A$49&amp;": "&amp;道具!$I$41&amp;" from "&amp;语言!$A$1861&amp;" ("&amp;语言!$A$457&amp;") and share with "&amp;语言!$A$2031&amp;" ("&amp;语言!$A$457&amp;")
Solution 2 - "&amp;语言!$A$46&amp;" / "&amp;语言!$A$50&amp;": "&amp;道具!$F$43&amp;", "&amp;道具!$F$44&amp;" and "&amp;道具!$F$45&amp;" from all 3 "&amp;语言!$A$2030&amp;" ("&amp;语言!$A$457&amp;") and give them to "&amp;语言!$A$2077</f>
        <v>Requires 泰里翁 Chapter 1 completed
Solution 1 - 探查 / 打听: 改善贫民生活计画 from 聪颖的贵族 (柏达弗尔) and share with 贫民领袖 (柏达弗尔)
Solution 2 - 购买 / 偷取: 反乱之斧, 革命之剑 and 反逆之枪 from all 3 贫民 (柏达弗尔) and give them to 认真的卫兵</v>
      </c>
      <c r="F117" s="38" t="s">
        <v>34</v>
      </c>
      <c r="G117" s="249"/>
    </row>
    <row r="118" spans="1:7" x14ac:dyDescent="0.2">
      <c r="A118" s="249"/>
      <c r="B118" s="38" t="b">
        <v>0</v>
      </c>
      <c r="C118" s="38" t="str">
        <f ca="1">语言!$A$301</f>
        <v>盗贼的规矩</v>
      </c>
      <c r="D118" s="38" t="str">
        <f ca="1">语言!$A$2116</f>
        <v>老练的盗贼</v>
      </c>
      <c r="E118" s="38" t="str">
        <f ca="1">IFERROR(__xludf.DUMMYFUNCTION("""Requires ""&amp;Language!$A$41&amp;"" Chapter 1 completed
Solution 1 - ""&amp;Language!$A$44&amp;"" / ""&amp;Language!$A$48&amp;"": ""&amp;TRIM(REGEXEXTRACT(Language!$A$1872, ""[^\n/]*[^/]""))&amp;"" (""&amp;Language!$A$414&amp;"") and bring him to ""&amp;Language!$A$2116&amp;"" (requires ""&amp;Language"&amp;"!$A$39&amp;"" chapter 1 completed)
Solution 2 - ""&amp;Language!$A$45&amp;"" / ""&amp;Language!$A$49&amp;"": ""&amp;Inventory!$I$34&amp;"" from ""&amp;Language!$A$2021&amp;"" (""&amp;Language!$A$483&amp;"") and share info with ""&amp;Language!$A$2116"),"Requires Therion Chapter 1 completed
Solution 1 - Guide / Allure: Faltering Youth (Sunshade) and bring him to Veteran Brigand (requires Primrose chapter 1 completed)
Solution 2 - Scrutinize / Inquire: Marta's Gang from Orphanage Matron (Victors Hollow) an"&amp;"d share info with Veteran Brigand")</f>
        <v>Requires Therion Chapter 1 completed
Solution 1 - Guide / Allure: Faltering Youth (Sunshade) and bring him to Veteran Brigand (requires Primrose chapter 1 completed)
Solution 2 - Scrutinize / Inquire: Marta's Gang from Orphanage Matron (Victors Hollow) and share info with Veteran Brigand</v>
      </c>
      <c r="F118" s="38" t="str">
        <f ca="1">"2 400$
"&amp;语言!$A$936</f>
        <v>2 400$
守备的饰章</v>
      </c>
      <c r="G118" s="249"/>
    </row>
    <row r="119" spans="1:7" x14ac:dyDescent="0.2">
      <c r="A119" s="249"/>
      <c r="B119" s="38" t="b">
        <v>0</v>
      </c>
      <c r="C119" s="38" t="str">
        <f ca="1">语言!$A$302</f>
        <v>希斯柯特，在那之后</v>
      </c>
      <c r="D119" s="38" t="str">
        <f ca="1">语言!$A$1914</f>
        <v>希斯柯特</v>
      </c>
      <c r="E119" s="38" t="str">
        <f ca="1">IFERROR(__xludf.DUMMYFUNCTION("""Requires ""&amp;Language!$A$41&amp;"" Chapter 4 completed
""&amp;Language!$A$44&amp;"" / ""&amp;Language!$A$48&amp;"": ""&amp;TRIM(REGEXEXTRACT(Language!$A$2015, ""[^\n/]*[^/]""))&amp;"" (""&amp;Language!$A$360&amp;"") and bring him to ""&amp;Language!$A$1914"),"Requires Therion Chapter 4 completed
Guide / Allure: Old Man (Wispermill) and bring him to Heathcote")</f>
        <v>Requires Therion Chapter 4 completed
Guide / Allure: Old Man (Wispermill) and bring him to Heathcote</v>
      </c>
      <c r="F119" s="38" t="str">
        <f ca="1">"12 000$
"&amp;语言!$A$685</f>
        <v>12 000$
希斯柯特的短剑</v>
      </c>
      <c r="G119" s="249"/>
    </row>
    <row r="120" spans="1:7" x14ac:dyDescent="0.2">
      <c r="A120" s="249"/>
      <c r="B120" s="608" t="str">
        <f ca="1">语言!$A$464</f>
        <v>库欧利克雷斯特</v>
      </c>
      <c r="C120" s="371"/>
      <c r="D120" s="371"/>
      <c r="E120" s="371"/>
      <c r="F120" s="371"/>
      <c r="G120" s="249"/>
    </row>
    <row r="121" spans="1:7" x14ac:dyDescent="0.2">
      <c r="A121" s="249"/>
      <c r="B121" s="38" t="b">
        <v>0</v>
      </c>
      <c r="C121" s="38" t="str">
        <f ca="1">语言!$A$303</f>
        <v>托付龙蛋的少女艾蜜莉（２）</v>
      </c>
      <c r="D121" s="38" t="str">
        <f ca="1">IFERROR(__xludf.DUMMYFUNCTION("TRIM(REGEXEXTRACT(Language!$A$1852, "".*$""))"),"Kaia")</f>
        <v>Kaia</v>
      </c>
      <c r="E121" s="38" t="str">
        <f ca="1">IFERROR(__xludf.DUMMYFUNCTION("""Requires ""&amp;Quests!$C$115&amp;"" completed
""&amp;Language!$A$44&amp;"" / ""&amp;Language!$A$48&amp;"": ""&amp;Language!$A$2091&amp;"" (""&amp;Language!$A$464&amp;"") and bring him to ""&amp;TRIM(REGEXEXTRACT(Language!$A$1852, "".*$""))"),"Requires Kaia, Mother of Dragon (I) completed
Guide / Allure: The Egg Man (Quarrycrest) and bring him to Kaia")</f>
        <v>Requires Kaia, Mother of Dragon (I) completed
Guide / Allure: The Egg Man (Quarrycrest) and bring him to Kaia</v>
      </c>
      <c r="F121" s="38" t="str">
        <f ca="1">"6 600$
"&amp;语言!$A$568</f>
        <v>6 600$
增强速度的坚果（大）</v>
      </c>
      <c r="G121" s="249"/>
    </row>
    <row r="122" spans="1:7" x14ac:dyDescent="0.2">
      <c r="A122" s="249"/>
      <c r="B122" s="38" t="b">
        <v>0</v>
      </c>
      <c r="C122" s="38" t="str">
        <f ca="1">语言!$A$304</f>
        <v>纺织工房的转机</v>
      </c>
      <c r="D122" s="38" t="str">
        <f ca="1">语言!$A$1890</f>
        <v>善治</v>
      </c>
      <c r="E122" s="38" t="str">
        <f ca="1">"Solution 1 - "&amp;语言!$A$45&amp;" / "&amp;语言!$A$49&amp;": "&amp;道具!$I$4&amp;" from "&amp;语言!$A$1873&amp;" ("&amp;语言!$A$354&amp;") and share info with "&amp;语言!$A$1890&amp;"
Solution 2 - "&amp;语言!$A$46&amp;" / "&amp;语言!$A$50&amp;": "&amp;道具!$F$54&amp;" from "&amp;语言!$A$1890&amp;" and give to "&amp;语言!$A$2064&amp;" ("&amp;语言!$A$325&amp;")"</f>
        <v>Solution 1 - 探查 / 打听: 纺织品的活用法 from 会自制用品的旅人 (诺布尔寇德) and share info with 善治
Solution 2 - 购买 / 偷取: 善治的地毯 from 善治 and give to 怕冷的居民 (弗雷姆葛雷斯)</v>
      </c>
      <c r="F122" s="38" t="str">
        <f ca="1">"6 500$
"&amp;语言!$A$969</f>
        <v>6 500$
纺织者的护身符</v>
      </c>
      <c r="G122" s="249"/>
    </row>
    <row r="123" spans="1:7" x14ac:dyDescent="0.2">
      <c r="A123" s="249"/>
      <c r="B123" s="38" t="b">
        <v>0</v>
      </c>
      <c r="C123" s="38" t="str">
        <f ca="1">语言!$A$305</f>
        <v>采掘工人的烦恼</v>
      </c>
      <c r="D123" s="38" t="str">
        <f ca="1">语言!$A$1984</f>
        <v>开采工人</v>
      </c>
      <c r="E123" s="38" t="str">
        <f ca="1">语言!$A$46&amp;" / "&amp;语言!$A$50&amp;": "&amp;道具!$F$53&amp;" from "&amp;语言!$A$2079&amp;" ("&amp;语言!$A$372&amp;") and give it to "&amp;语言!$A$1984</f>
        <v>购买 / 偷取: 欧亚威尔产磨刀石 from 石匠 (葛鲁德修亚) and give it to 开采工人</v>
      </c>
      <c r="F123" s="38" t="str">
        <f ca="1">"9 000$
"&amp;语言!$A$558&amp;"
"&amp;语言!$A$564</f>
        <v>9 000$
增强命中的坚果
增强会心的坚果</v>
      </c>
      <c r="G123" s="249"/>
    </row>
    <row r="124" spans="1:7" x14ac:dyDescent="0.2">
      <c r="A124" s="249"/>
      <c r="B124" s="38" t="b">
        <v>0</v>
      </c>
      <c r="C124" s="38" t="str">
        <f ca="1">语言!$A$306</f>
        <v>雷布洛与奥黛特，在那之后</v>
      </c>
      <c r="D124" s="38" t="str">
        <f ca="1">语言!$A$2046</f>
        <v>雷布洛男爵</v>
      </c>
      <c r="E124" s="38" t="str">
        <f ca="1">"Requires both "&amp;语言!$A$36&amp;" and "&amp;语言!$A$39&amp;" chapter 4 completed
"&amp;语言!$A$45&amp;" / "&amp;语言!$A$49&amp;": "&amp;道具!$I$62&amp;" from "&amp;语言!$A$2010&amp;" ("&amp;语言!$A$464&amp;") and share info with "&amp;语言!$A$2046&amp;" ("&amp;语言!$A$354&amp;")"</f>
        <v>Requires both 赛拉斯 and 普里姆萝洁 chapter 4 completed
探查 / 打听: 不去扫墓的理由 from 学者奥黛特 (库欧利克雷斯特) and share info with 雷布洛男爵 (诺布尔寇德)</v>
      </c>
      <c r="F124" s="38" t="str">
        <f ca="1">"9 000$
"&amp;语言!$A$841</f>
        <v>9 000$
雷布洛的头盔</v>
      </c>
      <c r="G124" s="249"/>
    </row>
    <row r="125" spans="1:7" x14ac:dyDescent="0.2">
      <c r="A125" s="249"/>
      <c r="B125" s="608" t="str">
        <f ca="1">语言!$A$471</f>
        <v>欧亚威尔</v>
      </c>
      <c r="C125" s="371"/>
      <c r="D125" s="371"/>
      <c r="E125" s="371"/>
      <c r="F125" s="371"/>
      <c r="G125" s="249"/>
    </row>
    <row r="126" spans="1:7" x14ac:dyDescent="0.2">
      <c r="A126" s="249"/>
      <c r="B126" s="38" t="b">
        <v>0</v>
      </c>
      <c r="C126" s="38" t="str">
        <f ca="1">语言!$A$307</f>
        <v>托付龙蛋的少女艾蜜莉（３）</v>
      </c>
      <c r="D126" s="38" t="str">
        <f ca="1">IFERROR(__xludf.DUMMYFUNCTION("TRIM(REGEXEXTRACT(Language!$A$1852, "".*$""))"),"Kaia")</f>
        <v>Kaia</v>
      </c>
      <c r="E126" s="38" t="str">
        <f ca="1">IFERROR(__xludf.DUMMYFUNCTION("""Requires ""&amp;Quests!$C$121&amp;"" completed
""&amp;Language!$A$47&amp;"" / ""&amp;Language!$A$51&amp;"": ""&amp;Language!$A$1840&amp;"" (""&amp;Language!$A$473&amp;"") and give back ""&amp;Inventory!$F$77&amp;"" to ""&amp;TRIM(REGEXEXTRACT(Language!$A$1852, "".*$""))"),"Requires Kaia, Mother of Dragon (II) completed
Challenge / Provoke: Curious Cleric (Dragonsong Fane) and give back Dragon Egg to Kaia")</f>
        <v>Requires Kaia, Mother of Dragon (II) completed
Challenge / Provoke: Curious Cleric (Dragonsong Fane) and give back Dragon Egg to Kaia</v>
      </c>
      <c r="F126" s="38" t="str">
        <f ca="1">"11 000$
"&amp;语言!$A$885&amp;"
"&amp;语言!$A$569</f>
        <v>11 000$
龙姬之衣
增强速度的坚果（特大）</v>
      </c>
      <c r="G126" s="249"/>
    </row>
    <row r="127" spans="1:7" x14ac:dyDescent="0.2">
      <c r="A127" s="249"/>
      <c r="B127" s="38" t="b">
        <v>0</v>
      </c>
      <c r="C127" s="38" t="str">
        <f ca="1">语言!$A$308</f>
        <v>不成器的儿子</v>
      </c>
      <c r="D127" s="38" t="str">
        <f ca="1">IFERROR(__xludf.DUMMYFUNCTION("TRIM(REGEXEXTRACT(Language!$A$1986, ""[^\n/]*[^/]""))"),"Miserable Mother")</f>
        <v>Miserable Mother</v>
      </c>
      <c r="E127" s="38" t="str">
        <f ca="1">IFERROR(__xludf.DUMMYFUNCTION("Language!$A$44&amp;"" / ""&amp;Language!$A$48&amp;"": ""&amp;TRIM(REGEXEXTRACT(Language!$A$2078, ""[^\n/]*[^/]""))&amp;"" (""&amp;Language!$A$428&amp;"") and bring him to ""&amp;TRIM(REGEXEXTRACT(Language!$A$1986, ""[^\n/]*[^/]""))"),"Guide / Allure: Stern Knight (Marsalim) and bring him to Miserable Mother")</f>
        <v>Guide / Allure: Stern Knight (Marsalim) and bring him to Miserable Mother</v>
      </c>
      <c r="F127" s="38" t="str">
        <f ca="1">"9 000$
"&amp;语言!$A$510</f>
        <v>9 000$
复活的橄榄（特大）</v>
      </c>
      <c r="G127" s="249"/>
    </row>
    <row r="128" spans="1:7" x14ac:dyDescent="0.2">
      <c r="A128" s="249"/>
      <c r="B128" s="38" t="b">
        <v>0</v>
      </c>
      <c r="C128" s="38" t="str">
        <f ca="1">语言!$A$309</f>
        <v>无路可退的男子</v>
      </c>
      <c r="D128" s="38" t="str">
        <f ca="1">IFERROR(__xludf.DUMMYFUNCTION("TRIM(REGEXEXTRACT(Language!$A$2080, ""[^\n/]*[^/]""))"),"Struggling Merchant")</f>
        <v>Struggling Merchant</v>
      </c>
      <c r="E128" s="38" t="str">
        <f ca="1">IFERROR(__xludf.DUMMYFUNCTION("""Solution 1 - ""&amp;Language!$A$45&amp;"" / ""&amp;Language!$A$49&amp;"": ""&amp;Inventory!$I$51&amp;"" from ""&amp;Language!$A$1943&amp;"" (""&amp;Language!$A$346&amp;"") and share info with ""&amp;TRIM(REGEXEXTRACT(Language!$A$2080, ""[^\n/]*[^/]""))&amp;""
Solution 2 - ""&amp;Language!$A$47&amp;"" / ""&amp;La"&amp;"nguage!$A$51&amp;"": ""&amp;TRIM(REGEXEXTRACT(Language!$A$2080, ""[^\n/]*[^/]""))"),"Solution 1 - Scrutinize / Inquire: The Jellypeno from Know-it-all Milo (Atlasdam) and share info with Struggling Merchant
Solution 2 - Challenge / Provoke: Struggling Merchant")</f>
        <v>Solution 1 - Scrutinize / Inquire: The Jellypeno from Know-it-all Milo (Atlasdam) and share info with Struggling Merchant
Solution 2 - Challenge / Provoke: Struggling Merchant</v>
      </c>
      <c r="F128" s="38" t="str">
        <f ca="1">"11 000$
"&amp;语言!$A$506</f>
        <v>11 000$
ＨＰ／ＳＰ恢复的果酱</v>
      </c>
      <c r="G128" s="249"/>
    </row>
    <row r="129" spans="1:7" x14ac:dyDescent="0.2">
      <c r="A129" s="249"/>
      <c r="B129" s="249"/>
      <c r="C129" s="249"/>
      <c r="D129" s="249"/>
      <c r="E129" s="249"/>
      <c r="F129" s="249"/>
      <c r="G129" s="249"/>
    </row>
    <row r="130" spans="1:7" x14ac:dyDescent="0.2">
      <c r="A130" s="580" t="str">
        <f ca="1">语言!$A$476</f>
        <v>伍多兰多地区</v>
      </c>
      <c r="B130" s="371"/>
      <c r="C130" s="371"/>
      <c r="D130" s="257"/>
      <c r="E130" s="257"/>
      <c r="F130" s="257"/>
      <c r="G130" s="257"/>
    </row>
    <row r="131" spans="1:7" x14ac:dyDescent="0.2">
      <c r="A131" s="246"/>
      <c r="B131" s="607" t="str">
        <f ca="1">语言!$A$477</f>
        <v>希・沃尔基</v>
      </c>
      <c r="C131" s="371"/>
      <c r="D131" s="371"/>
      <c r="E131" s="371"/>
      <c r="F131" s="371"/>
      <c r="G131" s="246"/>
    </row>
    <row r="132" spans="1:7" x14ac:dyDescent="0.2">
      <c r="A132" s="246"/>
      <c r="B132" s="24" t="b">
        <v>0</v>
      </c>
      <c r="C132" s="24" t="str">
        <f ca="1">语言!$A$310</f>
        <v>魔物操控人的末裔阿什兰（１）</v>
      </c>
      <c r="D132" s="24" t="str">
        <f ca="1">语言!$A$1784</f>
        <v>阿什兰</v>
      </c>
      <c r="E132" s="24" t="str">
        <f ca="1">"Requires "&amp;语言!$A$42&amp;" Chapter 1 completed
"&amp;语言!$A$45&amp;" / "&amp;语言!$A$49&amp;": "&amp;道具!$I$44&amp;" from "&amp;语言!$A$2016&amp;" ("&amp;语言!$A$477&amp;") and share info with "&amp;语言!$A$1784</f>
        <v>Requires 海茵特 Chapter 1 completed
探查 / 打听: 魔物操控人的传说 from 讲述传说的老人 (希・沃尔基) and share info with 阿什兰</v>
      </c>
      <c r="F132" s="24" t="str">
        <f ca="1">"1 500$
"&amp;语言!$A$561</f>
        <v>1 500$
增强回避的坚果</v>
      </c>
      <c r="G132" s="246"/>
    </row>
    <row r="133" spans="1:7" x14ac:dyDescent="0.2">
      <c r="A133" s="246"/>
      <c r="B133" s="24" t="b">
        <v>0</v>
      </c>
      <c r="C133" s="24" t="str">
        <f ca="1">语言!$A$311</f>
        <v>成人的仪式</v>
      </c>
      <c r="D133" s="24" t="str">
        <f ca="1">IFERROR(__xludf.DUMMYFUNCTION("TRIM(REGEXEXTRACT(Language!$A$1787, ""[^\n/]*[^/]""))"),"Aspiring Hunter")</f>
        <v>Aspiring Hunter</v>
      </c>
      <c r="E133" s="24" t="str">
        <f ca="1">IFERROR(__xludf.DUMMYFUNCTION("""Requires ""&amp;Language!$A$42&amp;"" Chapter 1 completed
Solution 1 - ""&amp;Language!$A$45&amp;"" / ""&amp;Language!$A$49&amp;"": ""&amp;Inventory!$I$59&amp;"" from ""&amp;Language!$A$2048&amp;"" (""&amp;Language!$A$478&amp;"") and share info with ""&amp;TRIM(REGEXEXTRACT(Language!$A$1787, ""[^\n/]*[^/"&amp;"]""))&amp;""
Solution 2 - ""&amp;Language!$A$46&amp;"" / ""&amp;Language!$A$50&amp;"": ""&amp;Inventory!$F$46&amp;"" from ""&amp;Language!$A$2006&amp;"" (""&amp;Language!$A$478&amp;"") and give it to ""&amp;TRIM(REGEXEXTRACT(Language!$A$1787, ""[^\n/]*[^/]""))"),"Requires H'aanit Chapter 1 completed
Solution 1 - Scrutinize / Inquire: Where the Giant Boar Roams from Roving Naturalist (North S'warkii Trail) and share info with Aspiring Hunter
Solution 2 - Purchase / Steal: Giant Tusk from Nomadic Hunter (North S'war"&amp;"kii Trail) and give it to Aspiring Hunter")</f>
        <v>Requires H'aanit Chapter 1 completed
Solution 1 - Scrutinize / Inquire: Where the Giant Boar Roams from Roving Naturalist (North S'warkii Trail) and share info with Aspiring Hunter
Solution 2 - Purchase / Steal: Giant Tusk from Nomadic Hunter (North S'warkii Trail) and give it to Aspiring Hunter</v>
      </c>
      <c r="F133" s="24" t="str">
        <f ca="1">"1 500$
"&amp;语言!$A$506</f>
        <v>1 500$
ＨＰ／ＳＰ恢复的果酱</v>
      </c>
      <c r="G133" s="246"/>
    </row>
    <row r="134" spans="1:7" x14ac:dyDescent="0.2">
      <c r="A134" s="246"/>
      <c r="B134" s="24" t="b">
        <v>0</v>
      </c>
      <c r="C134" s="24" t="str">
        <f ca="1">语言!$A$312</f>
        <v>森林的指路牌</v>
      </c>
      <c r="D134" s="24" t="str">
        <f ca="1">语言!$A$1892</f>
        <v>好脾气的妻子</v>
      </c>
      <c r="E134" s="24" t="str">
        <f ca="1">"Requires "&amp;语言!$A$42&amp;" Chapter 1 completed
"&amp;语言!$A$44&amp;" / "&amp;语言!$A$48&amp;": "&amp;语言!$A$1892&amp;" and bring her to "&amp;语言!$A$1925&amp;" ("&amp;语言!$A$457&amp;")"</f>
        <v>Requires 海茵特 Chapter 1 completed
引导 / 诱惑: 好脾气的妻子 and bring her to 不惜努力的丈夫 (柏达弗尔)</v>
      </c>
      <c r="F134" s="24" t="str">
        <f ca="1">"1 500$
"&amp;语言!$A$552&amp;"
"&amp;语言!$A$564</f>
        <v>1 500$
增强属攻的坚果
增强会心的坚果</v>
      </c>
      <c r="G134" s="246"/>
    </row>
    <row r="135" spans="1:7" x14ac:dyDescent="0.2">
      <c r="A135" s="246"/>
      <c r="B135" s="607" t="str">
        <f ca="1">语言!$A$479</f>
        <v>西希・沃尔基森道</v>
      </c>
      <c r="C135" s="371"/>
      <c r="D135" s="371"/>
      <c r="E135" s="371"/>
      <c r="F135" s="371"/>
      <c r="G135" s="246"/>
    </row>
    <row r="136" spans="1:7" x14ac:dyDescent="0.2">
      <c r="A136" s="246"/>
      <c r="B136" s="24" t="b">
        <v>0</v>
      </c>
      <c r="C136" s="24" t="str">
        <f ca="1">语言!$A$313</f>
        <v>团长与阿尔法丝，在那之后</v>
      </c>
      <c r="D136" s="24" t="str">
        <f ca="1">语言!$A$1923</f>
        <v>流浪剧团团长</v>
      </c>
      <c r="E136" s="24" t="str">
        <f ca="1">"Requires "&amp;支线!$C$51&amp;" &amp; "&amp;支线!$C$102&amp;" &amp; all 8 main story completed
Beat: "&amp;敌人!$C$505</f>
        <v>Requires 寻找父亲的旅行者克里斯（２） &amp; 命中注定之人（２） &amp; all 8 main story completed
Beat: 碧眼之虎</v>
      </c>
      <c r="F136" s="24" t="s">
        <v>14</v>
      </c>
      <c r="G136" s="246"/>
    </row>
    <row r="137" spans="1:7" x14ac:dyDescent="0.2">
      <c r="A137" s="246"/>
      <c r="B137" s="607" t="str">
        <f ca="1">语言!$A$483</f>
        <v>维克塔霍洛</v>
      </c>
      <c r="C137" s="371"/>
      <c r="D137" s="371"/>
      <c r="E137" s="371"/>
      <c r="F137" s="371"/>
      <c r="G137" s="246"/>
    </row>
    <row r="138" spans="1:7" x14ac:dyDescent="0.2">
      <c r="A138" s="246"/>
      <c r="B138" s="24" t="b">
        <v>0</v>
      </c>
      <c r="C138" s="24" t="str">
        <f ca="1">语言!$A$314</f>
        <v>魔物操控人的末裔阿什兰（２）</v>
      </c>
      <c r="D138" s="24" t="str">
        <f ca="1">语言!$A$1784</f>
        <v>阿什兰</v>
      </c>
      <c r="E138" s="24" t="str">
        <f ca="1">"Requires "&amp;支线!$C$132&amp;" completed
"&amp;语言!$A$46&amp;" / "&amp;语言!$A$50&amp;": "&amp;道具!$F$64&amp;" from "&amp;语言!$A$1988&amp;" ("&amp;语言!$A$483&amp;") and give to "&amp;语言!$A$1784</f>
        <v>Requires 魔物操控人的末裔阿什兰（１） completed
购买 / 偷取: 魔剑「大蛇杀手」 from 专打魔物的剑斗士 (维克塔霍洛) and give to 阿什兰</v>
      </c>
      <c r="F138" s="24" t="str">
        <f ca="1">"6 600$
"&amp;语言!$A$562</f>
        <v>6 600$
增强回避的坚果（大）</v>
      </c>
      <c r="G138" s="246"/>
    </row>
    <row r="139" spans="1:7" x14ac:dyDescent="0.2">
      <c r="A139" s="246"/>
      <c r="B139" s="24" t="b">
        <v>0</v>
      </c>
      <c r="C139" s="24" t="str">
        <f ca="1">语言!$A$315</f>
        <v>成为剑斗士的憧憬</v>
      </c>
      <c r="D139" s="24" t="str">
        <f ca="1">IFERROR(__xludf.DUMMYFUNCTION("TRIM(REGEXEXTRACT(Language!$A$1957, ""[^\n/]*[^/]""))"),"Listless Gladiator")</f>
        <v>Listless Gladiator</v>
      </c>
      <c r="E139" s="24" t="str">
        <f ca="1">IFERROR(__xludf.DUMMYFUNCTION("""Solution 1 - ""&amp;Language!$A$45&amp;"" / ""&amp;Language!$A$49&amp;"": ""&amp;Inventory!$I$21&amp;"" from ""&amp;Language!$A$1848&amp;"" (""&amp;Language!$A$483&amp;"") and share info with ""&amp;TRIM(REGEXEXTRACT(Language!$A$1957, ""[^\n/]*[^/]""))&amp;""
Solution 2 - ""&amp;Language!$A$47&amp;"" / ""&amp;La"&amp;"nguage!$A$51&amp;"": ""&amp;TRIM(REGEXEXTRACT(Language!$A$1957, ""[^\n/]*[^/]""))"),"Solution 1 - Scrutinize / Inquire: Father and Fighter from Doting Aunt (Victors Hollow) and share info with Listless Gladiator
Solution 2 - Challenge / Provoke: Listless Gladiator")</f>
        <v>Solution 1 - Scrutinize / Inquire: Father and Fighter from Doting Aunt (Victors Hollow) and share info with Listless Gladiator
Solution 2 - Challenge / Provoke: Listless Gladiator</v>
      </c>
      <c r="F139" s="24" t="str">
        <f ca="1">"4 800$
"&amp;语言!$A$506</f>
        <v>4 800$
ＨＰ／ＳＰ恢复的果酱</v>
      </c>
      <c r="G139" s="246"/>
    </row>
    <row r="140" spans="1:7" x14ac:dyDescent="0.2">
      <c r="A140" s="246"/>
      <c r="B140" s="24" t="b">
        <v>0</v>
      </c>
      <c r="C140" s="24" t="str">
        <f ca="1">语言!$A$316</f>
        <v>绑架</v>
      </c>
      <c r="D140" s="24" t="str">
        <f ca="1">语言!$A$1948</f>
        <v>寡言的父亲</v>
      </c>
      <c r="E140" s="24" t="str">
        <f ca="1">"Beat "&amp;敌人!$C$507&amp;" ("&amp;语言!$A$488&amp;"), then "&amp;语言!$A$44&amp;" / "&amp;语言!$A$48&amp;": "&amp;语言!$A$1857&amp;" and bring her to "&amp;语言!$A$1948</f>
        <v>Beat 食人花 (不归之森), then 引导 / 诱惑: 爱莉 and bring her to 寡言的父亲</v>
      </c>
      <c r="F140" s="24" t="str">
        <f ca="1">"9 000$
"&amp;语言!$A$628</f>
        <v>9 000$
召唤死亡之剑</v>
      </c>
      <c r="G140" s="246"/>
    </row>
    <row r="141" spans="1:7" x14ac:dyDescent="0.2">
      <c r="A141" s="246"/>
      <c r="B141" s="24" t="b">
        <v>0</v>
      </c>
      <c r="C141" s="24" t="str">
        <f ca="1">语言!$A$317</f>
        <v>下注的事前准备</v>
      </c>
      <c r="D141" s="24" t="str">
        <f ca="1">IFERROR(__xludf.DUMMYFUNCTION("TRIM(REGEXEXTRACT(Language!$A$1887, ""[^\n/]*[^/]""))"),"Gambler")</f>
        <v>Gambler</v>
      </c>
      <c r="E141" s="24" t="str">
        <f ca="1">IFERROR(__xludf.DUMMYFUNCTION("Language!$A$45&amp;"" / ""&amp;Language!$A$49&amp;"": ""&amp;Inventory!$I$20&amp;"" and ""&amp;Inventory!$I$36&amp;"" from both ""&amp;Language!$A$1870&amp;"" and ""&amp;Language!$A$1989&amp;"" (""&amp;Language!$A$483&amp;"") and share info with ""&amp;TRIM(REGEXEXTRACT(Language!$A$1887, ""[^\n/]*[^/]""))"),"Scrutinize / Inquire: Estadas's Condition and Mont d'Or's Condition from both Estadas and Mont d'Or (Victors Hollow) and share info with Gambler")</f>
        <v>Scrutinize / Inquire: Estadas's Condition and Mont d'Or's Condition from both Estadas and Mont d'Or (Victors Hollow) and share info with Gambler</v>
      </c>
      <c r="F141" s="24" t="str">
        <f ca="1">"4 800$
3 x "&amp;语言!$A$499</f>
        <v>4 800$
3 x ＨＰ全体恢复的葡萄</v>
      </c>
      <c r="G141" s="246"/>
    </row>
    <row r="142" spans="1:7" x14ac:dyDescent="0.2">
      <c r="A142" s="246"/>
      <c r="B142" s="24" t="b">
        <v>0</v>
      </c>
      <c r="C142" s="24" t="str">
        <f ca="1">语言!$A$318</f>
        <v>亚雷克，在那之后</v>
      </c>
      <c r="D142" s="24" t="str">
        <f ca="1">语言!$A$1764</f>
        <v>保镖亚雷克</v>
      </c>
      <c r="E142" s="24" t="str">
        <f ca="1">"Requires "&amp;语言!$A$42&amp;" chapter 4 completed
"&amp;语言!$A$44&amp;" / "&amp;语言!$A$48&amp;": "&amp;语言!$A$1764&amp;", bring him to "&amp;语言!$A$1626&amp;" ("&amp;语言!$A$488&amp;") and beat him"</f>
        <v>Requires 海茵特 chapter 4 completed
引导 / 诱惑: 保镖亚雷克, bring him to 盗贼团头目 (不归之森) and beat him</v>
      </c>
      <c r="F142" s="24" t="str">
        <f ca="1">"9 000$
"&amp;语言!$A$749</f>
        <v>9 000$
古来弓・岚</v>
      </c>
      <c r="G142" s="246"/>
    </row>
    <row r="143" spans="1:7" x14ac:dyDescent="0.2">
      <c r="A143" s="246"/>
      <c r="B143" s="607" t="str">
        <f ca="1">语言!$A$491</f>
        <v>达斯克瓦罗</v>
      </c>
      <c r="C143" s="371"/>
      <c r="D143" s="371"/>
      <c r="E143" s="371"/>
      <c r="F143" s="371"/>
      <c r="G143" s="246"/>
    </row>
    <row r="144" spans="1:7" x14ac:dyDescent="0.2">
      <c r="A144" s="246"/>
      <c r="B144" s="24" t="b">
        <v>0</v>
      </c>
      <c r="C144" s="24" t="str">
        <f ca="1">语言!$A$319</f>
        <v>魔物操控人的末裔阿什兰（３）</v>
      </c>
      <c r="D144" s="24" t="str">
        <f ca="1">语言!$A$1784</f>
        <v>阿什兰</v>
      </c>
      <c r="E144" s="24" t="str">
        <f ca="1">"Requires "&amp;支线!$C$138&amp;" completed
"&amp;语言!$A$44&amp;" / "&amp;语言!$A$48&amp;": "&amp;语言!$A$1784&amp;" and bring him to "&amp;语言!$A$1785&amp;" ("&amp;语言!$A$493&amp;")"</f>
        <v>Requires 魔物操控人的末裔阿什兰（２） completed
引导 / 诱惑: 阿什兰 and bring him to 阿什兰的父亲 (失落的遗迹)</v>
      </c>
      <c r="F144" s="24" t="str">
        <f ca="1">"11 000$
"&amp;语言!$A$835&amp;"
"&amp;语言!$A$563</f>
        <v>11 000$
魔物操控人的帽子
增强回避的坚果（特大）</v>
      </c>
      <c r="G144" s="246"/>
    </row>
    <row r="145" spans="1:7" x14ac:dyDescent="0.2">
      <c r="A145" s="246"/>
      <c r="B145" s="24" t="b">
        <v>0</v>
      </c>
      <c r="C145" s="24" t="str">
        <f ca="1">语言!$A$320</f>
        <v>破坏遗迹的盗掘者</v>
      </c>
      <c r="D145" s="24" t="str">
        <f ca="1">语言!$A$2007</f>
        <v>不善拒绝的商人</v>
      </c>
      <c r="E145" s="24" t="str">
        <f ca="1">语言!$A$47&amp;" / "&amp;语言!$A$51&amp;": "&amp;语言!$A$1901&amp;" ("&amp;语言!$A$493&amp;")"</f>
        <v>比试 / 唆使: 盗挖者 (失落的遗迹)</v>
      </c>
      <c r="F145" s="24" t="str">
        <f ca="1">"4 000$
"&amp;语言!$A$505</f>
        <v>4 000$
ＢＰ恢复的石榴（特大）</v>
      </c>
      <c r="G145" s="246"/>
    </row>
    <row r="146" spans="1:7" x14ac:dyDescent="0.2">
      <c r="A146" s="246"/>
      <c r="B146" s="24" t="b">
        <v>0</v>
      </c>
      <c r="C146" s="24" t="str">
        <f ca="1">语言!$A$321</f>
        <v>无名野兽</v>
      </c>
      <c r="D146" s="24" t="str">
        <f ca="1">语言!$A$1874</f>
        <v>讨厌野兽的母亲</v>
      </c>
      <c r="E146" s="24" t="str">
        <f ca="1">"Solution 1 - "&amp;语言!$A$44&amp;" / "&amp;语言!$A$48&amp;": "&amp;语言!$A$1800&amp;" ("&amp;语言!$A$457&amp;") and bring him to "&amp;语言!$A$1874&amp;"
Solution 2 - "&amp;语言!$A$45&amp;" / "&amp;语言!$A$49&amp;": "&amp;道具!$I$30&amp;" from "&amp;语言!$A$2057&amp;" ("&amp;语言!$A$477&amp;")"</f>
        <v>Solution 1 - 引导 / 诱惑: 驱使野兽的商人 (柏达弗尔) and bring him to 讨厌野兽的母亲
Solution 2 - 探查 / 打听: 养虎的方法 from 野兽调查员 (希・沃尔基)</v>
      </c>
      <c r="F146" s="24" t="str">
        <f ca="1">"7 000$
"&amp;语言!$A$930</f>
        <v>7 000$
兽之领巾</v>
      </c>
      <c r="G146" s="246"/>
    </row>
    <row r="147" spans="1:7" x14ac:dyDescent="0.2">
      <c r="A147" s="246"/>
      <c r="B147" s="246"/>
      <c r="C147" s="246"/>
      <c r="D147" s="246"/>
      <c r="E147" s="246"/>
      <c r="F147" s="246"/>
      <c r="G147" s="246"/>
    </row>
  </sheetData>
  <mergeCells count="35">
    <mergeCell ref="B135:F135"/>
    <mergeCell ref="B137:F137"/>
    <mergeCell ref="B143:F143"/>
    <mergeCell ref="B87:F87"/>
    <mergeCell ref="A93:C93"/>
    <mergeCell ref="B94:F94"/>
    <mergeCell ref="B100:F100"/>
    <mergeCell ref="B107:F107"/>
    <mergeCell ref="A113:C113"/>
    <mergeCell ref="B114:F114"/>
    <mergeCell ref="B82:F82"/>
    <mergeCell ref="B120:F120"/>
    <mergeCell ref="B125:F125"/>
    <mergeCell ref="A130:C130"/>
    <mergeCell ref="B131:F131"/>
    <mergeCell ref="B63:F63"/>
    <mergeCell ref="B69:F69"/>
    <mergeCell ref="B73:F73"/>
    <mergeCell ref="A76:C76"/>
    <mergeCell ref="B77:F77"/>
    <mergeCell ref="B42:F42"/>
    <mergeCell ref="B46:F46"/>
    <mergeCell ref="B52:F52"/>
    <mergeCell ref="A58:C58"/>
    <mergeCell ref="B59:F59"/>
    <mergeCell ref="A24:C24"/>
    <mergeCell ref="B25:F25"/>
    <mergeCell ref="B30:F30"/>
    <mergeCell ref="B36:F36"/>
    <mergeCell ref="A41:C41"/>
    <mergeCell ref="B3:F3"/>
    <mergeCell ref="A6:C6"/>
    <mergeCell ref="B7:F7"/>
    <mergeCell ref="B12:F12"/>
    <mergeCell ref="B18:F18"/>
  </mergeCells>
  <phoneticPr fontId="6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R81"/>
  <sheetViews>
    <sheetView workbookViewId="0"/>
  </sheetViews>
  <sheetFormatPr defaultColWidth="12.5703125" defaultRowHeight="15.75" customHeight="1" x14ac:dyDescent="0.2"/>
  <cols>
    <col min="1" max="1" width="2.5703125" customWidth="1"/>
    <col min="2" max="2" width="22" customWidth="1"/>
    <col min="3" max="3" width="6.42578125" customWidth="1"/>
    <col min="4" max="4" width="22" customWidth="1"/>
    <col min="5" max="5" width="6.42578125" customWidth="1"/>
    <col min="6" max="6" width="22" customWidth="1"/>
    <col min="7" max="7" width="6.42578125" customWidth="1"/>
    <col min="8" max="8" width="22" customWidth="1"/>
    <col min="9" max="9" width="6.42578125" customWidth="1"/>
    <col min="10" max="10" width="22" customWidth="1"/>
    <col min="11" max="11" width="6.42578125" customWidth="1"/>
    <col min="12" max="12" width="22" customWidth="1"/>
    <col min="13" max="13" width="6.42578125" customWidth="1"/>
    <col min="14" max="14" width="22" customWidth="1"/>
    <col min="15" max="15" width="6.42578125" customWidth="1"/>
    <col min="16" max="16" width="22" customWidth="1"/>
    <col min="17" max="17" width="6.42578125" customWidth="1"/>
    <col min="18" max="18" width="2.5703125" customWidth="1"/>
  </cols>
  <sheetData>
    <row r="1" spans="1:18" ht="15.75" customHeight="1" x14ac:dyDescent="0.25">
      <c r="A1" s="258"/>
      <c r="B1" s="613" t="str">
        <f ca="1">"(*) : "&amp;语言!$A$28&amp;" &amp; "&amp;语言!$A$27</f>
        <v>(*) : 武器店商品追加资讯 &amp; 杂货店商品追加资讯</v>
      </c>
      <c r="C1" s="371"/>
      <c r="D1" s="371"/>
      <c r="E1" s="371"/>
      <c r="F1" s="258"/>
      <c r="G1" s="259"/>
      <c r="H1" s="258"/>
      <c r="I1" s="259"/>
      <c r="J1" s="258"/>
      <c r="K1" s="259"/>
      <c r="L1" s="258"/>
      <c r="M1" s="259"/>
      <c r="N1" s="258"/>
      <c r="O1" s="259"/>
      <c r="P1" s="258"/>
      <c r="Q1" s="259"/>
      <c r="R1" s="258"/>
    </row>
    <row r="2" spans="1:18" x14ac:dyDescent="0.2">
      <c r="A2" s="258"/>
      <c r="B2" s="258"/>
      <c r="C2" s="259"/>
      <c r="D2" s="258"/>
      <c r="E2" s="259"/>
      <c r="F2" s="258"/>
      <c r="G2" s="259"/>
      <c r="H2" s="258"/>
      <c r="I2" s="259"/>
      <c r="J2" s="258"/>
      <c r="K2" s="259"/>
      <c r="L2" s="258"/>
      <c r="M2" s="259"/>
      <c r="N2" s="258"/>
      <c r="O2" s="259"/>
      <c r="P2" s="258"/>
      <c r="Q2" s="259"/>
      <c r="R2" s="258"/>
    </row>
    <row r="3" spans="1:18" ht="15.75" customHeight="1" x14ac:dyDescent="0.25">
      <c r="A3" s="260"/>
      <c r="B3" s="614" t="str">
        <f ca="1">语言!$A$325</f>
        <v>弗雷姆葛雷斯</v>
      </c>
      <c r="C3" s="371"/>
      <c r="D3" s="612" t="str">
        <f ca="1">语言!$A$346</f>
        <v>阿特拉斯达姆</v>
      </c>
      <c r="E3" s="371"/>
      <c r="F3" s="611" t="str">
        <f ca="1">语言!$A$366</f>
        <v>利布尔泰德</v>
      </c>
      <c r="G3" s="371"/>
      <c r="H3" s="613" t="str">
        <f ca="1">语言!$A$389</f>
        <v>鹅卵石村</v>
      </c>
      <c r="I3" s="371"/>
      <c r="J3" s="615" t="str">
        <f ca="1">语言!$A$414</f>
        <v>桑谢德</v>
      </c>
      <c r="K3" s="371"/>
      <c r="L3" s="614" t="str">
        <f ca="1">语言!$A$435</f>
        <v>库利亚布鲁克</v>
      </c>
      <c r="M3" s="371"/>
      <c r="N3" s="611" t="str">
        <f ca="1">语言!$A$457</f>
        <v>柏达弗尔</v>
      </c>
      <c r="O3" s="371"/>
      <c r="P3" s="612" t="str">
        <f ca="1">语言!$A$477</f>
        <v>希・沃尔基</v>
      </c>
      <c r="Q3" s="371"/>
      <c r="R3" s="260"/>
    </row>
    <row r="4" spans="1:18" x14ac:dyDescent="0.2">
      <c r="A4" s="258"/>
      <c r="B4" s="261" t="str">
        <f ca="1">语言!$A$647</f>
        <v>巨剑</v>
      </c>
      <c r="C4" s="262" t="s">
        <v>129</v>
      </c>
      <c r="D4" s="20" t="str">
        <f ca="1">语言!$A$678</f>
        <v>魔咒长柄刀</v>
      </c>
      <c r="E4" s="263" t="s">
        <v>130</v>
      </c>
      <c r="F4" s="264" t="str">
        <f ca="1">语言!$A$681</f>
        <v>铁制长枪</v>
      </c>
      <c r="G4" s="265">
        <v>800</v>
      </c>
      <c r="H4" s="266" t="str">
        <f ca="1">语言!$A$651</f>
        <v>铁剑</v>
      </c>
      <c r="I4" s="267">
        <v>800</v>
      </c>
      <c r="J4" s="268" t="str">
        <f ca="1">"(*) "&amp;语言!$A$644</f>
        <v>(*) 猎鹰军刀</v>
      </c>
      <c r="K4" s="269" t="s">
        <v>131</v>
      </c>
      <c r="L4" s="261" t="str">
        <f ca="1">语言!$A$709</f>
        <v>魔咒匕首</v>
      </c>
      <c r="M4" s="262" t="s">
        <v>132</v>
      </c>
      <c r="N4" s="264" t="str">
        <f ca="1">语言!$A$651</f>
        <v>铁剑</v>
      </c>
      <c r="O4" s="265">
        <v>800</v>
      </c>
      <c r="P4" s="20" t="str">
        <f ca="1">语言!$A$743</f>
        <v>战斧</v>
      </c>
      <c r="Q4" s="263" t="s">
        <v>133</v>
      </c>
      <c r="R4" s="258"/>
    </row>
    <row r="5" spans="1:18" x14ac:dyDescent="0.2">
      <c r="A5" s="258"/>
      <c r="B5" s="261" t="str">
        <f ca="1">语言!$A$645</f>
        <v>精神剑</v>
      </c>
      <c r="C5" s="262" t="s">
        <v>131</v>
      </c>
      <c r="D5" s="20" t="str">
        <f ca="1">语言!$A$808</f>
        <v>光之手杖</v>
      </c>
      <c r="E5" s="263">
        <v>800</v>
      </c>
      <c r="F5" s="264" t="str">
        <f ca="1">语言!$A$675</f>
        <v>沙漠长枪</v>
      </c>
      <c r="G5" s="265" t="s">
        <v>134</v>
      </c>
      <c r="H5" s="266" t="str">
        <f ca="1">语言!$A$647</f>
        <v>巨剑</v>
      </c>
      <c r="I5" s="267" t="s">
        <v>129</v>
      </c>
      <c r="J5" s="268" t="str">
        <f ca="1">语言!$A$679</f>
        <v>战争长枪</v>
      </c>
      <c r="K5" s="269" t="s">
        <v>135</v>
      </c>
      <c r="L5" s="261" t="str">
        <f ca="1">语言!$A$745</f>
        <v>铁斧</v>
      </c>
      <c r="M5" s="262">
        <v>800</v>
      </c>
      <c r="N5" s="264" t="str">
        <f ca="1">语言!$A$649</f>
        <v>羽毛军刀</v>
      </c>
      <c r="O5" s="265" t="s">
        <v>132</v>
      </c>
      <c r="P5" s="20" t="str">
        <f ca="1">语言!$A$776</f>
        <v>复合弓</v>
      </c>
      <c r="Q5" s="263">
        <v>800</v>
      </c>
      <c r="R5" s="258"/>
    </row>
    <row r="6" spans="1:18" x14ac:dyDescent="0.2">
      <c r="A6" s="258"/>
      <c r="B6" s="261" t="str">
        <f ca="1">"(*) "&amp;语言!$A$640</f>
        <v>(*) 幻象之刃</v>
      </c>
      <c r="C6" s="262" t="s">
        <v>136</v>
      </c>
      <c r="D6" s="20" t="str">
        <f ca="1">语言!$A$807</f>
        <v>石英杖</v>
      </c>
      <c r="E6" s="263" t="s">
        <v>130</v>
      </c>
      <c r="F6" s="264" t="str">
        <f ca="1">语言!$A$774</f>
        <v>狼弓</v>
      </c>
      <c r="G6" s="265" t="s">
        <v>137</v>
      </c>
      <c r="H6" s="266" t="str">
        <f ca="1">语言!$A$679</f>
        <v>战争长枪</v>
      </c>
      <c r="I6" s="267" t="s">
        <v>135</v>
      </c>
      <c r="J6" s="268" t="str">
        <f ca="1">语言!$A$675</f>
        <v>沙漠长枪</v>
      </c>
      <c r="K6" s="269" t="s">
        <v>134</v>
      </c>
      <c r="L6" s="261" t="str">
        <f ca="1">语言!$A$744</f>
        <v>魔咒手斧</v>
      </c>
      <c r="M6" s="262" t="s">
        <v>138</v>
      </c>
      <c r="N6" s="264" t="str">
        <f ca="1">语言!$A$647</f>
        <v>巨剑</v>
      </c>
      <c r="O6" s="265" t="s">
        <v>129</v>
      </c>
      <c r="P6" s="20" t="str">
        <f ca="1">语言!$A$774</f>
        <v>狼弓</v>
      </c>
      <c r="Q6" s="263" t="s">
        <v>137</v>
      </c>
      <c r="R6" s="258"/>
    </row>
    <row r="7" spans="1:18" x14ac:dyDescent="0.2">
      <c r="A7" s="258"/>
      <c r="B7" s="261" t="str">
        <f ca="1">语言!$A$774</f>
        <v>狼弓</v>
      </c>
      <c r="C7" s="262" t="s">
        <v>137</v>
      </c>
      <c r="D7" s="20" t="str">
        <f ca="1">语言!$A$801</f>
        <v>橡木手杖</v>
      </c>
      <c r="E7" s="263" t="s">
        <v>134</v>
      </c>
      <c r="F7" s="264" t="str">
        <f ca="1">语言!$A$807</f>
        <v>石英杖</v>
      </c>
      <c r="G7" s="265" t="s">
        <v>130</v>
      </c>
      <c r="H7" s="266" t="str">
        <f ca="1">语言!$A$709</f>
        <v>魔咒匕首</v>
      </c>
      <c r="I7" s="267" t="s">
        <v>132</v>
      </c>
      <c r="J7" s="268" t="str">
        <f ca="1">语言!$A$711</f>
        <v>铁制匕首</v>
      </c>
      <c r="K7" s="269">
        <v>800</v>
      </c>
      <c r="L7" s="261" t="str">
        <f ca="1">语言!$A$739</f>
        <v>猛击斧</v>
      </c>
      <c r="M7" s="262" t="s">
        <v>134</v>
      </c>
      <c r="N7" s="264" t="str">
        <f ca="1">语言!$A$711</f>
        <v>铁制匕首</v>
      </c>
      <c r="O7" s="265">
        <v>800</v>
      </c>
      <c r="P7" s="20" t="str">
        <f ca="1">语言!$A$769</f>
        <v>士兵的大弓</v>
      </c>
      <c r="Q7" s="263" t="s">
        <v>131</v>
      </c>
      <c r="R7" s="258"/>
    </row>
    <row r="8" spans="1:18" x14ac:dyDescent="0.2">
      <c r="A8" s="258"/>
      <c r="B8" s="261" t="str">
        <f ca="1">语言!$A$772</f>
        <v>杀手弓</v>
      </c>
      <c r="C8" s="262" t="s">
        <v>134</v>
      </c>
      <c r="D8" s="20" t="str">
        <f ca="1">"(*) "&amp;语言!$A$797</f>
        <v>(*) 法师手杖</v>
      </c>
      <c r="E8" s="263" t="s">
        <v>139</v>
      </c>
      <c r="F8" s="264" t="str">
        <f ca="1">语言!$A$828</f>
        <v>圆盾</v>
      </c>
      <c r="G8" s="265">
        <v>600</v>
      </c>
      <c r="H8" s="266" t="str">
        <f ca="1">语言!$A$828</f>
        <v>圆盾</v>
      </c>
      <c r="I8" s="267">
        <v>600</v>
      </c>
      <c r="J8" s="268" t="str">
        <f ca="1">语言!$A$709</f>
        <v>魔咒匕首</v>
      </c>
      <c r="K8" s="269" t="s">
        <v>132</v>
      </c>
      <c r="L8" s="261" t="str">
        <f ca="1">语言!$A$828</f>
        <v>圆盾</v>
      </c>
      <c r="M8" s="262">
        <v>600</v>
      </c>
      <c r="N8" s="264" t="str">
        <f ca="1">语言!$A$709</f>
        <v>魔咒匕首</v>
      </c>
      <c r="O8" s="265" t="s">
        <v>132</v>
      </c>
      <c r="P8" s="20" t="str">
        <f ca="1">语言!$A$828</f>
        <v>圆盾</v>
      </c>
      <c r="Q8" s="263">
        <v>600</v>
      </c>
      <c r="R8" s="258"/>
    </row>
    <row r="9" spans="1:18" x14ac:dyDescent="0.2">
      <c r="A9" s="258"/>
      <c r="B9" s="261" t="str">
        <f ca="1">语言!$A$809</f>
        <v>石杖</v>
      </c>
      <c r="C9" s="262">
        <v>800</v>
      </c>
      <c r="D9" s="20" t="str">
        <f ca="1">语言!$A$828</f>
        <v>圆盾</v>
      </c>
      <c r="E9" s="263">
        <v>600</v>
      </c>
      <c r="F9" s="264" t="str">
        <f ca="1">"(*) "&amp;语言!$A$859</f>
        <v>(*) 脉轮头带</v>
      </c>
      <c r="G9" s="265" t="s">
        <v>140</v>
      </c>
      <c r="H9" s="266" t="str">
        <f ca="1">"(*) "&amp;语言!$A$821</f>
        <v>(*) 塔盾</v>
      </c>
      <c r="I9" s="267" t="s">
        <v>141</v>
      </c>
      <c r="J9" s="268" t="str">
        <f ca="1">语言!$A$706</f>
        <v>穿孔匕首</v>
      </c>
      <c r="K9" s="269" t="s">
        <v>129</v>
      </c>
      <c r="L9" s="261" t="str">
        <f ca="1">语言!$A$826</f>
        <v>鸢形盾</v>
      </c>
      <c r="M9" s="262" t="s">
        <v>130</v>
      </c>
      <c r="N9" s="264" t="str">
        <f ca="1">语言!$A$744</f>
        <v>魔咒手斧</v>
      </c>
      <c r="O9" s="265" t="s">
        <v>138</v>
      </c>
      <c r="P9" s="20" t="str">
        <f ca="1">语言!$A$867</f>
        <v>青铜头盔</v>
      </c>
      <c r="Q9" s="263">
        <v>840</v>
      </c>
      <c r="R9" s="258"/>
    </row>
    <row r="10" spans="1:18" x14ac:dyDescent="0.2">
      <c r="A10" s="258"/>
      <c r="B10" s="261" t="str">
        <f ca="1">语言!$A$807</f>
        <v>石英杖</v>
      </c>
      <c r="C10" s="262" t="s">
        <v>130</v>
      </c>
      <c r="D10" s="20" t="str">
        <f ca="1">语言!$A$827</f>
        <v>大盾</v>
      </c>
      <c r="E10" s="263">
        <v>900</v>
      </c>
      <c r="F10" s="264" t="str">
        <f ca="1">语言!$A$919</f>
        <v>青铜背心</v>
      </c>
      <c r="G10" s="265" t="s">
        <v>142</v>
      </c>
      <c r="H10" s="266" t="str">
        <f ca="1">语言!$A$867</f>
        <v>青铜头盔</v>
      </c>
      <c r="I10" s="267">
        <v>840</v>
      </c>
      <c r="J10" s="268" t="str">
        <f ca="1">语言!$A$744</f>
        <v>魔咒手斧</v>
      </c>
      <c r="K10" s="269" t="s">
        <v>138</v>
      </c>
      <c r="L10" s="261" t="str">
        <f ca="1">语言!$A$868</f>
        <v>羽毛帽</v>
      </c>
      <c r="M10" s="262">
        <v>660</v>
      </c>
      <c r="N10" s="264" t="str">
        <f ca="1">"(*) "&amp;语言!$A$735</f>
        <v>(*) 魔法手斧</v>
      </c>
      <c r="O10" s="265" t="s">
        <v>139</v>
      </c>
      <c r="P10" s="20" t="str">
        <f ca="1">语言!$A$918</f>
        <v>青铜盔甲</v>
      </c>
      <c r="Q10" s="263" t="s">
        <v>143</v>
      </c>
      <c r="R10" s="258"/>
    </row>
    <row r="11" spans="1:18" x14ac:dyDescent="0.2">
      <c r="A11" s="258"/>
      <c r="B11" s="261" t="str">
        <f ca="1">语言!$A$828</f>
        <v>圆盾</v>
      </c>
      <c r="C11" s="262">
        <v>600</v>
      </c>
      <c r="D11" s="20" t="str">
        <f ca="1">语言!$A$869</f>
        <v>尖帽子</v>
      </c>
      <c r="E11" s="263">
        <v>540</v>
      </c>
      <c r="F11" s="264" t="str">
        <f ca="1">语言!$A$915</f>
        <v>黑装束</v>
      </c>
      <c r="G11" s="265" t="s">
        <v>138</v>
      </c>
      <c r="H11" s="266" t="str">
        <f ca="1">语言!$A$860</f>
        <v>大头盔</v>
      </c>
      <c r="I11" s="267" t="s">
        <v>144</v>
      </c>
      <c r="J11" s="268" t="str">
        <f ca="1">语言!$A$828</f>
        <v>圆盾</v>
      </c>
      <c r="K11" s="269">
        <v>600</v>
      </c>
      <c r="L11" s="261" t="str">
        <f ca="1">语言!$A$863</f>
        <v>帽盔</v>
      </c>
      <c r="M11" s="262" t="s">
        <v>145</v>
      </c>
      <c r="N11" s="264" t="str">
        <f ca="1">语言!$A$774</f>
        <v>狼弓</v>
      </c>
      <c r="O11" s="265" t="s">
        <v>137</v>
      </c>
      <c r="P11" s="20" t="str">
        <f ca="1">"(*) "&amp;语言!$A$901</f>
        <v>(*) 猎鹰之服</v>
      </c>
      <c r="Q11" s="263" t="s">
        <v>146</v>
      </c>
      <c r="R11" s="258"/>
    </row>
    <row r="12" spans="1:18" x14ac:dyDescent="0.2">
      <c r="A12" s="258"/>
      <c r="B12" s="261" t="str">
        <f ca="1">语言!$A$869</f>
        <v>尖帽子</v>
      </c>
      <c r="C12" s="262">
        <v>540</v>
      </c>
      <c r="D12" s="20" t="str">
        <f ca="1">语言!$A$864</f>
        <v>饰环</v>
      </c>
      <c r="E12" s="263" t="s">
        <v>147</v>
      </c>
      <c r="F12" s="270" t="str">
        <f ca="1">语言!$A$497</f>
        <v>ＨＰ恢复的葡萄</v>
      </c>
      <c r="G12" s="265">
        <v>50</v>
      </c>
      <c r="H12" s="266" t="str">
        <f ca="1">语言!$A$918</f>
        <v>青铜盔甲</v>
      </c>
      <c r="I12" s="267" t="s">
        <v>143</v>
      </c>
      <c r="J12" s="268" t="str">
        <f ca="1">语言!$A$868</f>
        <v>羽毛帽</v>
      </c>
      <c r="K12" s="269">
        <v>660</v>
      </c>
      <c r="L12" s="261" t="str">
        <f ca="1">语言!$A$919</f>
        <v>青铜背心</v>
      </c>
      <c r="M12" s="262" t="s">
        <v>142</v>
      </c>
      <c r="N12" s="264" t="str">
        <f ca="1">"(*) "&amp;语言!$A$764</f>
        <v>(*) 元素弓</v>
      </c>
      <c r="O12" s="265" t="s">
        <v>136</v>
      </c>
      <c r="P12" s="271" t="str">
        <f ca="1">语言!$A$497</f>
        <v>ＨＰ恢复的葡萄</v>
      </c>
      <c r="Q12" s="263">
        <v>50</v>
      </c>
      <c r="R12" s="258"/>
    </row>
    <row r="13" spans="1:18" x14ac:dyDescent="0.2">
      <c r="A13" s="258"/>
      <c r="B13" s="261" t="str">
        <f ca="1">语言!$A$864</f>
        <v>饰环</v>
      </c>
      <c r="C13" s="262" t="s">
        <v>147</v>
      </c>
      <c r="D13" s="20" t="str">
        <f ca="1">语言!$A$920</f>
        <v>亚麻长袍</v>
      </c>
      <c r="E13" s="263">
        <v>960</v>
      </c>
      <c r="F13" s="270" t="str">
        <f ca="1">语言!$A$500</f>
        <v>ＳＰ恢复的李子</v>
      </c>
      <c r="G13" s="265">
        <v>240</v>
      </c>
      <c r="H13" s="266" t="str">
        <f ca="1">语言!$A$906</f>
        <v>银制背心</v>
      </c>
      <c r="I13" s="267" t="s">
        <v>148</v>
      </c>
      <c r="J13" s="268" t="str">
        <f ca="1">语言!$A$858</f>
        <v>神圣头盔</v>
      </c>
      <c r="K13" s="269" t="s">
        <v>149</v>
      </c>
      <c r="L13" s="261" t="str">
        <f ca="1">"(*) "&amp;语言!$A$895</f>
        <v>(*) 元素轻甲</v>
      </c>
      <c r="M13" s="262" t="s">
        <v>150</v>
      </c>
      <c r="N13" s="264" t="str">
        <f ca="1">语言!$A$828</f>
        <v>圆盾</v>
      </c>
      <c r="O13" s="265">
        <v>600</v>
      </c>
      <c r="P13" s="271" t="str">
        <f ca="1">语言!$A$500</f>
        <v>ＳＰ恢复的李子</v>
      </c>
      <c r="Q13" s="263">
        <v>240</v>
      </c>
      <c r="R13" s="258"/>
    </row>
    <row r="14" spans="1:18" x14ac:dyDescent="0.2">
      <c r="A14" s="258"/>
      <c r="B14" s="261" t="str">
        <f ca="1">语言!$A$920</f>
        <v>亚麻长袍</v>
      </c>
      <c r="C14" s="262">
        <v>960</v>
      </c>
      <c r="D14" s="20" t="str">
        <f ca="1">语言!$A$910</f>
        <v>大盔甲</v>
      </c>
      <c r="E14" s="263" t="s">
        <v>151</v>
      </c>
      <c r="F14" s="270" t="str">
        <f ca="1">语言!$A$508</f>
        <v>复活的橄榄</v>
      </c>
      <c r="G14" s="265">
        <v>500</v>
      </c>
      <c r="H14" s="272" t="str">
        <f ca="1">语言!$A$497</f>
        <v>ＨＰ恢复的葡萄</v>
      </c>
      <c r="I14" s="267">
        <v>50</v>
      </c>
      <c r="J14" s="268" t="str">
        <f ca="1">"(*) "&amp;语言!$A$849</f>
        <v>(*) 显赫头盔</v>
      </c>
      <c r="K14" s="269" t="s">
        <v>152</v>
      </c>
      <c r="L14" s="273" t="str">
        <f ca="1">语言!$A$497</f>
        <v>ＨＰ恢复的葡萄</v>
      </c>
      <c r="M14" s="262">
        <v>50</v>
      </c>
      <c r="N14" s="264" t="str">
        <f ca="1">语言!$A$827</f>
        <v>大盾</v>
      </c>
      <c r="O14" s="265">
        <v>900</v>
      </c>
      <c r="P14" s="271" t="str">
        <f ca="1">语言!$A$508</f>
        <v>复活的橄榄</v>
      </c>
      <c r="Q14" s="263">
        <v>500</v>
      </c>
      <c r="R14" s="258"/>
    </row>
    <row r="15" spans="1:18" x14ac:dyDescent="0.2">
      <c r="A15" s="258"/>
      <c r="B15" s="261" t="str">
        <f ca="1">语言!$A$913</f>
        <v>大背心</v>
      </c>
      <c r="C15" s="262" t="s">
        <v>153</v>
      </c>
      <c r="D15" s="20" t="str">
        <f ca="1">"(*) "&amp;语言!$A$896</f>
        <v>(*) 毛皮大衣</v>
      </c>
      <c r="E15" s="263" t="s">
        <v>141</v>
      </c>
      <c r="F15" s="270" t="str">
        <f ca="1">语言!$A$511</f>
        <v>毒治疗药草</v>
      </c>
      <c r="G15" s="265">
        <v>30</v>
      </c>
      <c r="H15" s="272" t="str">
        <f ca="1">语言!$A$500</f>
        <v>ＳＰ恢复的李子</v>
      </c>
      <c r="I15" s="267">
        <v>240</v>
      </c>
      <c r="J15" s="268" t="str">
        <f ca="1">语言!$A$919</f>
        <v>青铜背心</v>
      </c>
      <c r="K15" s="269" t="s">
        <v>142</v>
      </c>
      <c r="L15" s="273" t="str">
        <f ca="1">语言!$A$500</f>
        <v>ＳＰ恢复的李子</v>
      </c>
      <c r="M15" s="262">
        <v>240</v>
      </c>
      <c r="N15" s="264" t="str">
        <f ca="1">语言!$A$868</f>
        <v>羽毛帽</v>
      </c>
      <c r="O15" s="265">
        <v>660</v>
      </c>
      <c r="P15" s="271" t="str">
        <f ca="1">语言!$A$513</f>
        <v>黑暗治疗药草</v>
      </c>
      <c r="Q15" s="263">
        <v>30</v>
      </c>
      <c r="R15" s="258"/>
    </row>
    <row r="16" spans="1:18" x14ac:dyDescent="0.2">
      <c r="A16" s="258"/>
      <c r="B16" s="261" t="str">
        <f ca="1">语言!$A$967</f>
        <v>灵敏耳环</v>
      </c>
      <c r="C16" s="262">
        <v>280</v>
      </c>
      <c r="D16" s="20" t="str">
        <f ca="1">"(*) "&amp;语言!$A$962</f>
        <v>(*) 体力耳环</v>
      </c>
      <c r="E16" s="263">
        <v>360</v>
      </c>
      <c r="F16" s="270" t="str">
        <f ca="1">语言!$A$514</f>
        <v>混乱治疗药草</v>
      </c>
      <c r="G16" s="265">
        <v>30</v>
      </c>
      <c r="H16" s="272" t="str">
        <f ca="1">语言!$A$508</f>
        <v>复活的橄榄</v>
      </c>
      <c r="I16" s="267">
        <v>500</v>
      </c>
      <c r="J16" s="268" t="str">
        <f ca="1">语言!$A$914</f>
        <v>毛皮长袍</v>
      </c>
      <c r="K16" s="269" t="s">
        <v>138</v>
      </c>
      <c r="L16" s="273" t="str">
        <f ca="1">语言!$A$508</f>
        <v>复活的橄榄</v>
      </c>
      <c r="M16" s="262">
        <v>500</v>
      </c>
      <c r="N16" s="264" t="str">
        <f ca="1">语言!$A$862</f>
        <v>黑帽</v>
      </c>
      <c r="O16" s="265" t="s">
        <v>154</v>
      </c>
      <c r="P16" s="271" t="str">
        <f ca="1">语言!$A$515</f>
        <v>睡眠治疗药草</v>
      </c>
      <c r="Q16" s="263">
        <v>30</v>
      </c>
      <c r="R16" s="258"/>
    </row>
    <row r="17" spans="1:18" x14ac:dyDescent="0.2">
      <c r="A17" s="258"/>
      <c r="B17" s="261" t="str">
        <f ca="1">语言!$A$968</f>
        <v>会心耳环</v>
      </c>
      <c r="C17" s="262">
        <v>280</v>
      </c>
      <c r="D17" s="20" t="str">
        <f ca="1">"(*) "&amp;语言!$A$963</f>
        <v>(*) 精神耳环</v>
      </c>
      <c r="E17" s="263">
        <v>360</v>
      </c>
      <c r="F17" s="258"/>
      <c r="G17" s="259"/>
      <c r="H17" s="272" t="str">
        <f ca="1">语言!$A$512</f>
        <v>沉默治疗药草</v>
      </c>
      <c r="I17" s="267">
        <v>30</v>
      </c>
      <c r="J17" s="268" t="str">
        <f ca="1">语言!$A$964</f>
        <v>守护耳环</v>
      </c>
      <c r="K17" s="269">
        <v>360</v>
      </c>
      <c r="L17" s="273" t="str">
        <f ca="1">语言!$A$511</f>
        <v>毒治疗药草</v>
      </c>
      <c r="M17" s="262">
        <v>30</v>
      </c>
      <c r="N17" s="264" t="str">
        <f ca="1">语言!$A$919</f>
        <v>青铜背心</v>
      </c>
      <c r="O17" s="265" t="s">
        <v>142</v>
      </c>
      <c r="P17" s="271" t="str">
        <f ca="1">语言!$A$517</f>
        <v>昏迷治疗药草</v>
      </c>
      <c r="Q17" s="263">
        <v>30</v>
      </c>
      <c r="R17" s="258"/>
    </row>
    <row r="18" spans="1:18" x14ac:dyDescent="0.2">
      <c r="A18" s="258"/>
      <c r="B18" s="273" t="str">
        <f ca="1">语言!$A$497</f>
        <v>ＨＰ恢复的葡萄</v>
      </c>
      <c r="C18" s="262">
        <v>50</v>
      </c>
      <c r="D18" s="271" t="str">
        <f ca="1">语言!$A$497</f>
        <v>ＨＰ恢复的葡萄</v>
      </c>
      <c r="E18" s="263">
        <v>50</v>
      </c>
      <c r="F18" s="258"/>
      <c r="G18" s="259"/>
      <c r="H18" s="272" t="str">
        <f ca="1">语言!$A$515</f>
        <v>睡眠治疗药草</v>
      </c>
      <c r="I18" s="267">
        <v>30</v>
      </c>
      <c r="J18" s="274" t="str">
        <f ca="1">语言!$A$497</f>
        <v>ＨＰ恢复的葡萄</v>
      </c>
      <c r="K18" s="269">
        <v>50</v>
      </c>
      <c r="L18" s="273" t="str">
        <f ca="1">语言!$A$515</f>
        <v>睡眠治疗药草</v>
      </c>
      <c r="M18" s="262">
        <v>30</v>
      </c>
      <c r="N18" s="264" t="str">
        <f ca="1">语言!$A$915</f>
        <v>黑装束</v>
      </c>
      <c r="O18" s="265" t="s">
        <v>138</v>
      </c>
      <c r="P18" s="271" t="str">
        <f ca="1">语言!$A$993</f>
        <v>药的素材（扩散）</v>
      </c>
      <c r="Q18" s="263">
        <v>100</v>
      </c>
      <c r="R18" s="258"/>
    </row>
    <row r="19" spans="1:18" x14ac:dyDescent="0.2">
      <c r="A19" s="258"/>
      <c r="B19" s="273" t="str">
        <f ca="1">语言!$A$500</f>
        <v>ＳＰ恢复的李子</v>
      </c>
      <c r="C19" s="262">
        <v>240</v>
      </c>
      <c r="D19" s="271" t="str">
        <f ca="1">语言!$A$500</f>
        <v>ＳＰ恢复的李子</v>
      </c>
      <c r="E19" s="263">
        <v>240</v>
      </c>
      <c r="F19" s="258"/>
      <c r="G19" s="259"/>
      <c r="H19" s="272" t="str">
        <f ca="1">语言!$A$517</f>
        <v>昏迷治疗药草</v>
      </c>
      <c r="I19" s="267">
        <v>30</v>
      </c>
      <c r="J19" s="274" t="str">
        <f ca="1">语言!$A$500</f>
        <v>ＳＰ恢复的李子</v>
      </c>
      <c r="K19" s="269">
        <v>240</v>
      </c>
      <c r="L19" s="273" t="str">
        <f ca="1">语言!$A$992</f>
        <v>药的素材</v>
      </c>
      <c r="M19" s="262">
        <v>5</v>
      </c>
      <c r="N19" s="264" t="str">
        <f ca="1">语言!$A$965</f>
        <v>狙击耳环</v>
      </c>
      <c r="O19" s="265">
        <v>280</v>
      </c>
      <c r="P19" s="271" t="str">
        <f ca="1">语言!$A$1000</f>
        <v>毒利米树之叶</v>
      </c>
      <c r="Q19" s="263">
        <v>5</v>
      </c>
      <c r="R19" s="258"/>
    </row>
    <row r="20" spans="1:18" x14ac:dyDescent="0.2">
      <c r="A20" s="258"/>
      <c r="B20" s="273" t="str">
        <f ca="1">语言!$A$508</f>
        <v>复活的橄榄</v>
      </c>
      <c r="C20" s="262">
        <v>500</v>
      </c>
      <c r="D20" s="271" t="str">
        <f ca="1">语言!$A$508</f>
        <v>复活的橄榄</v>
      </c>
      <c r="E20" s="263">
        <v>500</v>
      </c>
      <c r="F20" s="258"/>
      <c r="G20" s="259"/>
      <c r="H20" s="272" t="str">
        <f ca="1">语言!$A$992</f>
        <v>药的素材</v>
      </c>
      <c r="I20" s="267">
        <v>5</v>
      </c>
      <c r="J20" s="274" t="str">
        <f ca="1">语言!$A$508</f>
        <v>复活的橄榄</v>
      </c>
      <c r="K20" s="269">
        <v>500</v>
      </c>
      <c r="L20" s="273" t="str">
        <f ca="1">语言!$A$993</f>
        <v>药的素材（扩散）</v>
      </c>
      <c r="M20" s="262">
        <v>100</v>
      </c>
      <c r="N20" s="264" t="str">
        <f ca="1">语言!$A$966</f>
        <v>察知耳环</v>
      </c>
      <c r="O20" s="265">
        <v>280</v>
      </c>
      <c r="P20" s="258"/>
      <c r="Q20" s="259"/>
      <c r="R20" s="258"/>
    </row>
    <row r="21" spans="1:18" x14ac:dyDescent="0.2">
      <c r="A21" s="258"/>
      <c r="B21" s="273" t="str">
        <f ca="1">语言!$A$512</f>
        <v>沉默治疗药草</v>
      </c>
      <c r="C21" s="262">
        <v>30</v>
      </c>
      <c r="D21" s="271" t="str">
        <f ca="1">语言!$A$512</f>
        <v>沉默治疗药草</v>
      </c>
      <c r="E21" s="263">
        <v>30</v>
      </c>
      <c r="F21" s="258"/>
      <c r="G21" s="259"/>
      <c r="H21" s="272" t="str">
        <f ca="1">语言!$A$1003</f>
        <v>葡萄树液</v>
      </c>
      <c r="I21" s="267">
        <v>40</v>
      </c>
      <c r="J21" s="274" t="str">
        <f ca="1">语言!$A$511</f>
        <v>毒治疗药草</v>
      </c>
      <c r="K21" s="269">
        <v>30</v>
      </c>
      <c r="L21" s="273" t="str">
        <f ca="1">语言!$A$996</f>
        <v>含毒的素材</v>
      </c>
      <c r="M21" s="262">
        <v>5</v>
      </c>
      <c r="N21" s="270" t="str">
        <f ca="1">语言!$A$497</f>
        <v>ＨＰ恢复的葡萄</v>
      </c>
      <c r="O21" s="265">
        <v>50</v>
      </c>
      <c r="P21" s="258"/>
      <c r="Q21" s="259"/>
      <c r="R21" s="258"/>
    </row>
    <row r="22" spans="1:18" x14ac:dyDescent="0.2">
      <c r="A22" s="258"/>
      <c r="B22" s="273" t="str">
        <f ca="1">语言!$A$516</f>
        <v>恐怖治疗药草</v>
      </c>
      <c r="C22" s="262">
        <v>30</v>
      </c>
      <c r="D22" s="271" t="str">
        <f ca="1">语言!$A$513</f>
        <v>黑暗治疗药草</v>
      </c>
      <c r="E22" s="263">
        <v>30</v>
      </c>
      <c r="F22" s="258"/>
      <c r="G22" s="259"/>
      <c r="H22" s="258"/>
      <c r="I22" s="259"/>
      <c r="J22" s="274" t="str">
        <f ca="1">语言!$A$513</f>
        <v>黑暗治疗药草</v>
      </c>
      <c r="K22" s="269">
        <v>30</v>
      </c>
      <c r="L22" s="273" t="str">
        <f ca="1">语言!$A$1000</f>
        <v>毒利米树之叶</v>
      </c>
      <c r="M22" s="262">
        <v>5</v>
      </c>
      <c r="N22" s="270" t="str">
        <f ca="1">语言!$A$500</f>
        <v>ＳＰ恢复的李子</v>
      </c>
      <c r="O22" s="265">
        <v>240</v>
      </c>
      <c r="P22" s="258"/>
      <c r="Q22" s="259"/>
      <c r="R22" s="258"/>
    </row>
    <row r="23" spans="1:18" x14ac:dyDescent="0.2">
      <c r="A23" s="258"/>
      <c r="B23" s="275"/>
      <c r="C23" s="259"/>
      <c r="D23" s="271" t="str">
        <f ca="1">语言!$A$517</f>
        <v>昏迷治疗药草</v>
      </c>
      <c r="E23" s="263">
        <v>30</v>
      </c>
      <c r="F23" s="258"/>
      <c r="G23" s="259"/>
      <c r="H23" s="258"/>
      <c r="I23" s="259"/>
      <c r="J23" s="274" t="str">
        <f ca="1">语言!$A$515</f>
        <v>睡眠治疗药草</v>
      </c>
      <c r="K23" s="269">
        <v>30</v>
      </c>
      <c r="L23" s="273" t="str">
        <f ca="1">语言!$A$1003</f>
        <v>葡萄树液</v>
      </c>
      <c r="M23" s="262">
        <v>40</v>
      </c>
      <c r="N23" s="270" t="str">
        <f ca="1">语言!$A$508</f>
        <v>复活的橄榄</v>
      </c>
      <c r="O23" s="265">
        <v>500</v>
      </c>
      <c r="P23" s="258"/>
      <c r="Q23" s="259"/>
      <c r="R23" s="258"/>
    </row>
    <row r="24" spans="1:18" x14ac:dyDescent="0.2">
      <c r="A24" s="258"/>
      <c r="B24" s="258"/>
      <c r="C24" s="259"/>
      <c r="D24" s="258"/>
      <c r="E24" s="259"/>
      <c r="F24" s="258"/>
      <c r="G24" s="259"/>
      <c r="H24" s="258"/>
      <c r="I24" s="259"/>
      <c r="J24" s="274" t="str">
        <f ca="1">语言!$A$993</f>
        <v>药的素材（扩散）</v>
      </c>
      <c r="K24" s="269">
        <v>100</v>
      </c>
      <c r="L24" s="258"/>
      <c r="M24" s="259"/>
      <c r="N24" s="270" t="str">
        <f ca="1">语言!$A$514</f>
        <v>混乱治疗药草</v>
      </c>
      <c r="O24" s="265">
        <v>30</v>
      </c>
      <c r="P24" s="258"/>
      <c r="Q24" s="259"/>
      <c r="R24" s="258"/>
    </row>
    <row r="25" spans="1:18" x14ac:dyDescent="0.2">
      <c r="A25" s="258"/>
      <c r="B25" s="258"/>
      <c r="C25" s="259"/>
      <c r="D25" s="258"/>
      <c r="E25" s="259"/>
      <c r="F25" s="258"/>
      <c r="G25" s="259"/>
      <c r="H25" s="258"/>
      <c r="I25" s="259"/>
      <c r="J25" s="274" t="str">
        <f ca="1">语言!$A$996</f>
        <v>含毒的素材</v>
      </c>
      <c r="K25" s="269">
        <v>5</v>
      </c>
      <c r="L25" s="258"/>
      <c r="M25" s="259"/>
      <c r="N25" s="270" t="str">
        <f ca="1">语言!$A$516</f>
        <v>恐怖治疗药草</v>
      </c>
      <c r="O25" s="265">
        <v>30</v>
      </c>
      <c r="P25" s="258"/>
      <c r="Q25" s="259"/>
      <c r="R25" s="258"/>
    </row>
    <row r="26" spans="1:18" x14ac:dyDescent="0.2">
      <c r="A26" s="258"/>
      <c r="B26" s="258"/>
      <c r="C26" s="259"/>
      <c r="D26" s="258"/>
      <c r="E26" s="259"/>
      <c r="F26" s="258"/>
      <c r="G26" s="259"/>
      <c r="H26" s="258"/>
      <c r="I26" s="259"/>
      <c r="J26" s="274" t="str">
        <f ca="1">语言!$A$1000</f>
        <v>毒利米树之叶</v>
      </c>
      <c r="K26" s="269">
        <v>5</v>
      </c>
      <c r="L26" s="258"/>
      <c r="M26" s="259"/>
      <c r="N26" s="270" t="str">
        <f ca="1">语言!$A$992</f>
        <v>药的素材</v>
      </c>
      <c r="O26" s="265">
        <v>5</v>
      </c>
      <c r="P26" s="258"/>
      <c r="Q26" s="259"/>
      <c r="R26" s="258"/>
    </row>
    <row r="27" spans="1:18" x14ac:dyDescent="0.2">
      <c r="A27" s="258"/>
      <c r="B27" s="258"/>
      <c r="C27" s="259"/>
      <c r="D27" s="258"/>
      <c r="E27" s="259"/>
      <c r="F27" s="258"/>
      <c r="G27" s="259"/>
      <c r="H27" s="258"/>
      <c r="I27" s="259"/>
      <c r="J27" s="258"/>
      <c r="K27" s="259"/>
      <c r="L27" s="258"/>
      <c r="M27" s="259"/>
      <c r="N27" s="270" t="str">
        <f ca="1">语言!$A$996</f>
        <v>含毒的素材</v>
      </c>
      <c r="O27" s="265">
        <v>5</v>
      </c>
      <c r="P27" s="258"/>
      <c r="Q27" s="259"/>
      <c r="R27" s="258"/>
    </row>
    <row r="28" spans="1:18" x14ac:dyDescent="0.2">
      <c r="A28" s="258"/>
      <c r="B28" s="258"/>
      <c r="C28" s="259"/>
      <c r="D28" s="258"/>
      <c r="E28" s="259"/>
      <c r="F28" s="258"/>
      <c r="G28" s="259"/>
      <c r="H28" s="258"/>
      <c r="I28" s="259"/>
      <c r="J28" s="258"/>
      <c r="K28" s="259"/>
      <c r="L28" s="258"/>
      <c r="M28" s="259"/>
      <c r="N28" s="270" t="str">
        <f ca="1">语言!$A$1003</f>
        <v>葡萄树液</v>
      </c>
      <c r="O28" s="265">
        <v>40</v>
      </c>
      <c r="P28" s="258"/>
      <c r="Q28" s="259"/>
      <c r="R28" s="258"/>
    </row>
    <row r="29" spans="1:18" x14ac:dyDescent="0.2">
      <c r="A29" s="258"/>
      <c r="B29" s="258"/>
      <c r="C29" s="259"/>
      <c r="D29" s="258"/>
      <c r="E29" s="259"/>
      <c r="F29" s="258"/>
      <c r="G29" s="259"/>
      <c r="H29" s="258"/>
      <c r="I29" s="259"/>
      <c r="J29" s="258"/>
      <c r="K29" s="259"/>
      <c r="L29" s="258"/>
      <c r="M29" s="259"/>
      <c r="N29" s="258"/>
      <c r="O29" s="259"/>
      <c r="P29" s="258"/>
      <c r="Q29" s="259"/>
      <c r="R29" s="258"/>
    </row>
    <row r="30" spans="1:18" ht="15.75" customHeight="1" x14ac:dyDescent="0.25">
      <c r="A30" s="276"/>
      <c r="B30" s="614" t="str">
        <f ca="1">语言!$A$333</f>
        <v>史迪尔斯诺</v>
      </c>
      <c r="C30" s="371"/>
      <c r="D30" s="612" t="str">
        <f ca="1">语言!$A$354</f>
        <v>诺布尔寇德</v>
      </c>
      <c r="E30" s="371"/>
      <c r="F30" s="611" t="str">
        <f ca="1">语言!$A$372</f>
        <v>葛鲁德修亚</v>
      </c>
      <c r="G30" s="371"/>
      <c r="H30" s="613" t="str">
        <f ca="1">语言!$A$395</f>
        <v>斯托冈德</v>
      </c>
      <c r="I30" s="371"/>
      <c r="J30" s="615" t="str">
        <f ca="1">语言!$A$420</f>
        <v>威尔斯宾克</v>
      </c>
      <c r="K30" s="371"/>
      <c r="L30" s="614" t="str">
        <f ca="1">语言!$A$441</f>
        <v>圣特布里吉</v>
      </c>
      <c r="M30" s="371"/>
      <c r="N30" s="611" t="str">
        <f ca="1">语言!$A$464</f>
        <v>库欧利克雷斯特</v>
      </c>
      <c r="O30" s="371"/>
      <c r="P30" s="612" t="str">
        <f ca="1">语言!$A$483</f>
        <v>维克塔霍洛</v>
      </c>
      <c r="Q30" s="371"/>
      <c r="R30" s="260"/>
    </row>
    <row r="31" spans="1:18" x14ac:dyDescent="0.2">
      <c r="A31" s="258"/>
      <c r="B31" s="261" t="str">
        <f ca="1">语言!$A$707</f>
        <v>猎鹰匕首</v>
      </c>
      <c r="C31" s="262" t="s">
        <v>155</v>
      </c>
      <c r="D31" s="20" t="str">
        <f ca="1">语言!$A$648</f>
        <v>银制剑</v>
      </c>
      <c r="E31" s="263" t="s">
        <v>156</v>
      </c>
      <c r="F31" s="264" t="str">
        <f ca="1">语言!$A$669</f>
        <v>大桥骑枪</v>
      </c>
      <c r="G31" s="265" t="s">
        <v>157</v>
      </c>
      <c r="H31" s="266" t="str">
        <f ca="1">语言!$A$741</f>
        <v>重斧</v>
      </c>
      <c r="I31" s="267" t="s">
        <v>129</v>
      </c>
      <c r="J31" s="268" t="str">
        <f ca="1">语言!$A$641</f>
        <v>老鹰军刀</v>
      </c>
      <c r="K31" s="269" t="s">
        <v>158</v>
      </c>
      <c r="L31" s="261" t="str">
        <f ca="1">语言!$A$730</f>
        <v>灰熊猛击斧</v>
      </c>
      <c r="M31" s="262" t="s">
        <v>159</v>
      </c>
      <c r="N31" s="264" t="str">
        <f ca="1">语言!$A$674</f>
        <v>强盗长枪</v>
      </c>
      <c r="O31" s="265" t="s">
        <v>160</v>
      </c>
      <c r="P31" s="20" t="str">
        <f ca="1">语言!$A$648</f>
        <v>银制剑</v>
      </c>
      <c r="Q31" s="263" t="s">
        <v>156</v>
      </c>
      <c r="R31" s="258"/>
    </row>
    <row r="32" spans="1:18" x14ac:dyDescent="0.2">
      <c r="A32" s="258"/>
      <c r="B32" s="261" t="str">
        <f ca="1">语言!$A$703</f>
        <v>断链者</v>
      </c>
      <c r="C32" s="262" t="s">
        <v>131</v>
      </c>
      <c r="D32" s="20" t="str">
        <f ca="1">语言!$A$647</f>
        <v>巨剑</v>
      </c>
      <c r="E32" s="263" t="s">
        <v>129</v>
      </c>
      <c r="F32" s="264" t="str">
        <f ca="1">语言!$A$739</f>
        <v>猛击斧</v>
      </c>
      <c r="G32" s="265" t="s">
        <v>134</v>
      </c>
      <c r="H32" s="266" t="str">
        <f ca="1">语言!$A$733</f>
        <v>尖角猛击斧</v>
      </c>
      <c r="I32" s="267" t="s">
        <v>136</v>
      </c>
      <c r="J32" s="268" t="str">
        <f ca="1">语言!$A$637</f>
        <v>强化剑</v>
      </c>
      <c r="K32" s="269" t="s">
        <v>161</v>
      </c>
      <c r="L32" s="261" t="str">
        <f ca="1">"(*) "&amp;语言!$A$726</f>
        <v>(*) 元素手斧</v>
      </c>
      <c r="M32" s="262" t="s">
        <v>162</v>
      </c>
      <c r="N32" s="264" t="str">
        <f ca="1">语言!$A$672</f>
        <v>重骑枪</v>
      </c>
      <c r="O32" s="265" t="s">
        <v>163</v>
      </c>
      <c r="P32" s="20" t="str">
        <f ca="1">语言!$A$647</f>
        <v>巨剑</v>
      </c>
      <c r="Q32" s="263" t="s">
        <v>129</v>
      </c>
      <c r="R32" s="258"/>
    </row>
    <row r="33" spans="1:18" x14ac:dyDescent="0.2">
      <c r="A33" s="258"/>
      <c r="B33" s="261" t="str">
        <f ca="1">语言!$A$729</f>
        <v>重力子斧</v>
      </c>
      <c r="C33" s="262" t="s">
        <v>164</v>
      </c>
      <c r="D33" s="20" t="str">
        <f ca="1">语言!$A$645</f>
        <v>精神剑</v>
      </c>
      <c r="E33" s="263" t="s">
        <v>131</v>
      </c>
      <c r="F33" s="264" t="str">
        <f ca="1">语言!$A$736</f>
        <v>维京斧</v>
      </c>
      <c r="G33" s="265" t="s">
        <v>165</v>
      </c>
      <c r="H33" s="266" t="str">
        <f ca="1">语言!$A$772</f>
        <v>杀手弓</v>
      </c>
      <c r="I33" s="267" t="s">
        <v>134</v>
      </c>
      <c r="J33" s="268" t="str">
        <f ca="1">"(*) "&amp;语言!$A$630</f>
        <v>(*) 显赫之刃</v>
      </c>
      <c r="K33" s="269" t="s">
        <v>166</v>
      </c>
      <c r="L33" s="261" t="str">
        <f ca="1">语言!$A$801</f>
        <v>橡木手杖</v>
      </c>
      <c r="M33" s="262" t="s">
        <v>134</v>
      </c>
      <c r="N33" s="264" t="str">
        <f ca="1">语言!$A$667</f>
        <v>魔法长柄刀</v>
      </c>
      <c r="O33" s="265" t="s">
        <v>167</v>
      </c>
      <c r="P33" s="20" t="str">
        <f ca="1">语言!$A$642</f>
        <v>混用剑</v>
      </c>
      <c r="Q33" s="263" t="s">
        <v>163</v>
      </c>
      <c r="R33" s="258"/>
    </row>
    <row r="34" spans="1:18" x14ac:dyDescent="0.2">
      <c r="A34" s="258"/>
      <c r="B34" s="261" t="str">
        <f ca="1">语言!$A$771</f>
        <v>魔法弓</v>
      </c>
      <c r="C34" s="262" t="s">
        <v>160</v>
      </c>
      <c r="D34" s="20" t="str">
        <f ca="1">语言!$A$706</f>
        <v>穿孔匕首</v>
      </c>
      <c r="E34" s="263" t="s">
        <v>129</v>
      </c>
      <c r="F34" s="264" t="str">
        <f ca="1">语言!$A$729</f>
        <v>重力子斧</v>
      </c>
      <c r="G34" s="265" t="s">
        <v>164</v>
      </c>
      <c r="H34" s="266" t="str">
        <f ca="1">语言!$A$771</f>
        <v>魔法弓</v>
      </c>
      <c r="I34" s="267" t="s">
        <v>160</v>
      </c>
      <c r="J34" s="268" t="str">
        <f ca="1">语言!$A$701</f>
        <v>妖精匕首</v>
      </c>
      <c r="K34" s="269" t="s">
        <v>158</v>
      </c>
      <c r="L34" s="261" t="str">
        <f ca="1">语言!$A$799</f>
        <v>奇迹手杖</v>
      </c>
      <c r="M34" s="262" t="s">
        <v>165</v>
      </c>
      <c r="N34" s="264" t="str">
        <f ca="1">"(*) "&amp;语言!$A$724</f>
        <v>(*) 山丘猛击斧</v>
      </c>
      <c r="O34" s="265" t="s">
        <v>168</v>
      </c>
      <c r="P34" s="20" t="str">
        <f ca="1">语言!$A$633</f>
        <v>白金剑</v>
      </c>
      <c r="Q34" s="263" t="s">
        <v>169</v>
      </c>
      <c r="R34" s="258"/>
    </row>
    <row r="35" spans="1:18" x14ac:dyDescent="0.2">
      <c r="A35" s="258"/>
      <c r="B35" s="261" t="str">
        <f ca="1">语言!$A$763</f>
        <v>战姬的大弓</v>
      </c>
      <c r="C35" s="262" t="s">
        <v>170</v>
      </c>
      <c r="D35" s="20" t="str">
        <f ca="1">语言!$A$698</f>
        <v>魔法匕首</v>
      </c>
      <c r="E35" s="263" t="s">
        <v>171</v>
      </c>
      <c r="F35" s="264" t="str">
        <f ca="1">语言!$A$794</f>
        <v>蓝宝石杖</v>
      </c>
      <c r="G35" s="265" t="s">
        <v>167</v>
      </c>
      <c r="H35" s="266" t="str">
        <f ca="1">语言!$A$769</f>
        <v>士兵的大弓</v>
      </c>
      <c r="I35" s="267" t="s">
        <v>131</v>
      </c>
      <c r="J35" s="268" t="str">
        <f ca="1">语言!$A$697</f>
        <v>破天者</v>
      </c>
      <c r="K35" s="269" t="s">
        <v>159</v>
      </c>
      <c r="L35" s="261" t="str">
        <f ca="1">语言!$A$795</f>
        <v>战锤</v>
      </c>
      <c r="M35" s="262" t="s">
        <v>169</v>
      </c>
      <c r="N35" s="264" t="str">
        <f ca="1">语言!$A$802</f>
        <v>连伽</v>
      </c>
      <c r="O35" s="265" t="s">
        <v>134</v>
      </c>
      <c r="P35" s="20" t="str">
        <f ca="1">语言!$A$674</f>
        <v>强盗长枪</v>
      </c>
      <c r="Q35" s="263" t="s">
        <v>160</v>
      </c>
      <c r="R35" s="258"/>
    </row>
    <row r="36" spans="1:18" x14ac:dyDescent="0.2">
      <c r="A36" s="258"/>
      <c r="B36" s="261" t="str">
        <f ca="1">语言!$A$823</f>
        <v>元素盾</v>
      </c>
      <c r="C36" s="262" t="s">
        <v>172</v>
      </c>
      <c r="D36" s="20" t="str">
        <f ca="1">"(*) "&amp;语言!$A$693</f>
        <v>(*) 刺客匕首</v>
      </c>
      <c r="E36" s="263" t="s">
        <v>168</v>
      </c>
      <c r="F36" s="264" t="str">
        <f ca="1">语言!$A$826</f>
        <v>鸢形盾</v>
      </c>
      <c r="G36" s="265" t="s">
        <v>130</v>
      </c>
      <c r="H36" s="266" t="str">
        <f ca="1">语言!$A$826</f>
        <v>鸢形盾</v>
      </c>
      <c r="I36" s="267" t="s">
        <v>130</v>
      </c>
      <c r="J36" s="268" t="str">
        <f ca="1">语言!$A$822</f>
        <v>尖刺盾</v>
      </c>
      <c r="K36" s="269" t="s">
        <v>152</v>
      </c>
      <c r="L36" s="261" t="str">
        <f ca="1">语言!$A$823</f>
        <v>元素盾</v>
      </c>
      <c r="M36" s="262" t="s">
        <v>172</v>
      </c>
      <c r="N36" s="264" t="str">
        <f ca="1">语言!$A$799</f>
        <v>奇迹手杖</v>
      </c>
      <c r="O36" s="265" t="s">
        <v>165</v>
      </c>
      <c r="P36" s="20" t="str">
        <f ca="1">"(*) "&amp;语言!$A$663</f>
        <v>(*) 胜利长枪</v>
      </c>
      <c r="Q36" s="263" t="s">
        <v>166</v>
      </c>
      <c r="R36" s="258"/>
    </row>
    <row r="37" spans="1:18" ht="12.75" x14ac:dyDescent="0.2">
      <c r="A37" s="258"/>
      <c r="B37" s="261" t="str">
        <f ca="1">语言!$A$857</f>
        <v>雪隐兜帽</v>
      </c>
      <c r="C37" s="262" t="s">
        <v>173</v>
      </c>
      <c r="D37" s="20" t="str">
        <f ca="1">语言!$A$825</f>
        <v>板盾</v>
      </c>
      <c r="E37" s="263" t="s">
        <v>174</v>
      </c>
      <c r="F37" s="264" t="str">
        <f ca="1">语言!$A$823</f>
        <v>元素盾</v>
      </c>
      <c r="G37" s="265" t="s">
        <v>172</v>
      </c>
      <c r="H37" s="266" t="str">
        <f ca="1">语言!$A$822</f>
        <v>尖刺盾</v>
      </c>
      <c r="I37" s="267" t="s">
        <v>152</v>
      </c>
      <c r="J37" s="268" t="str">
        <f ca="1">语言!$A$853</f>
        <v>猎鹰的帽子</v>
      </c>
      <c r="K37" s="269" t="s">
        <v>175</v>
      </c>
      <c r="L37" s="261" t="str">
        <f ca="1">语言!$A$822</f>
        <v>尖刺盾</v>
      </c>
      <c r="M37" s="262" t="s">
        <v>152</v>
      </c>
      <c r="N37" s="264" t="str">
        <f ca="1">语言!$A$826</f>
        <v>鸢形盾</v>
      </c>
      <c r="O37" s="265" t="s">
        <v>130</v>
      </c>
      <c r="P37" s="20" t="str">
        <f ca="1">语言!$A$766</f>
        <v>战斧弓</v>
      </c>
      <c r="Q37" s="263" t="s">
        <v>158</v>
      </c>
      <c r="R37" s="258"/>
    </row>
    <row r="38" spans="1:18" ht="12.75" x14ac:dyDescent="0.2">
      <c r="A38" s="258"/>
      <c r="B38" s="261" t="str">
        <f ca="1">"(*) "&amp;语言!$A$846</f>
        <v>(*) 元素帽</v>
      </c>
      <c r="C38" s="262" t="s">
        <v>131</v>
      </c>
      <c r="D38" s="20" t="str">
        <f ca="1">语言!$A$822</f>
        <v>尖刺盾</v>
      </c>
      <c r="E38" s="263" t="s">
        <v>152</v>
      </c>
      <c r="F38" s="264" t="str">
        <f ca="1">语言!$A$858</f>
        <v>神圣头盔</v>
      </c>
      <c r="G38" s="265" t="s">
        <v>149</v>
      </c>
      <c r="H38" s="266" t="str">
        <f ca="1">语言!$A$856</f>
        <v>银制头盔</v>
      </c>
      <c r="I38" s="267" t="s">
        <v>176</v>
      </c>
      <c r="J38" s="268" t="str">
        <f ca="1">语言!$A$900</f>
        <v>显赫背心</v>
      </c>
      <c r="K38" s="269" t="s">
        <v>177</v>
      </c>
      <c r="L38" s="261" t="str">
        <f ca="1">语言!$A$858</f>
        <v>神圣头盔</v>
      </c>
      <c r="M38" s="262" t="s">
        <v>149</v>
      </c>
      <c r="N38" s="264" t="str">
        <f ca="1">语言!$A$825</f>
        <v>板盾</v>
      </c>
      <c r="O38" s="265" t="s">
        <v>174</v>
      </c>
      <c r="P38" s="20" t="str">
        <f ca="1">语言!$A$763</f>
        <v>战姬的大弓</v>
      </c>
      <c r="Q38" s="263" t="s">
        <v>170</v>
      </c>
      <c r="R38" s="258"/>
    </row>
    <row r="39" spans="1:18" ht="12.75" x14ac:dyDescent="0.2">
      <c r="A39" s="258"/>
      <c r="B39" s="261" t="str">
        <f ca="1">语言!$A$908</f>
        <v>雪隐斗篷</v>
      </c>
      <c r="C39" s="262" t="s">
        <v>178</v>
      </c>
      <c r="D39" s="20" t="str">
        <f ca="1">语言!$A$855</f>
        <v>黄金发饰</v>
      </c>
      <c r="E39" s="263" t="s">
        <v>179</v>
      </c>
      <c r="F39" s="264" t="str">
        <f ca="1">语言!$A$851</f>
        <v>星屑帽子</v>
      </c>
      <c r="G39" s="265" t="s">
        <v>180</v>
      </c>
      <c r="H39" s="266" t="str">
        <f ca="1">语言!$A$853</f>
        <v>猎鹰的帽子</v>
      </c>
      <c r="I39" s="267" t="s">
        <v>175</v>
      </c>
      <c r="J39" s="268" t="str">
        <f ca="1">语言!$A$898</f>
        <v>显赫盔甲</v>
      </c>
      <c r="K39" s="269" t="s">
        <v>152</v>
      </c>
      <c r="L39" s="261" t="str">
        <f ca="1">语言!$A$851</f>
        <v>星屑帽子</v>
      </c>
      <c r="M39" s="262" t="s">
        <v>180</v>
      </c>
      <c r="N39" s="264" t="str">
        <f ca="1">语言!$A$858</f>
        <v>神圣头盔</v>
      </c>
      <c r="O39" s="265" t="s">
        <v>149</v>
      </c>
      <c r="P39" s="20" t="str">
        <f ca="1">语言!$A$826</f>
        <v>鸢形盾</v>
      </c>
      <c r="Q39" s="263" t="s">
        <v>130</v>
      </c>
      <c r="R39" s="258"/>
    </row>
    <row r="40" spans="1:18" ht="12.75" x14ac:dyDescent="0.2">
      <c r="A40" s="258"/>
      <c r="B40" s="261" t="str">
        <f ca="1">语言!$A$900</f>
        <v>显赫背心</v>
      </c>
      <c r="C40" s="262" t="s">
        <v>177</v>
      </c>
      <c r="D40" s="20" t="str">
        <f ca="1">语言!$A$906</f>
        <v>银制背心</v>
      </c>
      <c r="E40" s="263" t="s">
        <v>148</v>
      </c>
      <c r="F40" s="264" t="str">
        <f ca="1">语言!$A$906</f>
        <v>银制背心</v>
      </c>
      <c r="G40" s="265" t="s">
        <v>148</v>
      </c>
      <c r="H40" s="266" t="str">
        <f ca="1">语言!$A$904</f>
        <v>银制盔甲</v>
      </c>
      <c r="I40" s="267" t="s">
        <v>181</v>
      </c>
      <c r="J40" s="274" t="str">
        <f ca="1">语言!$A$497</f>
        <v>ＨＰ恢复的葡萄</v>
      </c>
      <c r="K40" s="269">
        <v>50</v>
      </c>
      <c r="L40" s="261" t="str">
        <f ca="1">语言!$A$843</f>
        <v>静寂头巾</v>
      </c>
      <c r="M40" s="262" t="s">
        <v>182</v>
      </c>
      <c r="N40" s="264" t="str">
        <f ca="1">语言!$A$856</f>
        <v>银制头盔</v>
      </c>
      <c r="O40" s="265" t="s">
        <v>176</v>
      </c>
      <c r="P40" s="20" t="str">
        <f ca="1">"(*) "&amp;语言!$A$816</f>
        <v>(*) 巨盾</v>
      </c>
      <c r="Q40" s="263" t="s">
        <v>157</v>
      </c>
      <c r="R40" s="258"/>
    </row>
    <row r="41" spans="1:18" ht="12.75" x14ac:dyDescent="0.2">
      <c r="A41" s="258"/>
      <c r="B41" s="261" t="str">
        <f ca="1">"(*) "&amp;语言!$A$955</f>
        <v>(*) 体力戒指</v>
      </c>
      <c r="C41" s="262" t="s">
        <v>173</v>
      </c>
      <c r="D41" s="20" t="str">
        <f ca="1">语言!$A$898</f>
        <v>显赫盔甲</v>
      </c>
      <c r="E41" s="263" t="s">
        <v>152</v>
      </c>
      <c r="F41" s="264" t="str">
        <f ca="1">语言!$A$902</f>
        <v>元素长袍</v>
      </c>
      <c r="G41" s="265" t="s">
        <v>146</v>
      </c>
      <c r="H41" s="266" t="str">
        <f ca="1">语言!$A$902</f>
        <v>元素长袍</v>
      </c>
      <c r="I41" s="267" t="s">
        <v>146</v>
      </c>
      <c r="J41" s="274" t="str">
        <f ca="1">语言!$A$498</f>
        <v>ＨＰ恢复的葡萄（大）</v>
      </c>
      <c r="K41" s="269">
        <v>260</v>
      </c>
      <c r="L41" s="261" t="str">
        <f ca="1">语言!$A$907</f>
        <v>魔咒长袍</v>
      </c>
      <c r="M41" s="262" t="s">
        <v>178</v>
      </c>
      <c r="N41" s="264" t="str">
        <f ca="1">语言!$A$906</f>
        <v>银制背心</v>
      </c>
      <c r="O41" s="265" t="s">
        <v>148</v>
      </c>
      <c r="P41" s="20" t="str">
        <f ca="1">语言!$A$856</f>
        <v>银制头盔</v>
      </c>
      <c r="Q41" s="263" t="s">
        <v>176</v>
      </c>
      <c r="R41" s="258"/>
    </row>
    <row r="42" spans="1:18" ht="12.75" x14ac:dyDescent="0.2">
      <c r="A42" s="258"/>
      <c r="B42" s="273" t="str">
        <f ca="1">语言!$A$497</f>
        <v>ＨＰ恢复的葡萄</v>
      </c>
      <c r="C42" s="262">
        <v>50</v>
      </c>
      <c r="D42" s="20" t="str">
        <f ca="1">语言!$A$892</f>
        <v>寂静斗篷</v>
      </c>
      <c r="E42" s="263" t="s">
        <v>179</v>
      </c>
      <c r="F42" s="264" t="str">
        <f ca="1">"(*) "&amp;语言!$A$891</f>
        <v>(*) 元素重甲</v>
      </c>
      <c r="G42" s="265" t="s">
        <v>183</v>
      </c>
      <c r="H42" s="266" t="str">
        <f ca="1">"(*) "&amp;语言!$A$890</f>
        <v>(*) 帝国背心</v>
      </c>
      <c r="I42" s="267" t="s">
        <v>183</v>
      </c>
      <c r="J42" s="274" t="str">
        <f ca="1">语言!$A$500</f>
        <v>ＳＰ恢复的李子</v>
      </c>
      <c r="K42" s="269">
        <v>240</v>
      </c>
      <c r="L42" s="261" t="str">
        <f ca="1">语言!$A$959</f>
        <v>察知戒指</v>
      </c>
      <c r="M42" s="262" t="s">
        <v>132</v>
      </c>
      <c r="N42" s="270" t="str">
        <f ca="1">语言!$A$497</f>
        <v>ＨＰ恢复的葡萄</v>
      </c>
      <c r="O42" s="265">
        <v>50</v>
      </c>
      <c r="P42" s="20" t="str">
        <f ca="1">语言!$A$851</f>
        <v>星屑帽子</v>
      </c>
      <c r="Q42" s="263" t="s">
        <v>180</v>
      </c>
      <c r="R42" s="258"/>
    </row>
    <row r="43" spans="1:18" ht="12.75" x14ac:dyDescent="0.2">
      <c r="A43" s="258"/>
      <c r="B43" s="273" t="str">
        <f ca="1">语言!$A$498</f>
        <v>ＨＰ恢复的葡萄（大）</v>
      </c>
      <c r="C43" s="262">
        <v>260</v>
      </c>
      <c r="D43" s="271" t="str">
        <f ca="1">语言!$A$497</f>
        <v>ＨＰ恢复的葡萄</v>
      </c>
      <c r="E43" s="263">
        <v>50</v>
      </c>
      <c r="F43" s="264" t="str">
        <f ca="1">语言!$A$958</f>
        <v>狙击戒指</v>
      </c>
      <c r="G43" s="265" t="s">
        <v>132</v>
      </c>
      <c r="H43" s="272" t="str">
        <f ca="1">语言!$A$497</f>
        <v>ＨＰ恢复的葡萄</v>
      </c>
      <c r="I43" s="267">
        <v>50</v>
      </c>
      <c r="J43" s="274" t="str">
        <f ca="1">语言!$A$509</f>
        <v>复活的橄榄（大）</v>
      </c>
      <c r="K43" s="269" t="s">
        <v>173</v>
      </c>
      <c r="L43" s="261" t="str">
        <f ca="1">"(*) "&amp;语言!$A$948</f>
        <v>(*) 体力手环</v>
      </c>
      <c r="M43" s="262" t="s">
        <v>184</v>
      </c>
      <c r="N43" s="270" t="str">
        <f ca="1">语言!$A$498</f>
        <v>ＨＰ恢复的葡萄（大）</v>
      </c>
      <c r="O43" s="265">
        <v>260</v>
      </c>
      <c r="P43" s="20" t="str">
        <f ca="1">语言!$A$904</f>
        <v>银制盔甲</v>
      </c>
      <c r="Q43" s="263" t="s">
        <v>181</v>
      </c>
      <c r="R43" s="258"/>
    </row>
    <row r="44" spans="1:18" ht="12.75" x14ac:dyDescent="0.2">
      <c r="A44" s="258"/>
      <c r="B44" s="273" t="str">
        <f ca="1">语言!$A$500</f>
        <v>ＳＰ恢复的李子</v>
      </c>
      <c r="C44" s="262">
        <v>240</v>
      </c>
      <c r="D44" s="271" t="str">
        <f ca="1">语言!$A$498</f>
        <v>ＨＰ恢复的葡萄（大）</v>
      </c>
      <c r="E44" s="263">
        <v>260</v>
      </c>
      <c r="F44" s="264" t="str">
        <f ca="1">语言!$A$956</f>
        <v>精神戒指</v>
      </c>
      <c r="G44" s="265" t="s">
        <v>173</v>
      </c>
      <c r="H44" s="272" t="str">
        <f ca="1">语言!$A$498</f>
        <v>ＨＰ恢复的葡萄（大）</v>
      </c>
      <c r="I44" s="267">
        <v>260</v>
      </c>
      <c r="J44" s="274" t="str">
        <f ca="1">语言!$A$511</f>
        <v>毒治疗药草</v>
      </c>
      <c r="K44" s="269">
        <v>30</v>
      </c>
      <c r="L44" s="261" t="str">
        <f ca="1">"(*) "&amp;语言!$A$949</f>
        <v>(*) 精神手环</v>
      </c>
      <c r="M44" s="262" t="s">
        <v>184</v>
      </c>
      <c r="N44" s="270" t="str">
        <f ca="1">语言!$A$500</f>
        <v>ＳＰ恢复的李子</v>
      </c>
      <c r="O44" s="265">
        <v>240</v>
      </c>
      <c r="P44" s="20" t="str">
        <f ca="1">语言!$A$900</f>
        <v>显赫背心</v>
      </c>
      <c r="Q44" s="263" t="s">
        <v>177</v>
      </c>
      <c r="R44" s="258"/>
    </row>
    <row r="45" spans="1:18" ht="12.75" x14ac:dyDescent="0.2">
      <c r="A45" s="258"/>
      <c r="B45" s="273" t="str">
        <f ca="1">语言!$A$509</f>
        <v>复活的橄榄（大）</v>
      </c>
      <c r="C45" s="262" t="s">
        <v>173</v>
      </c>
      <c r="D45" s="271" t="str">
        <f ca="1">语言!$A$500</f>
        <v>ＳＰ恢复的李子</v>
      </c>
      <c r="E45" s="263">
        <v>240</v>
      </c>
      <c r="F45" s="264" t="str">
        <f ca="1">语言!$A$957</f>
        <v>守护戒指</v>
      </c>
      <c r="G45" s="265" t="s">
        <v>173</v>
      </c>
      <c r="H45" s="272" t="str">
        <f ca="1">语言!$A$500</f>
        <v>ＳＰ恢复的李子</v>
      </c>
      <c r="I45" s="267">
        <v>240</v>
      </c>
      <c r="J45" s="274" t="str">
        <f ca="1">语言!$A$513</f>
        <v>黑暗治疗药草</v>
      </c>
      <c r="K45" s="269">
        <v>30</v>
      </c>
      <c r="L45" s="273" t="str">
        <f ca="1">语言!$A$497</f>
        <v>ＨＰ恢复的葡萄</v>
      </c>
      <c r="M45" s="262">
        <v>50</v>
      </c>
      <c r="N45" s="270" t="str">
        <f ca="1">语言!$A$509</f>
        <v>复活的橄榄（大）</v>
      </c>
      <c r="O45" s="265" t="s">
        <v>173</v>
      </c>
      <c r="P45" s="20" t="str">
        <f ca="1">语言!$A$960</f>
        <v>灵敏戒指</v>
      </c>
      <c r="Q45" s="263" t="s">
        <v>132</v>
      </c>
      <c r="R45" s="258"/>
    </row>
    <row r="46" spans="1:18" ht="12.75" x14ac:dyDescent="0.2">
      <c r="A46" s="258"/>
      <c r="B46" s="273" t="str">
        <f ca="1">语言!$A$512</f>
        <v>沉默治疗药草</v>
      </c>
      <c r="C46" s="262">
        <v>30</v>
      </c>
      <c r="D46" s="271" t="str">
        <f ca="1">语言!$A$509</f>
        <v>复活的橄榄（大）</v>
      </c>
      <c r="E46" s="263" t="s">
        <v>173</v>
      </c>
      <c r="F46" s="270" t="str">
        <f ca="1">语言!$A$497</f>
        <v>ＨＰ恢复的葡萄</v>
      </c>
      <c r="G46" s="265">
        <v>50</v>
      </c>
      <c r="H46" s="272" t="str">
        <f ca="1">语言!$A$509</f>
        <v>复活的橄榄（大）</v>
      </c>
      <c r="I46" s="267" t="s">
        <v>173</v>
      </c>
      <c r="J46" s="274" t="str">
        <f ca="1">语言!$A$517</f>
        <v>昏迷治疗药草</v>
      </c>
      <c r="K46" s="269">
        <v>30</v>
      </c>
      <c r="L46" s="273" t="str">
        <f ca="1">语言!$A$498</f>
        <v>ＨＰ恢复的葡萄（大）</v>
      </c>
      <c r="M46" s="262">
        <v>260</v>
      </c>
      <c r="N46" s="270" t="str">
        <f ca="1">语言!$A$512</f>
        <v>沉默治疗药草</v>
      </c>
      <c r="O46" s="265">
        <v>30</v>
      </c>
      <c r="P46" s="20" t="str">
        <f ca="1">语言!$A$961</f>
        <v>会心戒指</v>
      </c>
      <c r="Q46" s="263" t="s">
        <v>132</v>
      </c>
      <c r="R46" s="258"/>
    </row>
    <row r="47" spans="1:18" ht="12.75" x14ac:dyDescent="0.2">
      <c r="A47" s="258"/>
      <c r="B47" s="273" t="str">
        <f ca="1">语言!$A$516</f>
        <v>恐怖治疗药草</v>
      </c>
      <c r="C47" s="262">
        <v>30</v>
      </c>
      <c r="D47" s="271" t="str">
        <f ca="1">语言!$A$512</f>
        <v>沉默治疗药草</v>
      </c>
      <c r="E47" s="263">
        <v>30</v>
      </c>
      <c r="F47" s="270" t="str">
        <f ca="1">语言!$A$498</f>
        <v>ＨＰ恢复的葡萄（大）</v>
      </c>
      <c r="G47" s="265">
        <v>260</v>
      </c>
      <c r="H47" s="272" t="str">
        <f ca="1">语言!$A$512</f>
        <v>沉默治疗药草</v>
      </c>
      <c r="I47" s="267">
        <v>30</v>
      </c>
      <c r="J47" s="274" t="str">
        <f ca="1">语言!$A$995</f>
        <v>秘药的素材（扩散）</v>
      </c>
      <c r="K47" s="269" t="s">
        <v>185</v>
      </c>
      <c r="L47" s="273" t="str">
        <f ca="1">语言!$A$500</f>
        <v>ＳＰ恢复的李子</v>
      </c>
      <c r="M47" s="262">
        <v>240</v>
      </c>
      <c r="N47" s="270" t="str">
        <f ca="1">语言!$A$514</f>
        <v>混乱治疗药草</v>
      </c>
      <c r="O47" s="265">
        <v>30</v>
      </c>
      <c r="P47" s="271" t="str">
        <f ca="1">语言!$A$497</f>
        <v>ＨＰ恢复的葡萄</v>
      </c>
      <c r="Q47" s="263">
        <v>50</v>
      </c>
      <c r="R47" s="258"/>
    </row>
    <row r="48" spans="1:18" ht="12.75" x14ac:dyDescent="0.2">
      <c r="A48" s="258"/>
      <c r="B48" s="273" t="str">
        <f ca="1">语言!$A$517</f>
        <v>昏迷治疗药草</v>
      </c>
      <c r="C48" s="262">
        <v>30</v>
      </c>
      <c r="D48" s="271" t="str">
        <f ca="1">语言!$A$513</f>
        <v>黑暗治疗药草</v>
      </c>
      <c r="E48" s="263">
        <v>30</v>
      </c>
      <c r="F48" s="270" t="str">
        <f ca="1">语言!$A$500</f>
        <v>ＳＰ恢复的李子</v>
      </c>
      <c r="G48" s="265">
        <v>240</v>
      </c>
      <c r="H48" s="272" t="str">
        <f ca="1">语言!$A$515</f>
        <v>睡眠治疗药草</v>
      </c>
      <c r="I48" s="267">
        <v>30</v>
      </c>
      <c r="J48" s="274" t="str">
        <f ca="1">语言!$A$997</f>
        <v>含毒的素材（扩散）</v>
      </c>
      <c r="K48" s="269">
        <v>100</v>
      </c>
      <c r="L48" s="273" t="str">
        <f ca="1">语言!$A$509</f>
        <v>复活的橄榄（大）</v>
      </c>
      <c r="M48" s="262" t="s">
        <v>173</v>
      </c>
      <c r="N48" s="270" t="str">
        <f ca="1">语言!$A$516</f>
        <v>恐怖治疗药草</v>
      </c>
      <c r="O48" s="265">
        <v>30</v>
      </c>
      <c r="P48" s="271" t="str">
        <f ca="1">语言!$A$498</f>
        <v>ＨＰ恢复的葡萄（大）</v>
      </c>
      <c r="Q48" s="263">
        <v>260</v>
      </c>
      <c r="R48" s="258"/>
    </row>
    <row r="49" spans="1:18" ht="12.75" x14ac:dyDescent="0.2">
      <c r="A49" s="258"/>
      <c r="B49" s="273" t="str">
        <f ca="1">语言!$A$992</f>
        <v>药的素材</v>
      </c>
      <c r="C49" s="262">
        <v>5</v>
      </c>
      <c r="D49" s="271" t="str">
        <f ca="1">语言!$A$995</f>
        <v>秘药的素材（扩散）</v>
      </c>
      <c r="E49" s="263" t="s">
        <v>185</v>
      </c>
      <c r="F49" s="270" t="str">
        <f ca="1">语言!$A$509</f>
        <v>复活的橄榄（大）</v>
      </c>
      <c r="G49" s="265" t="s">
        <v>173</v>
      </c>
      <c r="H49" s="272" t="str">
        <f ca="1">语言!$A$995</f>
        <v>秘药的素材（扩散）</v>
      </c>
      <c r="I49" s="267" t="s">
        <v>185</v>
      </c>
      <c r="J49" s="274" t="str">
        <f ca="1">语言!$A$1003</f>
        <v>葡萄树液</v>
      </c>
      <c r="K49" s="269">
        <v>40</v>
      </c>
      <c r="L49" s="273" t="str">
        <f ca="1">语言!$A$514</f>
        <v>混乱治疗药草</v>
      </c>
      <c r="M49" s="262">
        <v>30</v>
      </c>
      <c r="N49" s="270" t="str">
        <f ca="1">语言!$A$995</f>
        <v>秘药的素材（扩散）</v>
      </c>
      <c r="O49" s="265" t="s">
        <v>185</v>
      </c>
      <c r="P49" s="271" t="str">
        <f ca="1">语言!$A$500</f>
        <v>ＳＰ恢复的李子</v>
      </c>
      <c r="Q49" s="263">
        <v>240</v>
      </c>
      <c r="R49" s="258"/>
    </row>
    <row r="50" spans="1:18" ht="12.75" x14ac:dyDescent="0.2">
      <c r="A50" s="258"/>
      <c r="B50" s="273" t="str">
        <f ca="1">语言!$A$993</f>
        <v>药的素材（扩散）</v>
      </c>
      <c r="C50" s="262">
        <v>100</v>
      </c>
      <c r="D50" s="271" t="str">
        <f ca="1">语言!$A$997</f>
        <v>含毒的素材（扩散）</v>
      </c>
      <c r="E50" s="263">
        <v>100</v>
      </c>
      <c r="F50" s="270" t="str">
        <f ca="1">语言!$A$511</f>
        <v>毒治疗药草</v>
      </c>
      <c r="G50" s="265">
        <v>30</v>
      </c>
      <c r="H50" s="272" t="str">
        <f ca="1">语言!$A$997</f>
        <v>含毒的素材（扩散）</v>
      </c>
      <c r="I50" s="267">
        <v>100</v>
      </c>
      <c r="J50" s="258"/>
      <c r="K50" s="259"/>
      <c r="L50" s="273" t="str">
        <f ca="1">语言!$A$515</f>
        <v>睡眠治疗药草</v>
      </c>
      <c r="M50" s="262">
        <v>30</v>
      </c>
      <c r="N50" s="270" t="str">
        <f ca="1">语言!$A$997</f>
        <v>含毒的素材（扩散）</v>
      </c>
      <c r="O50" s="265">
        <v>100</v>
      </c>
      <c r="P50" s="271" t="str">
        <f ca="1">语言!$A$509</f>
        <v>复活的橄榄（大）</v>
      </c>
      <c r="Q50" s="263" t="s">
        <v>173</v>
      </c>
      <c r="R50" s="258"/>
    </row>
    <row r="51" spans="1:18" ht="12.75" x14ac:dyDescent="0.2">
      <c r="A51" s="258"/>
      <c r="B51" s="273" t="str">
        <f ca="1">语言!$A$1000</f>
        <v>毒利米树之叶</v>
      </c>
      <c r="C51" s="262">
        <v>5</v>
      </c>
      <c r="D51" s="271" t="str">
        <f ca="1">语言!$A$1003</f>
        <v>葡萄树液</v>
      </c>
      <c r="E51" s="263">
        <v>40</v>
      </c>
      <c r="F51" s="270" t="str">
        <f ca="1">语言!$A$514</f>
        <v>混乱治疗药草</v>
      </c>
      <c r="G51" s="265">
        <v>30</v>
      </c>
      <c r="H51" s="272" t="str">
        <f ca="1">语言!$A$1000</f>
        <v>毒利米树之叶</v>
      </c>
      <c r="I51" s="267">
        <v>5</v>
      </c>
      <c r="J51" s="258"/>
      <c r="K51" s="259"/>
      <c r="L51" s="273" t="str">
        <f ca="1">语言!$A$516</f>
        <v>恐怖治疗药草</v>
      </c>
      <c r="M51" s="262">
        <v>30</v>
      </c>
      <c r="N51" s="270" t="str">
        <f ca="1">语言!$A$1000</f>
        <v>毒利米树之叶</v>
      </c>
      <c r="O51" s="265">
        <v>5</v>
      </c>
      <c r="P51" s="271" t="str">
        <f ca="1">语言!$A$511</f>
        <v>毒治疗药草</v>
      </c>
      <c r="Q51" s="263">
        <v>30</v>
      </c>
      <c r="R51" s="258"/>
    </row>
    <row r="52" spans="1:18" ht="12.75" x14ac:dyDescent="0.2">
      <c r="A52" s="258"/>
      <c r="B52" s="258"/>
      <c r="C52" s="259"/>
      <c r="D52" s="258"/>
      <c r="E52" s="259"/>
      <c r="F52" s="270" t="str">
        <f ca="1">语言!$A$517</f>
        <v>昏迷治疗药草</v>
      </c>
      <c r="G52" s="265">
        <v>30</v>
      </c>
      <c r="H52" s="258"/>
      <c r="I52" s="259"/>
      <c r="J52" s="258"/>
      <c r="K52" s="259"/>
      <c r="L52" s="273" t="str">
        <f ca="1">语言!$A$995</f>
        <v>秘药的素材（扩散）</v>
      </c>
      <c r="M52" s="262" t="s">
        <v>185</v>
      </c>
      <c r="N52" s="258"/>
      <c r="O52" s="259"/>
      <c r="P52" s="271" t="str">
        <f ca="1">语言!$A$513</f>
        <v>黑暗治疗药草</v>
      </c>
      <c r="Q52" s="263">
        <v>30</v>
      </c>
      <c r="R52" s="258"/>
    </row>
    <row r="53" spans="1:18" ht="12.75" x14ac:dyDescent="0.2">
      <c r="A53" s="258"/>
      <c r="B53" s="258"/>
      <c r="C53" s="259"/>
      <c r="D53" s="258"/>
      <c r="E53" s="259"/>
      <c r="F53" s="270" t="str">
        <f ca="1">语言!$A$995</f>
        <v>秘药的素材（扩散）</v>
      </c>
      <c r="G53" s="265" t="s">
        <v>185</v>
      </c>
      <c r="H53" s="258"/>
      <c r="I53" s="259"/>
      <c r="J53" s="258"/>
      <c r="K53" s="259"/>
      <c r="L53" s="273" t="str">
        <f ca="1">语言!$A$997</f>
        <v>含毒的素材（扩散）</v>
      </c>
      <c r="M53" s="262">
        <v>100</v>
      </c>
      <c r="N53" s="258"/>
      <c r="O53" s="259"/>
      <c r="P53" s="271" t="str">
        <f ca="1">语言!$A$515</f>
        <v>睡眠治疗药草</v>
      </c>
      <c r="Q53" s="263">
        <v>30</v>
      </c>
      <c r="R53" s="258"/>
    </row>
    <row r="54" spans="1:18" ht="12.75" x14ac:dyDescent="0.2">
      <c r="A54" s="258"/>
      <c r="B54" s="258"/>
      <c r="C54" s="259"/>
      <c r="D54" s="258"/>
      <c r="E54" s="259"/>
      <c r="F54" s="270" t="str">
        <f ca="1">语言!$A$997</f>
        <v>含毒的素材（扩散）</v>
      </c>
      <c r="G54" s="265">
        <v>100</v>
      </c>
      <c r="H54" s="258"/>
      <c r="I54" s="259"/>
      <c r="J54" s="258"/>
      <c r="K54" s="259"/>
      <c r="L54" s="273" t="str">
        <f ca="1">语言!$A$1000</f>
        <v>毒利米树之叶</v>
      </c>
      <c r="M54" s="262">
        <v>5</v>
      </c>
      <c r="N54" s="258"/>
      <c r="O54" s="259"/>
      <c r="P54" s="271" t="str">
        <f ca="1">语言!$A$992</f>
        <v>药的素材</v>
      </c>
      <c r="Q54" s="263">
        <v>5</v>
      </c>
      <c r="R54" s="258"/>
    </row>
    <row r="55" spans="1:18" ht="12.75" x14ac:dyDescent="0.2">
      <c r="A55" s="258"/>
      <c r="B55" s="258"/>
      <c r="C55" s="259"/>
      <c r="D55" s="258"/>
      <c r="E55" s="259"/>
      <c r="F55" s="270" t="str">
        <f ca="1">语言!$A$1000</f>
        <v>毒利米树之叶</v>
      </c>
      <c r="G55" s="265">
        <v>5</v>
      </c>
      <c r="H55" s="258"/>
      <c r="I55" s="259"/>
      <c r="J55" s="258"/>
      <c r="K55" s="259"/>
      <c r="L55" s="273" t="str">
        <f ca="1">语言!$A$1003</f>
        <v>葡萄树液</v>
      </c>
      <c r="M55" s="262">
        <v>40</v>
      </c>
      <c r="N55" s="258"/>
      <c r="O55" s="259"/>
      <c r="P55" s="271" t="str">
        <f ca="1">语言!$A$996</f>
        <v>含毒的素材</v>
      </c>
      <c r="Q55" s="263">
        <v>5</v>
      </c>
      <c r="R55" s="258"/>
    </row>
    <row r="56" spans="1:18" ht="12.75" x14ac:dyDescent="0.2">
      <c r="A56" s="258"/>
      <c r="B56" s="258"/>
      <c r="C56" s="259"/>
      <c r="D56" s="258"/>
      <c r="E56" s="259"/>
      <c r="F56" s="270" t="str">
        <f ca="1">语言!$A$1003</f>
        <v>葡萄树液</v>
      </c>
      <c r="G56" s="265">
        <v>40</v>
      </c>
      <c r="H56" s="258"/>
      <c r="I56" s="259"/>
      <c r="J56" s="258"/>
      <c r="K56" s="259"/>
      <c r="L56" s="258"/>
      <c r="M56" s="259"/>
      <c r="N56" s="258"/>
      <c r="O56" s="259"/>
      <c r="P56" s="271" t="str">
        <f ca="1">语言!$A$1003</f>
        <v>葡萄树液</v>
      </c>
      <c r="Q56" s="263">
        <v>40</v>
      </c>
      <c r="R56" s="258"/>
    </row>
    <row r="57" spans="1:18" ht="12.75" x14ac:dyDescent="0.2">
      <c r="A57" s="258"/>
      <c r="B57" s="258"/>
      <c r="C57" s="259"/>
      <c r="D57" s="258"/>
      <c r="E57" s="259"/>
      <c r="F57" s="258"/>
      <c r="G57" s="259"/>
      <c r="H57" s="258"/>
      <c r="I57" s="259"/>
      <c r="J57" s="258"/>
      <c r="K57" s="259"/>
      <c r="L57" s="258"/>
      <c r="M57" s="259"/>
      <c r="N57" s="258"/>
      <c r="O57" s="259"/>
      <c r="P57" s="258"/>
      <c r="Q57" s="259"/>
      <c r="R57" s="258"/>
    </row>
    <row r="58" spans="1:18" x14ac:dyDescent="0.25">
      <c r="A58" s="276"/>
      <c r="B58" s="614" t="str">
        <f ca="1">语言!$A$340</f>
        <v>诺斯利奇</v>
      </c>
      <c r="C58" s="371"/>
      <c r="D58" s="612" t="str">
        <f ca="1">语言!$A$360</f>
        <v>维斯帕米尔</v>
      </c>
      <c r="E58" s="371"/>
      <c r="F58" s="611" t="str">
        <f ca="1">语言!$A$382</f>
        <v>格兰波特</v>
      </c>
      <c r="G58" s="371"/>
      <c r="H58" s="613" t="str">
        <f ca="1">语言!$A$404</f>
        <v>艾巴霍多</v>
      </c>
      <c r="I58" s="371"/>
      <c r="J58" s="615" t="str">
        <f ca="1">语言!$A$428</f>
        <v>马尔沙利姆</v>
      </c>
      <c r="K58" s="371"/>
      <c r="L58" s="614" t="str">
        <f ca="1">语言!$A$449</f>
        <v>利维福德</v>
      </c>
      <c r="M58" s="371"/>
      <c r="N58" s="611" t="str">
        <f ca="1">语言!$A$471</f>
        <v>欧亚威尔</v>
      </c>
      <c r="O58" s="371"/>
      <c r="P58" s="612" t="str">
        <f ca="1">语言!$A$491</f>
        <v>达斯克瓦罗</v>
      </c>
      <c r="Q58" s="371"/>
      <c r="R58" s="260"/>
    </row>
    <row r="59" spans="1:18" ht="12.75" x14ac:dyDescent="0.2">
      <c r="A59" s="258"/>
      <c r="B59" s="261" t="str">
        <f ca="1">语言!$A$637</f>
        <v>强化剑</v>
      </c>
      <c r="C59" s="262" t="s">
        <v>161</v>
      </c>
      <c r="D59" s="20" t="str">
        <f ca="1">语言!$A$790</f>
        <v>晨星锤</v>
      </c>
      <c r="E59" s="263" t="s">
        <v>166</v>
      </c>
      <c r="F59" s="264" t="str">
        <f ca="1">语言!$A$667</f>
        <v>魔法长柄刀</v>
      </c>
      <c r="G59" s="265" t="s">
        <v>167</v>
      </c>
      <c r="H59" s="266" t="str">
        <f ca="1">语言!$A$695</f>
        <v>腥红匕首</v>
      </c>
      <c r="I59" s="267" t="s">
        <v>186</v>
      </c>
      <c r="J59" s="268" t="str">
        <f ca="1">语言!$A$729</f>
        <v>重力子斧</v>
      </c>
      <c r="K59" s="269" t="s">
        <v>164</v>
      </c>
      <c r="L59" s="261" t="str">
        <f ca="1">语言!$A$633</f>
        <v>白金剑</v>
      </c>
      <c r="M59" s="262" t="s">
        <v>169</v>
      </c>
      <c r="N59" s="264" t="str">
        <f ca="1">语言!$A$730</f>
        <v>灰熊猛击斧</v>
      </c>
      <c r="O59" s="265" t="s">
        <v>159</v>
      </c>
      <c r="P59" s="20" t="str">
        <f ca="1">语言!$A$794</f>
        <v>蓝宝石杖</v>
      </c>
      <c r="Q59" s="263" t="s">
        <v>167</v>
      </c>
      <c r="R59" s="258"/>
    </row>
    <row r="60" spans="1:18" ht="12.75" x14ac:dyDescent="0.2">
      <c r="A60" s="258"/>
      <c r="B60" s="261" t="str">
        <f ca="1">语言!$A$629</f>
        <v>三位一体剑</v>
      </c>
      <c r="C60" s="262" t="s">
        <v>187</v>
      </c>
      <c r="D60" s="20" t="str">
        <f ca="1">"(*) "&amp;语言!$A$784</f>
        <v>(*) 世界树手杖</v>
      </c>
      <c r="E60" s="263" t="s">
        <v>188</v>
      </c>
      <c r="F60" s="264" t="str">
        <f ca="1">语言!$A$664</f>
        <v>白金长枪</v>
      </c>
      <c r="G60" s="265" t="s">
        <v>162</v>
      </c>
      <c r="H60" s="266" t="str">
        <f ca="1">语言!$A$694</f>
        <v>灵魂匕首</v>
      </c>
      <c r="I60" s="267" t="s">
        <v>189</v>
      </c>
      <c r="J60" s="268" t="str">
        <f ca="1">语言!$A$722</f>
        <v>巨大斧</v>
      </c>
      <c r="K60" s="269" t="s">
        <v>190</v>
      </c>
      <c r="L60" s="261" t="str">
        <f ca="1">语言!$A$631</f>
        <v>勇气之刃</v>
      </c>
      <c r="M60" s="262" t="s">
        <v>162</v>
      </c>
      <c r="N60" s="264" t="str">
        <f ca="1">语言!$A$723</f>
        <v>金钢合金手斧</v>
      </c>
      <c r="O60" s="265" t="s">
        <v>191</v>
      </c>
      <c r="P60" s="20" t="str">
        <f ca="1">语言!$A$791</f>
        <v>智慧手杖</v>
      </c>
      <c r="Q60" s="263" t="s">
        <v>168</v>
      </c>
      <c r="R60" s="258"/>
    </row>
    <row r="61" spans="1:18" ht="12.75" x14ac:dyDescent="0.2">
      <c r="A61" s="258"/>
      <c r="B61" s="261" t="str">
        <f ca="1">语言!$A$697</f>
        <v>破天者</v>
      </c>
      <c r="C61" s="262" t="s">
        <v>159</v>
      </c>
      <c r="D61" s="20" t="str">
        <f ca="1">语言!$A$820</f>
        <v>金钢合金盾</v>
      </c>
      <c r="E61" s="263" t="s">
        <v>141</v>
      </c>
      <c r="F61" s="264" t="str">
        <f ca="1">语言!$A$661</f>
        <v>灵魂长柄刀</v>
      </c>
      <c r="G61" s="265" t="s">
        <v>192</v>
      </c>
      <c r="H61" s="266" t="str">
        <f ca="1">"(*) "&amp;语言!$A$689</f>
        <v>(*) 万速匕首</v>
      </c>
      <c r="I61" s="267" t="s">
        <v>193</v>
      </c>
      <c r="J61" s="268" t="str">
        <f ca="1">语言!$A$763</f>
        <v>战姬的大弓</v>
      </c>
      <c r="K61" s="269" t="s">
        <v>170</v>
      </c>
      <c r="L61" s="261" t="str">
        <f ca="1">"(*) "&amp;语言!$A$625</f>
        <v>(*) 龙之军刀</v>
      </c>
      <c r="M61" s="262" t="s">
        <v>194</v>
      </c>
      <c r="N61" s="264" t="str">
        <f ca="1">"(*) "&amp;语言!$A$719</f>
        <v>(*) 食人魔猛击斧</v>
      </c>
      <c r="O61" s="265" t="s">
        <v>188</v>
      </c>
      <c r="P61" s="20" t="str">
        <f ca="1">语言!$A$789</f>
        <v>陨石杖</v>
      </c>
      <c r="Q61" s="263" t="s">
        <v>195</v>
      </c>
      <c r="R61" s="258"/>
    </row>
    <row r="62" spans="1:18" ht="12.75" x14ac:dyDescent="0.2">
      <c r="A62" s="258"/>
      <c r="B62" s="261" t="str">
        <f ca="1">语言!$A$692</f>
        <v>毁灭破坏者</v>
      </c>
      <c r="C62" s="262" t="s">
        <v>196</v>
      </c>
      <c r="D62" s="20" t="str">
        <f ca="1">语言!$A$845</f>
        <v>魔法饰环</v>
      </c>
      <c r="E62" s="263" t="s">
        <v>141</v>
      </c>
      <c r="F62" s="264" t="str">
        <f ca="1">"(*) "&amp;语言!$A$659</f>
        <v>(*) 炽天使长枪</v>
      </c>
      <c r="G62" s="265" t="s">
        <v>194</v>
      </c>
      <c r="H62" s="266" t="str">
        <f ca="1">语言!$A$840</f>
        <v>海市蜃楼帽子</v>
      </c>
      <c r="I62" s="267" t="s">
        <v>139</v>
      </c>
      <c r="J62" s="268" t="str">
        <f ca="1">语言!$A$760</f>
        <v>光辉弓</v>
      </c>
      <c r="K62" s="269" t="s">
        <v>189</v>
      </c>
      <c r="L62" s="261" t="str">
        <f ca="1">语言!$A$662</f>
        <v>翡翠骑枪</v>
      </c>
      <c r="M62" s="262" t="s">
        <v>187</v>
      </c>
      <c r="N62" s="264" t="str">
        <f ca="1">语言!$A$820</f>
        <v>金钢合金盾</v>
      </c>
      <c r="O62" s="265" t="s">
        <v>141</v>
      </c>
      <c r="P62" s="20" t="str">
        <f ca="1">语言!$A$820</f>
        <v>金钢合金盾</v>
      </c>
      <c r="Q62" s="263" t="s">
        <v>141</v>
      </c>
      <c r="R62" s="258"/>
    </row>
    <row r="63" spans="1:18" ht="12.75" x14ac:dyDescent="0.2">
      <c r="A63" s="258"/>
      <c r="B63" s="261" t="str">
        <f ca="1">语言!$A$756</f>
        <v>雪男的大弓</v>
      </c>
      <c r="C63" s="262" t="s">
        <v>197</v>
      </c>
      <c r="D63" s="20" t="str">
        <f ca="1">语言!$A$893</f>
        <v>古老长袍</v>
      </c>
      <c r="E63" s="263" t="s">
        <v>183</v>
      </c>
      <c r="F63" s="264" t="str">
        <f ca="1">语言!$A$761</f>
        <v>海盗的大弓</v>
      </c>
      <c r="G63" s="265" t="s">
        <v>186</v>
      </c>
      <c r="H63" s="266" t="str">
        <f ca="1">语言!$A$892</f>
        <v>寂静斗篷</v>
      </c>
      <c r="I63" s="267" t="s">
        <v>183</v>
      </c>
      <c r="J63" s="268" t="str">
        <f ca="1">"(*) "&amp;语言!$A$753</f>
        <v>(*) 海伯利昂弓</v>
      </c>
      <c r="K63" s="269" t="s">
        <v>198</v>
      </c>
      <c r="L63" s="261" t="str">
        <f ca="1">语言!$A$818</f>
        <v>骑士盾</v>
      </c>
      <c r="M63" s="262" t="s">
        <v>183</v>
      </c>
      <c r="N63" s="264" t="str">
        <f ca="1">语言!$A$892</f>
        <v>寂静斗篷</v>
      </c>
      <c r="O63" s="265" t="s">
        <v>183</v>
      </c>
      <c r="P63" s="20" t="str">
        <f ca="1">"(*) "&amp;语言!$A$815</f>
        <v>(*) 力之盾</v>
      </c>
      <c r="Q63" s="263" t="s">
        <v>199</v>
      </c>
      <c r="R63" s="258"/>
    </row>
    <row r="64" spans="1:18" ht="12.75" x14ac:dyDescent="0.2">
      <c r="A64" s="258"/>
      <c r="B64" s="261" t="str">
        <f ca="1">语言!$A$843</f>
        <v>静寂头巾</v>
      </c>
      <c r="C64" s="262" t="s">
        <v>182</v>
      </c>
      <c r="D64" s="20" t="str">
        <f ca="1">语言!$A$950</f>
        <v>守护手环</v>
      </c>
      <c r="E64" s="263" t="s">
        <v>184</v>
      </c>
      <c r="F64" s="264" t="str">
        <f ca="1">语言!$A$757</f>
        <v>金钢合金弓</v>
      </c>
      <c r="G64" s="265" t="s">
        <v>196</v>
      </c>
      <c r="H64" s="266" t="str">
        <f ca="1">语言!$A$952</f>
        <v>察知手环</v>
      </c>
      <c r="I64" s="267" t="s">
        <v>200</v>
      </c>
      <c r="J64" s="268" t="str">
        <f ca="1">语言!$A$818</f>
        <v>骑士盾</v>
      </c>
      <c r="K64" s="269" t="s">
        <v>183</v>
      </c>
      <c r="L64" s="261" t="str">
        <f ca="1">语言!$A$838</f>
        <v>白金头盔</v>
      </c>
      <c r="M64" s="262" t="s">
        <v>201</v>
      </c>
      <c r="N64" s="270" t="str">
        <f ca="1">语言!$A$497</f>
        <v>ＨＰ恢复的葡萄</v>
      </c>
      <c r="O64" s="265">
        <v>50</v>
      </c>
      <c r="P64" s="20" t="str">
        <f ca="1">语言!$A$845</f>
        <v>魔法饰环</v>
      </c>
      <c r="Q64" s="263" t="s">
        <v>141</v>
      </c>
      <c r="R64" s="258"/>
    </row>
    <row r="65" spans="1:18" ht="12.75" x14ac:dyDescent="0.2">
      <c r="A65" s="258"/>
      <c r="B65" s="261" t="str">
        <f ca="1">语言!$A$892</f>
        <v>寂静斗篷</v>
      </c>
      <c r="C65" s="262" t="s">
        <v>183</v>
      </c>
      <c r="D65" s="271" t="str">
        <f ca="1">语言!$A$498</f>
        <v>ＨＰ恢复的葡萄（大）</v>
      </c>
      <c r="E65" s="263">
        <v>260</v>
      </c>
      <c r="F65" s="264" t="str">
        <f ca="1">语言!$A$818</f>
        <v>骑士盾</v>
      </c>
      <c r="G65" s="265" t="s">
        <v>183</v>
      </c>
      <c r="H65" s="272" t="str">
        <f ca="1">语言!$A$498</f>
        <v>ＨＰ恢复的葡萄（大）</v>
      </c>
      <c r="I65" s="267">
        <v>260</v>
      </c>
      <c r="J65" s="268" t="str">
        <f ca="1">语言!$A$840</f>
        <v>海市蜃楼帽子</v>
      </c>
      <c r="K65" s="269" t="s">
        <v>139</v>
      </c>
      <c r="L65" s="261" t="str">
        <f ca="1">语言!$A$886</f>
        <v>白金盔甲</v>
      </c>
      <c r="M65" s="262" t="s">
        <v>202</v>
      </c>
      <c r="N65" s="270" t="str">
        <f ca="1">语言!$A$500</f>
        <v>ＳＰ恢复的李子</v>
      </c>
      <c r="O65" s="265">
        <v>240</v>
      </c>
      <c r="P65" s="20" t="str">
        <f ca="1">语言!$A$893</f>
        <v>古老长袍</v>
      </c>
      <c r="Q65" s="263" t="s">
        <v>183</v>
      </c>
      <c r="R65" s="258"/>
    </row>
    <row r="66" spans="1:18" ht="12.75" x14ac:dyDescent="0.2">
      <c r="A66" s="258"/>
      <c r="B66" s="261" t="str">
        <f ca="1">语言!$A$889</f>
        <v>白金背心</v>
      </c>
      <c r="C66" s="262" t="s">
        <v>201</v>
      </c>
      <c r="D66" s="271" t="str">
        <f ca="1">语言!$A$499</f>
        <v>ＨＰ全体恢复的葡萄</v>
      </c>
      <c r="E66" s="263">
        <v>720</v>
      </c>
      <c r="F66" s="264" t="str">
        <f ca="1">"(*) "&amp;语言!$A$834</f>
        <v>(*) 龙之头盔</v>
      </c>
      <c r="G66" s="265" t="s">
        <v>203</v>
      </c>
      <c r="H66" s="272" t="str">
        <f ca="1">语言!$A$499</f>
        <v>ＨＰ全体恢复的葡萄</v>
      </c>
      <c r="I66" s="267">
        <v>720</v>
      </c>
      <c r="J66" s="268" t="str">
        <f ca="1">语言!$A$886</f>
        <v>白金盔甲</v>
      </c>
      <c r="K66" s="269" t="s">
        <v>202</v>
      </c>
      <c r="L66" s="261" t="str">
        <f ca="1">"(*) "&amp;语言!$A$953</f>
        <v>(*) 灵敏手环</v>
      </c>
      <c r="M66" s="262" t="s">
        <v>200</v>
      </c>
      <c r="N66" s="270" t="str">
        <f ca="1">语言!$A$512</f>
        <v>沉默治疗药草</v>
      </c>
      <c r="O66" s="265">
        <v>30</v>
      </c>
      <c r="P66" s="271" t="str">
        <f ca="1">语言!$A$498</f>
        <v>ＨＰ恢复的葡萄（大）</v>
      </c>
      <c r="Q66" s="263">
        <v>260</v>
      </c>
      <c r="R66" s="258"/>
    </row>
    <row r="67" spans="1:18" ht="12.75" x14ac:dyDescent="0.2">
      <c r="A67" s="258"/>
      <c r="B67" s="261" t="str">
        <f ca="1">"(*) "&amp;语言!$A$878</f>
        <v>(*) 龙之背心</v>
      </c>
      <c r="C67" s="262" t="s">
        <v>204</v>
      </c>
      <c r="D67" s="271" t="str">
        <f ca="1">语言!$A$500</f>
        <v>ＳＰ恢复的李子</v>
      </c>
      <c r="E67" s="263">
        <v>240</v>
      </c>
      <c r="F67" s="264" t="str">
        <f ca="1">语言!$A$889</f>
        <v>白金背心</v>
      </c>
      <c r="G67" s="265" t="s">
        <v>201</v>
      </c>
      <c r="H67" s="272" t="str">
        <f ca="1">语言!$A$500</f>
        <v>ＳＰ恢复的李子</v>
      </c>
      <c r="I67" s="267">
        <v>240</v>
      </c>
      <c r="J67" s="274" t="str">
        <f ca="1">语言!$A$498</f>
        <v>ＨＰ恢复的葡萄（大）</v>
      </c>
      <c r="K67" s="269">
        <v>260</v>
      </c>
      <c r="L67" s="273" t="str">
        <f ca="1">语言!$A$498</f>
        <v>ＨＰ恢复的葡萄（大）</v>
      </c>
      <c r="M67" s="262">
        <v>260</v>
      </c>
      <c r="N67" s="270" t="str">
        <f ca="1">语言!$A$515</f>
        <v>睡眠治疗药草</v>
      </c>
      <c r="O67" s="265">
        <v>30</v>
      </c>
      <c r="P67" s="271" t="str">
        <f ca="1">语言!$A$499</f>
        <v>ＨＰ全体恢复的葡萄</v>
      </c>
      <c r="Q67" s="263">
        <v>720</v>
      </c>
      <c r="R67" s="258"/>
    </row>
    <row r="68" spans="1:18" ht="12.75" x14ac:dyDescent="0.2">
      <c r="A68" s="258"/>
      <c r="B68" s="261" t="str">
        <f ca="1">语言!$A$954</f>
        <v>会心手环</v>
      </c>
      <c r="C68" s="262" t="s">
        <v>200</v>
      </c>
      <c r="D68" s="271" t="str">
        <f ca="1">语言!$A$501</f>
        <v>ＳＰ恢复的李子（大）</v>
      </c>
      <c r="E68" s="263">
        <v>900</v>
      </c>
      <c r="F68" s="264" t="str">
        <f ca="1">语言!$A$951</f>
        <v>狙击手环</v>
      </c>
      <c r="G68" s="265" t="s">
        <v>200</v>
      </c>
      <c r="H68" s="272" t="str">
        <f ca="1">语言!$A$501</f>
        <v>ＳＰ恢复的李子（大）</v>
      </c>
      <c r="I68" s="267">
        <v>900</v>
      </c>
      <c r="J68" s="274" t="str">
        <f ca="1">语言!$A$499</f>
        <v>ＨＰ全体恢复的葡萄</v>
      </c>
      <c r="K68" s="269">
        <v>720</v>
      </c>
      <c r="L68" s="273" t="str">
        <f ca="1">语言!$A$499</f>
        <v>ＨＰ全体恢复的葡萄</v>
      </c>
      <c r="M68" s="262">
        <v>720</v>
      </c>
      <c r="N68" s="270" t="str">
        <f ca="1">语言!$A$517</f>
        <v>昏迷治疗药草</v>
      </c>
      <c r="O68" s="265">
        <v>30</v>
      </c>
      <c r="P68" s="271" t="str">
        <f ca="1">语言!$A$500</f>
        <v>ＳＰ恢复的李子</v>
      </c>
      <c r="Q68" s="263">
        <v>240</v>
      </c>
      <c r="R68" s="258"/>
    </row>
    <row r="69" spans="1:18" ht="12.75" x14ac:dyDescent="0.2">
      <c r="A69" s="258"/>
      <c r="B69" s="273" t="str">
        <f ca="1">语言!$A$498</f>
        <v>ＨＰ恢复的葡萄（大）</v>
      </c>
      <c r="C69" s="262">
        <v>260</v>
      </c>
      <c r="D69" s="271" t="str">
        <f ca="1">语言!$A$509</f>
        <v>复活的橄榄（大）</v>
      </c>
      <c r="E69" s="263" t="s">
        <v>173</v>
      </c>
      <c r="F69" s="270" t="str">
        <f ca="1">语言!$A$498</f>
        <v>ＨＰ恢复的葡萄（大）</v>
      </c>
      <c r="G69" s="265">
        <v>260</v>
      </c>
      <c r="H69" s="272" t="str">
        <f ca="1">语言!$A$509</f>
        <v>复活的橄榄（大）</v>
      </c>
      <c r="I69" s="267" t="s">
        <v>173</v>
      </c>
      <c r="J69" s="274" t="str">
        <f ca="1">语言!$A$500</f>
        <v>ＳＰ恢复的李子</v>
      </c>
      <c r="K69" s="269">
        <v>240</v>
      </c>
      <c r="L69" s="273" t="str">
        <f ca="1">语言!$A$500</f>
        <v>ＳＰ恢复的李子</v>
      </c>
      <c r="M69" s="262">
        <v>240</v>
      </c>
      <c r="N69" s="258"/>
      <c r="O69" s="259"/>
      <c r="P69" s="271" t="str">
        <f ca="1">语言!$A$501</f>
        <v>ＳＰ恢复的李子（大）</v>
      </c>
      <c r="Q69" s="263">
        <v>900</v>
      </c>
      <c r="R69" s="258"/>
    </row>
    <row r="70" spans="1:18" ht="12.75" x14ac:dyDescent="0.2">
      <c r="A70" s="258"/>
      <c r="B70" s="273" t="str">
        <f ca="1">语言!$A$499</f>
        <v>ＨＰ全体恢复的葡萄</v>
      </c>
      <c r="C70" s="262">
        <v>720</v>
      </c>
      <c r="D70" s="271" t="str">
        <f ca="1">语言!$A$512</f>
        <v>沉默治疗药草</v>
      </c>
      <c r="E70" s="263">
        <v>30</v>
      </c>
      <c r="F70" s="270" t="str">
        <f ca="1">语言!$A$499</f>
        <v>ＨＰ全体恢复的葡萄</v>
      </c>
      <c r="G70" s="265">
        <v>720</v>
      </c>
      <c r="H70" s="272" t="str">
        <f ca="1">语言!$A$514</f>
        <v>混乱治疗药草</v>
      </c>
      <c r="I70" s="267">
        <v>30</v>
      </c>
      <c r="J70" s="274" t="str">
        <f ca="1">语言!$A$501</f>
        <v>ＳＰ恢复的李子（大）</v>
      </c>
      <c r="K70" s="269">
        <v>900</v>
      </c>
      <c r="L70" s="273" t="str">
        <f ca="1">语言!$A$501</f>
        <v>ＳＰ恢复的李子（大）</v>
      </c>
      <c r="M70" s="262">
        <v>900</v>
      </c>
      <c r="N70" s="258"/>
      <c r="O70" s="259"/>
      <c r="P70" s="271" t="str">
        <f ca="1">语言!$A$509</f>
        <v>复活的橄榄（大）</v>
      </c>
      <c r="Q70" s="263" t="s">
        <v>173</v>
      </c>
      <c r="R70" s="258"/>
    </row>
    <row r="71" spans="1:18" ht="12.75" x14ac:dyDescent="0.2">
      <c r="A71" s="258"/>
      <c r="B71" s="273" t="str">
        <f ca="1">语言!$A$500</f>
        <v>ＳＰ恢复的李子</v>
      </c>
      <c r="C71" s="262">
        <v>240</v>
      </c>
      <c r="D71" s="271" t="str">
        <f ca="1">语言!$A$513</f>
        <v>黑暗治疗药草</v>
      </c>
      <c r="E71" s="263">
        <v>30</v>
      </c>
      <c r="F71" s="270" t="str">
        <f ca="1">语言!$A$500</f>
        <v>ＳＰ恢复的李子</v>
      </c>
      <c r="G71" s="265">
        <v>240</v>
      </c>
      <c r="H71" s="272" t="str">
        <f ca="1">语言!$A$516</f>
        <v>恐怖治疗药草</v>
      </c>
      <c r="I71" s="267">
        <v>30</v>
      </c>
      <c r="J71" s="274" t="str">
        <f ca="1">语言!$A$509</f>
        <v>复活的橄榄（大）</v>
      </c>
      <c r="K71" s="269" t="s">
        <v>173</v>
      </c>
      <c r="L71" s="273" t="str">
        <f ca="1">语言!$A$509</f>
        <v>复活的橄榄（大）</v>
      </c>
      <c r="M71" s="262" t="s">
        <v>173</v>
      </c>
      <c r="N71" s="258"/>
      <c r="O71" s="259"/>
      <c r="P71" s="271" t="str">
        <f ca="1">语言!$A$513</f>
        <v>黑暗治疗药草</v>
      </c>
      <c r="Q71" s="263">
        <v>30</v>
      </c>
      <c r="R71" s="258"/>
    </row>
    <row r="72" spans="1:18" ht="12.75" x14ac:dyDescent="0.2">
      <c r="A72" s="258"/>
      <c r="B72" s="273" t="str">
        <f ca="1">语言!$A$501</f>
        <v>ＳＰ恢复的李子（大）</v>
      </c>
      <c r="C72" s="262">
        <v>900</v>
      </c>
      <c r="D72" s="271" t="str">
        <f ca="1">语言!$A$993</f>
        <v>药的素材（扩散）</v>
      </c>
      <c r="E72" s="263">
        <v>100</v>
      </c>
      <c r="F72" s="270" t="str">
        <f ca="1">语言!$A$501</f>
        <v>ＳＰ恢复的李子（大）</v>
      </c>
      <c r="G72" s="265">
        <v>900</v>
      </c>
      <c r="H72" s="272" t="str">
        <f ca="1">语言!$A$994</f>
        <v>秘药的素材</v>
      </c>
      <c r="I72" s="267" t="s">
        <v>137</v>
      </c>
      <c r="J72" s="274" t="str">
        <f ca="1">语言!$A$511</f>
        <v>毒治疗药草</v>
      </c>
      <c r="K72" s="269">
        <v>30</v>
      </c>
      <c r="L72" s="273" t="str">
        <f ca="1">语言!$A$511</f>
        <v>毒治疗药草</v>
      </c>
      <c r="M72" s="262">
        <v>30</v>
      </c>
      <c r="N72" s="258"/>
      <c r="O72" s="259"/>
      <c r="P72" s="271" t="str">
        <f ca="1">语言!$A$514</f>
        <v>混乱治疗药草</v>
      </c>
      <c r="Q72" s="263">
        <v>30</v>
      </c>
      <c r="R72" s="258"/>
    </row>
    <row r="73" spans="1:18" ht="12.75" x14ac:dyDescent="0.2">
      <c r="A73" s="258"/>
      <c r="B73" s="273" t="str">
        <f ca="1">语言!$A$509</f>
        <v>复活的橄榄（大）</v>
      </c>
      <c r="C73" s="262" t="s">
        <v>173</v>
      </c>
      <c r="D73" s="271" t="str">
        <f ca="1">语言!$A$995</f>
        <v>秘药的素材（扩散）</v>
      </c>
      <c r="E73" s="263" t="s">
        <v>185</v>
      </c>
      <c r="F73" s="270" t="str">
        <f ca="1">语言!$A$509</f>
        <v>复活的橄榄（大）</v>
      </c>
      <c r="G73" s="265" t="s">
        <v>173</v>
      </c>
      <c r="H73" s="272" t="str">
        <f ca="1">语言!$A$998</f>
        <v>超含毒的素材</v>
      </c>
      <c r="I73" s="267" t="s">
        <v>137</v>
      </c>
      <c r="J73" s="274" t="str">
        <f ca="1">语言!$A$513</f>
        <v>黑暗治疗药草</v>
      </c>
      <c r="K73" s="269">
        <v>30</v>
      </c>
      <c r="L73" s="273" t="str">
        <f ca="1">语言!$A$515</f>
        <v>睡眠治疗药草</v>
      </c>
      <c r="M73" s="262">
        <v>30</v>
      </c>
      <c r="N73" s="258"/>
      <c r="O73" s="259"/>
      <c r="P73" s="271" t="str">
        <f ca="1">语言!$A$515</f>
        <v>睡眠治疗药草</v>
      </c>
      <c r="Q73" s="263">
        <v>30</v>
      </c>
      <c r="R73" s="258"/>
    </row>
    <row r="74" spans="1:18" ht="12.75" x14ac:dyDescent="0.2">
      <c r="A74" s="258"/>
      <c r="B74" s="273" t="str">
        <f ca="1">语言!$A$512</f>
        <v>沉默治疗药草</v>
      </c>
      <c r="C74" s="262">
        <v>30</v>
      </c>
      <c r="D74" s="271" t="str">
        <f ca="1">语言!$A$1000</f>
        <v>毒利米树之叶</v>
      </c>
      <c r="E74" s="263">
        <v>5</v>
      </c>
      <c r="F74" s="270" t="str">
        <f ca="1">语言!$A$511</f>
        <v>毒治疗药草</v>
      </c>
      <c r="G74" s="265">
        <v>30</v>
      </c>
      <c r="H74" s="272" t="str">
        <f ca="1">语言!$A$999</f>
        <v>超含毒的素材（扩散）</v>
      </c>
      <c r="I74" s="267" t="s">
        <v>185</v>
      </c>
      <c r="J74" s="274" t="str">
        <f ca="1">语言!$A$993</f>
        <v>药的素材（扩散）</v>
      </c>
      <c r="K74" s="269">
        <v>100</v>
      </c>
      <c r="L74" s="273" t="str">
        <f ca="1">语言!$A$997</f>
        <v>含毒的素材（扩散）</v>
      </c>
      <c r="M74" s="262">
        <v>100</v>
      </c>
      <c r="N74" s="258"/>
      <c r="O74" s="259"/>
      <c r="P74" s="271" t="str">
        <f ca="1">语言!$A$994</f>
        <v>秘药的素材</v>
      </c>
      <c r="Q74" s="263" t="s">
        <v>137</v>
      </c>
      <c r="R74" s="258"/>
    </row>
    <row r="75" spans="1:18" ht="12.75" x14ac:dyDescent="0.2">
      <c r="A75" s="258"/>
      <c r="B75" s="273" t="str">
        <f ca="1">语言!$A$516</f>
        <v>恐怖治疗药草</v>
      </c>
      <c r="C75" s="262">
        <v>30</v>
      </c>
      <c r="D75" s="258"/>
      <c r="E75" s="259"/>
      <c r="F75" s="270" t="str">
        <f ca="1">语言!$A$514</f>
        <v>混乱治疗药草</v>
      </c>
      <c r="G75" s="265">
        <v>30</v>
      </c>
      <c r="H75" s="272" t="str">
        <f ca="1">语言!$A$1000</f>
        <v>毒利米树之叶</v>
      </c>
      <c r="I75" s="267">
        <v>5</v>
      </c>
      <c r="J75" s="274" t="str">
        <f ca="1">语言!$A$994</f>
        <v>秘药的素材</v>
      </c>
      <c r="K75" s="269" t="s">
        <v>137</v>
      </c>
      <c r="L75" s="273" t="str">
        <f ca="1">语言!$A$998</f>
        <v>超含毒的素材</v>
      </c>
      <c r="M75" s="262" t="s">
        <v>137</v>
      </c>
      <c r="N75" s="258"/>
      <c r="O75" s="259"/>
      <c r="P75" s="271" t="str">
        <f ca="1">语言!$A$995</f>
        <v>秘药的素材（扩散）</v>
      </c>
      <c r="Q75" s="263" t="s">
        <v>185</v>
      </c>
      <c r="R75" s="258"/>
    </row>
    <row r="76" spans="1:18" ht="12.75" x14ac:dyDescent="0.2">
      <c r="A76" s="258"/>
      <c r="B76" s="273" t="str">
        <f ca="1">语言!$A$517</f>
        <v>昏迷治疗药草</v>
      </c>
      <c r="C76" s="262">
        <v>30</v>
      </c>
      <c r="D76" s="258"/>
      <c r="E76" s="259"/>
      <c r="F76" s="270" t="str">
        <f ca="1">语言!$A$996</f>
        <v>含毒的素材</v>
      </c>
      <c r="G76" s="265">
        <v>5</v>
      </c>
      <c r="H76" s="272" t="str">
        <f ca="1">语言!$A$1003</f>
        <v>葡萄树液</v>
      </c>
      <c r="I76" s="267">
        <v>40</v>
      </c>
      <c r="J76" s="274" t="str">
        <f ca="1">语言!$A$995</f>
        <v>秘药的素材（扩散）</v>
      </c>
      <c r="K76" s="269" t="s">
        <v>185</v>
      </c>
      <c r="L76" s="273" t="str">
        <f ca="1">语言!$A$999</f>
        <v>超含毒的素材（扩散）</v>
      </c>
      <c r="M76" s="262" t="s">
        <v>185</v>
      </c>
      <c r="N76" s="258"/>
      <c r="O76" s="259"/>
      <c r="P76" s="271" t="str">
        <f ca="1">语言!$A$998</f>
        <v>超含毒的素材</v>
      </c>
      <c r="Q76" s="263" t="s">
        <v>137</v>
      </c>
      <c r="R76" s="258"/>
    </row>
    <row r="77" spans="1:18" ht="12.75" x14ac:dyDescent="0.2">
      <c r="A77" s="258"/>
      <c r="B77" s="273" t="str">
        <f ca="1">语言!$A$992</f>
        <v>药的素材</v>
      </c>
      <c r="C77" s="262">
        <v>5</v>
      </c>
      <c r="D77" s="258"/>
      <c r="E77" s="259"/>
      <c r="F77" s="270" t="str">
        <f ca="1">语言!$A$997</f>
        <v>含毒的素材（扩散）</v>
      </c>
      <c r="G77" s="265">
        <v>100</v>
      </c>
      <c r="H77" s="258"/>
      <c r="I77" s="259"/>
      <c r="J77" s="274" t="str">
        <f ca="1">语言!$A$1000</f>
        <v>毒利米树之叶</v>
      </c>
      <c r="K77" s="269">
        <v>5</v>
      </c>
      <c r="L77" s="273" t="str">
        <f ca="1">语言!$A$1003</f>
        <v>葡萄树液</v>
      </c>
      <c r="M77" s="262">
        <v>40</v>
      </c>
      <c r="N77" s="258"/>
      <c r="O77" s="259"/>
      <c r="P77" s="271" t="str">
        <f ca="1">语言!$A$1000</f>
        <v>毒利米树之叶</v>
      </c>
      <c r="Q77" s="263">
        <v>5</v>
      </c>
      <c r="R77" s="258"/>
    </row>
    <row r="78" spans="1:18" ht="12.75" x14ac:dyDescent="0.2">
      <c r="A78" s="258"/>
      <c r="B78" s="273" t="str">
        <f ca="1">语言!$A$997</f>
        <v>含毒的素材（扩散）</v>
      </c>
      <c r="C78" s="262">
        <v>100</v>
      </c>
      <c r="D78" s="258"/>
      <c r="E78" s="259"/>
      <c r="F78" s="270" t="str">
        <f ca="1">语言!$A$1003</f>
        <v>葡萄树液</v>
      </c>
      <c r="G78" s="265">
        <v>40</v>
      </c>
      <c r="H78" s="258"/>
      <c r="I78" s="259"/>
      <c r="J78" s="258"/>
      <c r="K78" s="259"/>
      <c r="L78" s="258"/>
      <c r="M78" s="259"/>
      <c r="N78" s="258"/>
      <c r="O78" s="259"/>
      <c r="P78" s="258"/>
      <c r="Q78" s="259"/>
      <c r="R78" s="258"/>
    </row>
    <row r="79" spans="1:18" ht="12.75" x14ac:dyDescent="0.2">
      <c r="A79" s="258"/>
      <c r="B79" s="273" t="str">
        <f ca="1">语言!$A$999</f>
        <v>超含毒的素材（扩散）</v>
      </c>
      <c r="C79" s="262" t="s">
        <v>185</v>
      </c>
      <c r="D79" s="258"/>
      <c r="E79" s="259"/>
      <c r="F79" s="258"/>
      <c r="G79" s="259"/>
      <c r="H79" s="258"/>
      <c r="I79" s="259"/>
      <c r="J79" s="258"/>
      <c r="K79" s="259"/>
      <c r="L79" s="258"/>
      <c r="M79" s="259"/>
      <c r="N79" s="258"/>
      <c r="O79" s="259"/>
      <c r="P79" s="258"/>
      <c r="Q79" s="259"/>
      <c r="R79" s="258"/>
    </row>
    <row r="80" spans="1:18" ht="12.75" x14ac:dyDescent="0.2">
      <c r="A80" s="258"/>
      <c r="B80" s="273" t="str">
        <f ca="1">语言!$A$1003</f>
        <v>葡萄树液</v>
      </c>
      <c r="C80" s="262">
        <v>40</v>
      </c>
      <c r="D80" s="258"/>
      <c r="E80" s="259"/>
      <c r="F80" s="258"/>
      <c r="G80" s="259"/>
      <c r="H80" s="258"/>
      <c r="I80" s="259"/>
      <c r="J80" s="258"/>
      <c r="K80" s="259"/>
      <c r="L80" s="258"/>
      <c r="M80" s="259"/>
      <c r="N80" s="258"/>
      <c r="O80" s="259"/>
      <c r="P80" s="258"/>
      <c r="Q80" s="259"/>
      <c r="R80" s="258"/>
    </row>
    <row r="81" spans="1:18" ht="12.75" x14ac:dyDescent="0.2">
      <c r="A81" s="258"/>
      <c r="B81" s="258"/>
      <c r="C81" s="259"/>
      <c r="D81" s="258"/>
      <c r="E81" s="259"/>
      <c r="F81" s="258"/>
      <c r="G81" s="259"/>
      <c r="H81" s="258"/>
      <c r="I81" s="259"/>
      <c r="J81" s="258"/>
      <c r="K81" s="259"/>
      <c r="L81" s="258"/>
      <c r="M81" s="259"/>
      <c r="N81" s="258"/>
      <c r="O81" s="259"/>
      <c r="P81" s="258"/>
      <c r="Q81" s="259"/>
      <c r="R81" s="258"/>
    </row>
  </sheetData>
  <mergeCells count="25">
    <mergeCell ref="N30:O30"/>
    <mergeCell ref="P30:Q30"/>
    <mergeCell ref="N58:O58"/>
    <mergeCell ref="P58:Q58"/>
    <mergeCell ref="B30:C30"/>
    <mergeCell ref="B58:C58"/>
    <mergeCell ref="D58:E58"/>
    <mergeCell ref="F58:G58"/>
    <mergeCell ref="H58:I58"/>
    <mergeCell ref="J58:K58"/>
    <mergeCell ref="L58:M58"/>
    <mergeCell ref="D30:E30"/>
    <mergeCell ref="F30:G30"/>
    <mergeCell ref="H30:I30"/>
    <mergeCell ref="J30:K30"/>
    <mergeCell ref="L30:M30"/>
    <mergeCell ref="N3:O3"/>
    <mergeCell ref="P3:Q3"/>
    <mergeCell ref="B1:E1"/>
    <mergeCell ref="B3:C3"/>
    <mergeCell ref="D3:E3"/>
    <mergeCell ref="F3:G3"/>
    <mergeCell ref="H3:I3"/>
    <mergeCell ref="J3:K3"/>
    <mergeCell ref="L3:M3"/>
  </mergeCells>
  <phoneticPr fontId="6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M201"/>
  <sheetViews>
    <sheetView workbookViewId="0">
      <pane ySplit="1" topLeftCell="A2" activePane="bottomLeft" state="frozen"/>
      <selection pane="bottomLeft" activeCell="B6" sqref="B6"/>
    </sheetView>
  </sheetViews>
  <sheetFormatPr defaultColWidth="12.5703125" defaultRowHeight="15.75" customHeight="1" x14ac:dyDescent="0.2"/>
  <cols>
    <col min="1" max="1" width="2.5703125" customWidth="1"/>
    <col min="2" max="2" width="25.140625" customWidth="1"/>
    <col min="3" max="4" width="8.85546875" customWidth="1"/>
    <col min="5" max="5" width="15.140625" customWidth="1"/>
    <col min="6" max="6" width="53.28515625" customWidth="1"/>
    <col min="7" max="7" width="2.5703125" customWidth="1"/>
    <col min="8" max="8" width="25.140625" customWidth="1"/>
    <col min="9" max="10" width="8.85546875" customWidth="1"/>
    <col min="11" max="11" width="15.140625" customWidth="1"/>
    <col min="12" max="12" width="53.28515625" customWidth="1"/>
    <col min="13" max="13" width="2.5703125" customWidth="1"/>
  </cols>
  <sheetData>
    <row r="1" spans="1:13" x14ac:dyDescent="0.2">
      <c r="A1" s="277"/>
      <c r="B1" s="277"/>
      <c r="C1" s="278" t="s">
        <v>205</v>
      </c>
      <c r="D1" s="278" t="s">
        <v>206</v>
      </c>
      <c r="E1" s="278" t="str">
        <f>"+Stat"</f>
        <v>+Stat</v>
      </c>
      <c r="F1" s="279" t="s">
        <v>207</v>
      </c>
      <c r="G1" s="277"/>
      <c r="H1" s="277"/>
      <c r="I1" s="278" t="s">
        <v>205</v>
      </c>
      <c r="J1" s="278" t="s">
        <v>206</v>
      </c>
      <c r="K1" s="278" t="str">
        <f>"+Stat"</f>
        <v>+Stat</v>
      </c>
      <c r="L1" s="279" t="s">
        <v>207</v>
      </c>
      <c r="M1" s="112"/>
    </row>
    <row r="2" spans="1:13" x14ac:dyDescent="0.2">
      <c r="A2" s="280"/>
      <c r="B2" s="240" t="s">
        <v>208</v>
      </c>
      <c r="C2" s="280"/>
      <c r="D2" s="280"/>
      <c r="E2" s="280"/>
      <c r="F2" s="280"/>
      <c r="G2" s="280"/>
      <c r="H2" s="280"/>
      <c r="I2" s="280"/>
      <c r="J2" s="280"/>
      <c r="K2" s="280"/>
      <c r="L2" s="280"/>
      <c r="M2" s="280"/>
    </row>
    <row r="3" spans="1:13" x14ac:dyDescent="0.2">
      <c r="A3" s="281"/>
      <c r="B3" s="616" t="str">
        <f ca="1">"- When using a physical attack, it uses the Phys. property of the weapon you are using during this attack. Elemental attacks (spells) however uses your weapon with the highest Elem. Atk. to calculate damage, you don't have to select your best elemental we"&amp;"apon before casting your spells.
- "&amp;语言!$A$620&amp;": Even though the tooltip says ""Attack: Augments physical abilites"", we should have read ""Equip"" instead of ""Attack"" because the bonus damage will apply with any weapon as long as "&amp;语言!$A$620&amp;" is equiped.
- All weapon with an increase damage to a specific element boost the damage by +30% for the said element. With Fire, Ice and Wind damage it's even possible to combine 2 weapon with those elemental boost, for instance Tressa could equip "&amp;语言!$A$655&amp;" + "&amp;语言!$A$749&amp;" and the bonus damage to Wind would now be +60%.
- "&amp;语言!$A$688&amp;" reduce Fire &amp; Dark element by -50%.
- As for equipment that reduces elemental damage taken, Slightly = 25% resist, Greatly = 99% resist, otherwise it's 50% resist.
- The HP/SP regen from items is a fixed amount. Equiping multiple of those items adds up t"&amp;"he amount received, could even be paired with support skill Vim and Vigor and Second Wind for added benefit, although Vim and Vigor don't add up with Ethereal Healing (Starseer) because it's the same buff."</f>
        <v>- When using a physical attack, it uses the Phys. property of the weapon you are using during this attack. Elemental attacks (spells) however uses your weapon with the highest Elem. Atk. to calculate damage, you don't have to select your best elemental weapon before casting your spells.
- 历战之剑: Even though the tooltip says "Attack: Augments physical abilites", we should have read "Equip" instead of "Attack" because the bonus damage will apply with any weapon as long as 历战之剑 is equiped.
- All weapon with an increase damage to a specific element boost the damage by +30% for the said element. With Fire, Ice and Wind damage it's even possible to combine 2 weapon with those elemental boost, for instance Tressa could equip 贸易风之枪 + 古来弓・岚 and the bonus damage to Wind would now be +60%.
- 禁忌短剑 reduce Fire &amp; Dark element by -50%.
- As for equipment that reduces elemental damage taken, Slightly = 25% resist, Greatly = 99% resist, otherwise it's 50% resist.
- The HP/SP regen from items is a fixed amount. Equiping multiple of those items adds up the amount received, could even be paired with support skill Vim and Vigor and Second Wind for added benefit, although Vim and Vigor don't add up with Ethereal Healing (Starseer) because it's the same buff.</v>
      </c>
      <c r="C3" s="371"/>
      <c r="D3" s="371"/>
      <c r="E3" s="371"/>
      <c r="F3" s="371"/>
      <c r="G3" s="371"/>
      <c r="H3" s="371"/>
      <c r="I3" s="371"/>
      <c r="J3" s="371"/>
      <c r="K3" s="371"/>
      <c r="L3" s="371"/>
      <c r="M3" s="281"/>
    </row>
    <row r="4" spans="1:13" x14ac:dyDescent="0.2">
      <c r="A4" s="277"/>
      <c r="B4" s="277"/>
      <c r="C4" s="277"/>
      <c r="D4" s="277"/>
      <c r="E4" s="277"/>
      <c r="F4" s="277"/>
      <c r="G4" s="277"/>
      <c r="H4" s="277"/>
      <c r="I4" s="277"/>
      <c r="J4" s="277"/>
      <c r="K4" s="277"/>
      <c r="L4" s="277"/>
      <c r="M4" s="277"/>
    </row>
    <row r="5" spans="1:13" x14ac:dyDescent="0.2">
      <c r="A5" s="277"/>
      <c r="B5" s="112" t="str">
        <f ca="1">语言!$A$619</f>
        <v>剑</v>
      </c>
      <c r="C5" s="277"/>
      <c r="D5" s="277"/>
      <c r="E5" s="277"/>
      <c r="F5" s="277"/>
      <c r="G5" s="277"/>
      <c r="H5" s="112" t="str">
        <f ca="1">语言!$A$713</f>
        <v>斧</v>
      </c>
      <c r="I5" s="277"/>
      <c r="J5" s="277"/>
      <c r="K5" s="277"/>
      <c r="L5" s="277"/>
      <c r="M5" s="277"/>
    </row>
    <row r="6" spans="1:13" x14ac:dyDescent="0.2">
      <c r="A6" s="108"/>
      <c r="B6" s="282" t="str">
        <f ca="1">语言!$A$620</f>
        <v>历战之剑</v>
      </c>
      <c r="C6" s="283">
        <v>400</v>
      </c>
      <c r="D6" s="283"/>
      <c r="E6" s="283" t="str">
        <f ca="1">语言!$A$2306&amp;" +150"</f>
        <v>暴击 +150</v>
      </c>
      <c r="F6" s="282" t="s">
        <v>209</v>
      </c>
      <c r="G6" s="108"/>
      <c r="H6" s="282" t="str">
        <f ca="1">语言!$A$714</f>
        <v>历战之斧</v>
      </c>
      <c r="I6" s="283">
        <v>350</v>
      </c>
      <c r="J6" s="283">
        <v>250</v>
      </c>
      <c r="K6" s="283"/>
      <c r="L6" s="282" t="s">
        <v>210</v>
      </c>
      <c r="M6" s="108"/>
    </row>
    <row r="7" spans="1:13" x14ac:dyDescent="0.2">
      <c r="A7" s="108"/>
      <c r="B7" s="282" t="str">
        <f ca="1">语言!$A$621</f>
        <v>哈洛德之剑</v>
      </c>
      <c r="C7" s="283">
        <v>380</v>
      </c>
      <c r="D7" s="283">
        <v>120</v>
      </c>
      <c r="E7" s="283"/>
      <c r="F7" s="282" t="s">
        <v>211</v>
      </c>
      <c r="G7" s="108"/>
      <c r="H7" s="282" t="str">
        <f ca="1">语言!$A$715</f>
        <v>纪念之斧</v>
      </c>
      <c r="I7" s="283">
        <v>400</v>
      </c>
      <c r="J7" s="283"/>
      <c r="K7" s="283" t="str">
        <f ca="1">语言!$A$2305&amp;" +150"</f>
        <v>行动速度 +150</v>
      </c>
      <c r="L7" s="282" t="str">
        <f ca="1">"Attack: Occasionally decreases target's "&amp;语言!$A$2303</f>
        <v>Attack: Occasionally decreases target's 属性防御力</v>
      </c>
      <c r="M7" s="108"/>
    </row>
    <row r="8" spans="1:13" x14ac:dyDescent="0.2">
      <c r="A8" s="108"/>
      <c r="B8" s="282" t="str">
        <f ca="1">语言!$A$622</f>
        <v>魔力之剑</v>
      </c>
      <c r="C8" s="283">
        <v>240</v>
      </c>
      <c r="D8" s="283">
        <v>220</v>
      </c>
      <c r="E8" s="283" t="str">
        <f ca="1">语言!$A$2306&amp;" +40"</f>
        <v>暴击 +40</v>
      </c>
      <c r="F8" s="282"/>
      <c r="G8" s="108"/>
      <c r="H8" s="282" t="str">
        <f ca="1">语言!$A$716</f>
        <v>死亡猛击斧</v>
      </c>
      <c r="I8" s="283">
        <v>380</v>
      </c>
      <c r="J8" s="283"/>
      <c r="K8" s="283" t="str">
        <f ca="1">语言!$A$2306&amp;" +140"</f>
        <v>暴击 +140</v>
      </c>
      <c r="L8" s="282" t="s">
        <v>212</v>
      </c>
      <c r="M8" s="108"/>
    </row>
    <row r="9" spans="1:13" x14ac:dyDescent="0.2">
      <c r="A9" s="108"/>
      <c r="B9" s="282" t="str">
        <f ca="1">语言!$A$623</f>
        <v>禁忌之剑</v>
      </c>
      <c r="C9" s="283">
        <v>310</v>
      </c>
      <c r="D9" s="283"/>
      <c r="E9" s="283" t="str">
        <f ca="1">语言!$A$2305&amp;" +120"</f>
        <v>行动速度 +120</v>
      </c>
      <c r="F9" s="282" t="str">
        <f ca="1">"Attack: Occasionally increases target's "&amp;语言!$A$2300</f>
        <v>Attack: Occasionally increases target's 物理攻击力</v>
      </c>
      <c r="G9" s="108"/>
      <c r="H9" s="282" t="str">
        <f ca="1">语言!$A$717</f>
        <v>双刃战斧</v>
      </c>
      <c r="I9" s="283">
        <v>95</v>
      </c>
      <c r="J9" s="283"/>
      <c r="K9" s="283" t="str">
        <f ca="1">语言!$A$2304&amp;" +198"</f>
        <v>命中 +198</v>
      </c>
      <c r="L9" s="282" t="s">
        <v>213</v>
      </c>
      <c r="M9" s="108"/>
    </row>
    <row r="10" spans="1:13" x14ac:dyDescent="0.2">
      <c r="A10" s="108"/>
      <c r="B10" s="282" t="str">
        <f ca="1">语言!$A$624</f>
        <v>维尔纳之剑</v>
      </c>
      <c r="C10" s="283">
        <v>299</v>
      </c>
      <c r="D10" s="283">
        <v>120</v>
      </c>
      <c r="E10" s="283"/>
      <c r="F10" s="284" t="str">
        <f ca="1">"Attack: All successful attacks become "&amp;语言!$A$2306&amp;" hits
(Miss often, raising "&amp;语言!$A$2304&amp;" or "&amp;语言!$A$2306&amp;" doesn't help, this is garbage)"</f>
        <v>Attack: All successful attacks become 暴击 hits
(Miss often, raising 命中 or 暴击 doesn't help, this is garbage)</v>
      </c>
      <c r="G10" s="108"/>
      <c r="H10" s="282" t="str">
        <f ca="1">语言!$A$718</f>
        <v>禁忌之斧</v>
      </c>
      <c r="I10" s="283">
        <v>391</v>
      </c>
      <c r="J10" s="283"/>
      <c r="K10" s="283" t="str">
        <f ca="1">语言!$A$2304&amp;" -50
"&amp;语言!$A$2305&amp;" +80"</f>
        <v>命中 -50
行动速度 +80</v>
      </c>
      <c r="L10" s="282"/>
      <c r="M10" s="108"/>
    </row>
    <row r="11" spans="1:13" x14ac:dyDescent="0.2">
      <c r="A11" s="108"/>
      <c r="B11" s="282" t="str">
        <f ca="1">语言!$A$625</f>
        <v>龙之军刀</v>
      </c>
      <c r="C11" s="283">
        <v>273</v>
      </c>
      <c r="D11" s="283"/>
      <c r="E11" s="283" t="str">
        <f ca="1">语言!$A$2306&amp;" +120"</f>
        <v>暴击 +120</v>
      </c>
      <c r="F11" s="282"/>
      <c r="G11" s="108"/>
      <c r="H11" s="282" t="str">
        <f ca="1">语言!$A$719</f>
        <v>食人魔猛击斧</v>
      </c>
      <c r="I11" s="283">
        <v>286</v>
      </c>
      <c r="J11" s="283"/>
      <c r="K11" s="283" t="str">
        <f ca="1">语言!$A$2306&amp;" +110"</f>
        <v>暴击 +110</v>
      </c>
      <c r="L11" s="282"/>
      <c r="M11" s="108"/>
    </row>
    <row r="12" spans="1:13" x14ac:dyDescent="0.2">
      <c r="A12" s="108"/>
      <c r="B12" s="282" t="str">
        <f ca="1">语言!$A$626</f>
        <v>皇帝之刃</v>
      </c>
      <c r="C12" s="283">
        <v>251</v>
      </c>
      <c r="D12" s="283"/>
      <c r="E12" s="283" t="str">
        <f ca="1">语言!$A$2304&amp;" +100"</f>
        <v>命中 +100</v>
      </c>
      <c r="F12" s="282"/>
      <c r="G12" s="108"/>
      <c r="H12" s="282" t="str">
        <f ca="1">语言!$A$720</f>
        <v>符文手斧</v>
      </c>
      <c r="I12" s="283">
        <v>100</v>
      </c>
      <c r="J12" s="283">
        <v>278</v>
      </c>
      <c r="K12" s="283"/>
      <c r="L12" s="282"/>
      <c r="M12" s="108"/>
    </row>
    <row r="13" spans="1:13" x14ac:dyDescent="0.2">
      <c r="A13" s="108"/>
      <c r="B13" s="282" t="str">
        <f ca="1">语言!$A$627</f>
        <v>透明军刀</v>
      </c>
      <c r="C13" s="283">
        <v>235</v>
      </c>
      <c r="D13" s="283"/>
      <c r="E13" s="283" t="str">
        <f ca="1">语言!$A$2307&amp;" +100"</f>
        <v>回避 +100</v>
      </c>
      <c r="F13" s="282" t="s">
        <v>214</v>
      </c>
      <c r="G13" s="108"/>
      <c r="H13" s="282" t="str">
        <f ca="1">语言!$A$721</f>
        <v>金斧</v>
      </c>
      <c r="I13" s="283">
        <v>265</v>
      </c>
      <c r="J13" s="283"/>
      <c r="K13" s="283" t="str">
        <f ca="1">语言!$A$2306&amp;" +100"</f>
        <v>暴击 +100</v>
      </c>
      <c r="L13" s="282"/>
      <c r="M13" s="108"/>
    </row>
    <row r="14" spans="1:13" x14ac:dyDescent="0.2">
      <c r="A14" s="108"/>
      <c r="B14" s="282" t="str">
        <f ca="1">语言!$A$628</f>
        <v>召唤死亡之剑</v>
      </c>
      <c r="C14" s="283">
        <v>219</v>
      </c>
      <c r="D14" s="283"/>
      <c r="E14" s="283" t="str">
        <f ca="1">语言!$A$2304&amp;" +98"</f>
        <v>命中 +98</v>
      </c>
      <c r="F14" s="282" t="s">
        <v>215</v>
      </c>
      <c r="G14" s="108"/>
      <c r="H14" s="282" t="str">
        <f ca="1">语言!$A$722</f>
        <v>巨大斧</v>
      </c>
      <c r="I14" s="283">
        <v>248</v>
      </c>
      <c r="J14" s="283"/>
      <c r="K14" s="283" t="str">
        <f ca="1">语言!$A$2304&amp;" +98"</f>
        <v>命中 +98</v>
      </c>
      <c r="L14" s="282" t="str">
        <f ca="1">"Attack: Occasionally decreases target's "&amp;语言!$A$2302</f>
        <v>Attack: Occasionally decreases target's 物理防御力</v>
      </c>
      <c r="M14" s="108"/>
    </row>
    <row r="15" spans="1:13" x14ac:dyDescent="0.2">
      <c r="A15" s="108"/>
      <c r="B15" s="282" t="str">
        <f ca="1">语言!$A$629</f>
        <v>三位一体剑</v>
      </c>
      <c r="C15" s="283">
        <v>222</v>
      </c>
      <c r="D15" s="283"/>
      <c r="E15" s="283" t="str">
        <f ca="1">语言!$A$2305&amp;" +100"</f>
        <v>行动速度 +100</v>
      </c>
      <c r="F15" s="282"/>
      <c r="G15" s="108"/>
      <c r="H15" s="282" t="str">
        <f ca="1">语言!$A$723</f>
        <v>金钢合金手斧</v>
      </c>
      <c r="I15" s="283">
        <v>112</v>
      </c>
      <c r="J15" s="283">
        <v>230</v>
      </c>
      <c r="K15" s="283"/>
      <c r="L15" s="282"/>
      <c r="M15" s="108"/>
    </row>
    <row r="16" spans="1:13" x14ac:dyDescent="0.2">
      <c r="A16" s="108"/>
      <c r="B16" s="282" t="str">
        <f ca="1">语言!$A$630</f>
        <v>显赫之刃</v>
      </c>
      <c r="C16" s="283">
        <v>212</v>
      </c>
      <c r="D16" s="283"/>
      <c r="E16" s="283" t="str">
        <f ca="1">语言!$A$2306&amp;" +80"</f>
        <v>暴击 +80</v>
      </c>
      <c r="F16" s="282"/>
      <c r="G16" s="108"/>
      <c r="H16" s="282" t="str">
        <f ca="1">语言!$A$724</f>
        <v>山丘猛击斧</v>
      </c>
      <c r="I16" s="283">
        <v>221</v>
      </c>
      <c r="J16" s="283"/>
      <c r="K16" s="283" t="str">
        <f ca="1">语言!$A$2306&amp;" +86"</f>
        <v>暴击 +86</v>
      </c>
      <c r="L16" s="282"/>
      <c r="M16" s="108"/>
    </row>
    <row r="17" spans="1:13" x14ac:dyDescent="0.2">
      <c r="A17" s="108"/>
      <c r="B17" s="282" t="str">
        <f ca="1">语言!$A$631</f>
        <v>勇气之刃</v>
      </c>
      <c r="C17" s="283">
        <v>198</v>
      </c>
      <c r="D17" s="283"/>
      <c r="E17" s="283" t="str">
        <f ca="1">语言!$A$2306&amp;" +90"</f>
        <v>暴击 +90</v>
      </c>
      <c r="F17" s="282"/>
      <c r="G17" s="108"/>
      <c r="H17" s="282" t="str">
        <f ca="1">语言!$A$725</f>
        <v>精神手斧</v>
      </c>
      <c r="I17" s="283">
        <v>102</v>
      </c>
      <c r="J17" s="283">
        <v>211</v>
      </c>
      <c r="K17" s="283"/>
      <c r="L17" s="282"/>
      <c r="M17" s="108"/>
    </row>
    <row r="18" spans="1:13" x14ac:dyDescent="0.2">
      <c r="A18" s="108"/>
      <c r="B18" s="282" t="str">
        <f ca="1">语言!$A$632</f>
        <v>天使军刀</v>
      </c>
      <c r="C18" s="283">
        <v>185</v>
      </c>
      <c r="D18" s="283"/>
      <c r="E18" s="283" t="str">
        <f ca="1">语言!$A$2304&amp;" +80"</f>
        <v>命中 +80</v>
      </c>
      <c r="F18" s="282" t="s">
        <v>216</v>
      </c>
      <c r="G18" s="108"/>
      <c r="H18" s="282" t="str">
        <f ca="1">语言!$A$726</f>
        <v>元素手斧</v>
      </c>
      <c r="I18" s="283">
        <v>98</v>
      </c>
      <c r="J18" s="283">
        <v>206</v>
      </c>
      <c r="K18" s="283"/>
      <c r="L18" s="282"/>
      <c r="M18" s="108"/>
    </row>
    <row r="19" spans="1:13" x14ac:dyDescent="0.2">
      <c r="A19" s="108"/>
      <c r="B19" s="282" t="str">
        <f ca="1">语言!$A$633</f>
        <v>白金剑</v>
      </c>
      <c r="C19" s="283">
        <v>166</v>
      </c>
      <c r="D19" s="283"/>
      <c r="E19" s="283" t="str">
        <f ca="1">语言!$A$2305&amp;" +92"</f>
        <v>行动速度 +92</v>
      </c>
      <c r="F19" s="282"/>
      <c r="G19" s="108"/>
      <c r="H19" s="282" t="str">
        <f ca="1">语言!$A$727</f>
        <v>地狱斧</v>
      </c>
      <c r="I19" s="283">
        <v>199</v>
      </c>
      <c r="J19" s="283"/>
      <c r="K19" s="283" t="str">
        <f ca="1">语言!$A$2304&amp;" +82"</f>
        <v>命中 +82</v>
      </c>
      <c r="L19" s="282" t="str">
        <f ca="1">"Attack: Occasionally decreases target's "&amp;语言!$A$2303</f>
        <v>Attack: Occasionally decreases target's 属性防御力</v>
      </c>
      <c r="M19" s="108"/>
    </row>
    <row r="20" spans="1:13" x14ac:dyDescent="0.2">
      <c r="A20" s="108"/>
      <c r="B20" s="282" t="str">
        <f ca="1">语言!$A$634</f>
        <v>神圣之刃</v>
      </c>
      <c r="C20" s="283">
        <v>152</v>
      </c>
      <c r="D20" s="283"/>
      <c r="E20" s="283" t="str">
        <f ca="1">语言!$A$2306&amp;" +84"</f>
        <v>暴击 +84</v>
      </c>
      <c r="F20" s="282"/>
      <c r="G20" s="108"/>
      <c r="H20" s="282" t="str">
        <f ca="1">语言!$A$728</f>
        <v>蜥蜴王之斧</v>
      </c>
      <c r="I20" s="283">
        <v>192</v>
      </c>
      <c r="J20" s="283">
        <v>88</v>
      </c>
      <c r="K20" s="283"/>
      <c r="L20" s="282" t="s">
        <v>217</v>
      </c>
      <c r="M20" s="108"/>
    </row>
    <row r="21" spans="1:13" x14ac:dyDescent="0.2">
      <c r="A21" s="108"/>
      <c r="B21" s="282" t="str">
        <f ca="1">语言!$A$635</f>
        <v>暴力之剑</v>
      </c>
      <c r="C21" s="283">
        <v>200</v>
      </c>
      <c r="D21" s="283"/>
      <c r="E21" s="283"/>
      <c r="F21" s="282" t="str">
        <f ca="1">"Attack: Occasionally decreases target's "&amp;语言!$A$2300</f>
        <v>Attack: Occasionally decreases target's 物理攻击力</v>
      </c>
      <c r="G21" s="108"/>
      <c r="H21" s="282" t="str">
        <f ca="1">语言!$A$729</f>
        <v>重力子斧</v>
      </c>
      <c r="I21" s="283">
        <v>186</v>
      </c>
      <c r="J21" s="283"/>
      <c r="K21" s="283" t="str">
        <f ca="1">语言!$A$2304&amp;" +74"</f>
        <v>命中 +74</v>
      </c>
      <c r="L21" s="282"/>
      <c r="M21" s="108"/>
    </row>
    <row r="22" spans="1:13" x14ac:dyDescent="0.2">
      <c r="A22" s="108"/>
      <c r="B22" s="282" t="str">
        <f ca="1">语言!$A$636</f>
        <v>骑士剑</v>
      </c>
      <c r="C22" s="283">
        <v>140</v>
      </c>
      <c r="D22" s="283"/>
      <c r="E22" s="283" t="str">
        <f ca="1">语言!$A$2305&amp;" +88"</f>
        <v>行动速度 +88</v>
      </c>
      <c r="F22" s="282"/>
      <c r="G22" s="108"/>
      <c r="H22" s="282" t="str">
        <f ca="1">语言!$A$730</f>
        <v>灰熊猛击斧</v>
      </c>
      <c r="I22" s="283">
        <v>181</v>
      </c>
      <c r="J22" s="283"/>
      <c r="K22" s="283" t="str">
        <f ca="1">语言!$A$2306&amp;" +72"</f>
        <v>暴击 +72</v>
      </c>
      <c r="L22" s="282" t="str">
        <f ca="1">"Attack: Occasionally decreases target's "&amp;语言!$A$2300</f>
        <v>Attack: Occasionally decreases target's 物理攻击力</v>
      </c>
      <c r="M22" s="108"/>
    </row>
    <row r="23" spans="1:13" x14ac:dyDescent="0.2">
      <c r="A23" s="108"/>
      <c r="B23" s="282" t="str">
        <f ca="1">语言!$A$637</f>
        <v>强化剑</v>
      </c>
      <c r="C23" s="283">
        <v>132</v>
      </c>
      <c r="D23" s="283"/>
      <c r="E23" s="283" t="str">
        <f ca="1">语言!$A$2305&amp;" +80"</f>
        <v>行动速度 +80</v>
      </c>
      <c r="F23" s="282"/>
      <c r="G23" s="108"/>
      <c r="H23" s="282" t="str">
        <f ca="1">语言!$A$731</f>
        <v>岩石猛击斧</v>
      </c>
      <c r="I23" s="283">
        <v>156</v>
      </c>
      <c r="J23" s="283"/>
      <c r="K23" s="283" t="str">
        <f ca="1">语言!$A$2306&amp;" +64"</f>
        <v>暴击 +64</v>
      </c>
      <c r="L23" s="282"/>
      <c r="M23" s="108"/>
    </row>
    <row r="24" spans="1:13" x14ac:dyDescent="0.2">
      <c r="A24" s="108"/>
      <c r="B24" s="282" t="str">
        <f ca="1">语言!$A$638</f>
        <v>狙击军刀</v>
      </c>
      <c r="C24" s="283">
        <v>120</v>
      </c>
      <c r="D24" s="283"/>
      <c r="E24" s="283" t="str">
        <f ca="1">语言!$A$2304&amp;" +78"</f>
        <v>命中 +78</v>
      </c>
      <c r="F24" s="282"/>
      <c r="G24" s="277"/>
      <c r="H24" s="282" t="str">
        <f ca="1">语言!$A$732</f>
        <v>灵魂手斧</v>
      </c>
      <c r="I24" s="283">
        <v>78</v>
      </c>
      <c r="J24" s="283">
        <v>147</v>
      </c>
      <c r="K24" s="283"/>
      <c r="L24" s="282"/>
      <c r="M24" s="108"/>
    </row>
    <row r="25" spans="1:13" x14ac:dyDescent="0.2">
      <c r="A25" s="108"/>
      <c r="B25" s="282" t="str">
        <f ca="1">语言!$A$639</f>
        <v>月之刃</v>
      </c>
      <c r="C25" s="283">
        <v>115</v>
      </c>
      <c r="D25" s="283"/>
      <c r="E25" s="283" t="str">
        <f ca="1">语言!$A$2306&amp;" +70"</f>
        <v>暴击 +70</v>
      </c>
      <c r="F25" s="282"/>
      <c r="G25" s="108"/>
      <c r="H25" s="282" t="str">
        <f ca="1">语言!$A$733</f>
        <v>尖角猛击斧</v>
      </c>
      <c r="I25" s="283">
        <v>134</v>
      </c>
      <c r="J25" s="283"/>
      <c r="K25" s="283" t="str">
        <f ca="1">语言!$A$2306&amp;" +52"</f>
        <v>暴击 +52</v>
      </c>
      <c r="L25" s="282"/>
      <c r="M25" s="108"/>
    </row>
    <row r="26" spans="1:13" x14ac:dyDescent="0.2">
      <c r="A26" s="108"/>
      <c r="B26" s="282" t="str">
        <f ca="1">语言!$A$640</f>
        <v>幻象之刃</v>
      </c>
      <c r="C26" s="283">
        <v>108</v>
      </c>
      <c r="D26" s="283"/>
      <c r="E26" s="283" t="str">
        <f ca="1">语言!$A$2306&amp;" +50"</f>
        <v>暴击 +50</v>
      </c>
      <c r="F26" s="282" t="s">
        <v>214</v>
      </c>
      <c r="G26" s="108"/>
      <c r="H26" s="282" t="str">
        <f ca="1">语言!$A$734</f>
        <v>银斧</v>
      </c>
      <c r="I26" s="283">
        <v>122</v>
      </c>
      <c r="J26" s="283"/>
      <c r="K26" s="283" t="str">
        <f ca="1">语言!$A$2306&amp;" +48"</f>
        <v>暴击 +48</v>
      </c>
      <c r="L26" s="282"/>
      <c r="M26" s="108"/>
    </row>
    <row r="27" spans="1:13" x14ac:dyDescent="0.2">
      <c r="A27" s="108"/>
      <c r="B27" s="282" t="str">
        <f ca="1">语言!$A$641</f>
        <v>老鹰军刀</v>
      </c>
      <c r="C27" s="283">
        <v>102</v>
      </c>
      <c r="D27" s="283"/>
      <c r="E27" s="283" t="str">
        <f ca="1">语言!$A$2304&amp;" +70"</f>
        <v>命中 +70</v>
      </c>
      <c r="F27" s="282"/>
      <c r="G27" s="108"/>
      <c r="H27" s="282" t="str">
        <f ca="1">语言!$A$735</f>
        <v>魔法手斧</v>
      </c>
      <c r="I27" s="283">
        <v>62</v>
      </c>
      <c r="J27" s="283">
        <v>120</v>
      </c>
      <c r="K27" s="283"/>
      <c r="L27" s="282"/>
      <c r="M27" s="108"/>
    </row>
    <row r="28" spans="1:13" x14ac:dyDescent="0.2">
      <c r="A28" s="108"/>
      <c r="B28" s="282" t="str">
        <f ca="1">语言!$A$642</f>
        <v>混用剑</v>
      </c>
      <c r="C28" s="283">
        <v>92</v>
      </c>
      <c r="D28" s="283"/>
      <c r="E28" s="283" t="str">
        <f ca="1">语言!$A$2305&amp;" +60"</f>
        <v>行动速度 +60</v>
      </c>
      <c r="F28" s="282"/>
      <c r="G28" s="108"/>
      <c r="H28" s="282" t="str">
        <f ca="1">语言!$A$736</f>
        <v>维京斧</v>
      </c>
      <c r="I28" s="283">
        <v>113</v>
      </c>
      <c r="J28" s="283"/>
      <c r="K28" s="283" t="str">
        <f ca="1">语言!$A$2304&amp;" +38"</f>
        <v>命中 +38</v>
      </c>
      <c r="L28" s="282"/>
      <c r="M28" s="108"/>
    </row>
    <row r="29" spans="1:13" x14ac:dyDescent="0.2">
      <c r="A29" s="108"/>
      <c r="B29" s="282" t="str">
        <f ca="1">语言!$A$643</f>
        <v>重刃</v>
      </c>
      <c r="C29" s="283">
        <v>85</v>
      </c>
      <c r="D29" s="283"/>
      <c r="E29" s="283" t="str">
        <f ca="1">语言!$A$2306&amp;" +30"</f>
        <v>暴击 +30</v>
      </c>
      <c r="F29" s="282"/>
      <c r="G29" s="108"/>
      <c r="H29" s="282" t="str">
        <f ca="1">语言!$A$737</f>
        <v>奥玛尔之斧</v>
      </c>
      <c r="I29" s="283">
        <v>102</v>
      </c>
      <c r="J29" s="283"/>
      <c r="K29" s="283" t="str">
        <f ca="1">语言!$A$2304&amp;" +44"</f>
        <v>命中 +44</v>
      </c>
      <c r="L29" s="282"/>
      <c r="M29" s="108"/>
    </row>
    <row r="30" spans="1:13" x14ac:dyDescent="0.2">
      <c r="A30" s="108"/>
      <c r="B30" s="282" t="str">
        <f ca="1">语言!$A$644</f>
        <v>猎鹰军刀</v>
      </c>
      <c r="C30" s="283">
        <v>80</v>
      </c>
      <c r="D30" s="283"/>
      <c r="E30" s="283" t="str">
        <f ca="1">语言!$A$2304&amp;" +60"</f>
        <v>命中 +60</v>
      </c>
      <c r="F30" s="282"/>
      <c r="G30" s="108"/>
      <c r="H30" s="282" t="str">
        <f ca="1">语言!$A$738</f>
        <v>钢斧</v>
      </c>
      <c r="I30" s="283">
        <v>96</v>
      </c>
      <c r="J30" s="283">
        <v>-20</v>
      </c>
      <c r="K30" s="283"/>
      <c r="L30" s="282" t="str">
        <f ca="1">"Attack: Occasionally decreases target's "&amp;语言!$A$2301</f>
        <v>Attack: Occasionally decreases target's 属性攻击力</v>
      </c>
      <c r="M30" s="108"/>
    </row>
    <row r="31" spans="1:13" x14ac:dyDescent="0.2">
      <c r="A31" s="108"/>
      <c r="B31" s="282" t="str">
        <f ca="1">语言!$A$645</f>
        <v>精神剑</v>
      </c>
      <c r="C31" s="283">
        <v>60</v>
      </c>
      <c r="D31" s="283">
        <v>60</v>
      </c>
      <c r="E31" s="283"/>
      <c r="F31" s="282"/>
      <c r="G31" s="108"/>
      <c r="H31" s="282" t="str">
        <f ca="1">语言!$A$739</f>
        <v>猛击斧</v>
      </c>
      <c r="I31" s="283">
        <v>70</v>
      </c>
      <c r="J31" s="283"/>
      <c r="K31" s="283" t="str">
        <f ca="1">语言!$A$2306&amp;" +14"</f>
        <v>暴击 +14</v>
      </c>
      <c r="L31" s="282"/>
      <c r="M31" s="108"/>
    </row>
    <row r="32" spans="1:13" x14ac:dyDescent="0.2">
      <c r="A32" s="108"/>
      <c r="B32" s="282" t="str">
        <f ca="1">语言!$A$646</f>
        <v>团长之剑</v>
      </c>
      <c r="C32" s="283">
        <v>60</v>
      </c>
      <c r="D32" s="283"/>
      <c r="E32" s="283" t="str">
        <f ca="1">语言!$A$2305&amp;" +40"</f>
        <v>行动速度 +40</v>
      </c>
      <c r="F32" s="282"/>
      <c r="G32" s="108"/>
      <c r="H32" s="282" t="str">
        <f ca="1">语言!$A$740</f>
        <v>魔力之斧</v>
      </c>
      <c r="I32" s="283">
        <v>40</v>
      </c>
      <c r="J32" s="283">
        <v>98</v>
      </c>
      <c r="K32" s="283"/>
      <c r="L32" s="282" t="s">
        <v>216</v>
      </c>
      <c r="M32" s="108"/>
    </row>
    <row r="33" spans="1:13" x14ac:dyDescent="0.2">
      <c r="A33" s="108"/>
      <c r="B33" s="282" t="str">
        <f ca="1">语言!$A$647</f>
        <v>巨剑</v>
      </c>
      <c r="C33" s="283">
        <v>65</v>
      </c>
      <c r="D33" s="283"/>
      <c r="E33" s="283" t="str">
        <f ca="1">语言!$A$2305&amp;" +4"</f>
        <v>行动速度 +4</v>
      </c>
      <c r="F33" s="282"/>
      <c r="G33" s="108"/>
      <c r="H33" s="282" t="str">
        <f ca="1">语言!$A$741</f>
        <v>重斧</v>
      </c>
      <c r="I33" s="283">
        <v>76</v>
      </c>
      <c r="J33" s="283"/>
      <c r="K33" s="283" t="str">
        <f ca="1">语言!$A$2304&amp;" +24"</f>
        <v>命中 +24</v>
      </c>
      <c r="L33" s="282"/>
      <c r="M33" s="108"/>
    </row>
    <row r="34" spans="1:13" x14ac:dyDescent="0.2">
      <c r="A34" s="108"/>
      <c r="B34" s="282" t="str">
        <f ca="1">语言!$A$648</f>
        <v>银制剑</v>
      </c>
      <c r="C34" s="283">
        <v>52</v>
      </c>
      <c r="D34" s="283"/>
      <c r="E34" s="283" t="str">
        <f ca="1">语言!$A$2305&amp;" +30"</f>
        <v>行动速度 +30</v>
      </c>
      <c r="F34" s="282"/>
      <c r="G34" s="108"/>
      <c r="H34" s="282" t="str">
        <f ca="1">语言!$A$742</f>
        <v>银制斧</v>
      </c>
      <c r="I34" s="283">
        <v>43</v>
      </c>
      <c r="J34" s="283"/>
      <c r="K34" s="283" t="str">
        <f ca="1">语言!$A$2304&amp;" +12"</f>
        <v>命中 +12</v>
      </c>
      <c r="L34" s="282"/>
      <c r="M34" s="108"/>
    </row>
    <row r="35" spans="1:13" x14ac:dyDescent="0.2">
      <c r="A35" s="108"/>
      <c r="B35" s="282" t="str">
        <f ca="1">语言!$A$649</f>
        <v>羽毛军刀</v>
      </c>
      <c r="C35" s="283">
        <v>34</v>
      </c>
      <c r="D35" s="283"/>
      <c r="E35" s="283" t="str">
        <f ca="1">语言!$A$2304&amp;" +40"</f>
        <v>命中 +40</v>
      </c>
      <c r="F35" s="282" t="s">
        <v>216</v>
      </c>
      <c r="G35" s="108"/>
      <c r="H35" s="282" t="str">
        <f ca="1">语言!$A$743</f>
        <v>战斧</v>
      </c>
      <c r="I35" s="283">
        <v>40</v>
      </c>
      <c r="J35" s="283"/>
      <c r="K35" s="283" t="str">
        <f ca="1">语言!$A$2304&amp;" +6"</f>
        <v>命中 +6</v>
      </c>
      <c r="L35" s="282"/>
      <c r="M35" s="108"/>
    </row>
    <row r="36" spans="1:13" x14ac:dyDescent="0.2">
      <c r="A36" s="108"/>
      <c r="B36" s="282" t="str">
        <f ca="1">语言!$A$650</f>
        <v>阔剑</v>
      </c>
      <c r="C36" s="283">
        <v>28</v>
      </c>
      <c r="D36" s="283"/>
      <c r="E36" s="283" t="str">
        <f ca="1">语言!$A$2305&amp;" +22"</f>
        <v>行动速度 +22</v>
      </c>
      <c r="F36" s="282"/>
      <c r="G36" s="108"/>
      <c r="H36" s="282" t="str">
        <f ca="1">语言!$A$744</f>
        <v>魔咒手斧</v>
      </c>
      <c r="I36" s="283">
        <v>36</v>
      </c>
      <c r="J36" s="283">
        <v>36</v>
      </c>
      <c r="K36" s="283"/>
      <c r="L36" s="282"/>
      <c r="M36" s="108"/>
    </row>
    <row r="37" spans="1:13" x14ac:dyDescent="0.2">
      <c r="A37" s="108"/>
      <c r="B37" s="282" t="str">
        <f ca="1">语言!$A$651</f>
        <v>铁剑</v>
      </c>
      <c r="C37" s="283">
        <v>22</v>
      </c>
      <c r="D37" s="283"/>
      <c r="E37" s="283" t="str">
        <f ca="1">语言!$A$2305&amp;" +18"</f>
        <v>行动速度 +18</v>
      </c>
      <c r="F37" s="282"/>
      <c r="G37" s="108"/>
      <c r="H37" s="282" t="str">
        <f ca="1">语言!$A$745</f>
        <v>铁斧</v>
      </c>
      <c r="I37" s="283">
        <v>24</v>
      </c>
      <c r="J37" s="283"/>
      <c r="K37" s="283" t="str">
        <f ca="1">语言!$A$2304&amp;" +12"</f>
        <v>命中 +12</v>
      </c>
      <c r="L37" s="282"/>
      <c r="M37" s="108"/>
    </row>
    <row r="38" spans="1:13" x14ac:dyDescent="0.2">
      <c r="A38" s="108"/>
      <c r="B38" s="282" t="str">
        <f ca="1">语言!$A$652</f>
        <v>长剑</v>
      </c>
      <c r="C38" s="283">
        <v>8</v>
      </c>
      <c r="D38" s="283"/>
      <c r="E38" s="283" t="str">
        <f ca="1">语言!$A$2305&amp;" +2"</f>
        <v>行动速度 +2</v>
      </c>
      <c r="F38" s="282"/>
      <c r="G38" s="108"/>
      <c r="H38" s="282" t="str">
        <f ca="1">语言!$A$746</f>
        <v>手斧</v>
      </c>
      <c r="I38" s="283">
        <v>8</v>
      </c>
      <c r="J38" s="283"/>
      <c r="K38" s="283" t="str">
        <f ca="1">语言!$A$2304&amp;" +4"</f>
        <v>命中 +4</v>
      </c>
      <c r="L38" s="282"/>
      <c r="M38" s="108"/>
    </row>
    <row r="39" spans="1:13" x14ac:dyDescent="0.2">
      <c r="A39" s="277"/>
      <c r="B39" s="277"/>
      <c r="C39" s="277"/>
      <c r="D39" s="277"/>
      <c r="E39" s="277"/>
      <c r="F39" s="277"/>
      <c r="G39" s="108"/>
      <c r="H39" s="277"/>
      <c r="I39" s="277"/>
      <c r="J39" s="277"/>
      <c r="K39" s="277"/>
      <c r="L39" s="277"/>
      <c r="M39" s="277"/>
    </row>
    <row r="40" spans="1:13" x14ac:dyDescent="0.2">
      <c r="A40" s="277"/>
      <c r="B40" s="112" t="str">
        <f ca="1">语言!$A$653</f>
        <v>枪</v>
      </c>
      <c r="C40" s="277"/>
      <c r="D40" s="277"/>
      <c r="E40" s="277"/>
      <c r="F40" s="277"/>
      <c r="G40" s="108"/>
      <c r="H40" s="112" t="str">
        <f ca="1">语言!$A$747</f>
        <v>弓</v>
      </c>
      <c r="I40" s="277"/>
      <c r="J40" s="277"/>
      <c r="K40" s="277"/>
      <c r="L40" s="277"/>
      <c r="M40" s="277"/>
    </row>
    <row r="41" spans="1:13" x14ac:dyDescent="0.2">
      <c r="A41" s="108"/>
      <c r="B41" s="282" t="str">
        <f ca="1">语言!$A$654</f>
        <v>历战之枪</v>
      </c>
      <c r="C41" s="283">
        <v>390</v>
      </c>
      <c r="D41" s="283"/>
      <c r="E41" s="283" t="str">
        <f ca="1">语言!$A$2306&amp;" +148"</f>
        <v>暴击 +148</v>
      </c>
      <c r="F41" s="282" t="s">
        <v>218</v>
      </c>
      <c r="G41" s="108"/>
      <c r="H41" s="282" t="str">
        <f ca="1">语言!$A$748</f>
        <v>历战之弓</v>
      </c>
      <c r="I41" s="283">
        <v>384</v>
      </c>
      <c r="J41" s="283"/>
      <c r="K41" s="283" t="str">
        <f ca="1">语言!$A$2306&amp;" +186"</f>
        <v>暴击 +186</v>
      </c>
      <c r="L41" s="282" t="str">
        <f ca="1">"Attack: Occasionally decreases target's "&amp;语言!$A$2302</f>
        <v>Attack: Occasionally decreases target's 物理防御力</v>
      </c>
      <c r="M41" s="108"/>
    </row>
    <row r="42" spans="1:13" x14ac:dyDescent="0.2">
      <c r="A42" s="108"/>
      <c r="B42" s="282" t="str">
        <f ca="1">语言!$A$655</f>
        <v>贸易风之枪</v>
      </c>
      <c r="C42" s="283">
        <v>150</v>
      </c>
      <c r="D42" s="283">
        <v>380</v>
      </c>
      <c r="E42" s="283"/>
      <c r="F42" s="285" t="s">
        <v>219</v>
      </c>
      <c r="G42" s="108"/>
      <c r="H42" s="282" t="str">
        <f ca="1">语言!$A$749</f>
        <v>古来弓・岚</v>
      </c>
      <c r="I42" s="283">
        <v>241</v>
      </c>
      <c r="J42" s="283">
        <v>342</v>
      </c>
      <c r="K42" s="283"/>
      <c r="L42" s="282" t="s">
        <v>219</v>
      </c>
      <c r="M42" s="108"/>
    </row>
    <row r="43" spans="1:13" x14ac:dyDescent="0.2">
      <c r="A43" s="108"/>
      <c r="B43" s="282" t="str">
        <f ca="1">语言!$A$656</f>
        <v>名手之枪</v>
      </c>
      <c r="C43" s="283">
        <v>355</v>
      </c>
      <c r="D43" s="283"/>
      <c r="E43" s="283" t="str">
        <f ca="1">语言!$A$2306&amp;" +151"</f>
        <v>暴击 +151</v>
      </c>
      <c r="F43" s="282"/>
      <c r="G43" s="108"/>
      <c r="H43" s="282" t="str">
        <f ca="1">语言!$A$750</f>
        <v>超越弓・幻</v>
      </c>
      <c r="I43" s="283">
        <v>306</v>
      </c>
      <c r="J43" s="283">
        <v>245</v>
      </c>
      <c r="K43" s="283"/>
      <c r="L43" s="282" t="s">
        <v>214</v>
      </c>
      <c r="M43" s="108"/>
    </row>
    <row r="44" spans="1:13" x14ac:dyDescent="0.2">
      <c r="A44" s="108"/>
      <c r="B44" s="282" t="str">
        <f ca="1">语言!$A$657</f>
        <v>符文长柄刀</v>
      </c>
      <c r="C44" s="283">
        <v>120</v>
      </c>
      <c r="D44" s="283">
        <v>363</v>
      </c>
      <c r="E44" s="283" t="str">
        <f ca="1">语言!$A$2307&amp;" +48"</f>
        <v>回避 +48</v>
      </c>
      <c r="F44" s="282"/>
      <c r="G44" s="108"/>
      <c r="H44" s="282" t="str">
        <f ca="1">语言!$A$751</f>
        <v>进化弓・鹰</v>
      </c>
      <c r="I44" s="283">
        <v>276</v>
      </c>
      <c r="J44" s="283">
        <v>204</v>
      </c>
      <c r="K44" s="283" t="str">
        <f ca="1">语言!$A$2306&amp;" +70"</f>
        <v>暴击 +70</v>
      </c>
      <c r="L44" s="282"/>
      <c r="M44" s="108"/>
    </row>
    <row r="45" spans="1:13" x14ac:dyDescent="0.2">
      <c r="A45" s="108"/>
      <c r="B45" s="282" t="str">
        <f ca="1">语言!$A$658</f>
        <v>禁忌之枪</v>
      </c>
      <c r="C45" s="283">
        <v>320</v>
      </c>
      <c r="D45" s="283">
        <v>303</v>
      </c>
      <c r="E45" s="283" t="str">
        <f ca="1">语言!$A$2305&amp;" -98"</f>
        <v>行动速度 -98</v>
      </c>
      <c r="F45" s="282"/>
      <c r="G45" s="108"/>
      <c r="H45" s="282" t="str">
        <f ca="1">语言!$A$752</f>
        <v>禁忌之弓</v>
      </c>
      <c r="I45" s="283">
        <v>282</v>
      </c>
      <c r="J45" s="283"/>
      <c r="K45" s="283" t="str">
        <f ca="1">语言!$A$2306&amp;" +121"</f>
        <v>暴击 +121</v>
      </c>
      <c r="L45" s="282" t="s">
        <v>220</v>
      </c>
      <c r="M45" s="108"/>
    </row>
    <row r="46" spans="1:13" x14ac:dyDescent="0.2">
      <c r="A46" s="108"/>
      <c r="B46" s="282" t="str">
        <f ca="1">语言!$A$659</f>
        <v>炽天使长枪</v>
      </c>
      <c r="C46" s="283">
        <v>275</v>
      </c>
      <c r="D46" s="283"/>
      <c r="E46" s="283" t="str">
        <f ca="1">语言!$A$2305&amp;" +126"</f>
        <v>行动速度 +126</v>
      </c>
      <c r="F46" s="282" t="s">
        <v>214</v>
      </c>
      <c r="G46" s="108"/>
      <c r="H46" s="282" t="str">
        <f ca="1">语言!$A$753</f>
        <v>海伯利昂弓</v>
      </c>
      <c r="I46" s="283">
        <v>219</v>
      </c>
      <c r="J46" s="283">
        <v>261</v>
      </c>
      <c r="K46" s="283" t="str">
        <f ca="1">语言!$A$2304&amp;" +115"</f>
        <v>命中 +115</v>
      </c>
      <c r="L46" s="282"/>
      <c r="M46" s="108"/>
    </row>
    <row r="47" spans="1:13" x14ac:dyDescent="0.2">
      <c r="A47" s="108"/>
      <c r="B47" s="282" t="str">
        <f ca="1">语言!$A$660</f>
        <v>灾厄骑枪</v>
      </c>
      <c r="C47" s="283">
        <v>262</v>
      </c>
      <c r="D47" s="283"/>
      <c r="E47" s="283" t="str">
        <f ca="1">语言!$A$2306&amp;" +122"</f>
        <v>暴击 +122</v>
      </c>
      <c r="F47" s="282"/>
      <c r="G47" s="108"/>
      <c r="H47" s="282" t="str">
        <f ca="1">语言!$A$754</f>
        <v>弓圣的大弓</v>
      </c>
      <c r="I47" s="283">
        <v>246</v>
      </c>
      <c r="J47" s="283"/>
      <c r="K47" s="283" t="str">
        <f ca="1">语言!$A$2306&amp;" +103"</f>
        <v>暴击 +103</v>
      </c>
      <c r="L47" s="282"/>
      <c r="M47" s="108"/>
    </row>
    <row r="48" spans="1:13" x14ac:dyDescent="0.2">
      <c r="A48" s="108"/>
      <c r="B48" s="282" t="str">
        <f ca="1">语言!$A$661</f>
        <v>灵魂长柄刀</v>
      </c>
      <c r="C48" s="283">
        <v>121</v>
      </c>
      <c r="D48" s="283">
        <v>252</v>
      </c>
      <c r="E48" s="283"/>
      <c r="F48" s="282"/>
      <c r="G48" s="108"/>
      <c r="H48" s="282" t="str">
        <f ca="1">语言!$A$755</f>
        <v>符文弓</v>
      </c>
      <c r="I48" s="283">
        <v>198</v>
      </c>
      <c r="J48" s="283">
        <v>202</v>
      </c>
      <c r="K48" s="283" t="str">
        <f ca="1">语言!$A$2304&amp;" +96"</f>
        <v>命中 +96</v>
      </c>
      <c r="L48" s="282"/>
      <c r="M48" s="108"/>
    </row>
    <row r="49" spans="1:13" x14ac:dyDescent="0.2">
      <c r="A49" s="108"/>
      <c r="B49" s="282" t="str">
        <f ca="1">语言!$A$662</f>
        <v>翡翠骑枪</v>
      </c>
      <c r="C49" s="283">
        <v>228</v>
      </c>
      <c r="D49" s="283"/>
      <c r="E49" s="283" t="str">
        <f ca="1">语言!$A$2306&amp;" +115"</f>
        <v>暴击 +115</v>
      </c>
      <c r="F49" s="282"/>
      <c r="G49" s="108"/>
      <c r="H49" s="282" t="str">
        <f ca="1">语言!$A$756</f>
        <v>雪男的大弓</v>
      </c>
      <c r="I49" s="283">
        <v>229</v>
      </c>
      <c r="J49" s="283"/>
      <c r="K49" s="283" t="str">
        <f ca="1">语言!$A$2306&amp;" +95"</f>
        <v>暴击 +95</v>
      </c>
      <c r="L49" s="282" t="s">
        <v>218</v>
      </c>
      <c r="M49" s="108"/>
    </row>
    <row r="50" spans="1:13" x14ac:dyDescent="0.2">
      <c r="A50" s="108"/>
      <c r="B50" s="282" t="str">
        <f ca="1">语言!$A$663</f>
        <v>胜利长枪</v>
      </c>
      <c r="C50" s="283">
        <v>212</v>
      </c>
      <c r="D50" s="283"/>
      <c r="E50" s="283" t="str">
        <f ca="1">语言!$A$2305&amp;" +99"</f>
        <v>行动速度 +99</v>
      </c>
      <c r="F50" s="282"/>
      <c r="G50" s="108"/>
      <c r="H50" s="282" t="str">
        <f ca="1">语言!$A$757</f>
        <v>金钢合金弓</v>
      </c>
      <c r="I50" s="283">
        <v>178</v>
      </c>
      <c r="J50" s="283">
        <v>209</v>
      </c>
      <c r="K50" s="283"/>
      <c r="L50" s="282"/>
      <c r="M50" s="108"/>
    </row>
    <row r="51" spans="1:13" x14ac:dyDescent="0.2">
      <c r="A51" s="108"/>
      <c r="B51" s="282" t="str">
        <f ca="1">语言!$A$664</f>
        <v>白金长枪</v>
      </c>
      <c r="C51" s="283">
        <v>196</v>
      </c>
      <c r="D51" s="283"/>
      <c r="E51" s="283" t="str">
        <f ca="1">语言!$A$2305&amp;" +92"</f>
        <v>行动速度 +92</v>
      </c>
      <c r="F51" s="282"/>
      <c r="G51" s="108"/>
      <c r="H51" s="282" t="str">
        <f ca="1">语言!$A$758</f>
        <v>强化弓・隼</v>
      </c>
      <c r="I51" s="283">
        <v>182</v>
      </c>
      <c r="J51" s="283">
        <v>182</v>
      </c>
      <c r="K51" s="283" t="str">
        <f ca="1">语言!$A$2306&amp;" +62"</f>
        <v>暴击 +62</v>
      </c>
      <c r="L51" s="282"/>
      <c r="M51" s="108"/>
    </row>
    <row r="52" spans="1:13" x14ac:dyDescent="0.2">
      <c r="A52" s="108"/>
      <c r="B52" s="282" t="str">
        <f ca="1">语言!$A$665</f>
        <v>米格尔之枪</v>
      </c>
      <c r="C52" s="283">
        <v>200</v>
      </c>
      <c r="D52" s="283"/>
      <c r="E52" s="283" t="str">
        <f ca="1">语言!$A$2304&amp;" +88"</f>
        <v>命中 +88</v>
      </c>
      <c r="F52" s="282" t="str">
        <f ca="1">"Attack: Occasionally reduces target's "&amp;语言!$A$2307</f>
        <v>Attack: Occasionally reduces target's 回避</v>
      </c>
      <c r="G52" s="108"/>
      <c r="H52" s="282" t="str">
        <f ca="1">语言!$A$759</f>
        <v>达人的大弓</v>
      </c>
      <c r="I52" s="283">
        <v>192</v>
      </c>
      <c r="J52" s="283"/>
      <c r="K52" s="283" t="str">
        <f ca="1">语言!$A$2306&amp;" +85"</f>
        <v>暴击 +85</v>
      </c>
      <c r="L52" s="282" t="s">
        <v>212</v>
      </c>
      <c r="M52" s="108"/>
    </row>
    <row r="53" spans="1:13" x14ac:dyDescent="0.2">
      <c r="A53" s="108"/>
      <c r="B53" s="282" t="str">
        <f ca="1">语言!$A$666</f>
        <v>帝国骑枪</v>
      </c>
      <c r="C53" s="283">
        <v>180</v>
      </c>
      <c r="D53" s="283"/>
      <c r="E53" s="283" t="str">
        <f ca="1">语言!$A$2306&amp;" +88"</f>
        <v>暴击 +88</v>
      </c>
      <c r="F53" s="282"/>
      <c r="G53" s="108"/>
      <c r="H53" s="282" t="str">
        <f ca="1">语言!$A$760</f>
        <v>光辉弓</v>
      </c>
      <c r="I53" s="283">
        <v>152</v>
      </c>
      <c r="J53" s="283">
        <v>176</v>
      </c>
      <c r="K53" s="283" t="str">
        <f ca="1">语言!$A$2304&amp;" +88"</f>
        <v>命中 +88</v>
      </c>
      <c r="L53" s="282"/>
      <c r="M53" s="108"/>
    </row>
    <row r="54" spans="1:13" x14ac:dyDescent="0.2">
      <c r="A54" s="108"/>
      <c r="B54" s="282" t="str">
        <f ca="1">语言!$A$667</f>
        <v>魔法长柄刀</v>
      </c>
      <c r="C54" s="283">
        <v>96</v>
      </c>
      <c r="D54" s="283">
        <v>162</v>
      </c>
      <c r="E54" s="283"/>
      <c r="F54" s="282"/>
      <c r="G54" s="108"/>
      <c r="H54" s="282" t="str">
        <f ca="1">语言!$A$761</f>
        <v>海盗的大弓</v>
      </c>
      <c r="I54" s="283">
        <v>181</v>
      </c>
      <c r="J54" s="283"/>
      <c r="K54" s="283" t="str">
        <f ca="1">语言!$A$2306&amp;" +77"</f>
        <v>暴击 +77</v>
      </c>
      <c r="L54" s="282"/>
      <c r="M54" s="108"/>
    </row>
    <row r="55" spans="1:13" x14ac:dyDescent="0.2">
      <c r="A55" s="108"/>
      <c r="B55" s="282" t="str">
        <f ca="1">语言!$A$668</f>
        <v>刺猬长枪</v>
      </c>
      <c r="C55" s="283">
        <v>142</v>
      </c>
      <c r="D55" s="283"/>
      <c r="E55" s="283" t="str">
        <f ca="1">语言!$A$2305&amp;" +84"</f>
        <v>行动速度 +84</v>
      </c>
      <c r="F55" s="282"/>
      <c r="G55" s="108"/>
      <c r="H55" s="282" t="str">
        <f ca="1">语言!$A$762</f>
        <v>精神弓</v>
      </c>
      <c r="I55" s="283">
        <v>101</v>
      </c>
      <c r="J55" s="283">
        <v>142</v>
      </c>
      <c r="K55" s="283"/>
      <c r="L55" s="282" t="s">
        <v>216</v>
      </c>
      <c r="M55" s="108"/>
    </row>
    <row r="56" spans="1:13" x14ac:dyDescent="0.2">
      <c r="A56" s="108"/>
      <c r="B56" s="282" t="str">
        <f ca="1">语言!$A$669</f>
        <v>大桥骑枪</v>
      </c>
      <c r="C56" s="283">
        <v>128</v>
      </c>
      <c r="D56" s="283"/>
      <c r="E56" s="283" t="str">
        <f ca="1">语言!$A$2306&amp;" +71"</f>
        <v>暴击 +71</v>
      </c>
      <c r="F56" s="282" t="s">
        <v>218</v>
      </c>
      <c r="G56" s="108"/>
      <c r="H56" s="282" t="str">
        <f ca="1">语言!$A$763</f>
        <v>战姬的大弓</v>
      </c>
      <c r="I56" s="283">
        <v>128</v>
      </c>
      <c r="J56" s="283"/>
      <c r="K56" s="283" t="str">
        <f ca="1">语言!$A$2306&amp;" +43"</f>
        <v>暴击 +43</v>
      </c>
      <c r="L56" s="282"/>
      <c r="M56" s="108"/>
    </row>
    <row r="57" spans="1:13" x14ac:dyDescent="0.2">
      <c r="A57" s="108"/>
      <c r="B57" s="282" t="str">
        <f ca="1">语言!$A$670</f>
        <v>元素长柄刀</v>
      </c>
      <c r="C57" s="283">
        <v>104</v>
      </c>
      <c r="D57" s="283">
        <v>173</v>
      </c>
      <c r="E57" s="283"/>
      <c r="F57" s="282"/>
      <c r="G57" s="108"/>
      <c r="H57" s="282" t="str">
        <f ca="1">语言!$A$764</f>
        <v>元素弓</v>
      </c>
      <c r="I57" s="283">
        <v>108</v>
      </c>
      <c r="J57" s="283">
        <v>98</v>
      </c>
      <c r="K57" s="283" t="str">
        <f ca="1">语言!$A$2304&amp;" +74"</f>
        <v>命中 +74</v>
      </c>
      <c r="L57" s="282"/>
      <c r="M57" s="108"/>
    </row>
    <row r="58" spans="1:13" x14ac:dyDescent="0.2">
      <c r="A58" s="108"/>
      <c r="B58" s="282" t="str">
        <f ca="1">语言!$A$671</f>
        <v>豹骑枪</v>
      </c>
      <c r="C58" s="283">
        <v>112</v>
      </c>
      <c r="D58" s="283"/>
      <c r="E58" s="283" t="str">
        <f ca="1">语言!$A$2306&amp;" +66"</f>
        <v>暴击 +66</v>
      </c>
      <c r="F58" s="282"/>
      <c r="G58" s="108"/>
      <c r="H58" s="282" t="str">
        <f ca="1">语言!$A$765</f>
        <v>影弓</v>
      </c>
      <c r="I58" s="283">
        <v>103</v>
      </c>
      <c r="J58" s="283"/>
      <c r="K58" s="283" t="str">
        <f ca="1">语言!$A$2304&amp;" +82"</f>
        <v>命中 +82</v>
      </c>
      <c r="L58" s="282" t="s">
        <v>218</v>
      </c>
      <c r="M58" s="108"/>
    </row>
    <row r="59" spans="1:13" x14ac:dyDescent="0.2">
      <c r="A59" s="108"/>
      <c r="B59" s="282" t="str">
        <f ca="1">语言!$A$672</f>
        <v>重骑枪</v>
      </c>
      <c r="C59" s="283">
        <v>96</v>
      </c>
      <c r="D59" s="283"/>
      <c r="E59" s="283" t="str">
        <f ca="1">语言!$A$2306&amp;" +53"</f>
        <v>暴击 +53</v>
      </c>
      <c r="F59" s="282"/>
      <c r="G59" s="108"/>
      <c r="H59" s="282" t="str">
        <f ca="1">语言!$A$766</f>
        <v>战斧弓</v>
      </c>
      <c r="I59" s="283">
        <v>96</v>
      </c>
      <c r="J59" s="283">
        <v>84</v>
      </c>
      <c r="K59" s="283" t="str">
        <f ca="1">语言!$A$2304&amp;" +61"</f>
        <v>命中 +61</v>
      </c>
      <c r="L59" s="282"/>
      <c r="M59" s="108"/>
    </row>
    <row r="60" spans="1:13" x14ac:dyDescent="0.2">
      <c r="A60" s="108"/>
      <c r="B60" s="282" t="str">
        <f ca="1">语言!$A$673</f>
        <v>灾祸之枪</v>
      </c>
      <c r="C60" s="283">
        <v>111</v>
      </c>
      <c r="D60" s="283"/>
      <c r="E60" s="283" t="str">
        <f ca="1">语言!$A$2304&amp;" -30"</f>
        <v>命中 -30</v>
      </c>
      <c r="F60" s="282"/>
      <c r="G60" s="108"/>
      <c r="H60" s="282" t="str">
        <f ca="1">语言!$A$767</f>
        <v>神射手的大弓</v>
      </c>
      <c r="I60" s="283">
        <v>105</v>
      </c>
      <c r="J60" s="283"/>
      <c r="K60" s="283" t="str">
        <f ca="1">语言!$A$2306&amp;" +22"</f>
        <v>暴击 +22</v>
      </c>
      <c r="L60" s="282"/>
      <c r="M60" s="108"/>
    </row>
    <row r="61" spans="1:13" x14ac:dyDescent="0.2">
      <c r="A61" s="108"/>
      <c r="B61" s="282" t="str">
        <f ca="1">语言!$A$674</f>
        <v>强盗长枪</v>
      </c>
      <c r="C61" s="283">
        <v>81</v>
      </c>
      <c r="D61" s="283"/>
      <c r="E61" s="283" t="str">
        <f ca="1">语言!$A$2305&amp;" +31"</f>
        <v>行动速度 +31</v>
      </c>
      <c r="F61" s="282"/>
      <c r="G61" s="108"/>
      <c r="H61" s="282" t="str">
        <f ca="1">语言!$A$768</f>
        <v>灵魂弓</v>
      </c>
      <c r="I61" s="283">
        <v>82</v>
      </c>
      <c r="J61" s="283">
        <v>72</v>
      </c>
      <c r="K61" s="283" t="str">
        <f ca="1">语言!$A$2304&amp;" +52"</f>
        <v>命中 +52</v>
      </c>
      <c r="L61" s="282"/>
      <c r="M61" s="108"/>
    </row>
    <row r="62" spans="1:13" x14ac:dyDescent="0.2">
      <c r="A62" s="108"/>
      <c r="B62" s="282" t="str">
        <f ca="1">语言!$A$675</f>
        <v>沙漠长枪</v>
      </c>
      <c r="C62" s="283">
        <v>72</v>
      </c>
      <c r="D62" s="283"/>
      <c r="E62" s="283" t="str">
        <f ca="1">语言!$A$2305&amp;" +6"</f>
        <v>行动速度 +6</v>
      </c>
      <c r="F62" s="282" t="str">
        <f ca="1">"Attack: Occasionally reduces targert's "&amp;语言!$A$2307</f>
        <v>Attack: Occasionally reduces targert's 回避</v>
      </c>
      <c r="G62" s="108"/>
      <c r="H62" s="282" t="str">
        <f ca="1">语言!$A$769</f>
        <v>士兵的大弓</v>
      </c>
      <c r="I62" s="283">
        <v>98</v>
      </c>
      <c r="J62" s="283"/>
      <c r="K62" s="283" t="str">
        <f ca="1">语言!$A$2306&amp;" +14"</f>
        <v>暴击 +14</v>
      </c>
      <c r="L62" s="282" t="str">
        <f ca="1">"Attack: Occasionally decreases target's "&amp;语言!$A$2302</f>
        <v>Attack: Occasionally decreases target's 物理防御力</v>
      </c>
      <c r="M62" s="108"/>
    </row>
    <row r="63" spans="1:13" x14ac:dyDescent="0.2">
      <c r="A63" s="108"/>
      <c r="B63" s="282" t="str">
        <f ca="1">语言!$A$676</f>
        <v>战争骑枪</v>
      </c>
      <c r="C63" s="283">
        <v>71</v>
      </c>
      <c r="D63" s="283"/>
      <c r="E63" s="283" t="str">
        <f ca="1">语言!$A$2306&amp;" +41"</f>
        <v>暴击 +41</v>
      </c>
      <c r="F63" s="282"/>
      <c r="G63" s="108"/>
      <c r="H63" s="282" t="str">
        <f ca="1">语言!$A$770</f>
        <v>重弓</v>
      </c>
      <c r="I63" s="283">
        <v>69</v>
      </c>
      <c r="J63" s="283">
        <v>66</v>
      </c>
      <c r="K63" s="283" t="str">
        <f ca="1">语言!$A$2304&amp;" +44"</f>
        <v>命中 +44</v>
      </c>
      <c r="L63" s="282"/>
      <c r="M63" s="108"/>
    </row>
    <row r="64" spans="1:13" x14ac:dyDescent="0.2">
      <c r="A64" s="108"/>
      <c r="B64" s="282" t="str">
        <f ca="1">语言!$A$677</f>
        <v>银制长枪</v>
      </c>
      <c r="C64" s="283">
        <v>56</v>
      </c>
      <c r="D64" s="283"/>
      <c r="E64" s="283" t="str">
        <f ca="1">语言!$A$2305&amp;" +24"</f>
        <v>行动速度 +24</v>
      </c>
      <c r="F64" s="282"/>
      <c r="G64" s="108"/>
      <c r="H64" s="282" t="str">
        <f ca="1">语言!$A$771</f>
        <v>魔法弓</v>
      </c>
      <c r="I64" s="283">
        <v>58</v>
      </c>
      <c r="J64" s="283">
        <v>62</v>
      </c>
      <c r="K64" s="283"/>
      <c r="L64" s="282"/>
      <c r="M64" s="108"/>
    </row>
    <row r="65" spans="1:13" x14ac:dyDescent="0.2">
      <c r="A65" s="108"/>
      <c r="B65" s="282" t="str">
        <f ca="1">语言!$A$678</f>
        <v>魔咒长柄刀</v>
      </c>
      <c r="C65" s="283">
        <v>36</v>
      </c>
      <c r="D65" s="283">
        <v>38</v>
      </c>
      <c r="E65" s="283"/>
      <c r="F65" s="282"/>
      <c r="G65" s="108"/>
      <c r="H65" s="282" t="str">
        <f ca="1">语言!$A$772</f>
        <v>杀手弓</v>
      </c>
      <c r="I65" s="283">
        <v>60</v>
      </c>
      <c r="J65" s="283">
        <v>30</v>
      </c>
      <c r="K65" s="283" t="str">
        <f ca="1">语言!$A$2304&amp;" +30"</f>
        <v>命中 +30</v>
      </c>
      <c r="L65" s="282"/>
      <c r="M65" s="108"/>
    </row>
    <row r="66" spans="1:13" x14ac:dyDescent="0.2">
      <c r="A66" s="108"/>
      <c r="B66" s="282" t="str">
        <f ca="1">语言!$A$679</f>
        <v>战争长枪</v>
      </c>
      <c r="C66" s="283">
        <v>34</v>
      </c>
      <c r="D66" s="283"/>
      <c r="E66" s="283" t="str">
        <f ca="1">语言!$A$2305&amp;" +10"</f>
        <v>行动速度 +10</v>
      </c>
      <c r="F66" s="282"/>
      <c r="G66" s="108"/>
      <c r="H66" s="282" t="str">
        <f ca="1">语言!$A$773</f>
        <v>魔咒弓</v>
      </c>
      <c r="I66" s="283">
        <v>38</v>
      </c>
      <c r="J66" s="283">
        <v>52</v>
      </c>
      <c r="K66" s="283"/>
      <c r="L66" s="282" t="str">
        <f ca="1">"Attack: Occasionally decreases target's "&amp;语言!$A$2301</f>
        <v>Attack: Occasionally decreases target's 属性攻击力</v>
      </c>
      <c r="M66" s="108"/>
    </row>
    <row r="67" spans="1:13" x14ac:dyDescent="0.2">
      <c r="A67" s="108"/>
      <c r="B67" s="282" t="str">
        <f ca="1">语言!$A$680</f>
        <v>纪念鱼叉</v>
      </c>
      <c r="C67" s="283">
        <v>38</v>
      </c>
      <c r="D67" s="283"/>
      <c r="E67" s="283"/>
      <c r="F67" s="282" t="s">
        <v>221</v>
      </c>
      <c r="G67" s="108"/>
      <c r="H67" s="282" t="str">
        <f ca="1">语言!$A$774</f>
        <v>狼弓</v>
      </c>
      <c r="I67" s="283">
        <v>42</v>
      </c>
      <c r="J67" s="283">
        <v>34</v>
      </c>
      <c r="K67" s="283" t="str">
        <f ca="1">语言!$A$2304&amp;" +22"</f>
        <v>命中 +22</v>
      </c>
      <c r="L67" s="282"/>
      <c r="M67" s="108"/>
    </row>
    <row r="68" spans="1:13" x14ac:dyDescent="0.2">
      <c r="A68" s="108"/>
      <c r="B68" s="282" t="str">
        <f ca="1">语言!$A$681</f>
        <v>铁制长枪</v>
      </c>
      <c r="C68" s="283">
        <v>23</v>
      </c>
      <c r="D68" s="283"/>
      <c r="E68" s="283" t="str">
        <f ca="1">语言!$A$2305&amp;" +6"</f>
        <v>行动速度 +6</v>
      </c>
      <c r="F68" s="282"/>
      <c r="G68" s="277"/>
      <c r="H68" s="282" t="str">
        <f ca="1">语言!$A$775</f>
        <v>石弓</v>
      </c>
      <c r="I68" s="283">
        <v>29</v>
      </c>
      <c r="J68" s="283"/>
      <c r="K68" s="283" t="str">
        <f ca="1">语言!$A$2304&amp;" +33"</f>
        <v>命中 +33</v>
      </c>
      <c r="L68" s="282" t="s">
        <v>218</v>
      </c>
      <c r="M68" s="108"/>
    </row>
    <row r="69" spans="1:13" x14ac:dyDescent="0.2">
      <c r="A69" s="108"/>
      <c r="B69" s="282" t="str">
        <f ca="1">语言!$A$682</f>
        <v>长枪</v>
      </c>
      <c r="C69" s="283">
        <v>8</v>
      </c>
      <c r="D69" s="283"/>
      <c r="E69" s="283" t="str">
        <f ca="1">语言!$A$2305&amp;" +2"</f>
        <v>行动速度 +2</v>
      </c>
      <c r="F69" s="282"/>
      <c r="G69" s="108"/>
      <c r="H69" s="282" t="str">
        <f ca="1">语言!$A$776</f>
        <v>复合弓</v>
      </c>
      <c r="I69" s="283">
        <v>18</v>
      </c>
      <c r="J69" s="283">
        <v>16</v>
      </c>
      <c r="K69" s="283" t="str">
        <f ca="1">语言!$A$2304&amp;" +20"</f>
        <v>命中 +20</v>
      </c>
      <c r="L69" s="282"/>
      <c r="M69" s="108"/>
    </row>
    <row r="70" spans="1:13" x14ac:dyDescent="0.2">
      <c r="A70" s="277"/>
      <c r="B70" s="277"/>
      <c r="C70" s="277"/>
      <c r="D70" s="277"/>
      <c r="E70" s="277"/>
      <c r="F70" s="277"/>
      <c r="G70" s="108"/>
      <c r="H70" s="282" t="str">
        <f ca="1">语言!$A$777</f>
        <v>长弓</v>
      </c>
      <c r="I70" s="283">
        <v>8</v>
      </c>
      <c r="J70" s="283">
        <v>1</v>
      </c>
      <c r="K70" s="283" t="str">
        <f ca="1">语言!$A$2304&amp;" +2"</f>
        <v>命中 +2</v>
      </c>
      <c r="L70" s="282"/>
      <c r="M70" s="277"/>
    </row>
    <row r="71" spans="1:13" x14ac:dyDescent="0.2">
      <c r="A71" s="108"/>
      <c r="B71" s="277"/>
      <c r="C71" s="277"/>
      <c r="D71" s="277"/>
      <c r="E71" s="277"/>
      <c r="F71" s="277"/>
      <c r="G71" s="108"/>
      <c r="H71" s="277"/>
      <c r="I71" s="277"/>
      <c r="J71" s="277"/>
      <c r="K71" s="277"/>
      <c r="L71" s="277"/>
      <c r="M71" s="108"/>
    </row>
    <row r="72" spans="1:13" x14ac:dyDescent="0.2">
      <c r="A72" s="108"/>
      <c r="B72" s="112" t="str">
        <f ca="1">语言!$A$683</f>
        <v>短剑</v>
      </c>
      <c r="C72" s="277"/>
      <c r="D72" s="277"/>
      <c r="E72" s="277"/>
      <c r="F72" s="277"/>
      <c r="G72" s="108"/>
      <c r="H72" s="112" t="str">
        <f ca="1">语言!$A$778</f>
        <v>杖</v>
      </c>
      <c r="I72" s="277"/>
      <c r="J72" s="277"/>
      <c r="K72" s="277"/>
      <c r="L72" s="277"/>
      <c r="M72" s="108"/>
    </row>
    <row r="73" spans="1:13" x14ac:dyDescent="0.2">
      <c r="A73" s="108"/>
      <c r="B73" s="282" t="str">
        <f ca="1">语言!$A$684</f>
        <v>历战短剑</v>
      </c>
      <c r="C73" s="283">
        <v>380</v>
      </c>
      <c r="D73" s="283"/>
      <c r="E73" s="283" t="str">
        <f ca="1">语言!$A$2307&amp;" +140"</f>
        <v>回避 +140</v>
      </c>
      <c r="F73" s="282" t="str">
        <f ca="1">"Attack: Occasionally decreases target's "&amp;语言!$A$2304</f>
        <v>Attack: Occasionally decreases target's 命中</v>
      </c>
      <c r="G73" s="108"/>
      <c r="H73" s="282" t="str">
        <f ca="1">语言!$A$779</f>
        <v>历战之杖</v>
      </c>
      <c r="I73" s="283">
        <v>212</v>
      </c>
      <c r="J73" s="283">
        <v>399</v>
      </c>
      <c r="K73" s="283"/>
      <c r="L73" s="282" t="s">
        <v>221</v>
      </c>
      <c r="M73" s="108"/>
    </row>
    <row r="74" spans="1:13" x14ac:dyDescent="0.2">
      <c r="A74" s="108"/>
      <c r="B74" s="282" t="str">
        <f ca="1">语言!$A$685</f>
        <v>希斯柯特的短剑</v>
      </c>
      <c r="C74" s="283">
        <v>199</v>
      </c>
      <c r="D74" s="283">
        <v>346</v>
      </c>
      <c r="E74" s="283"/>
      <c r="F74" s="282" t="s">
        <v>211</v>
      </c>
      <c r="G74" s="108"/>
      <c r="H74" s="282" t="str">
        <f ca="1">语言!$A$780</f>
        <v>大主教之杖</v>
      </c>
      <c r="I74" s="283">
        <v>187</v>
      </c>
      <c r="J74" s="283">
        <v>352</v>
      </c>
      <c r="K74" s="283"/>
      <c r="L74" s="282" t="s">
        <v>222</v>
      </c>
      <c r="M74" s="108"/>
    </row>
    <row r="75" spans="1:13" x14ac:dyDescent="0.2">
      <c r="A75" s="108"/>
      <c r="B75" s="282" t="str">
        <f ca="1">语言!$A$686</f>
        <v>大蛇短剑</v>
      </c>
      <c r="C75" s="283">
        <v>332</v>
      </c>
      <c r="D75" s="283"/>
      <c r="E75" s="283" t="str">
        <f ca="1">语言!$A$2305&amp;" +132"</f>
        <v>行动速度 +132</v>
      </c>
      <c r="F75" s="282" t="s">
        <v>212</v>
      </c>
      <c r="G75" s="108"/>
      <c r="H75" s="282" t="str">
        <f ca="1">语言!$A$781</f>
        <v>斗智之杖</v>
      </c>
      <c r="I75" s="283">
        <v>111</v>
      </c>
      <c r="J75" s="283">
        <v>333</v>
      </c>
      <c r="K75" s="283" t="str">
        <f ca="1">语言!$A$2305&amp;" +99"</f>
        <v>行动速度 +99</v>
      </c>
      <c r="L75" s="282"/>
      <c r="M75" s="108"/>
    </row>
    <row r="76" spans="1:13" x14ac:dyDescent="0.2">
      <c r="A76" s="108"/>
      <c r="B76" s="282" t="str">
        <f ca="1">语言!$A$687</f>
        <v>金钢合金短刀</v>
      </c>
      <c r="C76" s="283">
        <v>167</v>
      </c>
      <c r="D76" s="283">
        <v>299</v>
      </c>
      <c r="E76" s="283"/>
      <c r="F76" s="282" t="s">
        <v>223</v>
      </c>
      <c r="G76" s="108"/>
      <c r="H76" s="282" t="str">
        <f ca="1">语言!$A$782</f>
        <v>术士之杖</v>
      </c>
      <c r="I76" s="283">
        <v>113</v>
      </c>
      <c r="J76" s="283">
        <v>300</v>
      </c>
      <c r="K76" s="283"/>
      <c r="L76" s="282" t="s">
        <v>212</v>
      </c>
      <c r="M76" s="108"/>
    </row>
    <row r="77" spans="1:13" x14ac:dyDescent="0.2">
      <c r="A77" s="108"/>
      <c r="B77" s="282" t="str">
        <f ca="1">语言!$A$688</f>
        <v>禁忌短剑</v>
      </c>
      <c r="C77" s="283">
        <v>285</v>
      </c>
      <c r="D77" s="283">
        <v>155</v>
      </c>
      <c r="E77" s="283"/>
      <c r="F77" s="282" t="s">
        <v>224</v>
      </c>
      <c r="G77" s="108"/>
      <c r="H77" s="282" t="str">
        <f ca="1">语言!$A$783</f>
        <v>绝对零度之杖</v>
      </c>
      <c r="I77" s="283">
        <v>132</v>
      </c>
      <c r="J77" s="283">
        <v>293</v>
      </c>
      <c r="K77" s="283"/>
      <c r="L77" s="282" t="s">
        <v>225</v>
      </c>
      <c r="M77" s="108"/>
    </row>
    <row r="78" spans="1:13" x14ac:dyDescent="0.2">
      <c r="A78" s="108"/>
      <c r="B78" s="282" t="str">
        <f ca="1">语言!$A$689</f>
        <v>万速匕首</v>
      </c>
      <c r="C78" s="283">
        <v>263</v>
      </c>
      <c r="D78" s="283"/>
      <c r="E78" s="283" t="str">
        <f ca="1">语言!$A$2307&amp;" +129"</f>
        <v>回避 +129</v>
      </c>
      <c r="F78" s="282"/>
      <c r="G78" s="108"/>
      <c r="H78" s="282" t="str">
        <f ca="1">语言!$A$784</f>
        <v>世界树手杖</v>
      </c>
      <c r="I78" s="283">
        <v>121</v>
      </c>
      <c r="J78" s="283">
        <v>289</v>
      </c>
      <c r="K78" s="283"/>
      <c r="L78" s="282"/>
      <c r="M78" s="108"/>
    </row>
    <row r="79" spans="1:13" x14ac:dyDescent="0.2">
      <c r="A79" s="108"/>
      <c r="B79" s="282" t="str">
        <f ca="1">语言!$A$690</f>
        <v>符文短刀</v>
      </c>
      <c r="C79" s="283">
        <v>128</v>
      </c>
      <c r="D79" s="283">
        <v>242</v>
      </c>
      <c r="E79" s="283"/>
      <c r="F79" s="282"/>
      <c r="G79" s="108"/>
      <c r="H79" s="282" t="str">
        <f ca="1">语言!$A$785</f>
        <v>马提亚斯之杖</v>
      </c>
      <c r="I79" s="283">
        <v>116</v>
      </c>
      <c r="J79" s="283">
        <v>268</v>
      </c>
      <c r="K79" s="283"/>
      <c r="L79" s="282" t="str">
        <f ca="1">"Attack: Occasionally decreases target's "&amp;语言!$A$2301</f>
        <v>Attack: Occasionally decreases target's 属性攻击力</v>
      </c>
      <c r="M79" s="108"/>
    </row>
    <row r="80" spans="1:13" x14ac:dyDescent="0.2">
      <c r="A80" s="108"/>
      <c r="B80" s="282" t="str">
        <f ca="1">语言!$A$691</f>
        <v>终极破坏者</v>
      </c>
      <c r="C80" s="283">
        <v>242</v>
      </c>
      <c r="D80" s="283"/>
      <c r="E80" s="283" t="str">
        <f ca="1">语言!$A$2305&amp;" +128"</f>
        <v>行动速度 +128</v>
      </c>
      <c r="F80" s="282" t="s">
        <v>214</v>
      </c>
      <c r="G80" s="108"/>
      <c r="H80" s="282" t="str">
        <f ca="1">语言!$A$786</f>
        <v>禁忌之杖</v>
      </c>
      <c r="I80" s="283">
        <v>-100</v>
      </c>
      <c r="J80" s="283">
        <v>285</v>
      </c>
      <c r="K80" s="283" t="str">
        <f ca="1">语言!$A$2306&amp;" -50"</f>
        <v>暴击 -50</v>
      </c>
      <c r="L80" s="282"/>
      <c r="M80" s="108"/>
    </row>
    <row r="81" spans="1:13" x14ac:dyDescent="0.2">
      <c r="A81" s="108"/>
      <c r="B81" s="282" t="str">
        <f ca="1">语言!$A$692</f>
        <v>毁灭破坏者</v>
      </c>
      <c r="C81" s="283">
        <v>202</v>
      </c>
      <c r="D81" s="283"/>
      <c r="E81" s="283" t="str">
        <f ca="1">语言!$A$2306&amp;" +123"</f>
        <v>暴击 +123</v>
      </c>
      <c r="F81" s="282"/>
      <c r="G81" s="108"/>
      <c r="H81" s="282" t="str">
        <f ca="1">语言!$A$787</f>
        <v>魔法之杖</v>
      </c>
      <c r="I81" s="283">
        <v>91</v>
      </c>
      <c r="J81" s="283">
        <v>242</v>
      </c>
      <c r="K81" s="283"/>
      <c r="L81" s="282" t="str">
        <f ca="1">"Attack: Occasionally decreases target's "&amp;语言!$A$2303</f>
        <v>Attack: Occasionally decreases target's 属性防御力</v>
      </c>
      <c r="M81" s="108"/>
    </row>
    <row r="82" spans="1:13" x14ac:dyDescent="0.2">
      <c r="A82" s="108"/>
      <c r="B82" s="282" t="str">
        <f ca="1">语言!$A$693</f>
        <v>刺客匕首</v>
      </c>
      <c r="C82" s="283">
        <v>196</v>
      </c>
      <c r="D82" s="283"/>
      <c r="E82" s="283" t="str">
        <f ca="1">语言!$A$2307&amp;" +119"</f>
        <v>回避 +119</v>
      </c>
      <c r="F82" s="282"/>
      <c r="G82" s="108"/>
      <c r="H82" s="282" t="str">
        <f ca="1">语言!$A$788</f>
        <v>巨人棍棒</v>
      </c>
      <c r="I82" s="283">
        <v>229</v>
      </c>
      <c r="J82" s="283">
        <v>112</v>
      </c>
      <c r="K82" s="283" t="str">
        <f ca="1">语言!$A$2306&amp;" +86"</f>
        <v>暴击 +86</v>
      </c>
      <c r="L82" s="282"/>
      <c r="M82" s="108"/>
    </row>
    <row r="83" spans="1:13" x14ac:dyDescent="0.2">
      <c r="A83" s="108"/>
      <c r="B83" s="282" t="str">
        <f ca="1">语言!$A$694</f>
        <v>灵魂匕首</v>
      </c>
      <c r="C83" s="283">
        <v>98</v>
      </c>
      <c r="D83" s="283">
        <v>188</v>
      </c>
      <c r="E83" s="283"/>
      <c r="F83" s="282"/>
      <c r="G83" s="108"/>
      <c r="H83" s="282" t="str">
        <f ca="1">语言!$A$789</f>
        <v>陨石杖</v>
      </c>
      <c r="I83" s="283">
        <v>98</v>
      </c>
      <c r="J83" s="283">
        <v>216</v>
      </c>
      <c r="K83" s="283" t="str">
        <f ca="1">语言!$A$2307&amp;" +77"</f>
        <v>回避 +77</v>
      </c>
      <c r="L83" s="282"/>
      <c r="M83" s="108"/>
    </row>
    <row r="84" spans="1:13" x14ac:dyDescent="0.2">
      <c r="A84" s="108"/>
      <c r="B84" s="282" t="str">
        <f ca="1">语言!$A$695</f>
        <v>腥红匕首</v>
      </c>
      <c r="C84" s="283">
        <v>172</v>
      </c>
      <c r="D84" s="283"/>
      <c r="E84" s="283" t="str">
        <f ca="1">语言!$A$2307&amp;" +101"</f>
        <v>回避 +101</v>
      </c>
      <c r="F84" s="282" t="str">
        <f ca="1">"Attack: Occasionally decreases target's "&amp;语言!$A$2300</f>
        <v>Attack: Occasionally decreases target's 物理攻击力</v>
      </c>
      <c r="G84" s="108"/>
      <c r="H84" s="282" t="str">
        <f ca="1">语言!$A$790</f>
        <v>晨星锤</v>
      </c>
      <c r="I84" s="283">
        <v>196</v>
      </c>
      <c r="J84" s="283">
        <v>102</v>
      </c>
      <c r="K84" s="283" t="str">
        <f ca="1">语言!$A$2306&amp;" +72"</f>
        <v>暴击 +72</v>
      </c>
      <c r="L84" s="282"/>
      <c r="M84" s="108"/>
    </row>
    <row r="85" spans="1:13" x14ac:dyDescent="0.2">
      <c r="A85" s="108"/>
      <c r="B85" s="282" t="str">
        <f ca="1">语言!$A$696</f>
        <v>正义破坏者</v>
      </c>
      <c r="C85" s="283">
        <v>166</v>
      </c>
      <c r="D85" s="283"/>
      <c r="E85" s="283" t="str">
        <f ca="1">语言!$A$2305&amp;" +98"</f>
        <v>行动速度 +98</v>
      </c>
      <c r="F85" s="282"/>
      <c r="G85" s="108"/>
      <c r="H85" s="282" t="str">
        <f ca="1">语言!$A$791</f>
        <v>智慧手杖</v>
      </c>
      <c r="I85" s="283">
        <v>98</v>
      </c>
      <c r="J85" s="283">
        <v>188</v>
      </c>
      <c r="K85" s="283"/>
      <c r="L85" s="282" t="s">
        <v>214</v>
      </c>
      <c r="M85" s="108"/>
    </row>
    <row r="86" spans="1:13" x14ac:dyDescent="0.2">
      <c r="A86" s="108"/>
      <c r="B86" s="282" t="str">
        <f ca="1">语言!$A$697</f>
        <v>破天者</v>
      </c>
      <c r="C86" s="283">
        <v>162</v>
      </c>
      <c r="D86" s="283"/>
      <c r="E86" s="283" t="str">
        <f ca="1">语言!$A$2306&amp;" +73"</f>
        <v>暴击 +73</v>
      </c>
      <c r="F86" s="282"/>
      <c r="G86" s="108"/>
      <c r="H86" s="282" t="str">
        <f ca="1">语言!$A$792</f>
        <v>大蓝宝石杖</v>
      </c>
      <c r="I86" s="283">
        <v>89</v>
      </c>
      <c r="J86" s="283">
        <v>176</v>
      </c>
      <c r="K86" s="283" t="str">
        <f ca="1">语言!$A$2307&amp;" +62"</f>
        <v>回避 +62</v>
      </c>
      <c r="L86" s="282"/>
      <c r="M86" s="108"/>
    </row>
    <row r="87" spans="1:13" x14ac:dyDescent="0.2">
      <c r="A87" s="108"/>
      <c r="B87" s="282" t="str">
        <f ca="1">语言!$A$698</f>
        <v>魔法匕首</v>
      </c>
      <c r="C87" s="283">
        <v>75</v>
      </c>
      <c r="D87" s="283">
        <v>144</v>
      </c>
      <c r="E87" s="283"/>
      <c r="F87" s="282" t="s">
        <v>216</v>
      </c>
      <c r="G87" s="108"/>
      <c r="H87" s="282" t="str">
        <f ca="1">语言!$A$793</f>
        <v>巨锤</v>
      </c>
      <c r="I87" s="283">
        <v>171</v>
      </c>
      <c r="J87" s="283">
        <v>98</v>
      </c>
      <c r="K87" s="283" t="str">
        <f ca="1">语言!$A$2306&amp;" +60"</f>
        <v>暴击 +60</v>
      </c>
      <c r="L87" s="282"/>
      <c r="M87" s="108"/>
    </row>
    <row r="88" spans="1:13" x14ac:dyDescent="0.2">
      <c r="A88" s="108"/>
      <c r="B88" s="282" t="str">
        <f ca="1">语言!$A$699</f>
        <v>越狱者</v>
      </c>
      <c r="C88" s="283">
        <v>132</v>
      </c>
      <c r="D88" s="283"/>
      <c r="E88" s="283" t="str">
        <f ca="1">语言!$A$2306&amp;" +65"</f>
        <v>暴击 +65</v>
      </c>
      <c r="F88" s="282"/>
      <c r="G88" s="108"/>
      <c r="H88" s="282" t="str">
        <f ca="1">语言!$A$794</f>
        <v>蓝宝石杖</v>
      </c>
      <c r="I88" s="283">
        <v>82</v>
      </c>
      <c r="J88" s="283">
        <v>158</v>
      </c>
      <c r="K88" s="283" t="str">
        <f ca="1">语言!$A$2307&amp;" +49"</f>
        <v>回避 +49</v>
      </c>
      <c r="L88" s="282"/>
      <c r="M88" s="108"/>
    </row>
    <row r="89" spans="1:13" x14ac:dyDescent="0.2">
      <c r="A89" s="108"/>
      <c r="B89" s="282" t="str">
        <f ca="1">语言!$A$700</f>
        <v>基甸的短剑</v>
      </c>
      <c r="C89" s="283">
        <v>118</v>
      </c>
      <c r="D89" s="283"/>
      <c r="E89" s="283" t="str">
        <f ca="1">语言!$A$2305&amp;" +61"</f>
        <v>行动速度 +61</v>
      </c>
      <c r="F89" s="282" t="str">
        <f ca="1">"Attack: Occasionally decreases target's "&amp;语言!$A$2300</f>
        <v>Attack: Occasionally decreases target's 物理攻击力</v>
      </c>
      <c r="G89" s="108"/>
      <c r="H89" s="282" t="str">
        <f ca="1">语言!$A$795</f>
        <v>战锤</v>
      </c>
      <c r="I89" s="283">
        <v>152</v>
      </c>
      <c r="J89" s="283">
        <v>66</v>
      </c>
      <c r="K89" s="283" t="str">
        <f ca="1">语言!$A$2306&amp;" +42"</f>
        <v>暴击 +42</v>
      </c>
      <c r="L89" s="282"/>
      <c r="M89" s="108"/>
    </row>
    <row r="90" spans="1:13" x14ac:dyDescent="0.2">
      <c r="A90" s="108"/>
      <c r="B90" s="282" t="str">
        <f ca="1">语言!$A$701</f>
        <v>妖精匕首</v>
      </c>
      <c r="C90" s="283">
        <v>98</v>
      </c>
      <c r="D90" s="283"/>
      <c r="E90" s="283" t="str">
        <f ca="1">语言!$A$2307&amp;" +68"</f>
        <v>回避 +68</v>
      </c>
      <c r="F90" s="282"/>
      <c r="G90" s="108"/>
      <c r="H90" s="282" t="str">
        <f ca="1">语言!$A$796</f>
        <v>黑手杖</v>
      </c>
      <c r="I90" s="283">
        <v>71</v>
      </c>
      <c r="J90" s="283">
        <v>112</v>
      </c>
      <c r="K90" s="283"/>
      <c r="L90" s="282" t="s">
        <v>218</v>
      </c>
      <c r="M90" s="108"/>
    </row>
    <row r="91" spans="1:13" x14ac:dyDescent="0.2">
      <c r="A91" s="108"/>
      <c r="B91" s="282" t="str">
        <f ca="1">语言!$A$702</f>
        <v>新月匕首</v>
      </c>
      <c r="C91" s="283">
        <v>88</v>
      </c>
      <c r="D91" s="283"/>
      <c r="E91" s="283" t="str">
        <f ca="1">语言!$A$2307&amp;" +57"</f>
        <v>回避 +57</v>
      </c>
      <c r="F91" s="282" t="s">
        <v>212</v>
      </c>
      <c r="G91" s="108"/>
      <c r="H91" s="282" t="str">
        <f ca="1">语言!$A$797</f>
        <v>法师手杖</v>
      </c>
      <c r="I91" s="283">
        <v>62</v>
      </c>
      <c r="J91" s="283">
        <v>98</v>
      </c>
      <c r="K91" s="283"/>
      <c r="L91" s="282"/>
      <c r="M91" s="108"/>
    </row>
    <row r="92" spans="1:13" x14ac:dyDescent="0.2">
      <c r="A92" s="108"/>
      <c r="B92" s="282" t="str">
        <f ca="1">语言!$A$703</f>
        <v>断链者</v>
      </c>
      <c r="C92" s="283">
        <v>82</v>
      </c>
      <c r="D92" s="283"/>
      <c r="E92" s="283" t="str">
        <f ca="1">语言!$A$2305&amp;" +58"</f>
        <v>行动速度 +58</v>
      </c>
      <c r="F92" s="282"/>
      <c r="G92" s="108"/>
      <c r="H92" s="282" t="str">
        <f ca="1">语言!$A$798</f>
        <v>大石英杖</v>
      </c>
      <c r="I92" s="283">
        <v>42</v>
      </c>
      <c r="J92" s="283">
        <v>89</v>
      </c>
      <c r="K92" s="283" t="str">
        <f ca="1">语言!$A$2307&amp;" +26"</f>
        <v>回避 +26</v>
      </c>
      <c r="L92" s="282"/>
      <c r="M92" s="108"/>
    </row>
    <row r="93" spans="1:13" x14ac:dyDescent="0.2">
      <c r="A93" s="108"/>
      <c r="B93" s="282" t="str">
        <f ca="1">语言!$A$704</f>
        <v>破剑者</v>
      </c>
      <c r="C93" s="283">
        <v>76</v>
      </c>
      <c r="D93" s="283"/>
      <c r="E93" s="283" t="str">
        <f ca="1">语言!$A$2306&amp;" +46"</f>
        <v>暴击 +46</v>
      </c>
      <c r="F93" s="282"/>
      <c r="G93" s="108"/>
      <c r="H93" s="282" t="str">
        <f ca="1">语言!$A$799</f>
        <v>奇迹手杖</v>
      </c>
      <c r="I93" s="283">
        <v>56</v>
      </c>
      <c r="J93" s="283">
        <v>92</v>
      </c>
      <c r="K93" s="283"/>
      <c r="L93" s="282" t="str">
        <f ca="1">"Attack: Occasionally decreases target's "&amp;语言!$A$2301</f>
        <v>Attack: Occasionally decreases target's 属性攻击力</v>
      </c>
      <c r="M93" s="108"/>
    </row>
    <row r="94" spans="1:13" x14ac:dyDescent="0.2">
      <c r="A94" s="108"/>
      <c r="B94" s="282" t="str">
        <f ca="1">语言!$A$705</f>
        <v>银制匕首</v>
      </c>
      <c r="C94" s="283">
        <v>69</v>
      </c>
      <c r="D94" s="283"/>
      <c r="E94" s="283" t="str">
        <f ca="1">语言!$A$2307&amp;" +42"</f>
        <v>回避 +42</v>
      </c>
      <c r="F94" s="282"/>
      <c r="G94" s="108"/>
      <c r="H94" s="282" t="str">
        <f ca="1">语言!$A$800</f>
        <v>长柄权杖</v>
      </c>
      <c r="I94" s="283">
        <v>76</v>
      </c>
      <c r="J94" s="283">
        <v>51</v>
      </c>
      <c r="K94" s="283" t="str">
        <f ca="1">语言!$A$2306&amp;" +23"</f>
        <v>暴击 +23</v>
      </c>
      <c r="L94" s="282"/>
      <c r="M94" s="108"/>
    </row>
    <row r="95" spans="1:13" x14ac:dyDescent="0.2">
      <c r="A95" s="108"/>
      <c r="B95" s="282" t="str">
        <f ca="1">语言!$A$706</f>
        <v>穿孔匕首</v>
      </c>
      <c r="C95" s="283">
        <v>59</v>
      </c>
      <c r="D95" s="283"/>
      <c r="E95" s="283" t="str">
        <f ca="1">语言!$A$2307&amp;" +27"</f>
        <v>回避 +27</v>
      </c>
      <c r="F95" s="282"/>
      <c r="G95" s="108"/>
      <c r="H95" s="282" t="str">
        <f ca="1">语言!$A$801</f>
        <v>橡木手杖</v>
      </c>
      <c r="I95" s="283">
        <v>16</v>
      </c>
      <c r="J95" s="283">
        <v>68</v>
      </c>
      <c r="K95" s="283"/>
      <c r="L95" s="282"/>
      <c r="M95" s="108"/>
    </row>
    <row r="96" spans="1:13" x14ac:dyDescent="0.2">
      <c r="A96" s="108"/>
      <c r="B96" s="282" t="str">
        <f ca="1">语言!$A$707</f>
        <v>猎鹰匕首</v>
      </c>
      <c r="C96" s="283">
        <v>52</v>
      </c>
      <c r="D96" s="283"/>
      <c r="E96" s="283" t="str">
        <f ca="1">语言!$A$2307&amp;" +22"</f>
        <v>回避 +22</v>
      </c>
      <c r="F96" s="282"/>
      <c r="G96" s="108"/>
      <c r="H96" s="282" t="str">
        <f ca="1">语言!$A$802</f>
        <v>连伽</v>
      </c>
      <c r="I96" s="283">
        <v>68</v>
      </c>
      <c r="J96" s="283">
        <v>42</v>
      </c>
      <c r="K96" s="283" t="str">
        <f ca="1">语言!$A$2306&amp;" +14"</f>
        <v>暴击 +14</v>
      </c>
      <c r="L96" s="282"/>
      <c r="M96" s="108"/>
    </row>
    <row r="97" spans="1:13" x14ac:dyDescent="0.2">
      <c r="A97" s="108"/>
      <c r="B97" s="282" t="str">
        <f ca="1">语言!$A$708</f>
        <v>迷惑短剑</v>
      </c>
      <c r="C97" s="283">
        <v>48</v>
      </c>
      <c r="D97" s="283"/>
      <c r="E97" s="283" t="str">
        <f ca="1">语言!$A$2305&amp;" +20"</f>
        <v>行动速度 +20</v>
      </c>
      <c r="F97" s="282" t="str">
        <f ca="1">"Attack: Occasionally dereases target's "&amp;语言!$A$2304</f>
        <v>Attack: Occasionally dereases target's 命中</v>
      </c>
      <c r="G97" s="108"/>
      <c r="H97" s="282" t="str">
        <f ca="1">语言!$A$803</f>
        <v>理力之杖</v>
      </c>
      <c r="I97" s="283">
        <v>78</v>
      </c>
      <c r="J97" s="283"/>
      <c r="K97" s="283"/>
      <c r="L97" s="282" t="str">
        <f ca="1">"Attack: Occasionally decreases target's "&amp;语言!$A$2303</f>
        <v>Attack: Occasionally decreases target's 属性防御力</v>
      </c>
      <c r="M97" s="108"/>
    </row>
    <row r="98" spans="1:13" x14ac:dyDescent="0.2">
      <c r="A98" s="108"/>
      <c r="B98" s="282" t="str">
        <f ca="1">语言!$A$709</f>
        <v>魔咒匕首</v>
      </c>
      <c r="C98" s="283">
        <v>32</v>
      </c>
      <c r="D98" s="283">
        <v>42</v>
      </c>
      <c r="E98" s="283"/>
      <c r="F98" s="282"/>
      <c r="G98" s="108"/>
      <c r="H98" s="282" t="str">
        <f ca="1">语言!$A$804</f>
        <v>权杖</v>
      </c>
      <c r="I98" s="283">
        <v>62</v>
      </c>
      <c r="J98" s="283">
        <v>33</v>
      </c>
      <c r="K98" s="283" t="str">
        <f ca="1">语言!$A$2306&amp;" +8"</f>
        <v>暴击 +8</v>
      </c>
      <c r="L98" s="282"/>
      <c r="M98" s="108"/>
    </row>
    <row r="99" spans="1:13" x14ac:dyDescent="0.2">
      <c r="A99" s="108"/>
      <c r="B99" s="282" t="str">
        <f ca="1">语言!$A$710</f>
        <v>刺击匕首</v>
      </c>
      <c r="C99" s="283">
        <v>26</v>
      </c>
      <c r="D99" s="283"/>
      <c r="E99" s="283" t="str">
        <f ca="1">语言!$A$2307&amp;" +18"</f>
        <v>回避 +18</v>
      </c>
      <c r="F99" s="282" t="s">
        <v>212</v>
      </c>
      <c r="G99" s="108"/>
      <c r="H99" s="282" t="str">
        <f ca="1">语言!$A$805</f>
        <v>月桂手杖</v>
      </c>
      <c r="I99" s="283">
        <v>24</v>
      </c>
      <c r="J99" s="283">
        <v>52</v>
      </c>
      <c r="K99" s="283"/>
      <c r="L99" s="282"/>
      <c r="M99" s="108"/>
    </row>
    <row r="100" spans="1:13" x14ac:dyDescent="0.2">
      <c r="A100" s="108"/>
      <c r="B100" s="282" t="str">
        <f ca="1">语言!$A$711</f>
        <v>铁制匕首</v>
      </c>
      <c r="C100" s="283">
        <v>20</v>
      </c>
      <c r="D100" s="283"/>
      <c r="E100" s="283" t="str">
        <f ca="1">语言!$A$2307&amp;" +16"</f>
        <v>回避 +16</v>
      </c>
      <c r="F100" s="282"/>
      <c r="G100" s="108"/>
      <c r="H100" s="282" t="str">
        <f ca="1">语言!$A$806</f>
        <v>复合杖</v>
      </c>
      <c r="I100" s="283">
        <v>18</v>
      </c>
      <c r="J100" s="283">
        <v>44</v>
      </c>
      <c r="K100" s="283"/>
      <c r="L100" s="282" t="s">
        <v>216</v>
      </c>
      <c r="M100" s="108"/>
    </row>
    <row r="101" spans="1:13" x14ac:dyDescent="0.2">
      <c r="A101" s="277"/>
      <c r="B101" s="282" t="str">
        <f ca="1">语言!$A$712</f>
        <v>匕首</v>
      </c>
      <c r="C101" s="283">
        <v>7</v>
      </c>
      <c r="D101" s="283"/>
      <c r="E101" s="283" t="str">
        <f ca="1">语言!$A$2307&amp;" +6"</f>
        <v>回避 +6</v>
      </c>
      <c r="F101" s="282"/>
      <c r="G101" s="277"/>
      <c r="H101" s="282" t="str">
        <f ca="1">语言!$A$807</f>
        <v>石英杖</v>
      </c>
      <c r="I101" s="283">
        <v>12</v>
      </c>
      <c r="J101" s="283">
        <v>38</v>
      </c>
      <c r="K101" s="283" t="str">
        <f ca="1">语言!$A$2307&amp;" +10"</f>
        <v>回避 +10</v>
      </c>
      <c r="L101" s="282"/>
      <c r="M101" s="277"/>
    </row>
    <row r="102" spans="1:13" x14ac:dyDescent="0.2">
      <c r="A102" s="108"/>
      <c r="B102" s="277"/>
      <c r="C102" s="277"/>
      <c r="D102" s="277"/>
      <c r="E102" s="277"/>
      <c r="F102" s="277"/>
      <c r="G102" s="108"/>
      <c r="H102" s="282" t="str">
        <f ca="1">语言!$A$808</f>
        <v>光之手杖</v>
      </c>
      <c r="I102" s="283">
        <v>8</v>
      </c>
      <c r="J102" s="283">
        <v>24</v>
      </c>
      <c r="K102" s="283"/>
      <c r="L102" s="282"/>
      <c r="M102" s="108"/>
    </row>
    <row r="103" spans="1:13" x14ac:dyDescent="0.2">
      <c r="A103" s="108"/>
      <c r="B103" s="277"/>
      <c r="C103" s="277"/>
      <c r="D103" s="277"/>
      <c r="E103" s="277"/>
      <c r="F103" s="277"/>
      <c r="G103" s="108"/>
      <c r="H103" s="282" t="str">
        <f ca="1">语言!$A$809</f>
        <v>石杖</v>
      </c>
      <c r="I103" s="283">
        <v>4</v>
      </c>
      <c r="J103" s="283">
        <v>22</v>
      </c>
      <c r="K103" s="283" t="str">
        <f ca="1">语言!$A$2307&amp;" +16"</f>
        <v>回避 +16</v>
      </c>
      <c r="L103" s="282"/>
      <c r="M103" s="108"/>
    </row>
    <row r="104" spans="1:13" x14ac:dyDescent="0.2">
      <c r="A104" s="108"/>
      <c r="B104" s="277"/>
      <c r="C104" s="277"/>
      <c r="D104" s="277"/>
      <c r="E104" s="277"/>
      <c r="F104" s="277"/>
      <c r="G104" s="108"/>
      <c r="H104" s="282" t="str">
        <f ca="1">语言!$A$810</f>
        <v>手杖</v>
      </c>
      <c r="I104" s="283">
        <v>1</v>
      </c>
      <c r="J104" s="283">
        <v>8</v>
      </c>
      <c r="K104" s="283" t="str">
        <f ca="1">语言!$A$2306&amp;" +2"</f>
        <v>暴击 +2</v>
      </c>
      <c r="L104" s="282"/>
      <c r="M104" s="108"/>
    </row>
    <row r="105" spans="1:13" x14ac:dyDescent="0.2">
      <c r="A105" s="108"/>
      <c r="B105" s="277"/>
      <c r="C105" s="277"/>
      <c r="D105" s="277"/>
      <c r="E105" s="277"/>
      <c r="F105" s="277"/>
      <c r="G105" s="108"/>
      <c r="H105" s="277"/>
      <c r="I105" s="277"/>
      <c r="J105" s="277"/>
      <c r="K105" s="277"/>
      <c r="L105" s="277"/>
      <c r="M105" s="108"/>
    </row>
    <row r="106" spans="1:13" x14ac:dyDescent="0.2">
      <c r="A106" s="108"/>
      <c r="B106" s="112" t="str">
        <f ca="1">语言!$A$830</f>
        <v>防具 头</v>
      </c>
      <c r="C106" s="277"/>
      <c r="D106" s="277"/>
      <c r="E106" s="277"/>
      <c r="F106" s="277"/>
      <c r="G106" s="108"/>
      <c r="H106" s="112" t="str">
        <f ca="1">语言!$A$811</f>
        <v>盾</v>
      </c>
      <c r="I106" s="277"/>
      <c r="J106" s="277"/>
      <c r="K106" s="277"/>
      <c r="L106" s="277"/>
      <c r="M106" s="108"/>
    </row>
    <row r="107" spans="1:13" x14ac:dyDescent="0.2">
      <c r="A107" s="108"/>
      <c r="B107" s="282" t="str">
        <f ca="1">语言!$A$831</f>
        <v>水晶头盔</v>
      </c>
      <c r="C107" s="283">
        <v>180</v>
      </c>
      <c r="D107" s="283"/>
      <c r="E107" s="283"/>
      <c r="F107" s="282"/>
      <c r="G107" s="108"/>
      <c r="H107" s="282" t="str">
        <f ca="1">语言!$A$812</f>
        <v>历战之盾</v>
      </c>
      <c r="I107" s="283">
        <v>132</v>
      </c>
      <c r="J107" s="283"/>
      <c r="K107" s="283" t="str">
        <f ca="1">语言!$A$2307&amp;" -88"</f>
        <v>回避 -88</v>
      </c>
      <c r="L107" s="282" t="s">
        <v>226</v>
      </c>
      <c r="M107" s="108"/>
    </row>
    <row r="108" spans="1:13" x14ac:dyDescent="0.2">
      <c r="A108" s="108"/>
      <c r="B108" s="282" t="str">
        <f ca="1">语言!$A$832</f>
        <v>睡神宝冠</v>
      </c>
      <c r="C108" s="283">
        <v>98</v>
      </c>
      <c r="D108" s="283">
        <v>162</v>
      </c>
      <c r="E108" s="283" t="str">
        <f ca="1">语言!$A$2299&amp;" +72"</f>
        <v>最大ＳＰ +72</v>
      </c>
      <c r="F108" s="282"/>
      <c r="G108" s="108"/>
      <c r="H108" s="282" t="str">
        <f ca="1">语言!$A$813</f>
        <v>米克马克之盾</v>
      </c>
      <c r="I108" s="283">
        <v>80</v>
      </c>
      <c r="J108" s="283">
        <v>80</v>
      </c>
      <c r="K108" s="283" t="str">
        <f ca="1">语言!$A$2307&amp;" +178"</f>
        <v>回避 +178</v>
      </c>
      <c r="L108" s="282"/>
      <c r="M108" s="108"/>
    </row>
    <row r="109" spans="1:13" x14ac:dyDescent="0.2">
      <c r="A109" s="108"/>
      <c r="B109" s="282" t="str">
        <f ca="1">语言!$A$833</f>
        <v>金钢合金帽</v>
      </c>
      <c r="C109" s="283">
        <v>104</v>
      </c>
      <c r="D109" s="283">
        <v>180</v>
      </c>
      <c r="E109" s="283" t="str">
        <f ca="1">语言!$A$2301&amp;" +88"</f>
        <v>属性攻击力 +88</v>
      </c>
      <c r="F109" s="282"/>
      <c r="G109" s="108"/>
      <c r="H109" s="282" t="str">
        <f ca="1">语言!$A$814</f>
        <v>禁忌之盾</v>
      </c>
      <c r="I109" s="283">
        <v>116</v>
      </c>
      <c r="J109" s="283">
        <v>133</v>
      </c>
      <c r="K109" s="283" t="str">
        <f ca="1">语言!$A$2307&amp;" -171"</f>
        <v>回避 -171</v>
      </c>
      <c r="L109" s="282"/>
      <c r="M109" s="108"/>
    </row>
    <row r="110" spans="1:13" x14ac:dyDescent="0.2">
      <c r="A110" s="108"/>
      <c r="B110" s="282" t="str">
        <f ca="1">语言!$A$834</f>
        <v>龙之头盔</v>
      </c>
      <c r="C110" s="283">
        <v>152</v>
      </c>
      <c r="D110" s="283"/>
      <c r="E110" s="283"/>
      <c r="F110" s="282"/>
      <c r="G110" s="108"/>
      <c r="H110" s="282" t="str">
        <f ca="1">语言!$A$815</f>
        <v>力之盾</v>
      </c>
      <c r="I110" s="283">
        <v>102</v>
      </c>
      <c r="J110" s="283">
        <v>102</v>
      </c>
      <c r="K110" s="283" t="str">
        <f ca="1">语言!$A$2307&amp;" -69"</f>
        <v>回避 -69</v>
      </c>
      <c r="L110" s="282"/>
      <c r="M110" s="108"/>
    </row>
    <row r="111" spans="1:13" x14ac:dyDescent="0.2">
      <c r="A111" s="108"/>
      <c r="B111" s="282" t="str">
        <f ca="1">语言!$A$835</f>
        <v>魔物操控人的帽子</v>
      </c>
      <c r="C111" s="283">
        <v>115</v>
      </c>
      <c r="D111" s="283">
        <v>115</v>
      </c>
      <c r="E111" s="283"/>
      <c r="F111" s="282" t="s">
        <v>227</v>
      </c>
      <c r="G111" s="108"/>
      <c r="H111" s="282" t="str">
        <f ca="1">语言!$A$816</f>
        <v>巨盾</v>
      </c>
      <c r="I111" s="283">
        <v>121</v>
      </c>
      <c r="J111" s="283"/>
      <c r="K111" s="283" t="str">
        <f ca="1">语言!$A$2307&amp;" -101"</f>
        <v>回避 -101</v>
      </c>
      <c r="L111" s="282"/>
      <c r="M111" s="108"/>
    </row>
    <row r="112" spans="1:13" x14ac:dyDescent="0.2">
      <c r="A112" s="108"/>
      <c r="B112" s="282" t="str">
        <f ca="1">语言!$A$836</f>
        <v>教师的帽子</v>
      </c>
      <c r="C112" s="283">
        <v>96</v>
      </c>
      <c r="D112" s="283">
        <v>133</v>
      </c>
      <c r="E112" s="283"/>
      <c r="F112" s="282" t="s">
        <v>228</v>
      </c>
      <c r="G112" s="108"/>
      <c r="H112" s="282" t="str">
        <f ca="1">语言!$A$817</f>
        <v>海兽之盾</v>
      </c>
      <c r="I112" s="283">
        <v>110</v>
      </c>
      <c r="J112" s="283"/>
      <c r="K112" s="283" t="str">
        <f ca="1">语言!$A$2307&amp;" -79"</f>
        <v>回避 -79</v>
      </c>
      <c r="L112" s="282" t="s">
        <v>229</v>
      </c>
      <c r="M112" s="108"/>
    </row>
    <row r="113" spans="1:13" x14ac:dyDescent="0.2">
      <c r="A113" s="108"/>
      <c r="B113" s="282" t="str">
        <f ca="1">语言!$A$837</f>
        <v>冒险家的帽子</v>
      </c>
      <c r="C113" s="283">
        <v>133</v>
      </c>
      <c r="D113" s="283"/>
      <c r="E113" s="283"/>
      <c r="F113" s="282" t="s">
        <v>230</v>
      </c>
      <c r="G113" s="108"/>
      <c r="H113" s="282" t="str">
        <f ca="1">语言!$A$818</f>
        <v>骑士盾</v>
      </c>
      <c r="I113" s="283">
        <v>92</v>
      </c>
      <c r="J113" s="283">
        <v>95</v>
      </c>
      <c r="K113" s="283" t="str">
        <f ca="1">语言!$A$2307&amp;"  -95"</f>
        <v>回避  -95</v>
      </c>
      <c r="L113" s="282"/>
      <c r="M113" s="108"/>
    </row>
    <row r="114" spans="1:13" x14ac:dyDescent="0.2">
      <c r="A114" s="108"/>
      <c r="B114" s="282" t="str">
        <f ca="1">语言!$A$838</f>
        <v>白金头盔</v>
      </c>
      <c r="C114" s="283">
        <v>137</v>
      </c>
      <c r="D114" s="283"/>
      <c r="E114" s="283"/>
      <c r="F114" s="282"/>
      <c r="G114" s="108"/>
      <c r="H114" s="282" t="str">
        <f ca="1">语言!$A$819</f>
        <v>古斯塔夫之盾</v>
      </c>
      <c r="I114" s="283">
        <v>52</v>
      </c>
      <c r="J114" s="283">
        <v>58</v>
      </c>
      <c r="K114" s="283" t="str">
        <f ca="1">语言!$A$2307&amp;" +64"</f>
        <v>回避 +64</v>
      </c>
      <c r="L114" s="282"/>
      <c r="M114" s="108"/>
    </row>
    <row r="115" spans="1:13" x14ac:dyDescent="0.2">
      <c r="A115" s="108"/>
      <c r="B115" s="282" t="str">
        <f ca="1">语言!$A$839</f>
        <v>历史研究家的帽子</v>
      </c>
      <c r="C115" s="283">
        <v>82</v>
      </c>
      <c r="D115" s="283">
        <v>134</v>
      </c>
      <c r="E115" s="283"/>
      <c r="F115" s="282" t="s">
        <v>231</v>
      </c>
      <c r="G115" s="108"/>
      <c r="H115" s="282" t="str">
        <f ca="1">语言!$A$820</f>
        <v>金钢合金盾</v>
      </c>
      <c r="I115" s="283">
        <v>76</v>
      </c>
      <c r="J115" s="283">
        <v>131</v>
      </c>
      <c r="K115" s="283" t="str">
        <f ca="1">语言!$A$2307&amp;" -81"</f>
        <v>回避 -81</v>
      </c>
      <c r="L115" s="282"/>
      <c r="M115" s="108"/>
    </row>
    <row r="116" spans="1:13" x14ac:dyDescent="0.2">
      <c r="A116" s="108"/>
      <c r="B116" s="282" t="str">
        <f ca="1">语言!$A$840</f>
        <v>海市蜃楼帽子</v>
      </c>
      <c r="C116" s="283">
        <v>103</v>
      </c>
      <c r="D116" s="283">
        <v>112</v>
      </c>
      <c r="E116" s="283"/>
      <c r="F116" s="282"/>
      <c r="G116" s="108"/>
      <c r="H116" s="282" t="str">
        <f ca="1">语言!$A$821</f>
        <v>塔盾</v>
      </c>
      <c r="I116" s="283">
        <v>68</v>
      </c>
      <c r="J116" s="283"/>
      <c r="K116" s="283" t="str">
        <f ca="1">语言!$A$2307&amp;" -25"</f>
        <v>回避 -25</v>
      </c>
      <c r="L116" s="282"/>
      <c r="M116" s="108"/>
    </row>
    <row r="117" spans="1:13" x14ac:dyDescent="0.2">
      <c r="A117" s="108"/>
      <c r="B117" s="282" t="str">
        <f ca="1">语言!$A$841</f>
        <v>雷布洛的头盔</v>
      </c>
      <c r="C117" s="283">
        <v>108</v>
      </c>
      <c r="D117" s="283">
        <v>78</v>
      </c>
      <c r="E117" s="283"/>
      <c r="F117" s="282" t="s">
        <v>232</v>
      </c>
      <c r="G117" s="108"/>
      <c r="H117" s="282" t="str">
        <f ca="1">语言!$A$822</f>
        <v>尖刺盾</v>
      </c>
      <c r="I117" s="283">
        <v>44</v>
      </c>
      <c r="J117" s="283">
        <v>53</v>
      </c>
      <c r="K117" s="283" t="str">
        <f ca="1">语言!$A$2307&amp;" -20"</f>
        <v>回避 -20</v>
      </c>
      <c r="L117" s="282"/>
      <c r="M117" s="108"/>
    </row>
    <row r="118" spans="1:13" x14ac:dyDescent="0.2">
      <c r="A118" s="108"/>
      <c r="B118" s="282" t="str">
        <f ca="1">语言!$A$842</f>
        <v>帝国头盔</v>
      </c>
      <c r="C118" s="283">
        <v>124</v>
      </c>
      <c r="D118" s="283"/>
      <c r="E118" s="283"/>
      <c r="F118" s="282"/>
      <c r="G118" s="108"/>
      <c r="H118" s="282" t="str">
        <f ca="1">语言!$A$823</f>
        <v>元素盾</v>
      </c>
      <c r="I118" s="283">
        <v>36</v>
      </c>
      <c r="J118" s="283">
        <v>74</v>
      </c>
      <c r="K118" s="283" t="str">
        <f ca="1">语言!$A$2307&amp;" -20"</f>
        <v>回避 -20</v>
      </c>
      <c r="L118" s="282"/>
      <c r="M118" s="108"/>
    </row>
    <row r="119" spans="1:13" x14ac:dyDescent="0.2">
      <c r="A119" s="108"/>
      <c r="B119" s="282" t="str">
        <f ca="1">语言!$A$843</f>
        <v>静寂头巾</v>
      </c>
      <c r="C119" s="283">
        <v>82</v>
      </c>
      <c r="D119" s="283">
        <v>78</v>
      </c>
      <c r="E119" s="283" t="str">
        <f ca="1">语言!$A$2307&amp;" +111"</f>
        <v>回避 +111</v>
      </c>
      <c r="F119" s="282"/>
      <c r="G119" s="108"/>
      <c r="H119" s="282" t="str">
        <f ca="1">语言!$A$824</f>
        <v>闪避之盾</v>
      </c>
      <c r="I119" s="283">
        <v>21</v>
      </c>
      <c r="J119" s="283">
        <v>24</v>
      </c>
      <c r="K119" s="283" t="str">
        <f ca="1">语言!$A$2307&amp;" +56"</f>
        <v>回避 +56</v>
      </c>
      <c r="L119" s="282"/>
      <c r="M119" s="108"/>
    </row>
    <row r="120" spans="1:13" x14ac:dyDescent="0.2">
      <c r="A120" s="108"/>
      <c r="B120" s="282" t="str">
        <f ca="1">语言!$A$844</f>
        <v>毛皮帽子</v>
      </c>
      <c r="C120" s="283">
        <v>91</v>
      </c>
      <c r="D120" s="283">
        <v>96</v>
      </c>
      <c r="E120" s="283"/>
      <c r="F120" s="282"/>
      <c r="G120" s="108"/>
      <c r="H120" s="282" t="str">
        <f ca="1">语言!$A$825</f>
        <v>板盾</v>
      </c>
      <c r="I120" s="283">
        <v>45</v>
      </c>
      <c r="J120" s="283"/>
      <c r="K120" s="283" t="str">
        <f ca="1">语言!$A$2307&amp;" -4"</f>
        <v>回避 -4</v>
      </c>
      <c r="L120" s="282"/>
      <c r="M120" s="108"/>
    </row>
    <row r="121" spans="1:13" x14ac:dyDescent="0.2">
      <c r="A121" s="108"/>
      <c r="B121" s="282" t="str">
        <f ca="1">语言!$A$845</f>
        <v>魔法饰环</v>
      </c>
      <c r="C121" s="283">
        <v>79</v>
      </c>
      <c r="D121" s="283">
        <v>104</v>
      </c>
      <c r="E121" s="283" t="str">
        <f ca="1">语言!$A$2299&amp;" +53"</f>
        <v>最大ＳＰ +53</v>
      </c>
      <c r="F121" s="282"/>
      <c r="G121" s="108"/>
      <c r="H121" s="282" t="str">
        <f ca="1">语言!$A$826</f>
        <v>鸢形盾</v>
      </c>
      <c r="I121" s="283">
        <v>26</v>
      </c>
      <c r="J121" s="283">
        <v>31</v>
      </c>
      <c r="K121" s="283"/>
      <c r="L121" s="282"/>
      <c r="M121" s="108"/>
    </row>
    <row r="122" spans="1:13" x14ac:dyDescent="0.2">
      <c r="A122" s="108"/>
      <c r="B122" s="282" t="str">
        <f ca="1">语言!$A$846</f>
        <v>元素帽</v>
      </c>
      <c r="C122" s="283">
        <v>68</v>
      </c>
      <c r="D122" s="283">
        <v>112</v>
      </c>
      <c r="E122" s="283" t="str">
        <f ca="1">语言!$A$2301&amp;" +61"</f>
        <v>属性攻击力 +61</v>
      </c>
      <c r="F122" s="282"/>
      <c r="G122" s="108"/>
      <c r="H122" s="282" t="str">
        <f ca="1">语言!$A$827</f>
        <v>大盾</v>
      </c>
      <c r="I122" s="283">
        <v>20</v>
      </c>
      <c r="J122" s="283"/>
      <c r="K122" s="283"/>
      <c r="L122" s="282"/>
      <c r="M122" s="108"/>
    </row>
    <row r="123" spans="1:13" x14ac:dyDescent="0.2">
      <c r="A123" s="108"/>
      <c r="B123" s="282" t="str">
        <f ca="1">语言!$A$847</f>
        <v>老兵的头盔</v>
      </c>
      <c r="C123" s="283">
        <v>82</v>
      </c>
      <c r="D123" s="283">
        <v>58</v>
      </c>
      <c r="E123" s="283"/>
      <c r="F123" s="282" t="s">
        <v>233</v>
      </c>
      <c r="G123" s="108"/>
      <c r="H123" s="282" t="str">
        <f ca="1">语言!$A$828</f>
        <v>圆盾</v>
      </c>
      <c r="I123" s="283">
        <v>13</v>
      </c>
      <c r="J123" s="283">
        <v>15</v>
      </c>
      <c r="K123" s="283"/>
      <c r="L123" s="282"/>
      <c r="M123" s="108"/>
    </row>
    <row r="124" spans="1:13" x14ac:dyDescent="0.2">
      <c r="A124" s="108"/>
      <c r="B124" s="282" t="str">
        <f ca="1">语言!$A$848</f>
        <v>盖雷斯的头盔</v>
      </c>
      <c r="C124" s="283">
        <v>78</v>
      </c>
      <c r="D124" s="283">
        <v>73</v>
      </c>
      <c r="E124" s="283" t="str">
        <f ca="1">语言!$A$2306&amp;" +53"</f>
        <v>暴击 +53</v>
      </c>
      <c r="F124" s="282"/>
      <c r="G124" s="108"/>
      <c r="H124" s="282" t="str">
        <f ca="1">语言!$A$829</f>
        <v>小圆盾</v>
      </c>
      <c r="I124" s="283">
        <v>3</v>
      </c>
      <c r="J124" s="283">
        <v>3</v>
      </c>
      <c r="K124" s="283"/>
      <c r="L124" s="282"/>
      <c r="M124" s="108"/>
    </row>
    <row r="125" spans="1:13" x14ac:dyDescent="0.2">
      <c r="A125" s="108"/>
      <c r="B125" s="282" t="str">
        <f ca="1">语言!$A$849</f>
        <v>显赫头盔</v>
      </c>
      <c r="C125" s="283">
        <v>89</v>
      </c>
      <c r="D125" s="283"/>
      <c r="E125" s="283"/>
      <c r="F125" s="282"/>
      <c r="G125" s="108"/>
      <c r="H125" s="108"/>
      <c r="I125" s="108"/>
      <c r="J125" s="108"/>
      <c r="K125" s="108"/>
      <c r="L125" s="108"/>
      <c r="M125" s="108"/>
    </row>
    <row r="126" spans="1:13" x14ac:dyDescent="0.2">
      <c r="A126" s="108"/>
      <c r="B126" s="282" t="str">
        <f ca="1">语言!$A$850</f>
        <v>犄角头盔</v>
      </c>
      <c r="C126" s="283">
        <v>71</v>
      </c>
      <c r="D126" s="283"/>
      <c r="E126" s="283"/>
      <c r="F126" s="282"/>
      <c r="G126" s="108"/>
      <c r="H126" s="112" t="str">
        <f ca="1">语言!$A$924</f>
        <v>饰品</v>
      </c>
      <c r="I126" s="277"/>
      <c r="J126" s="277"/>
      <c r="K126" s="277"/>
      <c r="L126" s="277"/>
      <c r="M126" s="108"/>
    </row>
    <row r="127" spans="1:13" x14ac:dyDescent="0.2">
      <c r="A127" s="108"/>
      <c r="B127" s="282" t="str">
        <f ca="1">语言!$A$851</f>
        <v>星屑帽子</v>
      </c>
      <c r="C127" s="283">
        <v>61</v>
      </c>
      <c r="D127" s="283">
        <v>79</v>
      </c>
      <c r="E127" s="283"/>
      <c r="F127" s="282"/>
      <c r="G127" s="108"/>
      <c r="H127" s="282" t="str">
        <f ca="1">语言!$A$925</f>
        <v>隔离缎带</v>
      </c>
      <c r="I127" s="283"/>
      <c r="J127" s="283"/>
      <c r="K127" s="283"/>
      <c r="L127" s="282"/>
      <c r="M127" s="108"/>
    </row>
    <row r="128" spans="1:13" x14ac:dyDescent="0.2">
      <c r="A128" s="108"/>
      <c r="B128" s="282" t="str">
        <f ca="1">语言!$A$852</f>
        <v>高速头盔</v>
      </c>
      <c r="C128" s="283">
        <v>50</v>
      </c>
      <c r="D128" s="283">
        <v>58</v>
      </c>
      <c r="E128" s="283" t="str">
        <f ca="1">语言!$A$2305&amp;" +78"</f>
        <v>行动速度 +78</v>
      </c>
      <c r="F128" s="282"/>
      <c r="G128" s="108"/>
      <c r="H128" s="282" t="str">
        <f ca="1">语言!$A$926</f>
        <v>引诱缎带</v>
      </c>
      <c r="I128" s="283"/>
      <c r="J128" s="283"/>
      <c r="K128" s="283"/>
      <c r="L128" s="282" t="s">
        <v>234</v>
      </c>
      <c r="M128" s="108"/>
    </row>
    <row r="129" spans="1:13" x14ac:dyDescent="0.2">
      <c r="A129" s="108"/>
      <c r="B129" s="282" t="str">
        <f ca="1">语言!$A$853</f>
        <v>猎鹰的帽子</v>
      </c>
      <c r="C129" s="283">
        <v>48</v>
      </c>
      <c r="D129" s="283">
        <v>54</v>
      </c>
      <c r="E129" s="283" t="str">
        <f ca="1">语言!$A$2307&amp;" +79"</f>
        <v>回避 +79</v>
      </c>
      <c r="F129" s="282"/>
      <c r="G129" s="108"/>
      <c r="H129" s="282" t="str">
        <f ca="1">语言!$A$927</f>
        <v>队长的徽章</v>
      </c>
      <c r="I129" s="283"/>
      <c r="J129" s="283"/>
      <c r="K129" s="283"/>
      <c r="L129" s="282" t="s">
        <v>235</v>
      </c>
      <c r="M129" s="108"/>
    </row>
    <row r="130" spans="1:13" x14ac:dyDescent="0.2">
      <c r="A130" s="108"/>
      <c r="B130" s="282" t="str">
        <f ca="1">语言!$A$854</f>
        <v>祭司之帽</v>
      </c>
      <c r="C130" s="283">
        <v>54</v>
      </c>
      <c r="D130" s="283">
        <v>96</v>
      </c>
      <c r="E130" s="283" t="str">
        <f ca="1">语言!$A$2301&amp;" +56"</f>
        <v>属性攻击力 +56</v>
      </c>
      <c r="F130" s="282"/>
      <c r="G130" s="108"/>
      <c r="H130" s="282" t="str">
        <f ca="1">语言!$A$928</f>
        <v>友情的徽章</v>
      </c>
      <c r="I130" s="283"/>
      <c r="J130" s="283"/>
      <c r="K130" s="283"/>
      <c r="L130" s="282" t="s">
        <v>236</v>
      </c>
      <c r="M130" s="108"/>
    </row>
    <row r="131" spans="1:13" x14ac:dyDescent="0.2">
      <c r="A131" s="108"/>
      <c r="B131" s="282" t="str">
        <f ca="1">语言!$A$855</f>
        <v>黄金发饰</v>
      </c>
      <c r="C131" s="283">
        <v>52</v>
      </c>
      <c r="D131" s="283">
        <v>88</v>
      </c>
      <c r="E131" s="283" t="s">
        <v>237</v>
      </c>
      <c r="F131" s="282"/>
      <c r="G131" s="108"/>
      <c r="H131" s="282" t="str">
        <f ca="1">语言!$A$929</f>
        <v>龙之领巾</v>
      </c>
      <c r="I131" s="283"/>
      <c r="J131" s="283"/>
      <c r="K131" s="283"/>
      <c r="L131" s="282" t="s">
        <v>238</v>
      </c>
      <c r="M131" s="108"/>
    </row>
    <row r="132" spans="1:13" x14ac:dyDescent="0.2">
      <c r="A132" s="108"/>
      <c r="B132" s="282" t="str">
        <f ca="1">语言!$A$856</f>
        <v>银制头盔</v>
      </c>
      <c r="C132" s="283">
        <v>55</v>
      </c>
      <c r="D132" s="283"/>
      <c r="E132" s="283"/>
      <c r="F132" s="282"/>
      <c r="G132" s="108"/>
      <c r="H132" s="282" t="str">
        <f ca="1">语言!$A$930</f>
        <v>兽之领巾</v>
      </c>
      <c r="I132" s="283"/>
      <c r="J132" s="283"/>
      <c r="K132" s="283"/>
      <c r="L132" s="282" t="s">
        <v>239</v>
      </c>
      <c r="M132" s="108"/>
    </row>
    <row r="133" spans="1:13" x14ac:dyDescent="0.2">
      <c r="A133" s="108"/>
      <c r="B133" s="282" t="str">
        <f ca="1">语言!$A$857</f>
        <v>雪隐兜帽</v>
      </c>
      <c r="C133" s="283">
        <v>38</v>
      </c>
      <c r="D133" s="283">
        <v>42</v>
      </c>
      <c r="E133" s="283" t="str">
        <f ca="1">语言!$A$2307&amp;" +47"</f>
        <v>回避 +47</v>
      </c>
      <c r="F133" s="282"/>
      <c r="G133" s="108"/>
      <c r="H133" s="282" t="str">
        <f ca="1">语言!$A$931</f>
        <v>王家之证</v>
      </c>
      <c r="I133" s="283"/>
      <c r="J133" s="283"/>
      <c r="K133" s="283" t="str">
        <f ca="1">语言!$A$2298&amp;" +600"</f>
        <v>最大ＨＰ +600</v>
      </c>
      <c r="L133" s="282"/>
      <c r="M133" s="108"/>
    </row>
    <row r="134" spans="1:13" x14ac:dyDescent="0.2">
      <c r="A134" s="108"/>
      <c r="B134" s="282" t="str">
        <f ca="1">语言!$A$858</f>
        <v>神圣头盔</v>
      </c>
      <c r="C134" s="283">
        <v>36</v>
      </c>
      <c r="D134" s="283">
        <v>48</v>
      </c>
      <c r="E134" s="283" t="str">
        <f ca="1">语言!$A$2299&amp;" +21"</f>
        <v>最大ＳＰ +21</v>
      </c>
      <c r="F134" s="282"/>
      <c r="G134" s="108"/>
      <c r="H134" s="282" t="str">
        <f ca="1">语言!$A$932</f>
        <v>守墓人之证</v>
      </c>
      <c r="I134" s="283"/>
      <c r="J134" s="283"/>
      <c r="K134" s="283" t="str">
        <f ca="1">语言!$A$2299&amp;" +50"</f>
        <v>最大ＳＰ +50</v>
      </c>
      <c r="L134" s="282"/>
      <c r="M134" s="108"/>
    </row>
    <row r="135" spans="1:13" x14ac:dyDescent="0.2">
      <c r="A135" s="277"/>
      <c r="B135" s="282" t="str">
        <f ca="1">语言!$A$859</f>
        <v>脉轮头带</v>
      </c>
      <c r="C135" s="283">
        <v>40</v>
      </c>
      <c r="D135" s="283">
        <v>52</v>
      </c>
      <c r="E135" s="283" t="str">
        <f ca="1">语言!$A$2301&amp;" +38"</f>
        <v>属性攻击力 +38</v>
      </c>
      <c r="F135" s="282"/>
      <c r="G135" s="277"/>
      <c r="H135" s="282" t="str">
        <f ca="1">语言!$A$933</f>
        <v>物理腰带</v>
      </c>
      <c r="I135" s="283" t="s">
        <v>240</v>
      </c>
      <c r="J135" s="283"/>
      <c r="K135" s="283"/>
      <c r="L135" s="282"/>
      <c r="M135" s="277"/>
    </row>
    <row r="136" spans="1:13" x14ac:dyDescent="0.2">
      <c r="A136" s="108"/>
      <c r="B136" s="282" t="str">
        <f ca="1">语言!$A$860</f>
        <v>大头盔</v>
      </c>
      <c r="C136" s="283">
        <v>35</v>
      </c>
      <c r="D136" s="283"/>
      <c r="E136" s="283"/>
      <c r="F136" s="282"/>
      <c r="G136" s="108"/>
      <c r="H136" s="282" t="str">
        <f ca="1">语言!$A$934</f>
        <v>精神腰带</v>
      </c>
      <c r="I136" s="283"/>
      <c r="J136" s="283" t="s">
        <v>240</v>
      </c>
      <c r="K136" s="283"/>
      <c r="L136" s="282"/>
      <c r="M136" s="108"/>
    </row>
    <row r="137" spans="1:13" x14ac:dyDescent="0.2">
      <c r="A137" s="108"/>
      <c r="B137" s="282" t="str">
        <f ca="1">语言!$A$861</f>
        <v>飞行头盔</v>
      </c>
      <c r="C137" s="283">
        <v>26</v>
      </c>
      <c r="D137" s="283">
        <v>30</v>
      </c>
      <c r="E137" s="283" t="str">
        <f ca="1">语言!$A$2306&amp;" +21"</f>
        <v>暴击 +21</v>
      </c>
      <c r="F137" s="282"/>
      <c r="G137" s="108"/>
      <c r="H137" s="282" t="str">
        <f ca="1">语言!$A$935</f>
        <v>加护的饰章</v>
      </c>
      <c r="I137" s="283" t="s">
        <v>241</v>
      </c>
      <c r="J137" s="283" t="s">
        <v>241</v>
      </c>
      <c r="K137" s="283"/>
      <c r="L137" s="282"/>
      <c r="M137" s="108"/>
    </row>
    <row r="138" spans="1:13" x14ac:dyDescent="0.2">
      <c r="A138" s="108"/>
      <c r="B138" s="282" t="str">
        <f ca="1">语言!$A$862</f>
        <v>黑帽</v>
      </c>
      <c r="C138" s="283">
        <v>15</v>
      </c>
      <c r="D138" s="283">
        <v>20</v>
      </c>
      <c r="E138" s="283" t="str">
        <f ca="1">语言!$A$2307&amp;" +31"</f>
        <v>回避 +31</v>
      </c>
      <c r="F138" s="282"/>
      <c r="G138" s="108"/>
      <c r="H138" s="282" t="str">
        <f ca="1">语言!$A$936</f>
        <v>守备的饰章</v>
      </c>
      <c r="I138" s="283" t="s">
        <v>242</v>
      </c>
      <c r="J138" s="283" t="s">
        <v>242</v>
      </c>
      <c r="K138" s="283"/>
      <c r="L138" s="282"/>
      <c r="M138" s="108"/>
    </row>
    <row r="139" spans="1:13" x14ac:dyDescent="0.2">
      <c r="A139" s="108"/>
      <c r="B139" s="282" t="str">
        <f ca="1">语言!$A$863</f>
        <v>帽盔</v>
      </c>
      <c r="C139" s="283">
        <v>25</v>
      </c>
      <c r="D139" s="283">
        <v>28</v>
      </c>
      <c r="E139" s="283"/>
      <c r="F139" s="282"/>
      <c r="G139" s="108"/>
      <c r="H139" s="282" t="str">
        <f ca="1">语言!$A$937</f>
        <v>力量腰带</v>
      </c>
      <c r="I139" s="283" t="s">
        <v>243</v>
      </c>
      <c r="J139" s="283"/>
      <c r="K139" s="283"/>
      <c r="L139" s="282"/>
      <c r="M139" s="108"/>
    </row>
    <row r="140" spans="1:13" x14ac:dyDescent="0.2">
      <c r="A140" s="108"/>
      <c r="B140" s="282" t="str">
        <f ca="1">语言!$A$864</f>
        <v>饰环</v>
      </c>
      <c r="C140" s="283">
        <v>15</v>
      </c>
      <c r="D140" s="283">
        <v>25</v>
      </c>
      <c r="E140" s="283" t="str">
        <f ca="1">语言!$A$2299&amp;" +15"</f>
        <v>最大ＳＰ +15</v>
      </c>
      <c r="F140" s="282"/>
      <c r="G140" s="108"/>
      <c r="H140" s="282" t="str">
        <f ca="1">语言!$A$938</f>
        <v>元素增幅器</v>
      </c>
      <c r="I140" s="283"/>
      <c r="J140" s="283" t="s">
        <v>244</v>
      </c>
      <c r="K140" s="283"/>
      <c r="L140" s="282"/>
      <c r="M140" s="108"/>
    </row>
    <row r="141" spans="1:13" x14ac:dyDescent="0.2">
      <c r="A141" s="108"/>
      <c r="B141" s="282" t="str">
        <f ca="1">语言!$A$865</f>
        <v>铁制头盔</v>
      </c>
      <c r="C141" s="283">
        <v>29</v>
      </c>
      <c r="D141" s="283"/>
      <c r="E141" s="283"/>
      <c r="F141" s="282"/>
      <c r="G141" s="108"/>
      <c r="H141" s="282" t="str">
        <f ca="1">语言!$A$939</f>
        <v>守护者腰带</v>
      </c>
      <c r="I141" s="283" t="s">
        <v>245</v>
      </c>
      <c r="J141" s="283"/>
      <c r="K141" s="283"/>
      <c r="L141" s="282"/>
      <c r="M141" s="108"/>
    </row>
    <row r="142" spans="1:13" x14ac:dyDescent="0.2">
      <c r="A142" s="108"/>
      <c r="B142" s="282" t="str">
        <f ca="1">语言!$A$866</f>
        <v>银发饰</v>
      </c>
      <c r="C142" s="283">
        <v>10</v>
      </c>
      <c r="D142" s="283">
        <v>18</v>
      </c>
      <c r="E142" s="283" t="str">
        <f ca="1">语言!$A$2299&amp;" +10"</f>
        <v>最大ＳＰ +10</v>
      </c>
      <c r="F142" s="282"/>
      <c r="G142" s="108"/>
      <c r="H142" s="282" t="str">
        <f ca="1">语言!$A$940</f>
        <v>元素守护者</v>
      </c>
      <c r="I142" s="283"/>
      <c r="J142" s="283" t="s">
        <v>245</v>
      </c>
      <c r="K142" s="283"/>
      <c r="L142" s="282"/>
      <c r="M142" s="108"/>
    </row>
    <row r="143" spans="1:13" x14ac:dyDescent="0.2">
      <c r="A143" s="108"/>
      <c r="B143" s="282" t="str">
        <f ca="1">语言!$A$867</f>
        <v>青铜头盔</v>
      </c>
      <c r="C143" s="283">
        <v>20</v>
      </c>
      <c r="D143" s="283"/>
      <c r="E143" s="283"/>
      <c r="F143" s="282"/>
      <c r="G143" s="108"/>
      <c r="H143" s="282" t="str">
        <f ca="1">语言!$A$941</f>
        <v>体力项链</v>
      </c>
      <c r="I143" s="283"/>
      <c r="J143" s="283"/>
      <c r="K143" s="283" t="str">
        <f ca="1">语言!$A$2298&amp;" +1000"</f>
        <v>最大ＨＰ +1000</v>
      </c>
      <c r="L143" s="282"/>
      <c r="M143" s="108"/>
    </row>
    <row r="144" spans="1:13" x14ac:dyDescent="0.2">
      <c r="A144" s="108"/>
      <c r="B144" s="282" t="str">
        <f ca="1">语言!$A$868</f>
        <v>羽毛帽</v>
      </c>
      <c r="C144" s="283">
        <v>15</v>
      </c>
      <c r="D144" s="283">
        <v>15</v>
      </c>
      <c r="E144" s="283"/>
      <c r="F144" s="282"/>
      <c r="G144" s="108"/>
      <c r="H144" s="282" t="str">
        <f ca="1">语言!$A$942</f>
        <v>精神项链</v>
      </c>
      <c r="I144" s="283"/>
      <c r="J144" s="283"/>
      <c r="K144" s="283" t="str">
        <f ca="1">语言!$A$2299&amp;" +80"</f>
        <v>最大ＳＰ +80</v>
      </c>
      <c r="L144" s="282"/>
      <c r="M144" s="108"/>
    </row>
    <row r="145" spans="1:13" x14ac:dyDescent="0.2">
      <c r="A145" s="108"/>
      <c r="B145" s="282" t="str">
        <f ca="1">语言!$A$869</f>
        <v>尖帽子</v>
      </c>
      <c r="C145" s="283">
        <v>9</v>
      </c>
      <c r="D145" s="283">
        <v>21</v>
      </c>
      <c r="E145" s="283" t="str">
        <f ca="1">语言!$A$2301&amp;" +8"</f>
        <v>属性攻击力 +8</v>
      </c>
      <c r="F145" s="282"/>
      <c r="G145" s="108"/>
      <c r="H145" s="282" t="str">
        <f ca="1">语言!$A$943</f>
        <v>守护项链</v>
      </c>
      <c r="I145" s="283" t="s">
        <v>246</v>
      </c>
      <c r="J145" s="283" t="s">
        <v>246</v>
      </c>
      <c r="K145" s="283"/>
      <c r="L145" s="282"/>
      <c r="M145" s="108"/>
    </row>
    <row r="146" spans="1:13" x14ac:dyDescent="0.2">
      <c r="A146" s="108"/>
      <c r="B146" s="282" t="str">
        <f ca="1">语言!$A$870</f>
        <v>橡胶头盔</v>
      </c>
      <c r="C146" s="283">
        <v>4</v>
      </c>
      <c r="D146" s="283"/>
      <c r="E146" s="283"/>
      <c r="F146" s="282"/>
      <c r="G146" s="108"/>
      <c r="H146" s="282" t="str">
        <f ca="1">语言!$A$944</f>
        <v>狙击项链</v>
      </c>
      <c r="I146" s="283"/>
      <c r="J146" s="283"/>
      <c r="K146" s="283" t="str">
        <f ca="1">语言!$A$2304&amp;" +80"</f>
        <v>命中 +80</v>
      </c>
      <c r="L146" s="282"/>
      <c r="M146" s="108"/>
    </row>
    <row r="147" spans="1:13" x14ac:dyDescent="0.2">
      <c r="A147" s="108"/>
      <c r="B147" s="282" t="str">
        <f ca="1">语言!$A$871</f>
        <v>皮帽子</v>
      </c>
      <c r="C147" s="283">
        <v>3</v>
      </c>
      <c r="D147" s="283">
        <v>3</v>
      </c>
      <c r="E147" s="283"/>
      <c r="F147" s="282"/>
      <c r="G147" s="108"/>
      <c r="H147" s="282" t="str">
        <f ca="1">语言!$A$945</f>
        <v>察知项链</v>
      </c>
      <c r="I147" s="283"/>
      <c r="J147" s="283"/>
      <c r="K147" s="283" t="str">
        <f ca="1">语言!$A$2307&amp;" +80"</f>
        <v>回避 +80</v>
      </c>
      <c r="L147" s="282"/>
      <c r="M147" s="108"/>
    </row>
    <row r="148" spans="1:13" x14ac:dyDescent="0.2">
      <c r="A148" s="108"/>
      <c r="B148" s="282" t="str">
        <f ca="1">语言!$A$872</f>
        <v>帽子</v>
      </c>
      <c r="C148" s="283">
        <v>2</v>
      </c>
      <c r="D148" s="283">
        <v>5</v>
      </c>
      <c r="E148" s="283" t="str">
        <f ca="1">语言!$A$2301&amp;" 3"</f>
        <v>属性攻击力 3</v>
      </c>
      <c r="F148" s="282"/>
      <c r="G148" s="108"/>
      <c r="H148" s="282" t="str">
        <f ca="1">语言!$A$946</f>
        <v>灵敏项链</v>
      </c>
      <c r="I148" s="283"/>
      <c r="J148" s="283"/>
      <c r="K148" s="283" t="str">
        <f ca="1">语言!$A$2305&amp;" +80"</f>
        <v>行动速度 +80</v>
      </c>
      <c r="L148" s="282"/>
      <c r="M148" s="108"/>
    </row>
    <row r="149" spans="1:13" x14ac:dyDescent="0.2">
      <c r="A149" s="108"/>
      <c r="B149" s="277"/>
      <c r="C149" s="277"/>
      <c r="D149" s="277"/>
      <c r="E149" s="277"/>
      <c r="F149" s="277"/>
      <c r="G149" s="108"/>
      <c r="H149" s="282" t="str">
        <f ca="1">语言!$A$947</f>
        <v>会心项链</v>
      </c>
      <c r="I149" s="283"/>
      <c r="J149" s="283"/>
      <c r="K149" s="283" t="str">
        <f ca="1">语言!$A$2306&amp;" +80"</f>
        <v>暴击 +80</v>
      </c>
      <c r="L149" s="282"/>
      <c r="M149" s="108"/>
    </row>
    <row r="150" spans="1:13" x14ac:dyDescent="0.2">
      <c r="A150" s="108"/>
      <c r="B150" s="112" t="str">
        <f ca="1">语言!$A$873</f>
        <v>防具 身体</v>
      </c>
      <c r="C150" s="277"/>
      <c r="D150" s="277"/>
      <c r="E150" s="277"/>
      <c r="F150" s="277"/>
      <c r="G150" s="108"/>
      <c r="H150" s="282" t="str">
        <f ca="1">语言!$A$948</f>
        <v>体力手环</v>
      </c>
      <c r="I150" s="283"/>
      <c r="J150" s="283"/>
      <c r="K150" s="283" t="str">
        <f ca="1">语言!$A$2298&amp;" +500"</f>
        <v>最大ＨＰ +500</v>
      </c>
      <c r="L150" s="282"/>
      <c r="M150" s="108"/>
    </row>
    <row r="151" spans="1:13" x14ac:dyDescent="0.2">
      <c r="A151" s="108"/>
      <c r="B151" s="282" t="str">
        <f ca="1">语言!$A$874</f>
        <v>水晶盔甲</v>
      </c>
      <c r="C151" s="283">
        <v>300</v>
      </c>
      <c r="D151" s="283"/>
      <c r="E151" s="283"/>
      <c r="F151" s="282"/>
      <c r="G151" s="108"/>
      <c r="H151" s="282" t="str">
        <f ca="1">语言!$A$949</f>
        <v>精神手环</v>
      </c>
      <c r="I151" s="283"/>
      <c r="J151" s="283"/>
      <c r="K151" s="283" t="str">
        <f ca="1">语言!$A$2299&amp;" +50"</f>
        <v>最大ＳＰ +50</v>
      </c>
      <c r="L151" s="282"/>
      <c r="M151" s="108"/>
    </row>
    <row r="152" spans="1:13" x14ac:dyDescent="0.2">
      <c r="A152" s="108"/>
      <c r="B152" s="282" t="str">
        <f ca="1">语言!$A$875</f>
        <v>水晶背心</v>
      </c>
      <c r="C152" s="283">
        <v>205</v>
      </c>
      <c r="D152" s="283">
        <v>205</v>
      </c>
      <c r="E152" s="283"/>
      <c r="F152" s="282"/>
      <c r="G152" s="108"/>
      <c r="H152" s="282" t="str">
        <f ca="1">语言!$A$950</f>
        <v>守护手环</v>
      </c>
      <c r="I152" s="283" t="s">
        <v>247</v>
      </c>
      <c r="J152" s="283" t="s">
        <v>247</v>
      </c>
      <c r="K152" s="283"/>
      <c r="L152" s="282"/>
      <c r="M152" s="108"/>
    </row>
    <row r="153" spans="1:13" x14ac:dyDescent="0.2">
      <c r="A153" s="108"/>
      <c r="B153" s="282" t="str">
        <f ca="1">语言!$A$876</f>
        <v>大圣火长袍</v>
      </c>
      <c r="C153" s="283">
        <v>126</v>
      </c>
      <c r="D153" s="283">
        <v>317</v>
      </c>
      <c r="E153" s="283" t="str">
        <f ca="1">语言!$A$2299&amp;" +56"</f>
        <v>最大ＳＰ +56</v>
      </c>
      <c r="F153" s="282"/>
      <c r="G153" s="108"/>
      <c r="H153" s="282" t="str">
        <f ca="1">语言!$A$951</f>
        <v>狙击手环</v>
      </c>
      <c r="I153" s="283"/>
      <c r="J153" s="283"/>
      <c r="K153" s="283" t="str">
        <f ca="1">语言!$A$2304&amp;" +50"</f>
        <v>命中 +50</v>
      </c>
      <c r="L153" s="282"/>
      <c r="M153" s="108"/>
    </row>
    <row r="154" spans="1:13" x14ac:dyDescent="0.2">
      <c r="A154" s="277"/>
      <c r="B154" s="282" t="str">
        <f ca="1">语言!$A$877</f>
        <v>龙之盔甲</v>
      </c>
      <c r="C154" s="283">
        <v>235</v>
      </c>
      <c r="D154" s="283"/>
      <c r="E154" s="283" t="str">
        <f ca="1">语言!$A$2306&amp;" +108"</f>
        <v>暴击 +108</v>
      </c>
      <c r="F154" s="282"/>
      <c r="G154" s="277"/>
      <c r="H154" s="282" t="str">
        <f ca="1">语言!$A$952</f>
        <v>察知手环</v>
      </c>
      <c r="I154" s="283"/>
      <c r="J154" s="283"/>
      <c r="K154" s="283" t="str">
        <f ca="1">语言!$A$2307&amp;" +50"</f>
        <v>回避 +50</v>
      </c>
      <c r="L154" s="282"/>
      <c r="M154" s="277"/>
    </row>
    <row r="155" spans="1:13" x14ac:dyDescent="0.2">
      <c r="A155" s="108"/>
      <c r="B155" s="282" t="str">
        <f ca="1">语言!$A$878</f>
        <v>龙之背心</v>
      </c>
      <c r="C155" s="283">
        <v>183</v>
      </c>
      <c r="D155" s="283">
        <v>185</v>
      </c>
      <c r="E155" s="283"/>
      <c r="F155" s="282"/>
      <c r="G155" s="108"/>
      <c r="H155" s="282" t="str">
        <f ca="1">语言!$A$953</f>
        <v>灵敏手环</v>
      </c>
      <c r="I155" s="283"/>
      <c r="J155" s="283"/>
      <c r="K155" s="283" t="str">
        <f ca="1">语言!$A$2305&amp;" +50"</f>
        <v>行动速度 +50</v>
      </c>
      <c r="L155" s="282"/>
      <c r="M155" s="108"/>
    </row>
    <row r="156" spans="1:13" x14ac:dyDescent="0.2">
      <c r="A156" s="108"/>
      <c r="B156" s="282" t="str">
        <f ca="1">语言!$A$879</f>
        <v>精致舞娘衣服</v>
      </c>
      <c r="C156" s="283">
        <v>122</v>
      </c>
      <c r="D156" s="283">
        <v>134</v>
      </c>
      <c r="E156" s="283" t="str">
        <f ca="1">语言!$A$2307&amp;" +166"</f>
        <v>回避 +166</v>
      </c>
      <c r="F156" s="282"/>
      <c r="G156" s="108"/>
      <c r="H156" s="282" t="str">
        <f ca="1">语言!$A$954</f>
        <v>会心手环</v>
      </c>
      <c r="I156" s="283"/>
      <c r="J156" s="283"/>
      <c r="K156" s="283" t="str">
        <f ca="1">语言!$A$2306&amp;" +50"</f>
        <v>暴击 +50</v>
      </c>
      <c r="L156" s="282"/>
      <c r="M156" s="108"/>
    </row>
    <row r="157" spans="1:13" x14ac:dyDescent="0.2">
      <c r="A157" s="108"/>
      <c r="B157" s="282" t="str">
        <f ca="1">语言!$A$880</f>
        <v>魔术师长袍</v>
      </c>
      <c r="C157" s="283">
        <v>107</v>
      </c>
      <c r="D157" s="283">
        <v>282</v>
      </c>
      <c r="E157" s="283" t="str">
        <f ca="1">语言!$A$2301&amp;" +50"</f>
        <v>属性攻击力 +50</v>
      </c>
      <c r="F157" s="282"/>
      <c r="G157" s="108"/>
      <c r="H157" s="282" t="str">
        <f ca="1">语言!$A$955</f>
        <v>体力戒指</v>
      </c>
      <c r="I157" s="283"/>
      <c r="J157" s="283"/>
      <c r="K157" s="283" t="str">
        <f ca="1">语言!$A$2298&amp;" +200"</f>
        <v>最大ＨＰ +200</v>
      </c>
      <c r="L157" s="282"/>
      <c r="M157" s="108"/>
    </row>
    <row r="158" spans="1:13" x14ac:dyDescent="0.2">
      <c r="A158" s="108"/>
      <c r="B158" s="282" t="str">
        <f ca="1">语言!$A$881</f>
        <v>告解盔甲</v>
      </c>
      <c r="C158" s="283">
        <v>212</v>
      </c>
      <c r="D158" s="283"/>
      <c r="E158" s="283"/>
      <c r="F158" s="282" t="s">
        <v>248</v>
      </c>
      <c r="G158" s="108"/>
      <c r="H158" s="282" t="str">
        <f ca="1">语言!$A$956</f>
        <v>精神戒指</v>
      </c>
      <c r="I158" s="283"/>
      <c r="J158" s="283"/>
      <c r="K158" s="283" t="str">
        <f ca="1">语言!$A$2299&amp;" +30"</f>
        <v>最大ＳＰ +30</v>
      </c>
      <c r="L158" s="282"/>
      <c r="M158" s="108"/>
    </row>
    <row r="159" spans="1:13" x14ac:dyDescent="0.2">
      <c r="A159" s="108"/>
      <c r="B159" s="282" t="str">
        <f ca="1">语言!$A$882</f>
        <v>名家铠甲</v>
      </c>
      <c r="C159" s="283">
        <v>158</v>
      </c>
      <c r="D159" s="283">
        <v>78</v>
      </c>
      <c r="E159" s="283"/>
      <c r="F159" s="282" t="s">
        <v>249</v>
      </c>
      <c r="G159" s="108"/>
      <c r="H159" s="282" t="str">
        <f ca="1">语言!$A$957</f>
        <v>守护戒指</v>
      </c>
      <c r="I159" s="283" t="s">
        <v>250</v>
      </c>
      <c r="J159" s="283" t="s">
        <v>250</v>
      </c>
      <c r="K159" s="283"/>
      <c r="L159" s="282"/>
      <c r="M159" s="108"/>
    </row>
    <row r="160" spans="1:13" x14ac:dyDescent="0.2">
      <c r="A160" s="108"/>
      <c r="B160" s="282" t="str">
        <f ca="1">语言!$A$883</f>
        <v>公主大衣</v>
      </c>
      <c r="C160" s="283">
        <v>136</v>
      </c>
      <c r="D160" s="283">
        <v>155</v>
      </c>
      <c r="E160" s="283"/>
      <c r="F160" s="282" t="s">
        <v>251</v>
      </c>
      <c r="G160" s="108"/>
      <c r="H160" s="282" t="str">
        <f ca="1">语言!$A$958</f>
        <v>狙击戒指</v>
      </c>
      <c r="I160" s="283"/>
      <c r="J160" s="283"/>
      <c r="K160" s="283" t="str">
        <f ca="1">语言!$A$2304&amp;" +20"</f>
        <v>命中 +20</v>
      </c>
      <c r="L160" s="282"/>
      <c r="M160" s="108"/>
    </row>
    <row r="161" spans="1:13" x14ac:dyDescent="0.2">
      <c r="A161" s="108"/>
      <c r="B161" s="282" t="str">
        <f ca="1">语言!$A$884</f>
        <v>圣火骑士的礼服</v>
      </c>
      <c r="C161" s="283">
        <v>108</v>
      </c>
      <c r="D161" s="283">
        <v>186</v>
      </c>
      <c r="E161" s="283" t="str">
        <f ca="1">语言!$A$2299&amp;" +42"</f>
        <v>最大ＳＰ +42</v>
      </c>
      <c r="F161" s="282"/>
      <c r="G161" s="108"/>
      <c r="H161" s="282" t="str">
        <f ca="1">语言!$A$959</f>
        <v>察知戒指</v>
      </c>
      <c r="I161" s="283"/>
      <c r="J161" s="283"/>
      <c r="K161" s="283" t="str">
        <f ca="1">语言!$A$2307&amp;" +20"</f>
        <v>回避 +20</v>
      </c>
      <c r="L161" s="282"/>
      <c r="M161" s="108"/>
    </row>
    <row r="162" spans="1:13" x14ac:dyDescent="0.2">
      <c r="A162" s="108"/>
      <c r="B162" s="282" t="str">
        <f ca="1">语言!$A$885</f>
        <v>龙姬之衣</v>
      </c>
      <c r="C162" s="283">
        <v>121</v>
      </c>
      <c r="D162" s="283">
        <v>136</v>
      </c>
      <c r="E162" s="283" t="str">
        <f ca="1">语言!$A$2306&amp;" +129"</f>
        <v>暴击 +129</v>
      </c>
      <c r="F162" s="282"/>
      <c r="G162" s="108"/>
      <c r="H162" s="282" t="str">
        <f ca="1">语言!$A$960</f>
        <v>灵敏戒指</v>
      </c>
      <c r="I162" s="283"/>
      <c r="J162" s="283"/>
      <c r="K162" s="283" t="str">
        <f ca="1">语言!$A$2305&amp;" +20"</f>
        <v>行动速度 +20</v>
      </c>
      <c r="L162" s="282"/>
      <c r="M162" s="108"/>
    </row>
    <row r="163" spans="1:13" x14ac:dyDescent="0.2">
      <c r="A163" s="108"/>
      <c r="B163" s="282" t="str">
        <f ca="1">语言!$A$886</f>
        <v>白金盔甲</v>
      </c>
      <c r="C163" s="283">
        <v>202</v>
      </c>
      <c r="D163" s="283"/>
      <c r="E163" s="283"/>
      <c r="F163" s="282"/>
      <c r="G163" s="108"/>
      <c r="H163" s="282" t="str">
        <f ca="1">语言!$A$961</f>
        <v>会心戒指</v>
      </c>
      <c r="I163" s="283"/>
      <c r="J163" s="283"/>
      <c r="K163" s="283" t="str">
        <f ca="1">语言!$A$2306&amp;" +20"</f>
        <v>暴击 +20</v>
      </c>
      <c r="L163" s="282"/>
      <c r="M163" s="108"/>
    </row>
    <row r="164" spans="1:13" x14ac:dyDescent="0.2">
      <c r="A164" s="108"/>
      <c r="B164" s="282" t="str">
        <f ca="1">语言!$A$887</f>
        <v>执念大衣</v>
      </c>
      <c r="C164" s="283">
        <v>116</v>
      </c>
      <c r="D164" s="283">
        <v>128</v>
      </c>
      <c r="E164" s="283" t="str">
        <f ca="1">语言!$A$2298&amp;" +617"</f>
        <v>最大ＨＰ +617</v>
      </c>
      <c r="F164" s="282"/>
      <c r="G164" s="108"/>
      <c r="H164" s="282" t="str">
        <f ca="1">语言!$A$962</f>
        <v>体力耳环</v>
      </c>
      <c r="I164" s="283"/>
      <c r="J164" s="283"/>
      <c r="K164" s="283" t="str">
        <f ca="1">语言!$A$2298&amp;" +50"</f>
        <v>最大ＨＰ +50</v>
      </c>
      <c r="L164" s="282"/>
      <c r="M164" s="108"/>
    </row>
    <row r="165" spans="1:13" x14ac:dyDescent="0.2">
      <c r="A165" s="108"/>
      <c r="B165" s="282" t="str">
        <f ca="1">语言!$A$888</f>
        <v>帝国盔甲</v>
      </c>
      <c r="C165" s="283">
        <v>173</v>
      </c>
      <c r="D165" s="283"/>
      <c r="E165" s="283"/>
      <c r="F165" s="282"/>
      <c r="G165" s="108"/>
      <c r="H165" s="282" t="str">
        <f ca="1">语言!$A$963</f>
        <v>精神耳环</v>
      </c>
      <c r="I165" s="283"/>
      <c r="J165" s="283"/>
      <c r="K165" s="283" t="str">
        <f ca="1">语言!$A$2299&amp;" +10"</f>
        <v>最大ＳＰ +10</v>
      </c>
      <c r="L165" s="282"/>
      <c r="M165" s="108"/>
    </row>
    <row r="166" spans="1:13" x14ac:dyDescent="0.2">
      <c r="A166" s="108"/>
      <c r="B166" s="282" t="str">
        <f ca="1">语言!$A$889</f>
        <v>白金背心</v>
      </c>
      <c r="C166" s="283">
        <v>140</v>
      </c>
      <c r="D166" s="283">
        <v>154</v>
      </c>
      <c r="E166" s="283"/>
      <c r="F166" s="282"/>
      <c r="G166" s="108"/>
      <c r="H166" s="282" t="str">
        <f ca="1">语言!$A$964</f>
        <v>守护耳环</v>
      </c>
      <c r="I166" s="283" t="s">
        <v>252</v>
      </c>
      <c r="J166" s="283" t="s">
        <v>252</v>
      </c>
      <c r="K166" s="283"/>
      <c r="L166" s="282"/>
      <c r="M166" s="108"/>
    </row>
    <row r="167" spans="1:13" x14ac:dyDescent="0.2">
      <c r="A167" s="108"/>
      <c r="B167" s="282" t="str">
        <f ca="1">语言!$A$890</f>
        <v>帝国背心</v>
      </c>
      <c r="C167" s="283">
        <v>120</v>
      </c>
      <c r="D167" s="283">
        <v>132</v>
      </c>
      <c r="E167" s="283"/>
      <c r="F167" s="282"/>
      <c r="G167" s="108"/>
      <c r="H167" s="282" t="str">
        <f ca="1">语言!$A$965</f>
        <v>狙击耳环</v>
      </c>
      <c r="I167" s="283"/>
      <c r="J167" s="283"/>
      <c r="K167" s="283" t="str">
        <f ca="1">语言!$A$2304&amp;" +10"</f>
        <v>命中 +10</v>
      </c>
      <c r="L167" s="282"/>
      <c r="M167" s="108"/>
    </row>
    <row r="168" spans="1:13" x14ac:dyDescent="0.2">
      <c r="A168" s="108"/>
      <c r="B168" s="282" t="str">
        <f ca="1">语言!$A$891</f>
        <v>元素重甲</v>
      </c>
      <c r="C168" s="283">
        <v>90</v>
      </c>
      <c r="D168" s="283">
        <v>116</v>
      </c>
      <c r="E168" s="283" t="str">
        <f ca="1">语言!$A$2301&amp;" +42"</f>
        <v>属性攻击力 +42</v>
      </c>
      <c r="F168" s="282"/>
      <c r="G168" s="108"/>
      <c r="H168" s="282" t="str">
        <f ca="1">语言!$A$966</f>
        <v>察知耳环</v>
      </c>
      <c r="I168" s="283"/>
      <c r="J168" s="283"/>
      <c r="K168" s="283" t="str">
        <f ca="1">语言!$A$2307&amp;" +10"</f>
        <v>回避 +10</v>
      </c>
      <c r="L168" s="282"/>
      <c r="M168" s="108"/>
    </row>
    <row r="169" spans="1:13" x14ac:dyDescent="0.2">
      <c r="A169" s="108"/>
      <c r="B169" s="282" t="str">
        <f ca="1">语言!$A$892</f>
        <v>寂静斗篷</v>
      </c>
      <c r="C169" s="283">
        <v>102</v>
      </c>
      <c r="D169" s="283">
        <v>114</v>
      </c>
      <c r="E169" s="283" t="str">
        <f ca="1">语言!$A$2307&amp;" +147"</f>
        <v>回避 +147</v>
      </c>
      <c r="F169" s="282"/>
      <c r="G169" s="108"/>
      <c r="H169" s="282" t="str">
        <f ca="1">语言!$A$967</f>
        <v>灵敏耳环</v>
      </c>
      <c r="I169" s="283"/>
      <c r="J169" s="283"/>
      <c r="K169" s="283" t="str">
        <f ca="1">语言!$A$2305&amp;" +10"</f>
        <v>行动速度 +10</v>
      </c>
      <c r="L169" s="282"/>
      <c r="M169" s="108"/>
    </row>
    <row r="170" spans="1:13" x14ac:dyDescent="0.2">
      <c r="A170" s="108"/>
      <c r="B170" s="282" t="str">
        <f ca="1">语言!$A$893</f>
        <v>古老长袍</v>
      </c>
      <c r="C170" s="283">
        <v>99</v>
      </c>
      <c r="D170" s="283">
        <v>198</v>
      </c>
      <c r="E170" s="283" t="str">
        <f ca="1">语言!$A$2299&amp;" +35"</f>
        <v>最大ＳＰ +35</v>
      </c>
      <c r="F170" s="282"/>
      <c r="G170" s="108"/>
      <c r="H170" s="282" t="str">
        <f ca="1">语言!$A$968</f>
        <v>会心耳环</v>
      </c>
      <c r="I170" s="283"/>
      <c r="J170" s="283"/>
      <c r="K170" s="283" t="str">
        <f ca="1">语言!$A$2306&amp;" +10"</f>
        <v>暴击 +10</v>
      </c>
      <c r="L170" s="282"/>
      <c r="M170" s="108"/>
    </row>
    <row r="171" spans="1:13" x14ac:dyDescent="0.2">
      <c r="A171" s="108"/>
      <c r="B171" s="282" t="str">
        <f ca="1">语言!$A$894</f>
        <v>彩虹长袍</v>
      </c>
      <c r="C171" s="283">
        <v>82</v>
      </c>
      <c r="D171" s="283">
        <v>167</v>
      </c>
      <c r="E171" s="283"/>
      <c r="F171" s="282"/>
      <c r="G171" s="108"/>
      <c r="H171" s="282" t="str">
        <f ca="1">语言!$A$969</f>
        <v>纺织者的护身符</v>
      </c>
      <c r="I171" s="283"/>
      <c r="J171" s="283"/>
      <c r="K171" s="283"/>
      <c r="L171" s="282" t="s">
        <v>253</v>
      </c>
      <c r="M171" s="108"/>
    </row>
    <row r="172" spans="1:13" x14ac:dyDescent="0.2">
      <c r="A172" s="108"/>
      <c r="B172" s="282" t="str">
        <f ca="1">语言!$A$895</f>
        <v>元素轻甲</v>
      </c>
      <c r="C172" s="283">
        <v>88</v>
      </c>
      <c r="D172" s="283">
        <v>108</v>
      </c>
      <c r="E172" s="283" t="str">
        <f ca="1">语言!$A$2305&amp;" +72"</f>
        <v>行动速度 +72</v>
      </c>
      <c r="F172" s="282"/>
      <c r="G172" s="108"/>
      <c r="H172" s="282" t="str">
        <f ca="1">语言!$A$970</f>
        <v>爱妻家的护身符</v>
      </c>
      <c r="I172" s="283"/>
      <c r="J172" s="283"/>
      <c r="K172" s="283"/>
      <c r="L172" s="282" t="s">
        <v>254</v>
      </c>
      <c r="M172" s="108"/>
    </row>
    <row r="173" spans="1:13" x14ac:dyDescent="0.2">
      <c r="A173" s="108"/>
      <c r="B173" s="282" t="str">
        <f ca="1">语言!$A$896</f>
        <v>毛皮大衣</v>
      </c>
      <c r="C173" s="283">
        <v>112</v>
      </c>
      <c r="D173" s="283">
        <v>112</v>
      </c>
      <c r="E173" s="283"/>
      <c r="F173" s="282"/>
      <c r="G173" s="108"/>
      <c r="H173" s="282" t="str">
        <f ca="1">语言!$A$971</f>
        <v>美食家的护身符</v>
      </c>
      <c r="I173" s="283"/>
      <c r="J173" s="283"/>
      <c r="K173" s="283"/>
      <c r="L173" s="282" t="s">
        <v>255</v>
      </c>
      <c r="M173" s="108"/>
    </row>
    <row r="174" spans="1:13" x14ac:dyDescent="0.2">
      <c r="A174" s="108"/>
      <c r="B174" s="282" t="str">
        <f ca="1">语言!$A$897</f>
        <v>异国之服</v>
      </c>
      <c r="C174" s="283">
        <v>102</v>
      </c>
      <c r="D174" s="283">
        <v>121</v>
      </c>
      <c r="E174" s="283"/>
      <c r="F174" s="282" t="s">
        <v>231</v>
      </c>
      <c r="G174" s="108"/>
      <c r="H174" s="282" t="str">
        <f ca="1">语言!$A$972</f>
        <v>火焰避邪符</v>
      </c>
      <c r="I174" s="283"/>
      <c r="J174" s="283"/>
      <c r="K174" s="283"/>
      <c r="L174" s="282" t="s">
        <v>256</v>
      </c>
      <c r="M174" s="108"/>
    </row>
    <row r="175" spans="1:13" x14ac:dyDescent="0.2">
      <c r="A175" s="108"/>
      <c r="B175" s="282" t="str">
        <f ca="1">语言!$A$898</f>
        <v>显赫盔甲</v>
      </c>
      <c r="C175" s="283">
        <v>122</v>
      </c>
      <c r="D175" s="283"/>
      <c r="E175" s="283"/>
      <c r="F175" s="282"/>
      <c r="G175" s="108"/>
      <c r="H175" s="282" t="str">
        <f ca="1">语言!$A$973</f>
        <v>冰冻避邪符</v>
      </c>
      <c r="I175" s="283"/>
      <c r="J175" s="283"/>
      <c r="K175" s="283"/>
      <c r="L175" s="282" t="s">
        <v>257</v>
      </c>
      <c r="M175" s="108"/>
    </row>
    <row r="176" spans="1:13" x14ac:dyDescent="0.2">
      <c r="A176" s="108"/>
      <c r="B176" s="282" t="str">
        <f ca="1">语言!$A$899</f>
        <v>黑曜会之服</v>
      </c>
      <c r="C176" s="283">
        <v>98</v>
      </c>
      <c r="D176" s="283">
        <v>112</v>
      </c>
      <c r="E176" s="283" t="str">
        <f ca="1">语言!$A$2306&amp;" +96"</f>
        <v>暴击 +96</v>
      </c>
      <c r="F176" s="282"/>
      <c r="G176" s="108"/>
      <c r="H176" s="282" t="str">
        <f ca="1">语言!$A$974</f>
        <v>龙卷风避邪符</v>
      </c>
      <c r="I176" s="283"/>
      <c r="J176" s="283"/>
      <c r="K176" s="283"/>
      <c r="L176" s="282" t="s">
        <v>258</v>
      </c>
      <c r="M176" s="108"/>
    </row>
    <row r="177" spans="1:13" x14ac:dyDescent="0.2">
      <c r="A177" s="108"/>
      <c r="B177" s="282" t="str">
        <f ca="1">语言!$A$900</f>
        <v>显赫背心</v>
      </c>
      <c r="C177" s="283">
        <v>90</v>
      </c>
      <c r="D177" s="283">
        <v>102</v>
      </c>
      <c r="E177" s="283"/>
      <c r="F177" s="282"/>
      <c r="G177" s="108"/>
      <c r="H177" s="282" t="str">
        <f ca="1">语言!$A$975</f>
        <v>雷电避邪符</v>
      </c>
      <c r="I177" s="283"/>
      <c r="J177" s="283"/>
      <c r="K177" s="283"/>
      <c r="L177" s="282" t="s">
        <v>259</v>
      </c>
      <c r="M177" s="108"/>
    </row>
    <row r="178" spans="1:13" x14ac:dyDescent="0.2">
      <c r="A178" s="108"/>
      <c r="B178" s="282" t="str">
        <f ca="1">语言!$A$901</f>
        <v>猎鹰之服</v>
      </c>
      <c r="C178" s="283">
        <v>78</v>
      </c>
      <c r="D178" s="283">
        <v>84</v>
      </c>
      <c r="E178" s="283" t="str">
        <f ca="1">语言!$A$2307&amp;" +82"</f>
        <v>回避 +82</v>
      </c>
      <c r="F178" s="282"/>
      <c r="G178" s="108"/>
      <c r="H178" s="282" t="str">
        <f ca="1">语言!$A$976</f>
        <v>霄暗避邪符</v>
      </c>
      <c r="I178" s="283"/>
      <c r="J178" s="283"/>
      <c r="K178" s="283"/>
      <c r="L178" s="282" t="s">
        <v>260</v>
      </c>
      <c r="M178" s="108"/>
    </row>
    <row r="179" spans="1:13" x14ac:dyDescent="0.2">
      <c r="A179" s="108"/>
      <c r="B179" s="282" t="str">
        <f ca="1">语言!$A$902</f>
        <v>元素长袍</v>
      </c>
      <c r="C179" s="283">
        <v>72</v>
      </c>
      <c r="D179" s="283">
        <v>124</v>
      </c>
      <c r="E179" s="283" t="str">
        <f ca="1">语言!$A$2301&amp;" +36"</f>
        <v>属性攻击力 +36</v>
      </c>
      <c r="F179" s="282"/>
      <c r="G179" s="108"/>
      <c r="H179" s="282" t="str">
        <f ca="1">语言!$A$977</f>
        <v>闪光避邪符</v>
      </c>
      <c r="I179" s="283"/>
      <c r="J179" s="283"/>
      <c r="K179" s="283"/>
      <c r="L179" s="282" t="s">
        <v>261</v>
      </c>
      <c r="M179" s="108"/>
    </row>
    <row r="180" spans="1:13" x14ac:dyDescent="0.2">
      <c r="A180" s="108"/>
      <c r="B180" s="282" t="str">
        <f ca="1">语言!$A$903</f>
        <v>犄角盔甲</v>
      </c>
      <c r="C180" s="283">
        <v>92</v>
      </c>
      <c r="D180" s="283"/>
      <c r="E180" s="283"/>
      <c r="F180" s="282"/>
      <c r="G180" s="108"/>
      <c r="H180" s="282" t="str">
        <f ca="1">语言!$A$978</f>
        <v>火之避邪符</v>
      </c>
      <c r="I180" s="283"/>
      <c r="J180" s="283"/>
      <c r="K180" s="283"/>
      <c r="L180" s="282" t="s">
        <v>262</v>
      </c>
      <c r="M180" s="108"/>
    </row>
    <row r="181" spans="1:13" x14ac:dyDescent="0.2">
      <c r="A181" s="108"/>
      <c r="B181" s="282" t="str">
        <f ca="1">语言!$A$904</f>
        <v>银制盔甲</v>
      </c>
      <c r="C181" s="283">
        <v>86</v>
      </c>
      <c r="D181" s="283"/>
      <c r="E181" s="283"/>
      <c r="F181" s="282"/>
      <c r="G181" s="108"/>
      <c r="H181" s="282" t="str">
        <f ca="1">语言!$A$979</f>
        <v>冰之避邪符</v>
      </c>
      <c r="I181" s="283"/>
      <c r="J181" s="283"/>
      <c r="K181" s="283"/>
      <c r="L181" s="282" t="s">
        <v>263</v>
      </c>
      <c r="M181" s="108"/>
    </row>
    <row r="182" spans="1:13" x14ac:dyDescent="0.2">
      <c r="A182" s="108"/>
      <c r="B182" s="282" t="str">
        <f ca="1">语言!$A$905</f>
        <v>犄角背心</v>
      </c>
      <c r="C182" s="283">
        <v>80</v>
      </c>
      <c r="D182" s="283">
        <v>100</v>
      </c>
      <c r="E182" s="283"/>
      <c r="F182" s="282"/>
      <c r="G182" s="108"/>
      <c r="H182" s="282" t="str">
        <f ca="1">语言!$A$980</f>
        <v>风之避邪符</v>
      </c>
      <c r="I182" s="283"/>
      <c r="J182" s="283"/>
      <c r="K182" s="283"/>
      <c r="L182" s="282" t="s">
        <v>264</v>
      </c>
      <c r="M182" s="108"/>
    </row>
    <row r="183" spans="1:13" x14ac:dyDescent="0.2">
      <c r="A183" s="108"/>
      <c r="B183" s="282" t="str">
        <f ca="1">语言!$A$906</f>
        <v>银制背心</v>
      </c>
      <c r="C183" s="283">
        <v>60</v>
      </c>
      <c r="D183" s="283">
        <v>68</v>
      </c>
      <c r="E183" s="283"/>
      <c r="F183" s="282"/>
      <c r="G183" s="108"/>
      <c r="H183" s="282" t="str">
        <f ca="1">语言!$A$981</f>
        <v>雷之避邪符</v>
      </c>
      <c r="I183" s="283"/>
      <c r="J183" s="283"/>
      <c r="K183" s="283"/>
      <c r="L183" s="282" t="s">
        <v>265</v>
      </c>
      <c r="M183" s="108"/>
    </row>
    <row r="184" spans="1:13" x14ac:dyDescent="0.2">
      <c r="A184" s="108"/>
      <c r="B184" s="282" t="str">
        <f ca="1">语言!$A$907</f>
        <v>魔咒长袍</v>
      </c>
      <c r="C184" s="283">
        <v>43</v>
      </c>
      <c r="D184" s="283">
        <v>82</v>
      </c>
      <c r="E184" s="283" t="str">
        <f ca="1">语言!$A$2299&amp;" +21"</f>
        <v>最大ＳＰ +21</v>
      </c>
      <c r="F184" s="282"/>
      <c r="G184" s="108"/>
      <c r="H184" s="282" t="str">
        <f ca="1">语言!$A$982</f>
        <v>暗之避邪符</v>
      </c>
      <c r="I184" s="283"/>
      <c r="J184" s="283"/>
      <c r="K184" s="283"/>
      <c r="L184" s="282" t="s">
        <v>266</v>
      </c>
      <c r="M184" s="108"/>
    </row>
    <row r="185" spans="1:13" x14ac:dyDescent="0.2">
      <c r="A185" s="108"/>
      <c r="B185" s="282" t="str">
        <f ca="1">语言!$A$908</f>
        <v>雪隐斗篷</v>
      </c>
      <c r="C185" s="283">
        <v>39</v>
      </c>
      <c r="D185" s="283">
        <v>43</v>
      </c>
      <c r="E185" s="283" t="str">
        <f ca="1">语言!$A$2307&amp;" +51"</f>
        <v>回避 +51</v>
      </c>
      <c r="F185" s="282"/>
      <c r="G185" s="108"/>
      <c r="H185" s="282" t="str">
        <f ca="1">语言!$A$983</f>
        <v>光之避邪符</v>
      </c>
      <c r="I185" s="283"/>
      <c r="J185" s="283"/>
      <c r="K185" s="283"/>
      <c r="L185" s="282" t="s">
        <v>267</v>
      </c>
      <c r="M185" s="108"/>
    </row>
    <row r="186" spans="1:13" x14ac:dyDescent="0.2">
      <c r="A186" s="108"/>
      <c r="B186" s="282" t="str">
        <f ca="1">语言!$A$909</f>
        <v>铁制盔甲</v>
      </c>
      <c r="C186" s="283">
        <v>50</v>
      </c>
      <c r="D186" s="283"/>
      <c r="E186" s="283"/>
      <c r="F186" s="282"/>
      <c r="G186" s="108"/>
      <c r="H186" s="282" t="str">
        <f ca="1">语言!$A$984</f>
        <v>猛毒耐性石</v>
      </c>
      <c r="I186" s="283"/>
      <c r="J186" s="283"/>
      <c r="K186" s="283"/>
      <c r="L186" s="282" t="s">
        <v>268</v>
      </c>
      <c r="M186" s="108"/>
    </row>
    <row r="187" spans="1:13" x14ac:dyDescent="0.2">
      <c r="A187" s="108"/>
      <c r="B187" s="282" t="str">
        <f ca="1">语言!$A$910</f>
        <v>大盔甲</v>
      </c>
      <c r="C187" s="283">
        <v>42</v>
      </c>
      <c r="D187" s="283"/>
      <c r="E187" s="283"/>
      <c r="F187" s="282"/>
      <c r="G187" s="108"/>
      <c r="H187" s="282" t="str">
        <f ca="1">语言!$A$985</f>
        <v>睡眠耐性石</v>
      </c>
      <c r="I187" s="283"/>
      <c r="J187" s="283"/>
      <c r="K187" s="283"/>
      <c r="L187" s="282" t="s">
        <v>269</v>
      </c>
      <c r="M187" s="108"/>
    </row>
    <row r="188" spans="1:13" x14ac:dyDescent="0.2">
      <c r="A188" s="108"/>
      <c r="B188" s="282" t="str">
        <f ca="1">语言!$A$911</f>
        <v>铁制背心</v>
      </c>
      <c r="C188" s="283">
        <v>36</v>
      </c>
      <c r="D188" s="283">
        <v>49</v>
      </c>
      <c r="E188" s="283"/>
      <c r="F188" s="282"/>
      <c r="G188" s="108"/>
      <c r="H188" s="282" t="str">
        <f ca="1">语言!$A$986</f>
        <v>沉默耐性石</v>
      </c>
      <c r="I188" s="283"/>
      <c r="J188" s="283"/>
      <c r="K188" s="283"/>
      <c r="L188" s="282" t="s">
        <v>270</v>
      </c>
      <c r="M188" s="108"/>
    </row>
    <row r="189" spans="1:13" x14ac:dyDescent="0.2">
      <c r="A189" s="108"/>
      <c r="B189" s="282" t="str">
        <f ca="1">语言!$A$912</f>
        <v>安宁之服</v>
      </c>
      <c r="C189" s="283">
        <v>30</v>
      </c>
      <c r="D189" s="283">
        <v>39</v>
      </c>
      <c r="E189" s="283" t="str">
        <f ca="1">语言!$A$2298&amp;" +98"</f>
        <v>最大ＨＰ +98</v>
      </c>
      <c r="F189" s="282"/>
      <c r="G189" s="108"/>
      <c r="H189" s="282" t="str">
        <f ca="1">语言!$A$987</f>
        <v>暗暗耐性石</v>
      </c>
      <c r="I189" s="283"/>
      <c r="J189" s="283"/>
      <c r="K189" s="283"/>
      <c r="L189" s="282" t="s">
        <v>271</v>
      </c>
      <c r="M189" s="108"/>
    </row>
    <row r="190" spans="1:13" x14ac:dyDescent="0.2">
      <c r="A190" s="108"/>
      <c r="B190" s="282" t="str">
        <f ca="1">语言!$A$913</f>
        <v>大背心</v>
      </c>
      <c r="C190" s="283">
        <v>32</v>
      </c>
      <c r="D190" s="283">
        <v>42</v>
      </c>
      <c r="E190" s="283"/>
      <c r="F190" s="282"/>
      <c r="G190" s="108"/>
      <c r="H190" s="282" t="str">
        <f ca="1">语言!$A$988</f>
        <v>恐怖耐性石</v>
      </c>
      <c r="I190" s="283"/>
      <c r="J190" s="283"/>
      <c r="K190" s="283"/>
      <c r="L190" s="282" t="s">
        <v>272</v>
      </c>
      <c r="M190" s="108"/>
    </row>
    <row r="191" spans="1:13" x14ac:dyDescent="0.2">
      <c r="A191" s="108"/>
      <c r="B191" s="282" t="str">
        <f ca="1">语言!$A$914</f>
        <v>毛皮长袍</v>
      </c>
      <c r="C191" s="283">
        <v>24</v>
      </c>
      <c r="D191" s="283">
        <v>64</v>
      </c>
      <c r="E191" s="283" t="str">
        <f ca="1">语言!$A$2301&amp;" +14"</f>
        <v>属性攻击力 +14</v>
      </c>
      <c r="F191" s="282"/>
      <c r="G191" s="108"/>
      <c r="H191" s="282" t="str">
        <f ca="1">语言!$A$989</f>
        <v>混乱耐性石</v>
      </c>
      <c r="I191" s="283"/>
      <c r="J191" s="283"/>
      <c r="K191" s="283"/>
      <c r="L191" s="282" t="s">
        <v>273</v>
      </c>
      <c r="M191" s="108"/>
    </row>
    <row r="192" spans="1:13" x14ac:dyDescent="0.2">
      <c r="A192" s="108"/>
      <c r="B192" s="282" t="str">
        <f ca="1">语言!$A$915</f>
        <v>黑装束</v>
      </c>
      <c r="C192" s="283">
        <v>20</v>
      </c>
      <c r="D192" s="283">
        <v>28</v>
      </c>
      <c r="E192" s="283" t="str">
        <f ca="1">语言!$A$2307&amp;" +42"</f>
        <v>回避 +42</v>
      </c>
      <c r="F192" s="282"/>
      <c r="G192" s="108"/>
      <c r="H192" s="282" t="str">
        <f ca="1">语言!$A$990</f>
        <v>昏迷耐性石</v>
      </c>
      <c r="I192" s="283"/>
      <c r="J192" s="283"/>
      <c r="K192" s="283"/>
      <c r="L192" s="282" t="s">
        <v>274</v>
      </c>
      <c r="M192" s="108"/>
    </row>
    <row r="193" spans="1:13" x14ac:dyDescent="0.2">
      <c r="A193" s="108"/>
      <c r="B193" s="282" t="str">
        <f ca="1">语言!$A$916</f>
        <v>疾风之服</v>
      </c>
      <c r="C193" s="283">
        <v>24</v>
      </c>
      <c r="D193" s="283">
        <v>26</v>
      </c>
      <c r="E193" s="283" t="str">
        <f ca="1">语言!$A$2305&amp;" +22"</f>
        <v>行动速度 +22</v>
      </c>
      <c r="F193" s="282"/>
      <c r="G193" s="108"/>
      <c r="H193" s="282" t="str">
        <f ca="1">语言!$A$991</f>
        <v>即死耐性石</v>
      </c>
      <c r="I193" s="283"/>
      <c r="J193" s="283"/>
      <c r="K193" s="283"/>
      <c r="L193" s="282" t="s">
        <v>275</v>
      </c>
      <c r="M193" s="108"/>
    </row>
    <row r="194" spans="1:13" x14ac:dyDescent="0.2">
      <c r="A194" s="108"/>
      <c r="B194" s="282" t="str">
        <f ca="1">语言!$A$917</f>
        <v>传统舞娘衣服</v>
      </c>
      <c r="C194" s="283">
        <v>20</v>
      </c>
      <c r="D194" s="283">
        <v>22</v>
      </c>
      <c r="E194" s="283" t="str">
        <f ca="1">语言!$A$2299&amp;" +12"</f>
        <v>最大ＳＰ +12</v>
      </c>
      <c r="F194" s="282"/>
      <c r="G194" s="108"/>
      <c r="H194" s="108"/>
      <c r="I194" s="108"/>
      <c r="J194" s="108"/>
      <c r="K194" s="108"/>
      <c r="L194" s="108"/>
      <c r="M194" s="108"/>
    </row>
    <row r="195" spans="1:13" x14ac:dyDescent="0.2">
      <c r="A195" s="108"/>
      <c r="B195" s="282" t="str">
        <f ca="1">语言!$A$918</f>
        <v>青铜盔甲</v>
      </c>
      <c r="C195" s="283">
        <v>28</v>
      </c>
      <c r="D195" s="283"/>
      <c r="E195" s="283"/>
      <c r="F195" s="282"/>
      <c r="G195" s="108"/>
      <c r="H195" s="108"/>
      <c r="I195" s="108"/>
      <c r="J195" s="108"/>
      <c r="K195" s="108"/>
      <c r="L195" s="108"/>
      <c r="M195" s="108"/>
    </row>
    <row r="196" spans="1:13" x14ac:dyDescent="0.2">
      <c r="A196" s="108"/>
      <c r="B196" s="282" t="str">
        <f ca="1">语言!$A$919</f>
        <v>青铜背心</v>
      </c>
      <c r="C196" s="283">
        <v>19</v>
      </c>
      <c r="D196" s="283">
        <v>24</v>
      </c>
      <c r="E196" s="283"/>
      <c r="F196" s="282"/>
      <c r="G196" s="108"/>
      <c r="H196" s="108"/>
      <c r="I196" s="108"/>
      <c r="J196" s="108"/>
      <c r="K196" s="108"/>
      <c r="L196" s="108"/>
      <c r="M196" s="108"/>
    </row>
    <row r="197" spans="1:13" x14ac:dyDescent="0.2">
      <c r="A197" s="277"/>
      <c r="B197" s="282" t="str">
        <f ca="1">语言!$A$920</f>
        <v>亚麻长袍</v>
      </c>
      <c r="C197" s="283">
        <v>13</v>
      </c>
      <c r="D197" s="283">
        <v>33</v>
      </c>
      <c r="E197" s="283" t="str">
        <f ca="1">语言!$A$2301&amp;" +8"</f>
        <v>属性攻击力 +8</v>
      </c>
      <c r="F197" s="282"/>
      <c r="G197" s="277"/>
      <c r="H197" s="277"/>
      <c r="I197" s="277"/>
      <c r="J197" s="277"/>
      <c r="K197" s="277"/>
      <c r="L197" s="277"/>
      <c r="M197" s="277"/>
    </row>
    <row r="198" spans="1:13" x14ac:dyDescent="0.2">
      <c r="A198" s="108"/>
      <c r="B198" s="282" t="str">
        <f ca="1">语言!$A$921</f>
        <v>橡胶盔甲</v>
      </c>
      <c r="C198" s="283">
        <v>7</v>
      </c>
      <c r="D198" s="283"/>
      <c r="E198" s="283"/>
      <c r="F198" s="282"/>
      <c r="G198" s="108"/>
      <c r="H198" s="108"/>
      <c r="I198" s="108"/>
      <c r="J198" s="108"/>
      <c r="K198" s="108"/>
      <c r="L198" s="108"/>
      <c r="M198" s="108"/>
    </row>
    <row r="199" spans="1:13" x14ac:dyDescent="0.2">
      <c r="A199" s="108"/>
      <c r="B199" s="282" t="str">
        <f ca="1">语言!$A$922</f>
        <v>橡胶背心</v>
      </c>
      <c r="C199" s="283">
        <v>4</v>
      </c>
      <c r="D199" s="283">
        <v>5</v>
      </c>
      <c r="E199" s="283"/>
      <c r="F199" s="282"/>
      <c r="G199" s="108"/>
      <c r="H199" s="108"/>
      <c r="I199" s="108"/>
      <c r="J199" s="108"/>
      <c r="K199" s="108"/>
      <c r="L199" s="108"/>
      <c r="M199" s="108"/>
    </row>
    <row r="200" spans="1:13" x14ac:dyDescent="0.2">
      <c r="A200" s="286"/>
      <c r="B200" s="282" t="str">
        <f ca="1">语言!$A$923</f>
        <v>长袍</v>
      </c>
      <c r="C200" s="283">
        <v>3</v>
      </c>
      <c r="D200" s="283">
        <v>7</v>
      </c>
      <c r="E200" s="283"/>
      <c r="F200" s="282"/>
      <c r="G200" s="286"/>
      <c r="H200" s="286"/>
      <c r="I200" s="108"/>
      <c r="J200" s="108"/>
      <c r="K200" s="108"/>
      <c r="L200" s="108"/>
      <c r="M200" s="108"/>
    </row>
    <row r="201" spans="1:13" x14ac:dyDescent="0.2">
      <c r="A201" s="286"/>
      <c r="B201" s="286"/>
      <c r="C201" s="287"/>
      <c r="D201" s="287"/>
      <c r="E201" s="287"/>
      <c r="F201" s="286"/>
      <c r="G201" s="286"/>
      <c r="H201" s="286"/>
      <c r="I201" s="108"/>
      <c r="J201" s="108"/>
      <c r="K201" s="108"/>
      <c r="L201" s="108"/>
      <c r="M201" s="108"/>
    </row>
  </sheetData>
  <mergeCells count="1">
    <mergeCell ref="B3:L3"/>
  </mergeCells>
  <phoneticPr fontId="6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J545"/>
  <sheetViews>
    <sheetView workbookViewId="0">
      <pane ySplit="1" topLeftCell="A2" activePane="bottomLeft" state="frozen"/>
      <selection pane="bottomLeft" activeCell="C6" sqref="C6"/>
    </sheetView>
  </sheetViews>
  <sheetFormatPr defaultColWidth="12.5703125" defaultRowHeight="15.75" customHeight="1" x14ac:dyDescent="0.2"/>
  <cols>
    <col min="1" max="1" width="2.5703125" customWidth="1"/>
    <col min="2" max="2" width="5.140625" customWidth="1"/>
    <col min="3" max="3" width="37.5703125" customWidth="1"/>
    <col min="4" max="4" width="2.5703125" customWidth="1"/>
    <col min="5" max="5" width="5.140625" customWidth="1"/>
    <col min="6" max="6" width="37.5703125" customWidth="1"/>
    <col min="7" max="7" width="2.5703125" customWidth="1"/>
    <col min="8" max="8" width="5.140625" customWidth="1"/>
    <col min="9" max="9" width="27.5703125" customWidth="1"/>
    <col min="10" max="10" width="2.5703125" customWidth="1"/>
  </cols>
  <sheetData>
    <row r="1" spans="1:10" ht="15.75" customHeight="1" x14ac:dyDescent="0.25">
      <c r="A1" s="277"/>
      <c r="B1" s="288" t="s">
        <v>118</v>
      </c>
      <c r="C1" s="112" t="str">
        <f ca="1">语言!$A$496</f>
        <v>道具</v>
      </c>
      <c r="D1" s="289"/>
      <c r="E1" s="290" t="s">
        <v>118</v>
      </c>
      <c r="F1" s="112" t="str">
        <f ca="1">语言!$A$1008</f>
        <v>贵重物品</v>
      </c>
      <c r="G1" s="289"/>
      <c r="H1" s="290" t="s">
        <v>118</v>
      </c>
      <c r="I1" s="47" t="str">
        <f ca="1">语言!$A$1088</f>
        <v>资讯</v>
      </c>
      <c r="J1" s="289"/>
    </row>
    <row r="2" spans="1:10" x14ac:dyDescent="0.2">
      <c r="A2" s="108"/>
      <c r="B2" s="108"/>
      <c r="C2" s="108"/>
      <c r="D2" s="258"/>
      <c r="E2" s="258"/>
      <c r="F2" s="286"/>
      <c r="G2" s="258"/>
      <c r="H2" s="258"/>
      <c r="I2" s="286"/>
      <c r="J2" s="258"/>
    </row>
    <row r="3" spans="1:10" x14ac:dyDescent="0.2">
      <c r="A3" s="108" t="s">
        <v>276</v>
      </c>
      <c r="B3" s="282">
        <v>1</v>
      </c>
      <c r="C3" s="282" t="str">
        <f ca="1">语言!$A$497</f>
        <v>ＨＰ恢复的葡萄</v>
      </c>
      <c r="D3" s="258"/>
      <c r="E3" s="272">
        <v>1</v>
      </c>
      <c r="F3" s="247" t="str">
        <f ca="1">语言!$A$1009</f>
        <v>《边狱之书》的抄本</v>
      </c>
      <c r="G3" s="258"/>
      <c r="H3" s="272">
        <v>1</v>
      </c>
      <c r="I3" s="52" t="str">
        <f ca="1">语言!$A$1089</f>
        <v>安全的路线</v>
      </c>
      <c r="J3" s="258"/>
    </row>
    <row r="4" spans="1:10" x14ac:dyDescent="0.2">
      <c r="A4" s="108"/>
      <c r="B4" s="282">
        <v>2</v>
      </c>
      <c r="C4" s="282" t="str">
        <f ca="1">语言!$A$498</f>
        <v>ＨＰ恢复的葡萄（大）</v>
      </c>
      <c r="D4" s="258"/>
      <c r="E4" s="272">
        <v>2</v>
      </c>
      <c r="F4" s="18" t="str">
        <f ca="1">语言!$A$1010</f>
        <v>边狱之书</v>
      </c>
      <c r="G4" s="258"/>
      <c r="H4" s="272">
        <v>2</v>
      </c>
      <c r="I4" s="52" t="str">
        <f ca="1">语言!$A$1090</f>
        <v>纺织品的活用法</v>
      </c>
      <c r="J4" s="258"/>
    </row>
    <row r="5" spans="1:10" x14ac:dyDescent="0.2">
      <c r="A5" s="108"/>
      <c r="B5" s="282">
        <v>3</v>
      </c>
      <c r="C5" s="282" t="str">
        <f ca="1">语言!$A$499</f>
        <v>ＨＰ全体恢复的葡萄</v>
      </c>
      <c r="D5" s="258"/>
      <c r="E5" s="272">
        <v>3</v>
      </c>
      <c r="F5" s="247" t="str">
        <f ca="1">语言!$A$1011</f>
        <v>师父的飞箭传书</v>
      </c>
      <c r="G5" s="258"/>
      <c r="H5" s="272">
        <v>3</v>
      </c>
      <c r="I5" s="52" t="str">
        <f ca="1">语言!$A$1091</f>
        <v>阿尔法丝之诗</v>
      </c>
      <c r="J5" s="258"/>
    </row>
    <row r="6" spans="1:10" x14ac:dyDescent="0.2">
      <c r="A6" s="108"/>
      <c r="B6" s="282">
        <v>4</v>
      </c>
      <c r="C6" s="282" t="str">
        <f ca="1">语言!$A$500</f>
        <v>ＳＰ恢复的李子</v>
      </c>
      <c r="D6" s="258"/>
      <c r="E6" s="272">
        <v>4</v>
      </c>
      <c r="F6" s="291" t="str">
        <f ca="1">语言!$A$1012</f>
        <v>芸香</v>
      </c>
      <c r="G6" s="258"/>
      <c r="H6" s="272">
        <v>4</v>
      </c>
      <c r="I6" s="52" t="str">
        <f ca="1">语言!$A$1092</f>
        <v>杀人事件的真相</v>
      </c>
      <c r="J6" s="258"/>
    </row>
    <row r="7" spans="1:10" x14ac:dyDescent="0.2">
      <c r="A7" s="108"/>
      <c r="B7" s="282">
        <v>5</v>
      </c>
      <c r="C7" s="282" t="str">
        <f ca="1">语言!$A$501</f>
        <v>ＳＰ恢复的李子（大）</v>
      </c>
      <c r="D7" s="258"/>
      <c r="E7" s="272">
        <v>5</v>
      </c>
      <c r="F7" s="247" t="str">
        <f ca="1">语言!$A$1013</f>
        <v>蓝旗鱼</v>
      </c>
      <c r="G7" s="258"/>
      <c r="H7" s="272">
        <v>5</v>
      </c>
      <c r="I7" s="18" t="str">
        <f ca="1">语言!$A$1093</f>
        <v>阿奇博德的弱点</v>
      </c>
      <c r="J7" s="258"/>
    </row>
    <row r="8" spans="1:10" x14ac:dyDescent="0.2">
      <c r="A8" s="108"/>
      <c r="B8" s="282">
        <v>6</v>
      </c>
      <c r="C8" s="282" t="str">
        <f ca="1">语言!$A$502</f>
        <v>ＳＰ全体恢复的李子</v>
      </c>
      <c r="D8" s="258"/>
      <c r="E8" s="272">
        <v>6</v>
      </c>
      <c r="F8" s="291" t="str">
        <f ca="1">语言!$A$1014</f>
        <v>葡萄酒</v>
      </c>
      <c r="G8" s="258"/>
      <c r="H8" s="272">
        <v>6</v>
      </c>
      <c r="I8" s="52" t="str">
        <f ca="1">语言!$A$1094</f>
        <v>拜伦家的祖谱</v>
      </c>
      <c r="J8" s="258"/>
    </row>
    <row r="9" spans="1:10" x14ac:dyDescent="0.2">
      <c r="A9" s="108"/>
      <c r="B9" s="282">
        <v>7</v>
      </c>
      <c r="C9" s="282" t="str">
        <f ca="1">语言!$A$503</f>
        <v>ＢＰ恢复的石榴</v>
      </c>
      <c r="D9" s="258"/>
      <c r="E9" s="272">
        <v>7</v>
      </c>
      <c r="F9" s="291" t="str">
        <f ca="1">语言!$A$1015</f>
        <v>葡萄酒</v>
      </c>
      <c r="G9" s="258"/>
      <c r="H9" s="272">
        <v>7</v>
      </c>
      <c r="I9" s="52" t="str">
        <f ca="1">语言!$A$1095</f>
        <v>部族长的行程</v>
      </c>
      <c r="J9" s="258"/>
    </row>
    <row r="10" spans="1:10" x14ac:dyDescent="0.2">
      <c r="A10" s="108"/>
      <c r="B10" s="282">
        <v>8</v>
      </c>
      <c r="C10" s="282" t="str">
        <f ca="1">语言!$A$504</f>
        <v>ＢＰ恢复的石榴（大）</v>
      </c>
      <c r="D10" s="258"/>
      <c r="E10" s="272">
        <v>8</v>
      </c>
      <c r="F10" s="291" t="str">
        <f ca="1">语言!$A$1016</f>
        <v>睡眠草</v>
      </c>
      <c r="G10" s="258"/>
      <c r="H10" s="272">
        <v>8</v>
      </c>
      <c r="I10" s="52" t="str">
        <f ca="1">语言!$A$1096</f>
        <v>黄金都市的传说</v>
      </c>
      <c r="J10" s="258"/>
    </row>
    <row r="11" spans="1:10" x14ac:dyDescent="0.2">
      <c r="A11" s="108"/>
      <c r="B11" s="282">
        <v>9</v>
      </c>
      <c r="C11" s="282" t="str">
        <f ca="1">语言!$A$505</f>
        <v>ＢＰ恢复的石榴（特大）</v>
      </c>
      <c r="D11" s="258"/>
      <c r="E11" s="272">
        <v>9</v>
      </c>
      <c r="F11" s="291" t="str">
        <f ca="1">语言!$A$1017</f>
        <v>无名手记</v>
      </c>
      <c r="G11" s="258"/>
      <c r="H11" s="272">
        <v>9</v>
      </c>
      <c r="I11" s="52" t="str">
        <f ca="1">语言!$A$1097</f>
        <v>多明尼克的悔恨</v>
      </c>
      <c r="J11" s="258"/>
    </row>
    <row r="12" spans="1:10" x14ac:dyDescent="0.2">
      <c r="A12" s="108"/>
      <c r="B12" s="282">
        <v>10</v>
      </c>
      <c r="C12" s="282" t="str">
        <f ca="1">语言!$A$506</f>
        <v>ＨＰ／ＳＰ恢复的果酱</v>
      </c>
      <c r="D12" s="258"/>
      <c r="E12" s="272">
        <v>10</v>
      </c>
      <c r="F12" s="291" t="str">
        <f ca="1">语言!$A$1018</f>
        <v>垃圾石 / 碧闪石</v>
      </c>
      <c r="G12" s="258"/>
      <c r="H12" s="272">
        <v>10</v>
      </c>
      <c r="I12" s="52" t="str">
        <f ca="1">语言!$A$1098</f>
        <v>讨厌人类的多明尼克</v>
      </c>
      <c r="J12" s="258"/>
    </row>
    <row r="13" spans="1:10" x14ac:dyDescent="0.2">
      <c r="A13" s="108"/>
      <c r="B13" s="282">
        <v>11</v>
      </c>
      <c r="C13" s="282" t="str">
        <f ca="1">语言!$A$507</f>
        <v>ＨＰ／ＳＰ／ＢＰ恢复的果酱</v>
      </c>
      <c r="D13" s="258"/>
      <c r="E13" s="272">
        <v>11</v>
      </c>
      <c r="F13" s="291" t="str">
        <f ca="1">语言!$A$1019</f>
        <v>艾德哈尔特之盾</v>
      </c>
      <c r="G13" s="258"/>
      <c r="H13" s="272">
        <v>11</v>
      </c>
      <c r="I13" s="52" t="str">
        <f ca="1">语言!$A$1099</f>
        <v>多明尼克的烦恼</v>
      </c>
      <c r="J13" s="258"/>
    </row>
    <row r="14" spans="1:10" x14ac:dyDescent="0.2">
      <c r="A14" s="108"/>
      <c r="B14" s="282">
        <v>12</v>
      </c>
      <c r="C14" s="282" t="str">
        <f ca="1">语言!$A$508</f>
        <v>复活的橄榄</v>
      </c>
      <c r="D14" s="258"/>
      <c r="E14" s="272">
        <v>12</v>
      </c>
      <c r="F14" s="247" t="str">
        <f ca="1">语言!$A$1020</f>
        <v>旧地图</v>
      </c>
      <c r="G14" s="258"/>
      <c r="H14" s="272">
        <v>12</v>
      </c>
      <c r="I14" s="52" t="str">
        <f ca="1">语言!$A$1100</f>
        <v>唐纳文的情况</v>
      </c>
      <c r="J14" s="258"/>
    </row>
    <row r="15" spans="1:10" x14ac:dyDescent="0.2">
      <c r="A15" s="108"/>
      <c r="B15" s="292"/>
      <c r="C15" s="292"/>
      <c r="D15" s="258"/>
      <c r="E15" s="272">
        <v>13</v>
      </c>
      <c r="F15" s="291" t="str">
        <f ca="1">语言!$A$1021</f>
        <v>巴尔塔扎尔的信</v>
      </c>
      <c r="G15" s="258"/>
      <c r="H15" s="272">
        <v>13</v>
      </c>
      <c r="I15" s="52" t="str">
        <f ca="1">语言!$A$1101</f>
        <v>克里夫兰多的龙</v>
      </c>
      <c r="J15" s="258"/>
    </row>
    <row r="16" spans="1:10" x14ac:dyDescent="0.2">
      <c r="A16" s="108"/>
      <c r="B16" s="282">
        <v>13</v>
      </c>
      <c r="C16" s="282" t="str">
        <f ca="1">语言!$A$509</f>
        <v>复活的橄榄（大）</v>
      </c>
      <c r="D16" s="258"/>
      <c r="E16" s="272">
        <v>14</v>
      </c>
      <c r="F16" s="247" t="str">
        <f ca="1">语言!$A$1022</f>
        <v>艾尔多莱特</v>
      </c>
      <c r="G16" s="258"/>
      <c r="H16" s="272">
        <v>14</v>
      </c>
      <c r="I16" s="52" t="str">
        <f ca="1">语言!$A$1102</f>
        <v>佛洛斯特兰多的龙</v>
      </c>
      <c r="J16" s="258"/>
    </row>
    <row r="17" spans="1:10" x14ac:dyDescent="0.2">
      <c r="A17" s="108"/>
      <c r="B17" s="282">
        <v>14</v>
      </c>
      <c r="C17" s="282" t="str">
        <f ca="1">语言!$A$510</f>
        <v>复活的橄榄（特大）</v>
      </c>
      <c r="D17" s="258"/>
      <c r="E17" s="272">
        <v>15</v>
      </c>
      <c r="F17" s="291" t="str">
        <f ca="1">语言!$A$1023</f>
        <v>采火灯</v>
      </c>
      <c r="G17" s="258"/>
      <c r="H17" s="272">
        <v>15</v>
      </c>
      <c r="I17" s="52" t="str">
        <f ca="1">语言!$A$1103</f>
        <v>哈伊兰多的龙</v>
      </c>
      <c r="J17" s="258"/>
    </row>
    <row r="18" spans="1:10" x14ac:dyDescent="0.2">
      <c r="A18" s="108"/>
      <c r="B18" s="282">
        <v>15</v>
      </c>
      <c r="C18" s="282" t="str">
        <f ca="1">语言!$A$511</f>
        <v>毒治疗药草</v>
      </c>
      <c r="D18" s="258"/>
      <c r="E18" s="272">
        <v>16</v>
      </c>
      <c r="F18" s="247" t="str">
        <f ca="1">语言!$A$1024</f>
        <v>信用证明书</v>
      </c>
      <c r="G18" s="258"/>
      <c r="H18" s="272">
        <v>16</v>
      </c>
      <c r="I18" s="52" t="str">
        <f ca="1">语言!$A$1104</f>
        <v>提早融雪</v>
      </c>
      <c r="J18" s="258"/>
    </row>
    <row r="19" spans="1:10" x14ac:dyDescent="0.2">
      <c r="A19" s="108"/>
      <c r="B19" s="282">
        <v>16</v>
      </c>
      <c r="C19" s="282" t="str">
        <f ca="1">语言!$A$512</f>
        <v>沉默治疗药草</v>
      </c>
      <c r="D19" s="258"/>
      <c r="E19" s="272">
        <v>17</v>
      </c>
      <c r="F19" s="291" t="str">
        <f ca="1">语言!$A$1025</f>
        <v>绿洲的水</v>
      </c>
      <c r="G19" s="258"/>
      <c r="H19" s="272">
        <v>17</v>
      </c>
      <c r="I19" s="52" t="str">
        <f ca="1">语言!$A$1105</f>
        <v>药的制作法</v>
      </c>
      <c r="J19" s="258"/>
    </row>
    <row r="20" spans="1:10" x14ac:dyDescent="0.2">
      <c r="A20" s="108"/>
      <c r="B20" s="282">
        <v>17</v>
      </c>
      <c r="C20" s="282" t="str">
        <f ca="1">语言!$A$513</f>
        <v>黑暗治疗药草</v>
      </c>
      <c r="D20" s="258"/>
      <c r="E20" s="272">
        <v>18</v>
      </c>
      <c r="F20" s="291" t="str">
        <f ca="1">语言!$A$1026</f>
        <v>飞龙的皮膜</v>
      </c>
      <c r="G20" s="258"/>
      <c r="H20" s="272">
        <v>18</v>
      </c>
      <c r="I20" s="52" t="str">
        <f ca="1">语言!$A$1106</f>
        <v>艾斯塔达斯的况状</v>
      </c>
      <c r="J20" s="258"/>
    </row>
    <row r="21" spans="1:10" x14ac:dyDescent="0.2">
      <c r="A21" s="108"/>
      <c r="B21" s="282">
        <v>18</v>
      </c>
      <c r="C21" s="282" t="str">
        <f ca="1">语言!$A$514</f>
        <v>混乱治疗药草</v>
      </c>
      <c r="D21" s="258"/>
      <c r="E21" s="272">
        <v>19</v>
      </c>
      <c r="F21" s="291" t="str">
        <f ca="1">语言!$A$1027</f>
        <v>水晶矿石</v>
      </c>
      <c r="G21" s="258"/>
      <c r="H21" s="272">
        <v>19</v>
      </c>
      <c r="I21" s="52" t="str">
        <f ca="1">语言!$A$1107</f>
        <v>斗剑士的父亲</v>
      </c>
      <c r="J21" s="258"/>
    </row>
    <row r="22" spans="1:10" x14ac:dyDescent="0.2">
      <c r="A22" s="108"/>
      <c r="B22" s="282">
        <v>19</v>
      </c>
      <c r="C22" s="282" t="str">
        <f ca="1">语言!$A$515</f>
        <v>睡眠治疗药草</v>
      </c>
      <c r="D22" s="258"/>
      <c r="E22" s="272">
        <v>20</v>
      </c>
      <c r="F22" s="291" t="str">
        <f ca="1">语言!$A$1028</f>
        <v>水晶钥匙</v>
      </c>
      <c r="G22" s="258"/>
      <c r="H22" s="272">
        <v>20</v>
      </c>
      <c r="I22" s="52" t="str">
        <f ca="1">语言!$A$1108</f>
        <v>《禁忌的黄金》</v>
      </c>
      <c r="J22" s="258"/>
    </row>
    <row r="23" spans="1:10" x14ac:dyDescent="0.2">
      <c r="A23" s="108"/>
      <c r="B23" s="282">
        <v>20</v>
      </c>
      <c r="C23" s="282" t="str">
        <f ca="1">语言!$A$516</f>
        <v>恐怖治疗药草</v>
      </c>
      <c r="D23" s="258"/>
      <c r="E23" s="619">
        <v>21</v>
      </c>
      <c r="F23" s="293" t="str">
        <f ca="1">语言!$A$1029</f>
        <v>工作人员面具</v>
      </c>
      <c r="G23" s="258"/>
      <c r="H23" s="272">
        <v>21</v>
      </c>
      <c r="I23" s="52" t="str">
        <f ca="1">语言!$A$1109</f>
        <v>《边狱之书》</v>
      </c>
      <c r="J23" s="258"/>
    </row>
    <row r="24" spans="1:10" x14ac:dyDescent="0.2">
      <c r="A24" s="108"/>
      <c r="B24" s="282">
        <v>21</v>
      </c>
      <c r="C24" s="282" t="str">
        <f ca="1">语言!$A$517</f>
        <v>昏迷治疗药草</v>
      </c>
      <c r="D24" s="258"/>
      <c r="E24" s="620"/>
      <c r="F24" s="247" t="str">
        <f ca="1">语言!$A$1030</f>
        <v>贵族面具</v>
      </c>
      <c r="G24" s="258"/>
      <c r="H24" s="272">
        <v>22</v>
      </c>
      <c r="I24" s="52" t="str">
        <f ca="1">语言!$A$1110</f>
        <v>蓝萤苔的事</v>
      </c>
      <c r="J24" s="258"/>
    </row>
    <row r="25" spans="1:10" x14ac:dyDescent="0.2">
      <c r="A25" s="108"/>
      <c r="B25" s="282">
        <v>22</v>
      </c>
      <c r="C25" s="282" t="str">
        <f ca="1">语言!$A$518</f>
        <v>毒瓶</v>
      </c>
      <c r="D25" s="258"/>
      <c r="E25" s="621"/>
      <c r="F25" s="294" t="str">
        <f ca="1">语言!$A$1031</f>
        <v>黑市商品清单</v>
      </c>
      <c r="G25" s="258"/>
      <c r="H25" s="272">
        <v>23</v>
      </c>
      <c r="I25" s="52" t="str">
        <f ca="1">语言!$A$1111</f>
        <v>守墓人的情报</v>
      </c>
      <c r="J25" s="258"/>
    </row>
    <row r="26" spans="1:10" x14ac:dyDescent="0.2">
      <c r="A26" s="108"/>
      <c r="B26" s="282">
        <v>23</v>
      </c>
      <c r="C26" s="282" t="str">
        <f ca="1">语言!$A$519</f>
        <v>暗黑瓶</v>
      </c>
      <c r="D26" s="258"/>
      <c r="E26" s="272">
        <v>22</v>
      </c>
      <c r="F26" s="18" t="str">
        <f ca="1">语言!$A$1032</f>
        <v>盗贼服</v>
      </c>
      <c r="G26" s="258"/>
      <c r="H26" s="272">
        <v>24</v>
      </c>
      <c r="I26" s="18" t="str">
        <f ca="1">语言!$A$1112</f>
        <v>古斯塔夫的弱点</v>
      </c>
      <c r="J26" s="258"/>
    </row>
    <row r="27" spans="1:10" x14ac:dyDescent="0.2">
      <c r="A27" s="108"/>
      <c r="B27" s="282">
        <v>24</v>
      </c>
      <c r="C27" s="282" t="str">
        <f ca="1">语言!$A$520</f>
        <v>混乱瓶</v>
      </c>
      <c r="D27" s="258"/>
      <c r="E27" s="272">
        <v>23</v>
      </c>
      <c r="F27" s="291" t="str">
        <f ca="1">语言!$A$1033</f>
        <v>盗贼干部服</v>
      </c>
      <c r="G27" s="258"/>
      <c r="H27" s="272">
        <v>25</v>
      </c>
      <c r="I27" s="52" t="str">
        <f ca="1">语言!$A$1113</f>
        <v>克里夫兰多的历史</v>
      </c>
      <c r="J27" s="258"/>
    </row>
    <row r="28" spans="1:10" x14ac:dyDescent="0.2">
      <c r="A28" s="108"/>
      <c r="B28" s="292"/>
      <c r="C28" s="292"/>
      <c r="D28" s="258"/>
      <c r="E28" s="272">
        <v>24</v>
      </c>
      <c r="F28" s="291" t="str">
        <f ca="1">语言!$A$1034</f>
        <v>亚芬的背包</v>
      </c>
      <c r="G28" s="258"/>
      <c r="H28" s="272">
        <v>26</v>
      </c>
      <c r="I28" s="52" t="str">
        <f ca="1">语言!$A$1114</f>
        <v>弗罗斯特兰多的历史</v>
      </c>
      <c r="J28" s="258"/>
    </row>
    <row r="29" spans="1:10" x14ac:dyDescent="0.2">
      <c r="A29" s="108"/>
      <c r="B29" s="282">
        <v>25</v>
      </c>
      <c r="C29" s="282" t="str">
        <f ca="1">语言!$A$521</f>
        <v>睡眠瓶</v>
      </c>
      <c r="D29" s="258"/>
      <c r="E29" s="272">
        <v>25</v>
      </c>
      <c r="F29" s="247" t="str">
        <f ca="1">语言!$A$1035</f>
        <v>杰夫的背包</v>
      </c>
      <c r="G29" s="258"/>
      <c r="H29" s="272">
        <v>27</v>
      </c>
      <c r="I29" s="52" t="str">
        <f ca="1">语言!$A$1115</f>
        <v>伍多兰多的历史</v>
      </c>
      <c r="J29" s="258"/>
    </row>
    <row r="30" spans="1:10" x14ac:dyDescent="0.2">
      <c r="A30" s="108"/>
      <c r="B30" s="282">
        <v>26</v>
      </c>
      <c r="C30" s="282" t="str">
        <f ca="1">语言!$A$522</f>
        <v>火之精灵石</v>
      </c>
      <c r="D30" s="258"/>
      <c r="E30" s="272">
        <v>26</v>
      </c>
      <c r="F30" s="247" t="str">
        <f ca="1">语言!$A$1036</f>
        <v>耶捷尔亚特的短剑</v>
      </c>
      <c r="G30" s="258"/>
      <c r="H30" s="272">
        <v>28</v>
      </c>
      <c r="I30" s="52" t="str">
        <f ca="1">语言!$A$1116</f>
        <v>养虎的方法</v>
      </c>
      <c r="J30" s="258"/>
    </row>
    <row r="31" spans="1:10" x14ac:dyDescent="0.2">
      <c r="A31" s="108"/>
      <c r="B31" s="282">
        <v>27</v>
      </c>
      <c r="C31" s="282" t="str">
        <f ca="1">语言!$A$523</f>
        <v>火之精灵石（大）</v>
      </c>
      <c r="D31" s="258"/>
      <c r="E31" s="272">
        <v>27</v>
      </c>
      <c r="F31" s="247" t="str">
        <f ca="1">语言!$A$1037</f>
        <v>优丝法的手帕</v>
      </c>
      <c r="G31" s="258"/>
      <c r="H31" s="272">
        <v>29</v>
      </c>
      <c r="I31" s="18" t="str">
        <f ca="1">语言!$A$1117</f>
        <v>约书亚的弱点</v>
      </c>
      <c r="J31" s="258"/>
    </row>
    <row r="32" spans="1:10" x14ac:dyDescent="0.2">
      <c r="A32" s="108"/>
      <c r="B32" s="282">
        <v>28</v>
      </c>
      <c r="C32" s="282" t="str">
        <f ca="1">语言!$A$524</f>
        <v>火之精灵石（特大）</v>
      </c>
      <c r="D32" s="258"/>
      <c r="E32" s="272">
        <v>28</v>
      </c>
      <c r="F32" s="247" t="str">
        <f ca="1">语言!$A$1038</f>
        <v>左腕之男的地图</v>
      </c>
      <c r="G32" s="258"/>
      <c r="H32" s="272">
        <v>30</v>
      </c>
      <c r="I32" s="52" t="str">
        <f ca="1">语言!$A$1118</f>
        <v>新生活</v>
      </c>
      <c r="J32" s="258"/>
    </row>
    <row r="33" spans="1:10" x14ac:dyDescent="0.2">
      <c r="A33" s="108"/>
      <c r="B33" s="282">
        <v>29</v>
      </c>
      <c r="C33" s="282" t="str">
        <f ca="1">语言!$A$525</f>
        <v>冰之精灵石</v>
      </c>
      <c r="D33" s="258"/>
      <c r="E33" s="272">
        <v>29</v>
      </c>
      <c r="F33" s="291" t="str">
        <f ca="1">语言!$A$1039</f>
        <v>河边的花</v>
      </c>
      <c r="G33" s="258"/>
      <c r="H33" s="272">
        <v>31</v>
      </c>
      <c r="I33" s="52" t="str">
        <f ca="1">语言!$A$1119</f>
        <v>图书馆员的证词</v>
      </c>
      <c r="J33" s="258"/>
    </row>
    <row r="34" spans="1:10" x14ac:dyDescent="0.2">
      <c r="A34" s="108"/>
      <c r="B34" s="282">
        <v>30</v>
      </c>
      <c r="C34" s="282" t="str">
        <f ca="1">语言!$A$526</f>
        <v>冰之精灵石（大）</v>
      </c>
      <c r="D34" s="258"/>
      <c r="E34" s="272">
        <v>30</v>
      </c>
      <c r="F34" s="295" t="str">
        <f ca="1">语言!$A$1040</f>
        <v>监狱的钥匙</v>
      </c>
      <c r="G34" s="258"/>
      <c r="H34" s="272">
        <v>32</v>
      </c>
      <c r="I34" s="52" t="str">
        <f ca="1">语言!$A$1120</f>
        <v>义贼　玛尔达盗贼团</v>
      </c>
      <c r="J34" s="258"/>
    </row>
    <row r="35" spans="1:10" x14ac:dyDescent="0.2">
      <c r="A35" s="108"/>
      <c r="B35" s="282">
        <v>31</v>
      </c>
      <c r="C35" s="282" t="str">
        <f ca="1">语言!$A$527</f>
        <v>冰之精灵石（特大）</v>
      </c>
      <c r="D35" s="258"/>
      <c r="E35" s="272">
        <v>31</v>
      </c>
      <c r="F35" s="291" t="str">
        <f ca="1">语言!$A$1041</f>
        <v>顶级牛奶</v>
      </c>
      <c r="G35" s="258"/>
      <c r="H35" s="272">
        <v>33</v>
      </c>
      <c r="I35" s="52" t="str">
        <f ca="1">语言!$A$1121</f>
        <v>梅莉儿的过去</v>
      </c>
      <c r="J35" s="258"/>
    </row>
    <row r="36" spans="1:10" x14ac:dyDescent="0.2">
      <c r="A36" s="108"/>
      <c r="B36" s="282">
        <v>32</v>
      </c>
      <c r="C36" s="282" t="str">
        <f ca="1">语言!$A$528</f>
        <v>雷之精灵石</v>
      </c>
      <c r="D36" s="258"/>
      <c r="E36" s="272">
        <v>32</v>
      </c>
      <c r="F36" s="291" t="str">
        <f ca="1">语言!$A$1042</f>
        <v>帝王蟹</v>
      </c>
      <c r="G36" s="258"/>
      <c r="H36" s="272">
        <v>34</v>
      </c>
      <c r="I36" s="52" t="str">
        <f ca="1">语言!$A$1122</f>
        <v>蒙德尔的况状</v>
      </c>
      <c r="J36" s="258"/>
    </row>
    <row r="37" spans="1:10" x14ac:dyDescent="0.2">
      <c r="A37" s="108"/>
      <c r="B37" s="282">
        <v>33</v>
      </c>
      <c r="C37" s="282" t="str">
        <f ca="1">语言!$A$529</f>
        <v>雷之精灵石（大）</v>
      </c>
      <c r="D37" s="258"/>
      <c r="E37" s="272">
        <v>33</v>
      </c>
      <c r="F37" s="291" t="str">
        <f ca="1">语言!$A$1043</f>
        <v>大鸡的蛋</v>
      </c>
      <c r="G37" s="258"/>
      <c r="H37" s="272">
        <v>35</v>
      </c>
      <c r="I37" s="52" t="str">
        <f ca="1">语言!$A$1123</f>
        <v>咬了妮娜的魔物</v>
      </c>
      <c r="J37" s="258"/>
    </row>
    <row r="38" spans="1:10" ht="12.75" x14ac:dyDescent="0.2">
      <c r="A38" s="108"/>
      <c r="B38" s="282">
        <v>34</v>
      </c>
      <c r="C38" s="282" t="str">
        <f ca="1">语言!$A$530</f>
        <v>雷之精灵石（特大）</v>
      </c>
      <c r="D38" s="258"/>
      <c r="E38" s="272">
        <v>34</v>
      </c>
      <c r="F38" s="295" t="str">
        <f ca="1">语言!$A$1044</f>
        <v>最后的作品</v>
      </c>
      <c r="G38" s="258"/>
      <c r="H38" s="272">
        <v>36</v>
      </c>
      <c r="I38" s="52" t="str">
        <f ca="1">语言!$A$1124</f>
        <v>欧根的胡言乱语</v>
      </c>
      <c r="J38" s="258"/>
    </row>
    <row r="39" spans="1:10" ht="12.75" x14ac:dyDescent="0.2">
      <c r="A39" s="108"/>
      <c r="B39" s="282">
        <v>35</v>
      </c>
      <c r="C39" s="282" t="str">
        <f ca="1">语言!$A$531</f>
        <v>风之精灵石</v>
      </c>
      <c r="D39" s="258"/>
      <c r="E39" s="272">
        <v>35</v>
      </c>
      <c r="F39" s="291" t="str">
        <f ca="1">语言!$A$1045</f>
        <v>牛粪</v>
      </c>
      <c r="G39" s="258"/>
      <c r="H39" s="272">
        <v>37</v>
      </c>
      <c r="I39" s="52" t="str">
        <f ca="1">语言!$A$1125</f>
        <v>西北方老婆婆的病情</v>
      </c>
      <c r="J39" s="258"/>
    </row>
    <row r="40" spans="1:10" ht="12.75" x14ac:dyDescent="0.2">
      <c r="A40" s="108"/>
      <c r="B40" s="282">
        <v>36</v>
      </c>
      <c r="C40" s="282" t="str">
        <f ca="1">语言!$A$532</f>
        <v>风之精灵石（大）</v>
      </c>
      <c r="D40" s="258"/>
      <c r="E40" s="272">
        <v>36</v>
      </c>
      <c r="F40" s="295" t="str">
        <f ca="1">语言!$A$1046</f>
        <v>萝拉的记事本</v>
      </c>
      <c r="G40" s="258"/>
      <c r="H40" s="272">
        <v>38</v>
      </c>
      <c r="I40" s="52" t="str">
        <f ca="1">语言!$A$1126</f>
        <v>东南方老婆婆的病情</v>
      </c>
      <c r="J40" s="258"/>
    </row>
    <row r="41" spans="1:10" ht="12.75" x14ac:dyDescent="0.2">
      <c r="A41" s="108"/>
      <c r="B41" s="292"/>
      <c r="C41" s="292"/>
      <c r="D41" s="258"/>
      <c r="E41" s="272">
        <v>37</v>
      </c>
      <c r="F41" s="295" t="str">
        <f ca="1">语言!$A$1047</f>
        <v>明星的礼服</v>
      </c>
      <c r="G41" s="258"/>
      <c r="H41" s="272">
        <v>39</v>
      </c>
      <c r="I41" s="52" t="str">
        <f ca="1">语言!$A$1127</f>
        <v>改善贫民生活计画</v>
      </c>
      <c r="J41" s="258"/>
    </row>
    <row r="42" spans="1:10" ht="12.75" x14ac:dyDescent="0.2">
      <c r="A42" s="108"/>
      <c r="B42" s="282">
        <v>37</v>
      </c>
      <c r="C42" s="282" t="str">
        <f ca="1">语言!$A$533</f>
        <v>风之精灵石（特大）</v>
      </c>
      <c r="D42" s="258"/>
      <c r="E42" s="272">
        <v>38</v>
      </c>
      <c r="F42" s="295" t="str">
        <f ca="1">语言!$A$1048</f>
        <v>小虾酱</v>
      </c>
      <c r="G42" s="258"/>
      <c r="H42" s="272">
        <v>40</v>
      </c>
      <c r="I42" s="52" t="str">
        <f ca="1">语言!$A$1128</f>
        <v>某圣火骑士的传闻</v>
      </c>
      <c r="J42" s="258"/>
    </row>
    <row r="43" spans="1:10" ht="12.75" x14ac:dyDescent="0.2">
      <c r="A43" s="108"/>
      <c r="B43" s="282">
        <v>38</v>
      </c>
      <c r="C43" s="282" t="str">
        <f ca="1">语言!$A$534</f>
        <v>光之精灵石</v>
      </c>
      <c r="D43" s="258"/>
      <c r="E43" s="272">
        <v>39</v>
      </c>
      <c r="F43" s="295" t="str">
        <f ca="1">语言!$A$1049</f>
        <v>反乱之斧</v>
      </c>
      <c r="G43" s="258"/>
      <c r="H43" s="272">
        <v>41</v>
      </c>
      <c r="I43" s="52" t="str">
        <f ca="1">语言!$A$1129</f>
        <v>拉塞尔的近况</v>
      </c>
      <c r="J43" s="258"/>
    </row>
    <row r="44" spans="1:10" ht="12.75" x14ac:dyDescent="0.2">
      <c r="A44" s="108"/>
      <c r="B44" s="282">
        <v>39</v>
      </c>
      <c r="C44" s="282" t="str">
        <f ca="1">语言!$A$535</f>
        <v>光之精灵石（大）</v>
      </c>
      <c r="D44" s="258"/>
      <c r="E44" s="272">
        <v>40</v>
      </c>
      <c r="F44" s="295" t="str">
        <f ca="1">语言!$A$1050</f>
        <v>革命之剑</v>
      </c>
      <c r="G44" s="258"/>
      <c r="H44" s="272">
        <v>42</v>
      </c>
      <c r="I44" s="52" t="str">
        <f ca="1">语言!$A$1130</f>
        <v>魔物操控人的传说</v>
      </c>
      <c r="J44" s="258"/>
    </row>
    <row r="45" spans="1:10" ht="12.75" x14ac:dyDescent="0.2">
      <c r="A45" s="108"/>
      <c r="B45" s="282">
        <v>40</v>
      </c>
      <c r="C45" s="282" t="str">
        <f ca="1">语言!$A$536</f>
        <v>光之精灵石（特大）</v>
      </c>
      <c r="D45" s="258"/>
      <c r="E45" s="272">
        <v>41</v>
      </c>
      <c r="F45" s="295" t="str">
        <f ca="1">语言!$A$1051</f>
        <v>反逆之枪</v>
      </c>
      <c r="G45" s="258"/>
      <c r="H45" s="272">
        <v>43</v>
      </c>
      <c r="I45" s="52" t="str">
        <f ca="1">语言!$A$1131</f>
        <v>书被卖去哪里</v>
      </c>
      <c r="J45" s="258"/>
    </row>
    <row r="46" spans="1:10" ht="12.75" x14ac:dyDescent="0.2">
      <c r="A46" s="108"/>
      <c r="B46" s="282">
        <v>41</v>
      </c>
      <c r="C46" s="282" t="str">
        <f ca="1">语言!$A$537</f>
        <v>暗之精灵石</v>
      </c>
      <c r="D46" s="258"/>
      <c r="E46" s="272">
        <v>42</v>
      </c>
      <c r="F46" s="295" t="str">
        <f ca="1">语言!$A$1052</f>
        <v>大牙野猪的獠牙</v>
      </c>
      <c r="G46" s="258"/>
      <c r="H46" s="272">
        <v>44</v>
      </c>
      <c r="I46" s="52" t="str">
        <f ca="1">语言!$A$1132</f>
        <v>贵族兰道尔最后的下场</v>
      </c>
      <c r="J46" s="258"/>
    </row>
    <row r="47" spans="1:10" ht="12.75" x14ac:dyDescent="0.2">
      <c r="A47" s="108"/>
      <c r="B47" s="282">
        <v>42</v>
      </c>
      <c r="C47" s="282" t="str">
        <f ca="1">语言!$A$538</f>
        <v>暗之精灵石（大）</v>
      </c>
      <c r="D47" s="258"/>
      <c r="E47" s="272">
        <v>43</v>
      </c>
      <c r="F47" s="291" t="str">
        <f ca="1">语言!$A$1053</f>
        <v>合适的木炭</v>
      </c>
      <c r="G47" s="258"/>
      <c r="H47" s="272">
        <v>45</v>
      </c>
      <c r="I47" s="52" t="str">
        <f ca="1">语言!$A$1133</f>
        <v>艾巴霍多的堡垒</v>
      </c>
      <c r="J47" s="258"/>
    </row>
    <row r="48" spans="1:10" ht="12.75" x14ac:dyDescent="0.2">
      <c r="A48" s="108"/>
      <c r="B48" s="282">
        <v>43</v>
      </c>
      <c r="C48" s="282" t="str">
        <f ca="1">语言!$A$539</f>
        <v>暗之精灵石（特大）</v>
      </c>
      <c r="D48" s="258"/>
      <c r="E48" s="272">
        <v>44</v>
      </c>
      <c r="F48" s="291" t="str">
        <f ca="1">语言!$A$1054</f>
        <v>合适的麻秆</v>
      </c>
      <c r="G48" s="258"/>
      <c r="H48" s="272">
        <v>46</v>
      </c>
      <c r="I48" s="52" t="str">
        <f ca="1">语言!$A$1134</f>
        <v>驱使大蛇的男子</v>
      </c>
      <c r="J48" s="258"/>
    </row>
    <row r="49" spans="1:10" ht="12.75" x14ac:dyDescent="0.2">
      <c r="A49" s="108"/>
      <c r="B49" s="282">
        <v>44</v>
      </c>
      <c r="C49" s="282" t="str">
        <f ca="1">语言!$A$540</f>
        <v>增强ＨＰ的坚果</v>
      </c>
      <c r="D49" s="258"/>
      <c r="E49" s="272">
        <v>45</v>
      </c>
      <c r="F49" s="291" t="str">
        <f ca="1">语言!$A$1055</f>
        <v>合适的金属制容器</v>
      </c>
      <c r="G49" s="258"/>
      <c r="H49" s="272">
        <v>47</v>
      </c>
      <c r="I49" s="52" t="str">
        <f ca="1">语言!$A$1135</f>
        <v>守卫的近况</v>
      </c>
      <c r="J49" s="258"/>
    </row>
    <row r="50" spans="1:10" ht="12.75" x14ac:dyDescent="0.2">
      <c r="A50" s="108"/>
      <c r="B50" s="282">
        <v>45</v>
      </c>
      <c r="C50" s="282" t="str">
        <f ca="1">语言!$A$541</f>
        <v>增强ＨＰ的坚果（大）</v>
      </c>
      <c r="D50" s="258"/>
      <c r="E50" s="272">
        <v>46</v>
      </c>
      <c r="F50" s="295" t="str">
        <f ca="1">语言!$A$1056</f>
        <v>老人也能用的短弓</v>
      </c>
      <c r="G50" s="258"/>
      <c r="H50" s="272">
        <v>48</v>
      </c>
      <c r="I50" s="52" t="str">
        <f ca="1">语言!$A$1136</f>
        <v>校长的近况</v>
      </c>
      <c r="J50" s="258"/>
    </row>
    <row r="51" spans="1:10" ht="12.75" x14ac:dyDescent="0.2">
      <c r="A51" s="108"/>
      <c r="B51" s="282">
        <v>46</v>
      </c>
      <c r="C51" s="282" t="str">
        <f ca="1">语言!$A$542</f>
        <v>增强ＨＰ的坚果（特大）</v>
      </c>
      <c r="D51" s="258"/>
      <c r="E51" s="272">
        <v>47</v>
      </c>
      <c r="F51" s="291" t="str">
        <f ca="1">语言!$A$1057</f>
        <v>海兽之蛋</v>
      </c>
      <c r="G51" s="258"/>
      <c r="H51" s="272">
        <v>49</v>
      </c>
      <c r="I51" s="52" t="str">
        <f ca="1">语言!$A$1137</f>
        <v>名为猛辣椒的植物</v>
      </c>
      <c r="J51" s="258"/>
    </row>
    <row r="52" spans="1:10" ht="12.75" x14ac:dyDescent="0.2">
      <c r="A52" s="108"/>
      <c r="B52" s="282">
        <v>47</v>
      </c>
      <c r="C52" s="282" t="str">
        <f ca="1">语言!$A$543</f>
        <v>增强ＳＰ的坚果</v>
      </c>
      <c r="D52" s="258"/>
      <c r="E52" s="272">
        <v>48</v>
      </c>
      <c r="F52" s="291" t="str">
        <f ca="1">语言!$A$1058</f>
        <v>甜菜根</v>
      </c>
      <c r="G52" s="258"/>
      <c r="H52" s="272">
        <v>50</v>
      </c>
      <c r="I52" s="52" t="str">
        <f ca="1">语言!$A$1138</f>
        <v>壁画的内容</v>
      </c>
      <c r="J52" s="258"/>
    </row>
    <row r="53" spans="1:10" ht="12.75" x14ac:dyDescent="0.2">
      <c r="A53" s="108"/>
      <c r="B53" s="282">
        <v>48</v>
      </c>
      <c r="C53" s="282" t="str">
        <f ca="1">语言!$A$544</f>
        <v>增强ＳＰ的坚果（大）</v>
      </c>
      <c r="D53" s="258"/>
      <c r="E53" s="272">
        <v>49</v>
      </c>
      <c r="F53" s="291" t="str">
        <f ca="1">语言!$A$1059</f>
        <v>欧亚威尔产磨刀石</v>
      </c>
      <c r="G53" s="258"/>
      <c r="H53" s="272">
        <v>51</v>
      </c>
      <c r="I53" s="52" t="str">
        <f ca="1">语言!$A$1139</f>
        <v>下水道的情报</v>
      </c>
      <c r="J53" s="258"/>
    </row>
    <row r="54" spans="1:10" ht="12.75" x14ac:dyDescent="0.2">
      <c r="A54" s="108"/>
      <c r="B54" s="292"/>
      <c r="C54" s="292"/>
      <c r="D54" s="258"/>
      <c r="E54" s="272">
        <v>50</v>
      </c>
      <c r="F54" s="295" t="str">
        <f ca="1">语言!$A$1060</f>
        <v>善治的地毯</v>
      </c>
      <c r="G54" s="258"/>
      <c r="H54" s="272">
        <v>52</v>
      </c>
      <c r="I54" s="52" t="str">
        <f ca="1">语言!$A$1140</f>
        <v>索克拉丝之诗</v>
      </c>
      <c r="J54" s="258"/>
    </row>
    <row r="55" spans="1:10" ht="12.75" x14ac:dyDescent="0.2">
      <c r="A55" s="108"/>
      <c r="B55" s="282">
        <v>49</v>
      </c>
      <c r="C55" s="282" t="str">
        <f ca="1">语言!$A$545</f>
        <v>增强ＳＰ的坚果（特大）</v>
      </c>
      <c r="D55" s="258"/>
      <c r="E55" s="272">
        <v>51</v>
      </c>
      <c r="F55" s="295" t="str">
        <f ca="1">语言!$A$1061</f>
        <v>拜伦的戒指</v>
      </c>
      <c r="G55" s="258"/>
      <c r="H55" s="272">
        <v>53</v>
      </c>
      <c r="I55" s="18" t="str">
        <f ca="1">语言!$A$1141</f>
        <v>感情很好的老婆婆们</v>
      </c>
      <c r="J55" s="258"/>
    </row>
    <row r="56" spans="1:10" ht="12.75" x14ac:dyDescent="0.2">
      <c r="A56" s="108"/>
      <c r="B56" s="282">
        <v>50</v>
      </c>
      <c r="C56" s="282" t="str">
        <f ca="1">语言!$A$546</f>
        <v>增强物攻的坚果</v>
      </c>
      <c r="D56" s="258"/>
      <c r="E56" s="272">
        <v>52</v>
      </c>
      <c r="F56" s="295" t="str">
        <f ca="1">语言!$A$1062</f>
        <v>索克拉斯之剑</v>
      </c>
      <c r="G56" s="258"/>
      <c r="H56" s="272">
        <v>54</v>
      </c>
      <c r="I56" s="52" t="str">
        <f ca="1">语言!$A$1142</f>
        <v>《十二天之书第７卷》</v>
      </c>
      <c r="J56" s="258"/>
    </row>
    <row r="57" spans="1:10" ht="12.75" x14ac:dyDescent="0.2">
      <c r="A57" s="108"/>
      <c r="B57" s="282">
        <v>51</v>
      </c>
      <c r="C57" s="282" t="str">
        <f ca="1">语言!$A$547</f>
        <v>增强物攻的坚果（大）</v>
      </c>
      <c r="D57" s="258"/>
      <c r="E57" s="272">
        <v>53</v>
      </c>
      <c r="F57" s="295" t="str">
        <f ca="1">语言!$A$1063</f>
        <v>异国的冒险物语</v>
      </c>
      <c r="G57" s="258"/>
      <c r="H57" s="272">
        <v>55</v>
      </c>
      <c r="I57" s="52" t="str">
        <f ca="1">语言!$A$1143</f>
        <v>凡妮莎的去向</v>
      </c>
      <c r="J57" s="258"/>
    </row>
    <row r="58" spans="1:10" ht="12.75" x14ac:dyDescent="0.2">
      <c r="A58" s="108"/>
      <c r="B58" s="282">
        <v>52</v>
      </c>
      <c r="C58" s="282" t="str">
        <f ca="1">语言!$A$548</f>
        <v>增强物攻的坚果（特大）</v>
      </c>
      <c r="D58" s="258"/>
      <c r="E58" s="272">
        <v>54</v>
      </c>
      <c r="F58" s="295" t="str">
        <f ca="1">语言!$A$1064</f>
        <v>蓝道尔家管家的记事本</v>
      </c>
      <c r="G58" s="258"/>
      <c r="H58" s="272">
        <v>56</v>
      </c>
      <c r="I58" s="52" t="str">
        <f ca="1">语言!$A$1144</f>
        <v>大狼出现的地方</v>
      </c>
      <c r="J58" s="258"/>
    </row>
    <row r="59" spans="1:10" ht="12.75" x14ac:dyDescent="0.2">
      <c r="A59" s="108"/>
      <c r="B59" s="282">
        <v>53</v>
      </c>
      <c r="C59" s="282" t="str">
        <f ca="1">语言!$A$549</f>
        <v>增强物防的坚果</v>
      </c>
      <c r="D59" s="258"/>
      <c r="E59" s="272">
        <v>55</v>
      </c>
      <c r="F59" s="291" t="str">
        <f ca="1">语言!$A$1065</f>
        <v>纪念之剑</v>
      </c>
      <c r="G59" s="258"/>
      <c r="H59" s="272">
        <v>57</v>
      </c>
      <c r="I59" s="52" t="str">
        <f ca="1">语言!$A$1145</f>
        <v>大牙野猪的生态</v>
      </c>
      <c r="J59" s="258"/>
    </row>
    <row r="60" spans="1:10" ht="12.75" x14ac:dyDescent="0.2">
      <c r="A60" s="108"/>
      <c r="B60" s="282">
        <v>54</v>
      </c>
      <c r="C60" s="282" t="str">
        <f ca="1">语言!$A$550</f>
        <v>增强物防的坚果（大）</v>
      </c>
      <c r="D60" s="258"/>
      <c r="E60" s="272">
        <v>56</v>
      </c>
      <c r="F60" s="291" t="str">
        <f ca="1">语言!$A$1066</f>
        <v>学习用具</v>
      </c>
      <c r="G60" s="258"/>
      <c r="H60" s="272">
        <v>58</v>
      </c>
      <c r="I60" s="52" t="str">
        <f ca="1">语言!$A$1146</f>
        <v>冰之巨人沉眠之处</v>
      </c>
      <c r="J60" s="258"/>
    </row>
    <row r="61" spans="1:10" ht="12.75" x14ac:dyDescent="0.2">
      <c r="A61" s="108"/>
      <c r="B61" s="282">
        <v>55</v>
      </c>
      <c r="C61" s="282" t="str">
        <f ca="1">语言!$A$551</f>
        <v>增强物防的坚果（特大）</v>
      </c>
      <c r="D61" s="258"/>
      <c r="E61" s="272">
        <v>57</v>
      </c>
      <c r="F61" s="291" t="str">
        <f ca="1">语言!$A$1067</f>
        <v>冒险家的装备</v>
      </c>
      <c r="G61" s="258"/>
      <c r="H61" s="272">
        <v>59</v>
      </c>
      <c r="I61" s="52" t="str">
        <f ca="1">语言!$A$1147</f>
        <v>事件的发生地点</v>
      </c>
      <c r="J61" s="258"/>
    </row>
    <row r="62" spans="1:10" ht="12.75" x14ac:dyDescent="0.2">
      <c r="A62" s="108"/>
      <c r="B62" s="282">
        <v>56</v>
      </c>
      <c r="C62" s="282" t="str">
        <f ca="1">语言!$A$552</f>
        <v>增强属攻的坚果</v>
      </c>
      <c r="D62" s="258"/>
      <c r="E62" s="272">
        <v>58</v>
      </c>
      <c r="F62" s="291" t="str">
        <f ca="1">语言!$A$1068</f>
        <v>老旧的挂毯</v>
      </c>
      <c r="G62" s="258"/>
      <c r="H62" s="272">
        <v>60</v>
      </c>
      <c r="I62" s="52" t="str">
        <f ca="1">语言!$A$1148</f>
        <v>不去扫墓的理由</v>
      </c>
      <c r="J62" s="258"/>
    </row>
    <row r="63" spans="1:10" ht="12.75" x14ac:dyDescent="0.2">
      <c r="A63" s="108"/>
      <c r="B63" s="282">
        <v>57</v>
      </c>
      <c r="C63" s="282" t="str">
        <f ca="1">语言!$A$553</f>
        <v>增强属攻的坚果（大）</v>
      </c>
      <c r="D63" s="258"/>
      <c r="E63" s="272">
        <v>59</v>
      </c>
      <c r="F63" s="291" t="str">
        <f ca="1">语言!$A$1069</f>
        <v>密封的信件</v>
      </c>
      <c r="G63" s="258"/>
      <c r="H63" s="272">
        <v>61</v>
      </c>
      <c r="I63" s="52" t="str">
        <f ca="1">语言!$A$1149</f>
        <v>目击证词</v>
      </c>
      <c r="J63" s="258"/>
    </row>
    <row r="64" spans="1:10" ht="12.75" x14ac:dyDescent="0.2">
      <c r="A64" s="108"/>
      <c r="B64" s="282">
        <v>58</v>
      </c>
      <c r="C64" s="282" t="str">
        <f ca="1">语言!$A$554</f>
        <v>增强属攻的坚果（特大）</v>
      </c>
      <c r="D64" s="258"/>
      <c r="E64" s="272">
        <v>60</v>
      </c>
      <c r="F64" s="291" t="str">
        <f ca="1">语言!$A$1070</f>
        <v>魔剑「大蛇杀手」</v>
      </c>
      <c r="G64" s="258"/>
      <c r="H64" s="258"/>
      <c r="I64" s="258"/>
      <c r="J64" s="258"/>
    </row>
    <row r="65" spans="1:10" ht="12.75" x14ac:dyDescent="0.2">
      <c r="A65" s="108"/>
      <c r="B65" s="282">
        <v>59</v>
      </c>
      <c r="C65" s="282" t="str">
        <f ca="1">语言!$A$555</f>
        <v>增强属防的坚果</v>
      </c>
      <c r="D65" s="258"/>
      <c r="E65" s="272">
        <v>61</v>
      </c>
      <c r="F65" s="291" t="str">
        <f ca="1">语言!$A$1071</f>
        <v>杰夫的信</v>
      </c>
      <c r="G65" s="258"/>
      <c r="H65" s="258"/>
      <c r="I65" s="258"/>
      <c r="J65" s="258"/>
    </row>
    <row r="66" spans="1:10" ht="12.75" x14ac:dyDescent="0.2">
      <c r="A66" s="108"/>
      <c r="B66" s="282">
        <v>60</v>
      </c>
      <c r="C66" s="282" t="str">
        <f ca="1">语言!$A$556</f>
        <v>增强属防的坚果（大）</v>
      </c>
      <c r="D66" s="258"/>
      <c r="E66" s="272">
        <v>62</v>
      </c>
      <c r="F66" s="291" t="str">
        <f ca="1">语言!$A$1072</f>
        <v>图书馆员的信</v>
      </c>
      <c r="G66" s="258"/>
      <c r="H66" s="258"/>
      <c r="I66" s="258"/>
      <c r="J66" s="258"/>
    </row>
    <row r="67" spans="1:10" ht="12.75" x14ac:dyDescent="0.2">
      <c r="A67" s="108"/>
      <c r="B67" s="292"/>
      <c r="C67" s="292"/>
      <c r="D67" s="258"/>
      <c r="E67" s="272">
        <v>63</v>
      </c>
      <c r="F67" s="291" t="str">
        <f ca="1">语言!$A$1073</f>
        <v>传家之宝的项链</v>
      </c>
      <c r="G67" s="258"/>
      <c r="H67" s="258"/>
      <c r="I67" s="258"/>
      <c r="J67" s="258"/>
    </row>
    <row r="68" spans="1:10" ht="12.75" x14ac:dyDescent="0.2">
      <c r="A68" s="108"/>
      <c r="B68" s="282">
        <v>61</v>
      </c>
      <c r="C68" s="282" t="str">
        <f ca="1">语言!$A$557</f>
        <v>增强属防的坚果（特大）</v>
      </c>
      <c r="D68" s="258"/>
      <c r="E68" s="272">
        <v>64</v>
      </c>
      <c r="F68" s="291" t="str">
        <f ca="1">语言!$A$1074</f>
        <v>约顿之角</v>
      </c>
      <c r="G68" s="258"/>
      <c r="H68" s="258"/>
      <c r="I68" s="258"/>
      <c r="J68" s="258"/>
    </row>
    <row r="69" spans="1:10" ht="12.75" x14ac:dyDescent="0.2">
      <c r="A69" s="108"/>
      <c r="B69" s="282">
        <v>62</v>
      </c>
      <c r="C69" s="282" t="str">
        <f ca="1">语言!$A$558</f>
        <v>增强命中的坚果</v>
      </c>
      <c r="D69" s="258"/>
      <c r="E69" s="272">
        <v>65</v>
      </c>
      <c r="F69" s="291" t="str">
        <f ca="1">语言!$A$1075</f>
        <v>巨大的蛋</v>
      </c>
      <c r="G69" s="258"/>
      <c r="H69" s="258"/>
      <c r="I69" s="258"/>
      <c r="J69" s="258"/>
    </row>
    <row r="70" spans="1:10" ht="12.75" x14ac:dyDescent="0.2">
      <c r="A70" s="108"/>
      <c r="B70" s="282">
        <v>63</v>
      </c>
      <c r="C70" s="282" t="str">
        <f ca="1">语言!$A$559</f>
        <v>增强命中的坚果（大）</v>
      </c>
      <c r="D70" s="258"/>
      <c r="E70" s="272">
        <v>66</v>
      </c>
      <c r="F70" s="291" t="str">
        <f ca="1">语言!$A$1076</f>
        <v>誓约的勋章</v>
      </c>
      <c r="G70" s="258"/>
      <c r="H70" s="258"/>
      <c r="I70" s="258"/>
      <c r="J70" s="258"/>
    </row>
    <row r="71" spans="1:10" ht="12.75" x14ac:dyDescent="0.2">
      <c r="A71" s="108"/>
      <c r="B71" s="282">
        <v>64</v>
      </c>
      <c r="C71" s="282" t="str">
        <f ca="1">语言!$A$560</f>
        <v>增强命中的坚果（特大）</v>
      </c>
      <c r="D71" s="258"/>
      <c r="E71" s="272">
        <v>67</v>
      </c>
      <c r="F71" s="295" t="str">
        <f ca="1">语言!$A$1077</f>
        <v>雨果的记事本</v>
      </c>
      <c r="G71" s="258"/>
      <c r="H71" s="258"/>
      <c r="I71" s="258"/>
      <c r="J71" s="258"/>
    </row>
    <row r="72" spans="1:10" ht="12.75" x14ac:dyDescent="0.2">
      <c r="A72" s="108"/>
      <c r="B72" s="282">
        <v>65</v>
      </c>
      <c r="C72" s="282" t="str">
        <f ca="1">语言!$A$561</f>
        <v>增强回避的坚果</v>
      </c>
      <c r="D72" s="258"/>
      <c r="E72" s="272">
        <v>68</v>
      </c>
      <c r="F72" s="291" t="str">
        <f ca="1">语言!$A$1078</f>
        <v>回忆草</v>
      </c>
      <c r="G72" s="258"/>
      <c r="H72" s="258"/>
      <c r="I72" s="258"/>
      <c r="J72" s="258"/>
    </row>
    <row r="73" spans="1:10" ht="12.75" x14ac:dyDescent="0.2">
      <c r="A73" s="108"/>
      <c r="B73" s="282">
        <v>66</v>
      </c>
      <c r="C73" s="282" t="str">
        <f ca="1">语言!$A$562</f>
        <v>增强回避的坚果（大）</v>
      </c>
      <c r="D73" s="258"/>
      <c r="E73" s="272">
        <v>69</v>
      </c>
      <c r="F73" s="291" t="str">
        <f ca="1">语言!$A$1079</f>
        <v>想写在日记上的逸品</v>
      </c>
      <c r="G73" s="258"/>
      <c r="H73" s="258"/>
      <c r="I73" s="258"/>
      <c r="J73" s="258"/>
    </row>
    <row r="74" spans="1:10" ht="12.75" x14ac:dyDescent="0.2">
      <c r="A74" s="108"/>
      <c r="B74" s="282">
        <v>67</v>
      </c>
      <c r="C74" s="282" t="str">
        <f ca="1">语言!$A$563</f>
        <v>增强回避的坚果（特大）</v>
      </c>
      <c r="D74" s="258"/>
      <c r="E74" s="272">
        <v>70</v>
      </c>
      <c r="F74" s="291" t="str">
        <f ca="1">语言!$A$1080</f>
        <v>想写在日记上的绝品</v>
      </c>
      <c r="G74" s="258"/>
      <c r="H74" s="258"/>
      <c r="I74" s="258"/>
      <c r="J74" s="258"/>
    </row>
    <row r="75" spans="1:10" ht="12.75" x14ac:dyDescent="0.2">
      <c r="A75" s="108"/>
      <c r="B75" s="282">
        <v>68</v>
      </c>
      <c r="C75" s="282" t="str">
        <f ca="1">语言!$A$564</f>
        <v>增强会心的坚果</v>
      </c>
      <c r="D75" s="258"/>
      <c r="E75" s="272">
        <v>71</v>
      </c>
      <c r="F75" s="291" t="str">
        <f ca="1">语言!$A$1081</f>
        <v>想写在日记上的名品</v>
      </c>
      <c r="G75" s="258"/>
      <c r="H75" s="258"/>
      <c r="I75" s="258"/>
      <c r="J75" s="258"/>
    </row>
    <row r="76" spans="1:10" ht="12.75" x14ac:dyDescent="0.2">
      <c r="A76" s="108"/>
      <c r="B76" s="282">
        <v>69</v>
      </c>
      <c r="C76" s="282" t="str">
        <f ca="1">语言!$A$565</f>
        <v>增强会心的坚果（大）</v>
      </c>
      <c r="D76" s="258"/>
      <c r="E76" s="272">
        <v>72</v>
      </c>
      <c r="F76" s="291" t="str">
        <f ca="1">语言!$A$1082</f>
        <v>四轴花</v>
      </c>
      <c r="G76" s="258"/>
      <c r="H76" s="258"/>
      <c r="I76" s="258"/>
      <c r="J76" s="258"/>
    </row>
    <row r="77" spans="1:10" ht="12.75" x14ac:dyDescent="0.2">
      <c r="A77" s="108"/>
      <c r="B77" s="282">
        <v>70</v>
      </c>
      <c r="C77" s="282" t="str">
        <f ca="1">语言!$A$566</f>
        <v>增强会心的坚果（特大）</v>
      </c>
      <c r="D77" s="258"/>
      <c r="E77" s="272">
        <v>73</v>
      </c>
      <c r="F77" s="291" t="str">
        <f ca="1">语言!$A$1083</f>
        <v>龙蛋</v>
      </c>
      <c r="G77" s="258"/>
      <c r="H77" s="258"/>
      <c r="I77" s="258"/>
      <c r="J77" s="258"/>
    </row>
    <row r="78" spans="1:10" ht="12.75" x14ac:dyDescent="0.2">
      <c r="A78" s="108"/>
      <c r="B78" s="282">
        <v>71</v>
      </c>
      <c r="C78" s="282" t="str">
        <f ca="1">语言!$A$567</f>
        <v>增强速度的坚果</v>
      </c>
      <c r="D78" s="258"/>
      <c r="E78" s="272">
        <v>74</v>
      </c>
      <c r="F78" s="291" t="str">
        <f ca="1">语言!$A$1084</f>
        <v>来自诺雅的信</v>
      </c>
      <c r="G78" s="258"/>
      <c r="H78" s="258"/>
      <c r="I78" s="258"/>
      <c r="J78" s="258"/>
    </row>
    <row r="79" spans="1:10" ht="12.75" x14ac:dyDescent="0.2">
      <c r="A79" s="108"/>
      <c r="B79" s="282">
        <v>72</v>
      </c>
      <c r="C79" s="282" t="str">
        <f ca="1">语言!$A$568</f>
        <v>增强速度的坚果（大）</v>
      </c>
      <c r="D79" s="258"/>
      <c r="E79" s="272">
        <v>75</v>
      </c>
      <c r="F79" s="291" t="str">
        <f ca="1">语言!$A$1085</f>
        <v>青金石</v>
      </c>
      <c r="G79" s="258"/>
      <c r="H79" s="258"/>
      <c r="I79" s="258"/>
      <c r="J79" s="258"/>
    </row>
    <row r="80" spans="1:10" ht="12.75" x14ac:dyDescent="0.2">
      <c r="A80" s="108"/>
      <c r="B80" s="292"/>
      <c r="C80" s="292"/>
      <c r="D80" s="258"/>
      <c r="E80" s="272">
        <v>76</v>
      </c>
      <c r="F80" s="291" t="str">
        <f ca="1">语言!$A$1086</f>
        <v>大狼的獠牙</v>
      </c>
      <c r="G80" s="258"/>
      <c r="H80" s="258"/>
      <c r="I80" s="258"/>
      <c r="J80" s="258"/>
    </row>
    <row r="81" spans="1:10" ht="12.75" x14ac:dyDescent="0.2">
      <c r="A81" s="108"/>
      <c r="B81" s="282">
        <v>73</v>
      </c>
      <c r="C81" s="282" t="str">
        <f ca="1">语言!$A$569</f>
        <v>增强速度的坚果（特大）</v>
      </c>
      <c r="D81" s="258"/>
      <c r="E81" s="272">
        <v>77</v>
      </c>
      <c r="F81" s="247" t="str">
        <f ca="1">语言!$A$1087</f>
        <v>古代荷鲁布尔古语辞典</v>
      </c>
      <c r="G81" s="258"/>
      <c r="H81" s="258"/>
      <c r="I81" s="258"/>
      <c r="J81" s="258"/>
    </row>
    <row r="82" spans="1:10" ht="12.75" x14ac:dyDescent="0.2">
      <c r="A82" s="108"/>
      <c r="B82" s="282">
        <v>74</v>
      </c>
      <c r="C82" s="282" t="str">
        <f ca="1">语言!$A$570</f>
        <v>一段麻绳</v>
      </c>
      <c r="D82" s="296"/>
      <c r="E82" s="296"/>
      <c r="F82" s="286"/>
      <c r="G82" s="296"/>
      <c r="H82" s="296"/>
      <c r="I82" s="258"/>
      <c r="J82" s="258"/>
    </row>
    <row r="83" spans="1:10" ht="12.75" x14ac:dyDescent="0.2">
      <c r="A83" s="108"/>
      <c r="B83" s="282">
        <v>75</v>
      </c>
      <c r="C83" s="282" t="str">
        <f ca="1">语言!$A$571</f>
        <v>绒毛娃娃</v>
      </c>
      <c r="D83" s="296"/>
      <c r="E83" s="622"/>
      <c r="F83" s="618" t="s">
        <v>277</v>
      </c>
      <c r="G83" s="371"/>
      <c r="H83" s="371"/>
      <c r="I83" s="371"/>
      <c r="J83" s="258"/>
    </row>
    <row r="84" spans="1:10" ht="12.75" x14ac:dyDescent="0.2">
      <c r="A84" s="108"/>
      <c r="B84" s="282">
        <v>76</v>
      </c>
      <c r="C84" s="282" t="str">
        <f ca="1">语言!$A$572</f>
        <v>糖果</v>
      </c>
      <c r="D84" s="296"/>
      <c r="E84" s="371"/>
      <c r="F84" s="371"/>
      <c r="G84" s="371"/>
      <c r="H84" s="371"/>
      <c r="I84" s="371"/>
      <c r="J84" s="258"/>
    </row>
    <row r="85" spans="1:10" ht="12.75" x14ac:dyDescent="0.2">
      <c r="A85" s="108"/>
      <c r="B85" s="282">
        <v>77</v>
      </c>
      <c r="C85" s="282" t="str">
        <f ca="1">语言!$A$573</f>
        <v>玻璃珠</v>
      </c>
      <c r="D85" s="258"/>
      <c r="E85" s="623"/>
      <c r="F85" s="618" t="s">
        <v>278</v>
      </c>
      <c r="G85" s="371"/>
      <c r="H85" s="371"/>
      <c r="I85" s="371"/>
      <c r="J85" s="258"/>
    </row>
    <row r="86" spans="1:10" ht="12.75" x14ac:dyDescent="0.2">
      <c r="A86" s="108"/>
      <c r="B86" s="282">
        <v>78</v>
      </c>
      <c r="C86" s="282" t="str">
        <f ca="1">语言!$A$574</f>
        <v>手帕</v>
      </c>
      <c r="D86" s="258"/>
      <c r="E86" s="371"/>
      <c r="F86" s="371"/>
      <c r="G86" s="371"/>
      <c r="H86" s="371"/>
      <c r="I86" s="371"/>
      <c r="J86" s="258"/>
    </row>
    <row r="87" spans="1:10" ht="12.75" x14ac:dyDescent="0.2">
      <c r="A87" s="108"/>
      <c r="B87" s="282">
        <v>79</v>
      </c>
      <c r="C87" s="282" t="str">
        <f ca="1">语言!$A$575</f>
        <v>小酒壶</v>
      </c>
      <c r="D87" s="258"/>
      <c r="E87" s="624"/>
      <c r="F87" s="616" t="s">
        <v>279</v>
      </c>
      <c r="G87" s="371"/>
      <c r="H87" s="371"/>
      <c r="I87" s="371"/>
      <c r="J87" s="258"/>
    </row>
    <row r="88" spans="1:10" ht="12.75" x14ac:dyDescent="0.2">
      <c r="A88" s="108"/>
      <c r="B88" s="282">
        <v>80</v>
      </c>
      <c r="C88" s="282" t="str">
        <f ca="1">语言!$A$576</f>
        <v>种子</v>
      </c>
      <c r="D88" s="258"/>
      <c r="E88" s="371"/>
      <c r="F88" s="371"/>
      <c r="G88" s="371"/>
      <c r="H88" s="371"/>
      <c r="I88" s="371"/>
      <c r="J88" s="258"/>
    </row>
    <row r="89" spans="1:10" ht="12.75" x14ac:dyDescent="0.2">
      <c r="A89" s="108"/>
      <c r="B89" s="282">
        <v>81</v>
      </c>
      <c r="C89" s="282" t="str">
        <f ca="1">语言!$A$577</f>
        <v>鱼齿</v>
      </c>
      <c r="D89" s="258"/>
      <c r="E89" s="617"/>
      <c r="F89" s="618" t="s">
        <v>280</v>
      </c>
      <c r="G89" s="371"/>
      <c r="H89" s="371"/>
      <c r="I89" s="371"/>
      <c r="J89" s="258"/>
    </row>
    <row r="90" spans="1:10" ht="12.75" x14ac:dyDescent="0.2">
      <c r="A90" s="108"/>
      <c r="B90" s="282">
        <v>82</v>
      </c>
      <c r="C90" s="282" t="str">
        <f ca="1">语言!$A$578</f>
        <v>原石</v>
      </c>
      <c r="D90" s="258"/>
      <c r="E90" s="371"/>
      <c r="F90" s="371"/>
      <c r="G90" s="371"/>
      <c r="H90" s="371"/>
      <c r="I90" s="371"/>
      <c r="J90" s="258"/>
    </row>
    <row r="91" spans="1:10" ht="12.75" x14ac:dyDescent="0.2">
      <c r="A91" s="108"/>
      <c r="B91" s="282">
        <v>83</v>
      </c>
      <c r="C91" s="282" t="str">
        <f ca="1">语言!$A$579</f>
        <v>树木果实</v>
      </c>
      <c r="D91" s="258"/>
      <c r="E91" s="258"/>
      <c r="F91" s="258"/>
      <c r="G91" s="258"/>
      <c r="H91" s="258"/>
      <c r="I91" s="258"/>
      <c r="J91" s="258"/>
    </row>
    <row r="92" spans="1:10" ht="12.75" x14ac:dyDescent="0.2">
      <c r="A92" s="108"/>
      <c r="B92" s="282">
        <v>84</v>
      </c>
      <c r="C92" s="282" t="str">
        <f ca="1">语言!$A$580</f>
        <v>发梳</v>
      </c>
      <c r="D92" s="258"/>
      <c r="E92" s="258"/>
      <c r="F92" s="258"/>
      <c r="G92" s="258"/>
      <c r="H92" s="258"/>
      <c r="I92" s="258"/>
      <c r="J92" s="258"/>
    </row>
    <row r="93" spans="1:10" ht="12.75" x14ac:dyDescent="0.2">
      <c r="A93" s="108"/>
      <c r="B93" s="292"/>
      <c r="C93" s="292"/>
      <c r="D93" s="258"/>
      <c r="E93" s="258"/>
      <c r="F93" s="258"/>
      <c r="G93" s="258"/>
      <c r="H93" s="258"/>
      <c r="I93" s="258"/>
      <c r="J93" s="258"/>
    </row>
    <row r="94" spans="1:10" ht="12.75" x14ac:dyDescent="0.2">
      <c r="A94" s="108"/>
      <c r="B94" s="282">
        <v>85</v>
      </c>
      <c r="C94" s="282" t="str">
        <f ca="1">语言!$A$581</f>
        <v>空空的钱包</v>
      </c>
      <c r="D94" s="258"/>
      <c r="E94" s="258"/>
      <c r="F94" s="258"/>
      <c r="G94" s="258"/>
      <c r="H94" s="258"/>
      <c r="I94" s="258"/>
      <c r="J94" s="258"/>
    </row>
    <row r="95" spans="1:10" ht="12.75" x14ac:dyDescent="0.2">
      <c r="A95" s="108"/>
      <c r="B95" s="282">
        <v>86</v>
      </c>
      <c r="C95" s="282" t="str">
        <f ca="1">语言!$A$582</f>
        <v>钱包</v>
      </c>
      <c r="D95" s="258"/>
      <c r="E95" s="258"/>
      <c r="F95" s="258"/>
      <c r="G95" s="258"/>
      <c r="H95" s="258"/>
      <c r="I95" s="258"/>
      <c r="J95" s="258"/>
    </row>
    <row r="96" spans="1:10" ht="12.75" x14ac:dyDescent="0.2">
      <c r="A96" s="108"/>
      <c r="B96" s="282">
        <v>87</v>
      </c>
      <c r="C96" s="282" t="str">
        <f ca="1">语言!$A$583</f>
        <v>装了破烂儿的小袋子</v>
      </c>
      <c r="D96" s="258"/>
      <c r="E96" s="258"/>
      <c r="F96" s="258"/>
      <c r="G96" s="258"/>
      <c r="H96" s="258"/>
      <c r="I96" s="258"/>
      <c r="J96" s="258"/>
    </row>
    <row r="97" spans="1:10" ht="12.75" x14ac:dyDescent="0.2">
      <c r="A97" s="108"/>
      <c r="B97" s="282">
        <v>88</v>
      </c>
      <c r="C97" s="282" t="str">
        <f ca="1">语言!$A$584</f>
        <v>大鸟的羽毛</v>
      </c>
      <c r="D97" s="258"/>
      <c r="E97" s="258"/>
      <c r="F97" s="258"/>
      <c r="G97" s="258"/>
      <c r="H97" s="258"/>
      <c r="I97" s="258"/>
      <c r="J97" s="258"/>
    </row>
    <row r="98" spans="1:10" ht="12.75" x14ac:dyDescent="0.2">
      <c r="A98" s="108"/>
      <c r="B98" s="282">
        <v>89</v>
      </c>
      <c r="C98" s="282" t="str">
        <f ca="1">语言!$A$585</f>
        <v>貌似金矿石的东西</v>
      </c>
      <c r="D98" s="258"/>
      <c r="E98" s="258"/>
      <c r="F98" s="258"/>
      <c r="G98" s="258"/>
      <c r="H98" s="258"/>
      <c r="I98" s="258"/>
      <c r="J98" s="258"/>
    </row>
    <row r="99" spans="1:10" ht="12.75" x14ac:dyDescent="0.2">
      <c r="A99" s="108"/>
      <c r="B99" s="282">
        <v>90</v>
      </c>
      <c r="C99" s="282" t="str">
        <f ca="1">语言!$A$586</f>
        <v>金矿石般的东西</v>
      </c>
      <c r="D99" s="258"/>
      <c r="E99" s="258"/>
      <c r="F99" s="258"/>
      <c r="G99" s="258"/>
      <c r="H99" s="258"/>
      <c r="I99" s="258"/>
      <c r="J99" s="258"/>
    </row>
    <row r="100" spans="1:10" ht="12.75" x14ac:dyDescent="0.2">
      <c r="A100" s="108"/>
      <c r="B100" s="282">
        <v>91</v>
      </c>
      <c r="C100" s="282" t="str">
        <f ca="1">语言!$A$587</f>
        <v>看起来像金矿石的东西</v>
      </c>
      <c r="D100" s="258"/>
      <c r="E100" s="258"/>
      <c r="F100" s="258"/>
      <c r="G100" s="258"/>
      <c r="H100" s="258"/>
      <c r="I100" s="258"/>
      <c r="J100" s="258"/>
    </row>
    <row r="101" spans="1:10" ht="12.75" x14ac:dyDescent="0.2">
      <c r="A101" s="108"/>
      <c r="B101" s="282">
        <v>92</v>
      </c>
      <c r="C101" s="282" t="str">
        <f ca="1">语言!$A$588</f>
        <v>铜制提灯</v>
      </c>
      <c r="D101" s="258"/>
      <c r="E101" s="258"/>
      <c r="F101" s="258"/>
      <c r="G101" s="258"/>
      <c r="H101" s="258"/>
      <c r="I101" s="258"/>
      <c r="J101" s="258"/>
    </row>
    <row r="102" spans="1:10" ht="12.75" x14ac:dyDescent="0.2">
      <c r="A102" s="108"/>
      <c r="B102" s="282">
        <v>93</v>
      </c>
      <c r="C102" s="282" t="str">
        <f ca="1">语言!$A$589</f>
        <v>骨头</v>
      </c>
      <c r="D102" s="258"/>
      <c r="E102" s="258"/>
      <c r="F102" s="258"/>
      <c r="G102" s="258"/>
      <c r="H102" s="258"/>
      <c r="I102" s="258"/>
      <c r="J102" s="258"/>
    </row>
    <row r="103" spans="1:10" ht="12.75" x14ac:dyDescent="0.2">
      <c r="A103" s="108"/>
      <c r="B103" s="282">
        <v>94</v>
      </c>
      <c r="C103" s="282" t="str">
        <f ca="1">语言!$A$590</f>
        <v>磨损的鞋子</v>
      </c>
      <c r="D103" s="258"/>
      <c r="E103" s="258"/>
      <c r="F103" s="258"/>
      <c r="G103" s="258"/>
      <c r="H103" s="258"/>
      <c r="I103" s="258"/>
      <c r="J103" s="258"/>
    </row>
    <row r="104" spans="1:10" ht="12.75" x14ac:dyDescent="0.2">
      <c r="A104" s="108"/>
      <c r="B104" s="282">
        <v>95</v>
      </c>
      <c r="C104" s="282" t="str">
        <f ca="1">语言!$A$591</f>
        <v>脏脏的布球</v>
      </c>
      <c r="D104" s="258"/>
      <c r="E104" s="258"/>
      <c r="F104" s="258"/>
      <c r="G104" s="258"/>
      <c r="H104" s="258"/>
      <c r="I104" s="258"/>
      <c r="J104" s="258"/>
    </row>
    <row r="105" spans="1:10" ht="12.75" x14ac:dyDescent="0.2">
      <c r="A105" s="108"/>
      <c r="B105" s="282">
        <v>96</v>
      </c>
      <c r="C105" s="282" t="str">
        <f ca="1">语言!$A$592</f>
        <v>项圈</v>
      </c>
      <c r="D105" s="258"/>
      <c r="E105" s="258"/>
      <c r="F105" s="258"/>
      <c r="G105" s="258"/>
      <c r="H105" s="258"/>
      <c r="I105" s="258"/>
      <c r="J105" s="258"/>
    </row>
    <row r="106" spans="1:10" ht="12.75" x14ac:dyDescent="0.2">
      <c r="A106" s="108"/>
      <c r="B106" s="292"/>
      <c r="C106" s="292"/>
      <c r="D106" s="258"/>
      <c r="E106" s="258"/>
      <c r="F106" s="258"/>
      <c r="G106" s="258"/>
      <c r="H106" s="258"/>
      <c r="I106" s="258"/>
      <c r="J106" s="258"/>
    </row>
    <row r="107" spans="1:10" ht="12.75" x14ac:dyDescent="0.2">
      <c r="A107" s="108"/>
      <c r="B107" s="282">
        <v>97</v>
      </c>
      <c r="C107" s="282" t="str">
        <f ca="1">语言!$A$593</f>
        <v>会中毒果实</v>
      </c>
      <c r="D107" s="258"/>
      <c r="E107" s="258"/>
      <c r="F107" s="258"/>
      <c r="G107" s="258"/>
      <c r="H107" s="258"/>
      <c r="I107" s="258"/>
      <c r="J107" s="258"/>
    </row>
    <row r="108" spans="1:10" ht="12.75" x14ac:dyDescent="0.2">
      <c r="A108" s="108"/>
      <c r="B108" s="282">
        <v>98</v>
      </c>
      <c r="C108" s="282" t="str">
        <f ca="1">语言!$A$594</f>
        <v>失神饮料</v>
      </c>
      <c r="D108" s="258"/>
      <c r="E108" s="258"/>
      <c r="F108" s="258"/>
      <c r="G108" s="258"/>
      <c r="H108" s="258"/>
      <c r="I108" s="258"/>
      <c r="J108" s="258"/>
    </row>
    <row r="109" spans="1:10" ht="12.75" x14ac:dyDescent="0.2">
      <c r="A109" s="108"/>
      <c r="B109" s="282">
        <v>99</v>
      </c>
      <c r="C109" s="282" t="str">
        <f ca="1">语言!$A$595</f>
        <v>鲜红的苹果</v>
      </c>
      <c r="D109" s="258"/>
      <c r="E109" s="258"/>
      <c r="F109" s="258"/>
      <c r="G109" s="258"/>
      <c r="H109" s="258"/>
      <c r="I109" s="258"/>
      <c r="J109" s="258"/>
    </row>
    <row r="110" spans="1:10" ht="12.75" x14ac:dyDescent="0.2">
      <c r="A110" s="108"/>
      <c r="B110" s="282">
        <v>100</v>
      </c>
      <c r="C110" s="282" t="str">
        <f ca="1">语言!$A$596</f>
        <v>吐息瓶</v>
      </c>
      <c r="D110" s="258"/>
      <c r="E110" s="258"/>
      <c r="F110" s="258"/>
      <c r="G110" s="258"/>
      <c r="H110" s="258"/>
      <c r="I110" s="258"/>
      <c r="J110" s="258"/>
    </row>
    <row r="111" spans="1:10" ht="12.75" x14ac:dyDescent="0.2">
      <c r="A111" s="108"/>
      <c r="B111" s="282">
        <v>101</v>
      </c>
      <c r="C111" s="282" t="str">
        <f ca="1">语言!$A$597</f>
        <v>魔物香水</v>
      </c>
      <c r="D111" s="258"/>
      <c r="E111" s="258"/>
      <c r="F111" s="258"/>
      <c r="G111" s="258"/>
      <c r="H111" s="258"/>
      <c r="I111" s="258"/>
      <c r="J111" s="258"/>
    </row>
    <row r="112" spans="1:10" ht="12.75" x14ac:dyDescent="0.2">
      <c r="A112" s="108"/>
      <c r="B112" s="282">
        <v>102</v>
      </c>
      <c r="C112" s="282" t="str">
        <f ca="1">语言!$A$598</f>
        <v>小杯子</v>
      </c>
      <c r="D112" s="258"/>
      <c r="E112" s="258"/>
      <c r="F112" s="258"/>
      <c r="G112" s="258"/>
      <c r="H112" s="258"/>
      <c r="I112" s="258"/>
      <c r="J112" s="258"/>
    </row>
    <row r="113" spans="1:10" ht="12.75" x14ac:dyDescent="0.2">
      <c r="A113" s="108"/>
      <c r="B113" s="282">
        <v>103</v>
      </c>
      <c r="C113" s="282" t="str">
        <f ca="1">语言!$A$599</f>
        <v>擦得亮晶晶的银手表</v>
      </c>
      <c r="D113" s="258"/>
      <c r="E113" s="258"/>
      <c r="F113" s="258"/>
      <c r="G113" s="258"/>
      <c r="H113" s="258"/>
      <c r="I113" s="258"/>
      <c r="J113" s="258"/>
    </row>
    <row r="114" spans="1:10" ht="12.75" x14ac:dyDescent="0.2">
      <c r="A114" s="108"/>
      <c r="B114" s="282">
        <v>104</v>
      </c>
      <c r="C114" s="282" t="str">
        <f ca="1">语言!$A$600</f>
        <v>带吻痕的肖像画</v>
      </c>
      <c r="D114" s="258"/>
      <c r="E114" s="258"/>
      <c r="F114" s="258"/>
      <c r="G114" s="258"/>
      <c r="H114" s="258"/>
      <c r="I114" s="258"/>
      <c r="J114" s="258"/>
    </row>
    <row r="115" spans="1:10" ht="12.75" x14ac:dyDescent="0.2">
      <c r="A115" s="108"/>
      <c r="B115" s="282">
        <v>105</v>
      </c>
      <c r="C115" s="282" t="str">
        <f ca="1">语言!$A$601</f>
        <v>简单！冒险者入门</v>
      </c>
      <c r="D115" s="258"/>
      <c r="E115" s="258"/>
      <c r="F115" s="258"/>
      <c r="G115" s="258"/>
      <c r="H115" s="258"/>
      <c r="I115" s="258"/>
      <c r="J115" s="258"/>
    </row>
    <row r="116" spans="1:10" ht="12.75" x14ac:dyDescent="0.2">
      <c r="A116" s="108"/>
      <c r="B116" s="282">
        <v>106</v>
      </c>
      <c r="C116" s="282" t="str">
        <f ca="1">语言!$A$602</f>
        <v>稀奇的石头</v>
      </c>
      <c r="D116" s="258"/>
      <c r="E116" s="258"/>
      <c r="F116" s="258"/>
      <c r="G116" s="258"/>
      <c r="H116" s="258"/>
      <c r="I116" s="258"/>
      <c r="J116" s="258"/>
    </row>
    <row r="117" spans="1:10" ht="12.75" x14ac:dyDescent="0.2">
      <c r="A117" s="108"/>
      <c r="B117" s="282">
        <v>107</v>
      </c>
      <c r="C117" s="282" t="str">
        <f ca="1">语言!$A$603</f>
        <v>鼓胀的钱包</v>
      </c>
      <c r="D117" s="258"/>
      <c r="E117" s="258"/>
      <c r="F117" s="258"/>
      <c r="G117" s="258"/>
      <c r="H117" s="258"/>
      <c r="I117" s="258"/>
      <c r="J117" s="258"/>
    </row>
    <row r="118" spans="1:10" ht="12.75" x14ac:dyDescent="0.2">
      <c r="A118" s="108"/>
      <c r="B118" s="282">
        <v>108</v>
      </c>
      <c r="C118" s="282" t="str">
        <f ca="1">语言!$A$604</f>
        <v>纪念金币</v>
      </c>
      <c r="D118" s="258"/>
      <c r="E118" s="258"/>
      <c r="F118" s="258"/>
      <c r="G118" s="258"/>
      <c r="H118" s="258"/>
      <c r="I118" s="258"/>
      <c r="J118" s="258"/>
    </row>
    <row r="119" spans="1:10" ht="12.75" x14ac:dyDescent="0.2">
      <c r="A119" s="108"/>
      <c r="B119" s="292"/>
      <c r="C119" s="292"/>
      <c r="D119" s="258"/>
      <c r="E119" s="258"/>
      <c r="F119" s="258"/>
      <c r="G119" s="258"/>
      <c r="H119" s="258"/>
      <c r="I119" s="258"/>
      <c r="J119" s="258"/>
    </row>
    <row r="120" spans="1:10" ht="12.75" x14ac:dyDescent="0.2">
      <c r="A120" s="108"/>
      <c r="B120" s="282">
        <v>109</v>
      </c>
      <c r="C120" s="282" t="str">
        <f ca="1">语言!$A$605</f>
        <v>放了银块的皮袋</v>
      </c>
      <c r="D120" s="258"/>
      <c r="E120" s="258"/>
      <c r="F120" s="258"/>
      <c r="G120" s="258"/>
      <c r="H120" s="258"/>
      <c r="I120" s="258"/>
      <c r="J120" s="258"/>
    </row>
    <row r="121" spans="1:10" ht="12.75" x14ac:dyDescent="0.2">
      <c r="A121" s="108"/>
      <c r="B121" s="282">
        <v>110</v>
      </c>
      <c r="C121" s="282" t="str">
        <f ca="1">语言!$A$606</f>
        <v>鸡毛掸子</v>
      </c>
      <c r="D121" s="258"/>
      <c r="E121" s="258"/>
      <c r="F121" s="258"/>
      <c r="G121" s="258"/>
      <c r="H121" s="258"/>
      <c r="I121" s="258"/>
      <c r="J121" s="258"/>
    </row>
    <row r="122" spans="1:10" ht="12.75" x14ac:dyDescent="0.2">
      <c r="A122" s="108"/>
      <c r="B122" s="282">
        <v>111</v>
      </c>
      <c r="C122" s="282" t="str">
        <f ca="1">语言!$A$607</f>
        <v>阿里的面包</v>
      </c>
      <c r="D122" s="258"/>
      <c r="E122" s="258"/>
      <c r="F122" s="258"/>
      <c r="G122" s="258"/>
      <c r="H122" s="258"/>
      <c r="I122" s="258"/>
      <c r="J122" s="258"/>
    </row>
    <row r="123" spans="1:10" ht="12.75" x14ac:dyDescent="0.2">
      <c r="A123" s="108"/>
      <c r="B123" s="282">
        <v>112</v>
      </c>
      <c r="C123" s="282" t="str">
        <f ca="1">语言!$A$608</f>
        <v>约书亚的诗</v>
      </c>
      <c r="D123" s="258"/>
      <c r="E123" s="258"/>
      <c r="F123" s="258"/>
      <c r="G123" s="258"/>
      <c r="H123" s="258"/>
      <c r="I123" s="258"/>
      <c r="J123" s="258"/>
    </row>
    <row r="124" spans="1:10" ht="12.75" x14ac:dyDescent="0.2">
      <c r="A124" s="108"/>
      <c r="B124" s="282">
        <v>113</v>
      </c>
      <c r="C124" s="282" t="str">
        <f ca="1">语言!$A$609</f>
        <v>猫眼石</v>
      </c>
      <c r="D124" s="258"/>
      <c r="E124" s="258"/>
      <c r="F124" s="258"/>
      <c r="G124" s="258"/>
      <c r="H124" s="258"/>
      <c r="I124" s="258"/>
      <c r="J124" s="258"/>
    </row>
    <row r="125" spans="1:10" ht="12.75" x14ac:dyDescent="0.2">
      <c r="A125" s="108"/>
      <c r="B125" s="282">
        <v>114</v>
      </c>
      <c r="C125" s="282" t="str">
        <f ca="1">语言!$A$610</f>
        <v>带钱的项圈</v>
      </c>
      <c r="D125" s="258"/>
      <c r="E125" s="258"/>
      <c r="F125" s="258"/>
      <c r="G125" s="258"/>
      <c r="H125" s="258"/>
      <c r="I125" s="258"/>
      <c r="J125" s="258"/>
    </row>
    <row r="126" spans="1:10" ht="12.75" x14ac:dyDescent="0.2">
      <c r="A126" s="108"/>
      <c r="B126" s="282">
        <v>115</v>
      </c>
      <c r="C126" s="282" t="str">
        <f ca="1">语言!$A$611</f>
        <v>旧硬币</v>
      </c>
      <c r="D126" s="258"/>
      <c r="E126" s="258"/>
      <c r="F126" s="258"/>
      <c r="G126" s="258"/>
      <c r="H126" s="258"/>
      <c r="I126" s="258"/>
      <c r="J126" s="258"/>
    </row>
    <row r="127" spans="1:10" ht="12.75" x14ac:dyDescent="0.2">
      <c r="A127" s="108"/>
      <c r="B127" s="282">
        <v>116</v>
      </c>
      <c r="C127" s="282" t="str">
        <f ca="1">语言!$A$612</f>
        <v>放了铜块的麻袋</v>
      </c>
      <c r="D127" s="258"/>
      <c r="E127" s="258"/>
      <c r="F127" s="258"/>
      <c r="G127" s="258"/>
      <c r="H127" s="258"/>
      <c r="I127" s="258"/>
      <c r="J127" s="258"/>
    </row>
    <row r="128" spans="1:10" ht="12.75" x14ac:dyDescent="0.2">
      <c r="A128" s="108"/>
      <c r="B128" s="282">
        <v>117</v>
      </c>
      <c r="C128" s="282" t="str">
        <f ca="1">语言!$A$613</f>
        <v>芸香药</v>
      </c>
      <c r="D128" s="258"/>
      <c r="E128" s="258"/>
      <c r="F128" s="258"/>
      <c r="G128" s="258"/>
      <c r="H128" s="258"/>
      <c r="I128" s="258"/>
      <c r="J128" s="258"/>
    </row>
    <row r="129" spans="1:10" ht="12.75" x14ac:dyDescent="0.2">
      <c r="A129" s="108"/>
      <c r="B129" s="282">
        <v>118</v>
      </c>
      <c r="C129" s="282" t="str">
        <f ca="1">语言!$A$614</f>
        <v>奇特的古董</v>
      </c>
      <c r="D129" s="258"/>
      <c r="E129" s="258"/>
      <c r="F129" s="258"/>
      <c r="G129" s="258"/>
      <c r="H129" s="258"/>
      <c r="I129" s="258"/>
      <c r="J129" s="258"/>
    </row>
    <row r="130" spans="1:10" ht="12.75" x14ac:dyDescent="0.2">
      <c r="A130" s="108"/>
      <c r="B130" s="282">
        <v>119</v>
      </c>
      <c r="C130" s="282" t="str">
        <f ca="1">语言!$A$615</f>
        <v>目眩神迷的美术品</v>
      </c>
      <c r="D130" s="258"/>
      <c r="E130" s="258"/>
      <c r="F130" s="258"/>
      <c r="G130" s="258"/>
      <c r="H130" s="258"/>
      <c r="I130" s="258"/>
      <c r="J130" s="258"/>
    </row>
    <row r="131" spans="1:10" ht="12.75" x14ac:dyDescent="0.2">
      <c r="A131" s="108"/>
      <c r="B131" s="282">
        <v>120</v>
      </c>
      <c r="C131" s="282" t="str">
        <f ca="1">语言!$A$616</f>
        <v>锈蚀腐朽的杯子</v>
      </c>
      <c r="D131" s="258"/>
      <c r="E131" s="258"/>
      <c r="F131" s="258"/>
      <c r="G131" s="258"/>
      <c r="H131" s="258"/>
      <c r="I131" s="258"/>
      <c r="J131" s="258"/>
    </row>
    <row r="132" spans="1:10" ht="12.75" x14ac:dyDescent="0.2">
      <c r="A132" s="108"/>
      <c r="B132" s="292"/>
      <c r="C132" s="292"/>
      <c r="D132" s="258"/>
      <c r="E132" s="258"/>
      <c r="F132" s="258"/>
      <c r="G132" s="258"/>
      <c r="H132" s="258"/>
      <c r="I132" s="258"/>
      <c r="J132" s="258"/>
    </row>
    <row r="133" spans="1:10" ht="12.75" x14ac:dyDescent="0.2">
      <c r="A133" s="108"/>
      <c r="B133" s="282">
        <v>121</v>
      </c>
      <c r="C133" s="282" t="str">
        <f ca="1">语言!$A$617</f>
        <v>光泽不自然的金币</v>
      </c>
      <c r="D133" s="258"/>
      <c r="E133" s="258"/>
      <c r="F133" s="258"/>
      <c r="G133" s="258"/>
      <c r="H133" s="258"/>
      <c r="I133" s="258"/>
      <c r="J133" s="258"/>
    </row>
    <row r="134" spans="1:10" ht="12.75" x14ac:dyDescent="0.2">
      <c r="A134" s="108"/>
      <c r="B134" s="282">
        <v>122</v>
      </c>
      <c r="C134" s="282" t="str">
        <f ca="1">语言!$A$618</f>
        <v>画了地图的布片</v>
      </c>
      <c r="D134" s="258"/>
      <c r="E134" s="258"/>
      <c r="F134" s="258"/>
      <c r="G134" s="258"/>
      <c r="H134" s="258"/>
      <c r="I134" s="258"/>
      <c r="J134" s="258"/>
    </row>
    <row r="135" spans="1:10" ht="12.75" x14ac:dyDescent="0.2">
      <c r="A135" s="108"/>
      <c r="B135" s="282">
        <v>123</v>
      </c>
      <c r="C135" s="282" t="str">
        <f ca="1">语言!$A$620</f>
        <v>历战之剑</v>
      </c>
      <c r="D135" s="258"/>
      <c r="E135" s="258"/>
      <c r="F135" s="258"/>
      <c r="G135" s="258"/>
      <c r="H135" s="258"/>
      <c r="I135" s="258"/>
      <c r="J135" s="258"/>
    </row>
    <row r="136" spans="1:10" ht="12.75" x14ac:dyDescent="0.2">
      <c r="A136" s="108"/>
      <c r="B136" s="282">
        <v>124</v>
      </c>
      <c r="C136" s="282" t="str">
        <f ca="1">语言!$A$621</f>
        <v>哈洛德之剑</v>
      </c>
      <c r="D136" s="258"/>
      <c r="E136" s="258"/>
      <c r="F136" s="258"/>
      <c r="G136" s="258"/>
      <c r="H136" s="258"/>
      <c r="I136" s="258"/>
      <c r="J136" s="258"/>
    </row>
    <row r="137" spans="1:10" ht="12.75" x14ac:dyDescent="0.2">
      <c r="A137" s="108"/>
      <c r="B137" s="282">
        <v>125</v>
      </c>
      <c r="C137" s="282" t="str">
        <f ca="1">语言!$A$622</f>
        <v>魔力之剑</v>
      </c>
      <c r="D137" s="258"/>
      <c r="E137" s="258"/>
      <c r="F137" s="258"/>
      <c r="G137" s="258"/>
      <c r="H137" s="258"/>
      <c r="I137" s="258"/>
      <c r="J137" s="258"/>
    </row>
    <row r="138" spans="1:10" ht="12.75" x14ac:dyDescent="0.2">
      <c r="A138" s="108"/>
      <c r="B138" s="282">
        <v>126</v>
      </c>
      <c r="C138" s="282" t="str">
        <f ca="1">语言!$A$623</f>
        <v>禁忌之剑</v>
      </c>
      <c r="D138" s="258"/>
      <c r="E138" s="258"/>
      <c r="F138" s="258"/>
      <c r="G138" s="258"/>
      <c r="H138" s="258"/>
      <c r="I138" s="258"/>
      <c r="J138" s="258"/>
    </row>
    <row r="139" spans="1:10" ht="12.75" x14ac:dyDescent="0.2">
      <c r="A139" s="108"/>
      <c r="B139" s="282">
        <v>127</v>
      </c>
      <c r="C139" s="282" t="str">
        <f ca="1">语言!$A$624</f>
        <v>维尔纳之剑</v>
      </c>
      <c r="D139" s="258"/>
      <c r="E139" s="258"/>
      <c r="F139" s="258"/>
      <c r="G139" s="258"/>
      <c r="H139" s="258"/>
      <c r="I139" s="258"/>
      <c r="J139" s="258"/>
    </row>
    <row r="140" spans="1:10" ht="12.75" x14ac:dyDescent="0.2">
      <c r="A140" s="108"/>
      <c r="B140" s="282">
        <v>128</v>
      </c>
      <c r="C140" s="282" t="str">
        <f ca="1">语言!$A$625</f>
        <v>龙之军刀</v>
      </c>
      <c r="D140" s="258"/>
      <c r="E140" s="258"/>
      <c r="F140" s="258"/>
      <c r="G140" s="258"/>
      <c r="H140" s="258"/>
      <c r="I140" s="258"/>
      <c r="J140" s="258"/>
    </row>
    <row r="141" spans="1:10" ht="12.75" x14ac:dyDescent="0.2">
      <c r="A141" s="108"/>
      <c r="B141" s="282">
        <v>129</v>
      </c>
      <c r="C141" s="282" t="str">
        <f ca="1">语言!$A$626</f>
        <v>皇帝之刃</v>
      </c>
      <c r="D141" s="258"/>
      <c r="E141" s="258"/>
      <c r="F141" s="258"/>
      <c r="G141" s="258"/>
      <c r="H141" s="258"/>
      <c r="I141" s="258"/>
      <c r="J141" s="258"/>
    </row>
    <row r="142" spans="1:10" ht="12.75" x14ac:dyDescent="0.2">
      <c r="A142" s="108"/>
      <c r="B142" s="282">
        <v>130</v>
      </c>
      <c r="C142" s="282" t="str">
        <f ca="1">语言!$A$627</f>
        <v>透明军刀</v>
      </c>
      <c r="D142" s="258"/>
      <c r="E142" s="258"/>
      <c r="F142" s="258"/>
      <c r="G142" s="258"/>
      <c r="H142" s="258"/>
      <c r="I142" s="258"/>
      <c r="J142" s="258"/>
    </row>
    <row r="143" spans="1:10" ht="12.75" x14ac:dyDescent="0.2">
      <c r="A143" s="108"/>
      <c r="B143" s="282">
        <v>131</v>
      </c>
      <c r="C143" s="282" t="str">
        <f ca="1">语言!$A$628</f>
        <v>召唤死亡之剑</v>
      </c>
      <c r="D143" s="258"/>
      <c r="E143" s="258"/>
      <c r="F143" s="258"/>
      <c r="G143" s="258"/>
      <c r="H143" s="258"/>
      <c r="I143" s="258"/>
      <c r="J143" s="258"/>
    </row>
    <row r="144" spans="1:10" ht="12.75" x14ac:dyDescent="0.2">
      <c r="A144" s="108"/>
      <c r="B144" s="282">
        <v>132</v>
      </c>
      <c r="C144" s="282" t="str">
        <f ca="1">语言!$A$629</f>
        <v>三位一体剑</v>
      </c>
      <c r="D144" s="258"/>
      <c r="E144" s="258"/>
      <c r="F144" s="258"/>
      <c r="G144" s="258"/>
      <c r="H144" s="258"/>
      <c r="I144" s="258"/>
      <c r="J144" s="258"/>
    </row>
    <row r="145" spans="1:10" ht="12.75" x14ac:dyDescent="0.2">
      <c r="A145" s="108"/>
      <c r="B145" s="292"/>
      <c r="C145" s="292"/>
      <c r="D145" s="258"/>
      <c r="E145" s="258"/>
      <c r="F145" s="258"/>
      <c r="G145" s="258"/>
      <c r="H145" s="258"/>
      <c r="I145" s="258"/>
      <c r="J145" s="258"/>
    </row>
    <row r="146" spans="1:10" ht="12.75" x14ac:dyDescent="0.2">
      <c r="A146" s="108"/>
      <c r="B146" s="282">
        <v>133</v>
      </c>
      <c r="C146" s="282" t="str">
        <f ca="1">语言!$A$630</f>
        <v>显赫之刃</v>
      </c>
      <c r="D146" s="258"/>
      <c r="E146" s="258"/>
      <c r="F146" s="258"/>
      <c r="G146" s="258"/>
      <c r="H146" s="258"/>
      <c r="I146" s="258"/>
      <c r="J146" s="258"/>
    </row>
    <row r="147" spans="1:10" ht="12.75" x14ac:dyDescent="0.2">
      <c r="A147" s="108"/>
      <c r="B147" s="282">
        <v>134</v>
      </c>
      <c r="C147" s="282" t="str">
        <f ca="1">语言!$A$631</f>
        <v>勇气之刃</v>
      </c>
      <c r="D147" s="258"/>
      <c r="E147" s="258"/>
      <c r="F147" s="258"/>
      <c r="G147" s="258"/>
      <c r="H147" s="258"/>
      <c r="I147" s="258"/>
      <c r="J147" s="258"/>
    </row>
    <row r="148" spans="1:10" ht="12.75" x14ac:dyDescent="0.2">
      <c r="A148" s="108"/>
      <c r="B148" s="282">
        <v>135</v>
      </c>
      <c r="C148" s="282" t="str">
        <f ca="1">语言!$A$632</f>
        <v>天使军刀</v>
      </c>
      <c r="D148" s="258"/>
      <c r="E148" s="258"/>
      <c r="F148" s="258"/>
      <c r="G148" s="258"/>
      <c r="H148" s="258"/>
      <c r="I148" s="258"/>
      <c r="J148" s="258"/>
    </row>
    <row r="149" spans="1:10" ht="12.75" x14ac:dyDescent="0.2">
      <c r="A149" s="108"/>
      <c r="B149" s="282">
        <v>136</v>
      </c>
      <c r="C149" s="282" t="str">
        <f ca="1">语言!$A$633</f>
        <v>白金剑</v>
      </c>
      <c r="D149" s="258"/>
      <c r="E149" s="258"/>
      <c r="F149" s="258"/>
      <c r="G149" s="258"/>
      <c r="H149" s="258"/>
      <c r="I149" s="258"/>
      <c r="J149" s="258"/>
    </row>
    <row r="150" spans="1:10" ht="12.75" x14ac:dyDescent="0.2">
      <c r="A150" s="108"/>
      <c r="B150" s="282">
        <v>137</v>
      </c>
      <c r="C150" s="282" t="str">
        <f ca="1">语言!$A$634</f>
        <v>神圣之刃</v>
      </c>
      <c r="D150" s="258"/>
      <c r="E150" s="258"/>
      <c r="F150" s="258"/>
      <c r="G150" s="258"/>
      <c r="H150" s="258"/>
      <c r="I150" s="258"/>
      <c r="J150" s="258"/>
    </row>
    <row r="151" spans="1:10" ht="12.75" x14ac:dyDescent="0.2">
      <c r="A151" s="108"/>
      <c r="B151" s="282">
        <v>138</v>
      </c>
      <c r="C151" s="282" t="str">
        <f ca="1">语言!$A$635</f>
        <v>暴力之剑</v>
      </c>
      <c r="D151" s="258"/>
      <c r="E151" s="258"/>
      <c r="F151" s="258"/>
      <c r="G151" s="258"/>
      <c r="H151" s="258"/>
      <c r="I151" s="258"/>
      <c r="J151" s="258"/>
    </row>
    <row r="152" spans="1:10" ht="12.75" x14ac:dyDescent="0.2">
      <c r="A152" s="108"/>
      <c r="B152" s="282">
        <v>139</v>
      </c>
      <c r="C152" s="282" t="str">
        <f ca="1">语言!$A$636</f>
        <v>骑士剑</v>
      </c>
      <c r="D152" s="258"/>
      <c r="E152" s="258"/>
      <c r="F152" s="258"/>
      <c r="G152" s="258"/>
      <c r="H152" s="258"/>
      <c r="I152" s="258"/>
      <c r="J152" s="258"/>
    </row>
    <row r="153" spans="1:10" ht="12.75" x14ac:dyDescent="0.2">
      <c r="A153" s="108"/>
      <c r="B153" s="282">
        <v>140</v>
      </c>
      <c r="C153" s="282" t="str">
        <f ca="1">语言!$A$637</f>
        <v>强化剑</v>
      </c>
      <c r="D153" s="258"/>
      <c r="E153" s="258"/>
      <c r="F153" s="258"/>
      <c r="G153" s="258"/>
      <c r="H153" s="258"/>
      <c r="I153" s="258"/>
      <c r="J153" s="258"/>
    </row>
    <row r="154" spans="1:10" ht="12.75" x14ac:dyDescent="0.2">
      <c r="A154" s="108"/>
      <c r="B154" s="282">
        <v>141</v>
      </c>
      <c r="C154" s="282" t="str">
        <f ca="1">语言!$A$638</f>
        <v>狙击军刀</v>
      </c>
      <c r="D154" s="258"/>
      <c r="E154" s="258"/>
      <c r="F154" s="258"/>
      <c r="G154" s="258"/>
      <c r="H154" s="258"/>
      <c r="I154" s="258"/>
      <c r="J154" s="258"/>
    </row>
    <row r="155" spans="1:10" ht="12.75" x14ac:dyDescent="0.2">
      <c r="A155" s="108"/>
      <c r="B155" s="282">
        <v>142</v>
      </c>
      <c r="C155" s="282" t="str">
        <f ca="1">语言!$A$639</f>
        <v>月之刃</v>
      </c>
      <c r="D155" s="258"/>
      <c r="E155" s="258"/>
      <c r="F155" s="258"/>
      <c r="G155" s="258"/>
      <c r="H155" s="258"/>
      <c r="I155" s="258"/>
      <c r="J155" s="258"/>
    </row>
    <row r="156" spans="1:10" ht="12.75" x14ac:dyDescent="0.2">
      <c r="A156" s="108"/>
      <c r="B156" s="282">
        <v>143</v>
      </c>
      <c r="C156" s="282" t="str">
        <f ca="1">语言!$A$640</f>
        <v>幻象之刃</v>
      </c>
      <c r="D156" s="258"/>
      <c r="E156" s="258"/>
      <c r="F156" s="258"/>
      <c r="G156" s="258"/>
      <c r="H156" s="258"/>
      <c r="I156" s="258"/>
      <c r="J156" s="258"/>
    </row>
    <row r="157" spans="1:10" ht="12.75" x14ac:dyDescent="0.2">
      <c r="A157" s="108"/>
      <c r="B157" s="282">
        <v>144</v>
      </c>
      <c r="C157" s="282" t="str">
        <f ca="1">语言!$A$641</f>
        <v>老鹰军刀</v>
      </c>
      <c r="D157" s="258"/>
      <c r="E157" s="258"/>
      <c r="F157" s="258"/>
      <c r="G157" s="258"/>
      <c r="H157" s="258"/>
      <c r="I157" s="258"/>
      <c r="J157" s="258"/>
    </row>
    <row r="158" spans="1:10" ht="12.75" x14ac:dyDescent="0.2">
      <c r="A158" s="108"/>
      <c r="B158" s="292"/>
      <c r="C158" s="292"/>
      <c r="D158" s="258"/>
      <c r="E158" s="258"/>
      <c r="F158" s="258"/>
      <c r="G158" s="258"/>
      <c r="H158" s="258"/>
      <c r="I158" s="258"/>
      <c r="J158" s="258"/>
    </row>
    <row r="159" spans="1:10" ht="12.75" x14ac:dyDescent="0.2">
      <c r="A159" s="108"/>
      <c r="B159" s="282">
        <v>145</v>
      </c>
      <c r="C159" s="282" t="str">
        <f ca="1">语言!$A$642</f>
        <v>混用剑</v>
      </c>
      <c r="D159" s="258"/>
      <c r="E159" s="258"/>
      <c r="F159" s="258"/>
      <c r="G159" s="258"/>
      <c r="H159" s="258"/>
      <c r="I159" s="258"/>
      <c r="J159" s="258"/>
    </row>
    <row r="160" spans="1:10" ht="12.75" x14ac:dyDescent="0.2">
      <c r="A160" s="108"/>
      <c r="B160" s="282">
        <v>146</v>
      </c>
      <c r="C160" s="282" t="str">
        <f ca="1">语言!$A$643</f>
        <v>重刃</v>
      </c>
      <c r="D160" s="258"/>
      <c r="E160" s="258"/>
      <c r="F160" s="258"/>
      <c r="G160" s="258"/>
      <c r="H160" s="258"/>
      <c r="I160" s="258"/>
      <c r="J160" s="258"/>
    </row>
    <row r="161" spans="1:10" ht="12.75" x14ac:dyDescent="0.2">
      <c r="A161" s="108"/>
      <c r="B161" s="282">
        <v>147</v>
      </c>
      <c r="C161" s="282" t="str">
        <f ca="1">语言!$A$644</f>
        <v>猎鹰军刀</v>
      </c>
      <c r="D161" s="258"/>
      <c r="E161" s="258"/>
      <c r="F161" s="258"/>
      <c r="G161" s="258"/>
      <c r="H161" s="258"/>
      <c r="I161" s="258"/>
      <c r="J161" s="258"/>
    </row>
    <row r="162" spans="1:10" ht="12.75" x14ac:dyDescent="0.2">
      <c r="A162" s="108"/>
      <c r="B162" s="282">
        <v>148</v>
      </c>
      <c r="C162" s="282" t="str">
        <f ca="1">语言!$A$645</f>
        <v>精神剑</v>
      </c>
      <c r="D162" s="258"/>
      <c r="E162" s="258"/>
      <c r="F162" s="258"/>
      <c r="G162" s="258"/>
      <c r="H162" s="258"/>
      <c r="I162" s="258"/>
      <c r="J162" s="258"/>
    </row>
    <row r="163" spans="1:10" ht="12.75" x14ac:dyDescent="0.2">
      <c r="A163" s="108"/>
      <c r="B163" s="282">
        <v>149</v>
      </c>
      <c r="C163" s="282" t="str">
        <f ca="1">语言!$A$646</f>
        <v>团长之剑</v>
      </c>
      <c r="D163" s="258"/>
      <c r="E163" s="258"/>
      <c r="F163" s="258"/>
      <c r="G163" s="258"/>
      <c r="H163" s="258"/>
      <c r="I163" s="258"/>
      <c r="J163" s="258"/>
    </row>
    <row r="164" spans="1:10" ht="12.75" x14ac:dyDescent="0.2">
      <c r="A164" s="108"/>
      <c r="B164" s="282">
        <v>150</v>
      </c>
      <c r="C164" s="282" t="str">
        <f ca="1">语言!$A$647</f>
        <v>巨剑</v>
      </c>
      <c r="D164" s="258"/>
      <c r="E164" s="258"/>
      <c r="F164" s="258"/>
      <c r="G164" s="258"/>
      <c r="H164" s="258"/>
      <c r="I164" s="258"/>
      <c r="J164" s="258"/>
    </row>
    <row r="165" spans="1:10" ht="12.75" x14ac:dyDescent="0.2">
      <c r="A165" s="108"/>
      <c r="B165" s="282">
        <v>151</v>
      </c>
      <c r="C165" s="282" t="str">
        <f ca="1">语言!$A$648</f>
        <v>银制剑</v>
      </c>
      <c r="D165" s="258"/>
      <c r="E165" s="258"/>
      <c r="F165" s="258"/>
      <c r="G165" s="258"/>
      <c r="H165" s="258"/>
      <c r="I165" s="258"/>
      <c r="J165" s="258"/>
    </row>
    <row r="166" spans="1:10" ht="12.75" x14ac:dyDescent="0.2">
      <c r="A166" s="108"/>
      <c r="B166" s="282">
        <v>152</v>
      </c>
      <c r="C166" s="282" t="str">
        <f ca="1">语言!$A$649</f>
        <v>羽毛军刀</v>
      </c>
      <c r="D166" s="258"/>
      <c r="E166" s="258"/>
      <c r="F166" s="258"/>
      <c r="G166" s="258"/>
      <c r="H166" s="258"/>
      <c r="I166" s="258"/>
      <c r="J166" s="258"/>
    </row>
    <row r="167" spans="1:10" ht="12.75" x14ac:dyDescent="0.2">
      <c r="A167" s="108"/>
      <c r="B167" s="282">
        <v>153</v>
      </c>
      <c r="C167" s="282" t="str">
        <f ca="1">语言!$A$650</f>
        <v>阔剑</v>
      </c>
      <c r="D167" s="258"/>
      <c r="E167" s="258"/>
      <c r="F167" s="258"/>
      <c r="G167" s="258"/>
      <c r="H167" s="258"/>
      <c r="I167" s="258"/>
      <c r="J167" s="258"/>
    </row>
    <row r="168" spans="1:10" ht="12.75" x14ac:dyDescent="0.2">
      <c r="A168" s="108"/>
      <c r="B168" s="282">
        <v>154</v>
      </c>
      <c r="C168" s="282" t="str">
        <f ca="1">语言!$A$651</f>
        <v>铁剑</v>
      </c>
      <c r="D168" s="258"/>
      <c r="E168" s="258"/>
      <c r="F168" s="258"/>
      <c r="G168" s="258"/>
      <c r="H168" s="258"/>
      <c r="I168" s="258"/>
      <c r="J168" s="258"/>
    </row>
    <row r="169" spans="1:10" ht="12.75" x14ac:dyDescent="0.2">
      <c r="A169" s="108"/>
      <c r="B169" s="282">
        <v>155</v>
      </c>
      <c r="C169" s="282" t="str">
        <f ca="1">语言!$A$652</f>
        <v>长剑</v>
      </c>
      <c r="D169" s="258"/>
      <c r="E169" s="258"/>
      <c r="F169" s="258"/>
      <c r="G169" s="258"/>
      <c r="H169" s="258"/>
      <c r="I169" s="258"/>
      <c r="J169" s="258"/>
    </row>
    <row r="170" spans="1:10" ht="12.75" x14ac:dyDescent="0.2">
      <c r="A170" s="108"/>
      <c r="B170" s="282">
        <v>156</v>
      </c>
      <c r="C170" s="282" t="str">
        <f ca="1">语言!$A$654</f>
        <v>历战之枪</v>
      </c>
      <c r="D170" s="258"/>
      <c r="E170" s="258"/>
      <c r="F170" s="258"/>
      <c r="G170" s="258"/>
      <c r="H170" s="258"/>
      <c r="I170" s="258"/>
      <c r="J170" s="258"/>
    </row>
    <row r="171" spans="1:10" ht="12.75" x14ac:dyDescent="0.2">
      <c r="A171" s="108"/>
      <c r="B171" s="292"/>
      <c r="C171" s="292"/>
      <c r="D171" s="258"/>
      <c r="E171" s="258"/>
      <c r="F171" s="258"/>
      <c r="G171" s="258"/>
      <c r="H171" s="258"/>
      <c r="I171" s="258"/>
      <c r="J171" s="258"/>
    </row>
    <row r="172" spans="1:10" ht="12.75" x14ac:dyDescent="0.2">
      <c r="A172" s="108"/>
      <c r="B172" s="282">
        <v>157</v>
      </c>
      <c r="C172" s="282" t="str">
        <f ca="1">语言!$A$655</f>
        <v>贸易风之枪</v>
      </c>
      <c r="D172" s="258"/>
      <c r="E172" s="258"/>
      <c r="F172" s="258"/>
      <c r="G172" s="258"/>
      <c r="H172" s="258"/>
      <c r="I172" s="258"/>
      <c r="J172" s="258"/>
    </row>
    <row r="173" spans="1:10" ht="12.75" x14ac:dyDescent="0.2">
      <c r="A173" s="108"/>
      <c r="B173" s="282">
        <v>158</v>
      </c>
      <c r="C173" s="282" t="str">
        <f ca="1">语言!$A$656</f>
        <v>名手之枪</v>
      </c>
      <c r="D173" s="258"/>
      <c r="E173" s="258"/>
      <c r="F173" s="258"/>
      <c r="G173" s="258"/>
      <c r="H173" s="258"/>
      <c r="I173" s="258"/>
      <c r="J173" s="258"/>
    </row>
    <row r="174" spans="1:10" ht="12.75" x14ac:dyDescent="0.2">
      <c r="A174" s="108"/>
      <c r="B174" s="282">
        <v>159</v>
      </c>
      <c r="C174" s="282" t="str">
        <f ca="1">语言!$A$657</f>
        <v>符文长柄刀</v>
      </c>
      <c r="D174" s="258"/>
      <c r="E174" s="258"/>
      <c r="F174" s="258"/>
      <c r="G174" s="258"/>
      <c r="H174" s="258"/>
      <c r="I174" s="258"/>
      <c r="J174" s="258"/>
    </row>
    <row r="175" spans="1:10" ht="12.75" x14ac:dyDescent="0.2">
      <c r="A175" s="108"/>
      <c r="B175" s="282">
        <v>160</v>
      </c>
      <c r="C175" s="282" t="str">
        <f ca="1">语言!$A$658</f>
        <v>禁忌之枪</v>
      </c>
      <c r="D175" s="258"/>
      <c r="E175" s="258"/>
      <c r="F175" s="258"/>
      <c r="G175" s="258"/>
      <c r="H175" s="258"/>
      <c r="I175" s="258"/>
      <c r="J175" s="258"/>
    </row>
    <row r="176" spans="1:10" ht="12.75" x14ac:dyDescent="0.2">
      <c r="A176" s="108"/>
      <c r="B176" s="282">
        <v>161</v>
      </c>
      <c r="C176" s="282" t="str">
        <f ca="1">语言!$A$659</f>
        <v>炽天使长枪</v>
      </c>
      <c r="D176" s="258"/>
      <c r="E176" s="258"/>
      <c r="F176" s="258"/>
      <c r="G176" s="258"/>
      <c r="H176" s="258"/>
      <c r="I176" s="258"/>
      <c r="J176" s="258"/>
    </row>
    <row r="177" spans="1:10" ht="12.75" x14ac:dyDescent="0.2">
      <c r="A177" s="108"/>
      <c r="B177" s="282">
        <v>162</v>
      </c>
      <c r="C177" s="282" t="str">
        <f ca="1">语言!$A$660</f>
        <v>灾厄骑枪</v>
      </c>
      <c r="D177" s="258"/>
      <c r="E177" s="258"/>
      <c r="F177" s="258"/>
      <c r="G177" s="258"/>
      <c r="H177" s="258"/>
      <c r="I177" s="258"/>
      <c r="J177" s="258"/>
    </row>
    <row r="178" spans="1:10" ht="12.75" x14ac:dyDescent="0.2">
      <c r="A178" s="108"/>
      <c r="B178" s="282">
        <v>163</v>
      </c>
      <c r="C178" s="282" t="str">
        <f ca="1">语言!$A$661</f>
        <v>灵魂长柄刀</v>
      </c>
      <c r="D178" s="258"/>
      <c r="E178" s="258"/>
      <c r="F178" s="258"/>
      <c r="G178" s="258"/>
      <c r="H178" s="258"/>
      <c r="I178" s="258"/>
      <c r="J178" s="258"/>
    </row>
    <row r="179" spans="1:10" ht="12.75" x14ac:dyDescent="0.2">
      <c r="A179" s="108"/>
      <c r="B179" s="282">
        <v>164</v>
      </c>
      <c r="C179" s="282" t="str">
        <f ca="1">语言!$A$662</f>
        <v>翡翠骑枪</v>
      </c>
      <c r="D179" s="258"/>
      <c r="E179" s="258"/>
      <c r="F179" s="258"/>
      <c r="G179" s="258"/>
      <c r="H179" s="258"/>
      <c r="I179" s="258"/>
      <c r="J179" s="258"/>
    </row>
    <row r="180" spans="1:10" ht="12.75" x14ac:dyDescent="0.2">
      <c r="A180" s="108"/>
      <c r="B180" s="282">
        <v>165</v>
      </c>
      <c r="C180" s="282" t="str">
        <f ca="1">语言!$A$663</f>
        <v>胜利长枪</v>
      </c>
      <c r="D180" s="258"/>
      <c r="E180" s="258"/>
      <c r="F180" s="258"/>
      <c r="G180" s="258"/>
      <c r="H180" s="258"/>
      <c r="I180" s="258"/>
      <c r="J180" s="258"/>
    </row>
    <row r="181" spans="1:10" ht="12.75" x14ac:dyDescent="0.2">
      <c r="A181" s="108"/>
      <c r="B181" s="282">
        <v>166</v>
      </c>
      <c r="C181" s="282" t="str">
        <f ca="1">语言!$A$664</f>
        <v>白金长枪</v>
      </c>
      <c r="D181" s="258"/>
      <c r="E181" s="258"/>
      <c r="F181" s="258"/>
      <c r="G181" s="258"/>
      <c r="H181" s="258"/>
      <c r="I181" s="258"/>
      <c r="J181" s="258"/>
    </row>
    <row r="182" spans="1:10" ht="12.75" x14ac:dyDescent="0.2">
      <c r="A182" s="108"/>
      <c r="B182" s="282">
        <v>167</v>
      </c>
      <c r="C182" s="282" t="str">
        <f ca="1">语言!$A$665</f>
        <v>米格尔之枪</v>
      </c>
      <c r="D182" s="258"/>
      <c r="E182" s="258"/>
      <c r="F182" s="258"/>
      <c r="G182" s="258"/>
      <c r="H182" s="258"/>
      <c r="I182" s="258"/>
      <c r="J182" s="258"/>
    </row>
    <row r="183" spans="1:10" ht="12.75" x14ac:dyDescent="0.2">
      <c r="A183" s="108"/>
      <c r="B183" s="282">
        <v>168</v>
      </c>
      <c r="C183" s="282" t="str">
        <f ca="1">语言!$A$666</f>
        <v>帝国骑枪</v>
      </c>
      <c r="D183" s="258"/>
      <c r="E183" s="258"/>
      <c r="F183" s="258"/>
      <c r="G183" s="258"/>
      <c r="H183" s="258"/>
      <c r="I183" s="258"/>
      <c r="J183" s="258"/>
    </row>
    <row r="184" spans="1:10" ht="12.75" x14ac:dyDescent="0.2">
      <c r="A184" s="108"/>
      <c r="B184" s="292"/>
      <c r="C184" s="292"/>
      <c r="D184" s="258"/>
      <c r="E184" s="258"/>
      <c r="F184" s="258"/>
      <c r="G184" s="258"/>
      <c r="H184" s="258"/>
      <c r="I184" s="258"/>
      <c r="J184" s="258"/>
    </row>
    <row r="185" spans="1:10" ht="12.75" x14ac:dyDescent="0.2">
      <c r="A185" s="108"/>
      <c r="B185" s="282">
        <v>169</v>
      </c>
      <c r="C185" s="282" t="str">
        <f ca="1">语言!$A$667</f>
        <v>魔法长柄刀</v>
      </c>
      <c r="D185" s="258"/>
      <c r="E185" s="258"/>
      <c r="F185" s="258"/>
      <c r="G185" s="258"/>
      <c r="H185" s="258"/>
      <c r="I185" s="258"/>
      <c r="J185" s="258"/>
    </row>
    <row r="186" spans="1:10" ht="12.75" x14ac:dyDescent="0.2">
      <c r="A186" s="108"/>
      <c r="B186" s="282">
        <v>170</v>
      </c>
      <c r="C186" s="282" t="str">
        <f ca="1">语言!$A$668</f>
        <v>刺猬长枪</v>
      </c>
      <c r="D186" s="258"/>
      <c r="E186" s="258"/>
      <c r="F186" s="258"/>
      <c r="G186" s="258"/>
      <c r="H186" s="258"/>
      <c r="I186" s="258"/>
      <c r="J186" s="258"/>
    </row>
    <row r="187" spans="1:10" ht="12.75" x14ac:dyDescent="0.2">
      <c r="A187" s="108"/>
      <c r="B187" s="282">
        <v>171</v>
      </c>
      <c r="C187" s="282" t="str">
        <f ca="1">语言!$A$669</f>
        <v>大桥骑枪</v>
      </c>
      <c r="D187" s="258"/>
      <c r="E187" s="258"/>
      <c r="F187" s="258"/>
      <c r="G187" s="258"/>
      <c r="H187" s="258"/>
      <c r="I187" s="258"/>
      <c r="J187" s="258"/>
    </row>
    <row r="188" spans="1:10" ht="12.75" x14ac:dyDescent="0.2">
      <c r="A188" s="108"/>
      <c r="B188" s="282">
        <v>172</v>
      </c>
      <c r="C188" s="282" t="str">
        <f ca="1">语言!$A$670</f>
        <v>元素长柄刀</v>
      </c>
      <c r="D188" s="258"/>
      <c r="E188" s="258"/>
      <c r="F188" s="258"/>
      <c r="G188" s="258"/>
      <c r="H188" s="258"/>
      <c r="I188" s="258"/>
      <c r="J188" s="258"/>
    </row>
    <row r="189" spans="1:10" ht="12.75" x14ac:dyDescent="0.2">
      <c r="A189" s="108"/>
      <c r="B189" s="282">
        <v>173</v>
      </c>
      <c r="C189" s="282" t="str">
        <f ca="1">语言!$A$671</f>
        <v>豹骑枪</v>
      </c>
      <c r="D189" s="258"/>
      <c r="E189" s="258"/>
      <c r="F189" s="258"/>
      <c r="G189" s="258"/>
      <c r="H189" s="258"/>
      <c r="I189" s="258"/>
      <c r="J189" s="258"/>
    </row>
    <row r="190" spans="1:10" ht="12.75" x14ac:dyDescent="0.2">
      <c r="A190" s="108"/>
      <c r="B190" s="282">
        <v>174</v>
      </c>
      <c r="C190" s="282" t="str">
        <f ca="1">语言!$A$672</f>
        <v>重骑枪</v>
      </c>
      <c r="D190" s="258"/>
      <c r="E190" s="258"/>
      <c r="F190" s="258"/>
      <c r="G190" s="258"/>
      <c r="H190" s="258"/>
      <c r="I190" s="258"/>
      <c r="J190" s="258"/>
    </row>
    <row r="191" spans="1:10" ht="12.75" x14ac:dyDescent="0.2">
      <c r="A191" s="108"/>
      <c r="B191" s="282">
        <v>175</v>
      </c>
      <c r="C191" s="282" t="str">
        <f ca="1">语言!$A$673</f>
        <v>灾祸之枪</v>
      </c>
      <c r="D191" s="258"/>
      <c r="E191" s="258"/>
      <c r="F191" s="258"/>
      <c r="G191" s="258"/>
      <c r="H191" s="258"/>
      <c r="I191" s="258"/>
      <c r="J191" s="258"/>
    </row>
    <row r="192" spans="1:10" ht="12.75" x14ac:dyDescent="0.2">
      <c r="A192" s="108"/>
      <c r="B192" s="282">
        <v>176</v>
      </c>
      <c r="C192" s="282" t="str">
        <f ca="1">语言!$A$674</f>
        <v>强盗长枪</v>
      </c>
      <c r="D192" s="258"/>
      <c r="E192" s="258"/>
      <c r="F192" s="258"/>
      <c r="G192" s="258"/>
      <c r="H192" s="258"/>
      <c r="I192" s="258"/>
      <c r="J192" s="258"/>
    </row>
    <row r="193" spans="1:10" ht="12.75" x14ac:dyDescent="0.2">
      <c r="A193" s="108"/>
      <c r="B193" s="282">
        <v>177</v>
      </c>
      <c r="C193" s="282" t="str">
        <f ca="1">语言!$A$675</f>
        <v>沙漠长枪</v>
      </c>
      <c r="D193" s="258"/>
      <c r="E193" s="258"/>
      <c r="F193" s="258"/>
      <c r="G193" s="258"/>
      <c r="H193" s="258"/>
      <c r="I193" s="258"/>
      <c r="J193" s="258"/>
    </row>
    <row r="194" spans="1:10" ht="12.75" x14ac:dyDescent="0.2">
      <c r="A194" s="108"/>
      <c r="B194" s="282">
        <v>178</v>
      </c>
      <c r="C194" s="282" t="str">
        <f ca="1">语言!$A$676</f>
        <v>战争骑枪</v>
      </c>
      <c r="D194" s="258"/>
      <c r="E194" s="258"/>
      <c r="F194" s="258"/>
      <c r="G194" s="258"/>
      <c r="H194" s="258"/>
      <c r="I194" s="258"/>
      <c r="J194" s="258"/>
    </row>
    <row r="195" spans="1:10" ht="12.75" x14ac:dyDescent="0.2">
      <c r="A195" s="108"/>
      <c r="B195" s="282">
        <v>179</v>
      </c>
      <c r="C195" s="282" t="str">
        <f ca="1">语言!$A$677</f>
        <v>银制长枪</v>
      </c>
      <c r="D195" s="258"/>
      <c r="E195" s="258"/>
      <c r="F195" s="258"/>
      <c r="G195" s="258"/>
      <c r="H195" s="258"/>
      <c r="I195" s="258"/>
      <c r="J195" s="258"/>
    </row>
    <row r="196" spans="1:10" ht="12.75" x14ac:dyDescent="0.2">
      <c r="A196" s="108"/>
      <c r="B196" s="282">
        <v>180</v>
      </c>
      <c r="C196" s="282" t="str">
        <f ca="1">语言!$A$678</f>
        <v>魔咒长柄刀</v>
      </c>
      <c r="D196" s="258"/>
      <c r="E196" s="258"/>
      <c r="F196" s="258"/>
      <c r="G196" s="258"/>
      <c r="H196" s="258"/>
      <c r="I196" s="258"/>
      <c r="J196" s="258"/>
    </row>
    <row r="197" spans="1:10" ht="12.75" x14ac:dyDescent="0.2">
      <c r="A197" s="108"/>
      <c r="B197" s="292"/>
      <c r="C197" s="292"/>
      <c r="D197" s="258"/>
      <c r="E197" s="258"/>
      <c r="F197" s="258"/>
      <c r="G197" s="258"/>
      <c r="H197" s="258"/>
      <c r="I197" s="258"/>
      <c r="J197" s="258"/>
    </row>
    <row r="198" spans="1:10" ht="12.75" x14ac:dyDescent="0.2">
      <c r="A198" s="108"/>
      <c r="B198" s="282">
        <v>181</v>
      </c>
      <c r="C198" s="282" t="str">
        <f ca="1">语言!$A$679</f>
        <v>战争长枪</v>
      </c>
      <c r="D198" s="258"/>
      <c r="E198" s="258"/>
      <c r="F198" s="258"/>
      <c r="G198" s="258"/>
      <c r="H198" s="258"/>
      <c r="I198" s="258"/>
      <c r="J198" s="258"/>
    </row>
    <row r="199" spans="1:10" ht="12.75" x14ac:dyDescent="0.2">
      <c r="A199" s="108"/>
      <c r="B199" s="282">
        <v>182</v>
      </c>
      <c r="C199" s="282" t="str">
        <f ca="1">语言!$A$680</f>
        <v>纪念鱼叉</v>
      </c>
      <c r="D199" s="258"/>
      <c r="E199" s="258"/>
      <c r="F199" s="258"/>
      <c r="G199" s="258"/>
      <c r="H199" s="258"/>
      <c r="I199" s="258"/>
      <c r="J199" s="258"/>
    </row>
    <row r="200" spans="1:10" ht="12.75" x14ac:dyDescent="0.2">
      <c r="A200" s="108"/>
      <c r="B200" s="282">
        <v>183</v>
      </c>
      <c r="C200" s="282" t="str">
        <f ca="1">语言!$A$681</f>
        <v>铁制长枪</v>
      </c>
      <c r="D200" s="258"/>
      <c r="E200" s="258"/>
      <c r="F200" s="258"/>
      <c r="G200" s="258"/>
      <c r="H200" s="258"/>
      <c r="I200" s="258"/>
      <c r="J200" s="258"/>
    </row>
    <row r="201" spans="1:10" ht="12.75" x14ac:dyDescent="0.2">
      <c r="A201" s="108"/>
      <c r="B201" s="282">
        <v>184</v>
      </c>
      <c r="C201" s="282" t="str">
        <f ca="1">语言!$A$682</f>
        <v>长枪</v>
      </c>
      <c r="D201" s="258"/>
      <c r="E201" s="258"/>
      <c r="F201" s="258"/>
      <c r="G201" s="258"/>
      <c r="H201" s="258"/>
      <c r="I201" s="258"/>
      <c r="J201" s="258"/>
    </row>
    <row r="202" spans="1:10" ht="12.75" x14ac:dyDescent="0.2">
      <c r="A202" s="108"/>
      <c r="B202" s="282">
        <v>185</v>
      </c>
      <c r="C202" s="282" t="str">
        <f ca="1">语言!$A$684</f>
        <v>历战短剑</v>
      </c>
      <c r="D202" s="258"/>
      <c r="E202" s="258"/>
      <c r="F202" s="258"/>
      <c r="G202" s="258"/>
      <c r="H202" s="258"/>
      <c r="I202" s="258"/>
      <c r="J202" s="258"/>
    </row>
    <row r="203" spans="1:10" ht="12.75" x14ac:dyDescent="0.2">
      <c r="A203" s="108"/>
      <c r="B203" s="282">
        <v>186</v>
      </c>
      <c r="C203" s="282" t="str">
        <f ca="1">语言!$A$685</f>
        <v>希斯柯特的短剑</v>
      </c>
      <c r="D203" s="258"/>
      <c r="E203" s="258"/>
      <c r="F203" s="258"/>
      <c r="G203" s="258"/>
      <c r="H203" s="258"/>
      <c r="I203" s="258"/>
      <c r="J203" s="258"/>
    </row>
    <row r="204" spans="1:10" ht="12.75" x14ac:dyDescent="0.2">
      <c r="A204" s="108"/>
      <c r="B204" s="282">
        <v>187</v>
      </c>
      <c r="C204" s="282" t="str">
        <f ca="1">语言!$A$686</f>
        <v>大蛇短剑</v>
      </c>
      <c r="D204" s="258"/>
      <c r="E204" s="258"/>
      <c r="F204" s="258"/>
      <c r="G204" s="258"/>
      <c r="H204" s="258"/>
      <c r="I204" s="258"/>
      <c r="J204" s="258"/>
    </row>
    <row r="205" spans="1:10" ht="12.75" x14ac:dyDescent="0.2">
      <c r="A205" s="108"/>
      <c r="B205" s="282">
        <v>188</v>
      </c>
      <c r="C205" s="282" t="str">
        <f ca="1">语言!$A$687</f>
        <v>金钢合金短刀</v>
      </c>
      <c r="D205" s="258"/>
      <c r="E205" s="258"/>
      <c r="F205" s="258"/>
      <c r="G205" s="258"/>
      <c r="H205" s="258"/>
      <c r="I205" s="258"/>
      <c r="J205" s="258"/>
    </row>
    <row r="206" spans="1:10" ht="12.75" x14ac:dyDescent="0.2">
      <c r="A206" s="108"/>
      <c r="B206" s="282">
        <v>189</v>
      </c>
      <c r="C206" s="282" t="str">
        <f ca="1">语言!$A$688</f>
        <v>禁忌短剑</v>
      </c>
      <c r="D206" s="258"/>
      <c r="E206" s="258"/>
      <c r="F206" s="258"/>
      <c r="G206" s="258"/>
      <c r="H206" s="258"/>
      <c r="I206" s="258"/>
      <c r="J206" s="258"/>
    </row>
    <row r="207" spans="1:10" ht="12.75" x14ac:dyDescent="0.2">
      <c r="A207" s="108"/>
      <c r="B207" s="282">
        <v>190</v>
      </c>
      <c r="C207" s="282" t="str">
        <f ca="1">语言!$A$689</f>
        <v>万速匕首</v>
      </c>
      <c r="D207" s="258"/>
      <c r="E207" s="258"/>
      <c r="F207" s="258"/>
      <c r="G207" s="258"/>
      <c r="H207" s="258"/>
      <c r="I207" s="258"/>
      <c r="J207" s="258"/>
    </row>
    <row r="208" spans="1:10" ht="12.75" x14ac:dyDescent="0.2">
      <c r="A208" s="108"/>
      <c r="B208" s="282">
        <v>191</v>
      </c>
      <c r="C208" s="282" t="str">
        <f ca="1">语言!$A$690</f>
        <v>符文短刀</v>
      </c>
      <c r="D208" s="258"/>
      <c r="E208" s="258"/>
      <c r="F208" s="258"/>
      <c r="G208" s="258"/>
      <c r="H208" s="258"/>
      <c r="I208" s="258"/>
      <c r="J208" s="258"/>
    </row>
    <row r="209" spans="1:10" ht="12.75" x14ac:dyDescent="0.2">
      <c r="A209" s="108"/>
      <c r="B209" s="282">
        <v>192</v>
      </c>
      <c r="C209" s="282" t="str">
        <f ca="1">语言!$A$691</f>
        <v>终极破坏者</v>
      </c>
      <c r="D209" s="258"/>
      <c r="E209" s="258"/>
      <c r="F209" s="258"/>
      <c r="G209" s="258"/>
      <c r="H209" s="258"/>
      <c r="I209" s="258"/>
      <c r="J209" s="258"/>
    </row>
    <row r="210" spans="1:10" ht="12.75" x14ac:dyDescent="0.2">
      <c r="A210" s="108"/>
      <c r="B210" s="292"/>
      <c r="C210" s="292"/>
      <c r="D210" s="258"/>
      <c r="E210" s="258"/>
      <c r="F210" s="258"/>
      <c r="G210" s="258"/>
      <c r="H210" s="258"/>
      <c r="I210" s="258"/>
      <c r="J210" s="258"/>
    </row>
    <row r="211" spans="1:10" ht="12.75" x14ac:dyDescent="0.2">
      <c r="A211" s="108"/>
      <c r="B211" s="282">
        <v>193</v>
      </c>
      <c r="C211" s="282" t="str">
        <f ca="1">语言!$A$692</f>
        <v>毁灭破坏者</v>
      </c>
      <c r="D211" s="258"/>
      <c r="E211" s="258"/>
      <c r="F211" s="258"/>
      <c r="G211" s="258"/>
      <c r="H211" s="258"/>
      <c r="I211" s="258"/>
      <c r="J211" s="258"/>
    </row>
    <row r="212" spans="1:10" ht="12.75" x14ac:dyDescent="0.2">
      <c r="A212" s="108"/>
      <c r="B212" s="282">
        <v>194</v>
      </c>
      <c r="C212" s="282" t="str">
        <f ca="1">语言!$A$693</f>
        <v>刺客匕首</v>
      </c>
      <c r="D212" s="258"/>
      <c r="E212" s="258"/>
      <c r="F212" s="258"/>
      <c r="G212" s="258"/>
      <c r="H212" s="258"/>
      <c r="I212" s="258"/>
      <c r="J212" s="258"/>
    </row>
    <row r="213" spans="1:10" ht="12.75" x14ac:dyDescent="0.2">
      <c r="A213" s="108"/>
      <c r="B213" s="282">
        <v>195</v>
      </c>
      <c r="C213" s="282" t="str">
        <f ca="1">语言!$A$694</f>
        <v>灵魂匕首</v>
      </c>
      <c r="D213" s="258"/>
      <c r="E213" s="258"/>
      <c r="F213" s="258"/>
      <c r="G213" s="258"/>
      <c r="H213" s="258"/>
      <c r="I213" s="258"/>
      <c r="J213" s="258"/>
    </row>
    <row r="214" spans="1:10" ht="12.75" x14ac:dyDescent="0.2">
      <c r="A214" s="108"/>
      <c r="B214" s="282">
        <v>196</v>
      </c>
      <c r="C214" s="282" t="str">
        <f ca="1">语言!$A$695</f>
        <v>腥红匕首</v>
      </c>
      <c r="D214" s="258"/>
      <c r="E214" s="258"/>
      <c r="F214" s="258"/>
      <c r="G214" s="258"/>
      <c r="H214" s="258"/>
      <c r="I214" s="258"/>
      <c r="J214" s="258"/>
    </row>
    <row r="215" spans="1:10" ht="12.75" x14ac:dyDescent="0.2">
      <c r="A215" s="108"/>
      <c r="B215" s="282">
        <v>197</v>
      </c>
      <c r="C215" s="282" t="str">
        <f ca="1">语言!$A$696</f>
        <v>正义破坏者</v>
      </c>
      <c r="D215" s="258"/>
      <c r="E215" s="258"/>
      <c r="F215" s="258"/>
      <c r="G215" s="258"/>
      <c r="H215" s="258"/>
      <c r="I215" s="258"/>
      <c r="J215" s="258"/>
    </row>
    <row r="216" spans="1:10" ht="12.75" x14ac:dyDescent="0.2">
      <c r="A216" s="108"/>
      <c r="B216" s="282">
        <v>198</v>
      </c>
      <c r="C216" s="282" t="str">
        <f ca="1">语言!$A$697</f>
        <v>破天者</v>
      </c>
      <c r="D216" s="258"/>
      <c r="E216" s="258"/>
      <c r="F216" s="258"/>
      <c r="G216" s="258"/>
      <c r="H216" s="258"/>
      <c r="I216" s="258"/>
      <c r="J216" s="258"/>
    </row>
    <row r="217" spans="1:10" ht="12.75" x14ac:dyDescent="0.2">
      <c r="A217" s="108"/>
      <c r="B217" s="282">
        <v>199</v>
      </c>
      <c r="C217" s="282" t="str">
        <f ca="1">语言!$A$698</f>
        <v>魔法匕首</v>
      </c>
      <c r="D217" s="258"/>
      <c r="E217" s="258"/>
      <c r="F217" s="258"/>
      <c r="G217" s="258"/>
      <c r="H217" s="258"/>
      <c r="I217" s="258"/>
      <c r="J217" s="258"/>
    </row>
    <row r="218" spans="1:10" ht="12.75" x14ac:dyDescent="0.2">
      <c r="A218" s="108"/>
      <c r="B218" s="282">
        <v>200</v>
      </c>
      <c r="C218" s="282" t="str">
        <f ca="1">语言!$A$699</f>
        <v>越狱者</v>
      </c>
      <c r="D218" s="258"/>
      <c r="E218" s="258"/>
      <c r="F218" s="258"/>
      <c r="G218" s="258"/>
      <c r="H218" s="258"/>
      <c r="I218" s="258"/>
      <c r="J218" s="258"/>
    </row>
    <row r="219" spans="1:10" ht="12.75" x14ac:dyDescent="0.2">
      <c r="A219" s="108"/>
      <c r="B219" s="282">
        <v>201</v>
      </c>
      <c r="C219" s="282" t="str">
        <f ca="1">语言!$A$700</f>
        <v>基甸的短剑</v>
      </c>
      <c r="D219" s="258"/>
      <c r="E219" s="258"/>
      <c r="F219" s="258"/>
      <c r="G219" s="258"/>
      <c r="H219" s="258"/>
      <c r="I219" s="258"/>
      <c r="J219" s="258"/>
    </row>
    <row r="220" spans="1:10" ht="12.75" x14ac:dyDescent="0.2">
      <c r="A220" s="108"/>
      <c r="B220" s="282">
        <v>202</v>
      </c>
      <c r="C220" s="282" t="str">
        <f ca="1">语言!$A$701</f>
        <v>妖精匕首</v>
      </c>
      <c r="D220" s="258"/>
      <c r="E220" s="258"/>
      <c r="F220" s="258"/>
      <c r="G220" s="258"/>
      <c r="H220" s="258"/>
      <c r="I220" s="258"/>
      <c r="J220" s="258"/>
    </row>
    <row r="221" spans="1:10" ht="12.75" x14ac:dyDescent="0.2">
      <c r="A221" s="108"/>
      <c r="B221" s="282">
        <v>203</v>
      </c>
      <c r="C221" s="282" t="str">
        <f ca="1">语言!$A$702</f>
        <v>新月匕首</v>
      </c>
      <c r="D221" s="258"/>
      <c r="E221" s="258"/>
      <c r="F221" s="258"/>
      <c r="G221" s="258"/>
      <c r="H221" s="258"/>
      <c r="I221" s="258"/>
      <c r="J221" s="258"/>
    </row>
    <row r="222" spans="1:10" ht="12.75" x14ac:dyDescent="0.2">
      <c r="A222" s="108"/>
      <c r="B222" s="282">
        <v>204</v>
      </c>
      <c r="C222" s="282" t="str">
        <f ca="1">语言!$A$703</f>
        <v>断链者</v>
      </c>
      <c r="D222" s="258"/>
      <c r="E222" s="258"/>
      <c r="F222" s="258"/>
      <c r="G222" s="258"/>
      <c r="H222" s="258"/>
      <c r="I222" s="258"/>
      <c r="J222" s="258"/>
    </row>
    <row r="223" spans="1:10" ht="12.75" x14ac:dyDescent="0.2">
      <c r="A223" s="108"/>
      <c r="B223" s="292"/>
      <c r="C223" s="292"/>
      <c r="D223" s="258"/>
      <c r="E223" s="258"/>
      <c r="F223" s="258"/>
      <c r="G223" s="258"/>
      <c r="H223" s="258"/>
      <c r="I223" s="258"/>
      <c r="J223" s="258"/>
    </row>
    <row r="224" spans="1:10" ht="12.75" x14ac:dyDescent="0.2">
      <c r="A224" s="108"/>
      <c r="B224" s="282">
        <v>205</v>
      </c>
      <c r="C224" s="282" t="str">
        <f ca="1">语言!$A$704</f>
        <v>破剑者</v>
      </c>
      <c r="D224" s="258"/>
      <c r="E224" s="258"/>
      <c r="F224" s="258"/>
      <c r="G224" s="258"/>
      <c r="H224" s="258"/>
      <c r="I224" s="258"/>
      <c r="J224" s="258"/>
    </row>
    <row r="225" spans="1:10" ht="12.75" x14ac:dyDescent="0.2">
      <c r="A225" s="108"/>
      <c r="B225" s="282">
        <v>206</v>
      </c>
      <c r="C225" s="282" t="str">
        <f ca="1">语言!$A$705</f>
        <v>银制匕首</v>
      </c>
      <c r="D225" s="258"/>
      <c r="E225" s="258"/>
      <c r="F225" s="258"/>
      <c r="G225" s="258"/>
      <c r="H225" s="258"/>
      <c r="I225" s="258"/>
      <c r="J225" s="258"/>
    </row>
    <row r="226" spans="1:10" ht="12.75" x14ac:dyDescent="0.2">
      <c r="A226" s="108"/>
      <c r="B226" s="282">
        <v>207</v>
      </c>
      <c r="C226" s="282" t="str">
        <f ca="1">语言!$A$706</f>
        <v>穿孔匕首</v>
      </c>
      <c r="D226" s="258"/>
      <c r="E226" s="258"/>
      <c r="F226" s="258"/>
      <c r="G226" s="258"/>
      <c r="H226" s="258"/>
      <c r="I226" s="258"/>
      <c r="J226" s="258"/>
    </row>
    <row r="227" spans="1:10" ht="12.75" x14ac:dyDescent="0.2">
      <c r="A227" s="108"/>
      <c r="B227" s="282">
        <v>208</v>
      </c>
      <c r="C227" s="282" t="str">
        <f ca="1">语言!$A$707</f>
        <v>猎鹰匕首</v>
      </c>
      <c r="D227" s="258"/>
      <c r="E227" s="258"/>
      <c r="F227" s="258"/>
      <c r="G227" s="258"/>
      <c r="H227" s="258"/>
      <c r="I227" s="258"/>
      <c r="J227" s="258"/>
    </row>
    <row r="228" spans="1:10" ht="12.75" x14ac:dyDescent="0.2">
      <c r="A228" s="108"/>
      <c r="B228" s="282">
        <v>209</v>
      </c>
      <c r="C228" s="282" t="str">
        <f ca="1">语言!$A$708</f>
        <v>迷惑短剑</v>
      </c>
      <c r="D228" s="258"/>
      <c r="E228" s="258"/>
      <c r="F228" s="258"/>
      <c r="G228" s="258"/>
      <c r="H228" s="258"/>
      <c r="I228" s="258"/>
      <c r="J228" s="258"/>
    </row>
    <row r="229" spans="1:10" ht="12.75" x14ac:dyDescent="0.2">
      <c r="A229" s="108"/>
      <c r="B229" s="282">
        <v>210</v>
      </c>
      <c r="C229" s="282" t="str">
        <f ca="1">语言!$A$709</f>
        <v>魔咒匕首</v>
      </c>
      <c r="D229" s="258"/>
      <c r="E229" s="258"/>
      <c r="F229" s="258"/>
      <c r="G229" s="258"/>
      <c r="H229" s="258"/>
      <c r="I229" s="258"/>
      <c r="J229" s="258"/>
    </row>
    <row r="230" spans="1:10" ht="12.75" x14ac:dyDescent="0.2">
      <c r="A230" s="108"/>
      <c r="B230" s="282">
        <v>211</v>
      </c>
      <c r="C230" s="282" t="str">
        <f ca="1">语言!$A$710</f>
        <v>刺击匕首</v>
      </c>
      <c r="D230" s="258"/>
      <c r="E230" s="258"/>
      <c r="F230" s="258"/>
      <c r="G230" s="258"/>
      <c r="H230" s="258"/>
      <c r="I230" s="258"/>
      <c r="J230" s="258"/>
    </row>
    <row r="231" spans="1:10" ht="12.75" x14ac:dyDescent="0.2">
      <c r="A231" s="108"/>
      <c r="B231" s="282">
        <v>212</v>
      </c>
      <c r="C231" s="282" t="str">
        <f ca="1">语言!$A$711</f>
        <v>铁制匕首</v>
      </c>
      <c r="D231" s="258"/>
      <c r="E231" s="258"/>
      <c r="F231" s="258"/>
      <c r="G231" s="258"/>
      <c r="H231" s="258"/>
      <c r="I231" s="258"/>
      <c r="J231" s="258"/>
    </row>
    <row r="232" spans="1:10" ht="12.75" x14ac:dyDescent="0.2">
      <c r="A232" s="108"/>
      <c r="B232" s="282">
        <v>213</v>
      </c>
      <c r="C232" s="282" t="str">
        <f ca="1">语言!$A$712</f>
        <v>匕首</v>
      </c>
      <c r="D232" s="258"/>
      <c r="E232" s="258"/>
      <c r="F232" s="258"/>
      <c r="G232" s="258"/>
      <c r="H232" s="258"/>
      <c r="I232" s="258"/>
      <c r="J232" s="258"/>
    </row>
    <row r="233" spans="1:10" ht="12.75" x14ac:dyDescent="0.2">
      <c r="A233" s="108"/>
      <c r="B233" s="282">
        <v>214</v>
      </c>
      <c r="C233" s="282" t="str">
        <f ca="1">语言!$A$714</f>
        <v>历战之斧</v>
      </c>
      <c r="D233" s="258"/>
      <c r="E233" s="258"/>
      <c r="F233" s="258"/>
      <c r="G233" s="258"/>
      <c r="H233" s="258"/>
      <c r="I233" s="258"/>
      <c r="J233" s="258"/>
    </row>
    <row r="234" spans="1:10" ht="12.75" x14ac:dyDescent="0.2">
      <c r="A234" s="108"/>
      <c r="B234" s="282">
        <v>215</v>
      </c>
      <c r="C234" s="282" t="str">
        <f ca="1">语言!$A$715</f>
        <v>纪念之斧</v>
      </c>
      <c r="D234" s="258"/>
      <c r="E234" s="258"/>
      <c r="F234" s="258"/>
      <c r="G234" s="258"/>
      <c r="H234" s="258"/>
      <c r="I234" s="258"/>
      <c r="J234" s="258"/>
    </row>
    <row r="235" spans="1:10" ht="12.75" x14ac:dyDescent="0.2">
      <c r="A235" s="108"/>
      <c r="B235" s="282">
        <v>216</v>
      </c>
      <c r="C235" s="282" t="str">
        <f ca="1">语言!$A$716</f>
        <v>死亡猛击斧</v>
      </c>
      <c r="D235" s="258"/>
      <c r="E235" s="258"/>
      <c r="F235" s="258"/>
      <c r="G235" s="258"/>
      <c r="H235" s="258"/>
      <c r="I235" s="258"/>
      <c r="J235" s="258"/>
    </row>
    <row r="236" spans="1:10" ht="12.75" x14ac:dyDescent="0.2">
      <c r="A236" s="108"/>
      <c r="B236" s="292"/>
      <c r="C236" s="292"/>
      <c r="D236" s="258"/>
      <c r="E236" s="258"/>
      <c r="F236" s="258"/>
      <c r="G236" s="258"/>
      <c r="H236" s="258"/>
      <c r="I236" s="258"/>
      <c r="J236" s="258"/>
    </row>
    <row r="237" spans="1:10" ht="12.75" x14ac:dyDescent="0.2">
      <c r="A237" s="108"/>
      <c r="B237" s="282">
        <v>217</v>
      </c>
      <c r="C237" s="282" t="str">
        <f ca="1">语言!$A$717</f>
        <v>双刃战斧</v>
      </c>
      <c r="D237" s="258"/>
      <c r="E237" s="258"/>
      <c r="F237" s="258"/>
      <c r="G237" s="258"/>
      <c r="H237" s="258"/>
      <c r="I237" s="258"/>
      <c r="J237" s="258"/>
    </row>
    <row r="238" spans="1:10" ht="12.75" x14ac:dyDescent="0.2">
      <c r="A238" s="108"/>
      <c r="B238" s="282">
        <v>218</v>
      </c>
      <c r="C238" s="282" t="str">
        <f ca="1">语言!$A$718</f>
        <v>禁忌之斧</v>
      </c>
      <c r="D238" s="258"/>
      <c r="E238" s="258"/>
      <c r="F238" s="258"/>
      <c r="G238" s="258"/>
      <c r="H238" s="258"/>
      <c r="I238" s="258"/>
      <c r="J238" s="258"/>
    </row>
    <row r="239" spans="1:10" ht="12.75" x14ac:dyDescent="0.2">
      <c r="A239" s="108"/>
      <c r="B239" s="282">
        <v>219</v>
      </c>
      <c r="C239" s="282" t="str">
        <f ca="1">语言!$A$719</f>
        <v>食人魔猛击斧</v>
      </c>
      <c r="D239" s="258"/>
      <c r="E239" s="258"/>
      <c r="F239" s="258"/>
      <c r="G239" s="258"/>
      <c r="H239" s="258"/>
      <c r="I239" s="258"/>
      <c r="J239" s="258"/>
    </row>
    <row r="240" spans="1:10" ht="12.75" x14ac:dyDescent="0.2">
      <c r="A240" s="108"/>
      <c r="B240" s="282">
        <v>220</v>
      </c>
      <c r="C240" s="282" t="str">
        <f ca="1">语言!$A$720</f>
        <v>符文手斧</v>
      </c>
      <c r="D240" s="258"/>
      <c r="E240" s="258"/>
      <c r="F240" s="258"/>
      <c r="G240" s="258"/>
      <c r="H240" s="258"/>
      <c r="I240" s="258"/>
      <c r="J240" s="258"/>
    </row>
    <row r="241" spans="1:10" ht="12.75" x14ac:dyDescent="0.2">
      <c r="A241" s="108"/>
      <c r="B241" s="282">
        <v>221</v>
      </c>
      <c r="C241" s="282" t="str">
        <f ca="1">语言!$A$721</f>
        <v>金斧</v>
      </c>
      <c r="D241" s="258"/>
      <c r="E241" s="258"/>
      <c r="F241" s="258"/>
      <c r="G241" s="258"/>
      <c r="H241" s="258"/>
      <c r="I241" s="258"/>
      <c r="J241" s="258"/>
    </row>
    <row r="242" spans="1:10" ht="12.75" x14ac:dyDescent="0.2">
      <c r="A242" s="108"/>
      <c r="B242" s="282">
        <v>222</v>
      </c>
      <c r="C242" s="282" t="str">
        <f ca="1">语言!$A$722</f>
        <v>巨大斧</v>
      </c>
      <c r="D242" s="258"/>
      <c r="E242" s="258"/>
      <c r="F242" s="258"/>
      <c r="G242" s="258"/>
      <c r="H242" s="258"/>
      <c r="I242" s="258"/>
      <c r="J242" s="258"/>
    </row>
    <row r="243" spans="1:10" ht="12.75" x14ac:dyDescent="0.2">
      <c r="A243" s="108"/>
      <c r="B243" s="282">
        <v>223</v>
      </c>
      <c r="C243" s="282" t="str">
        <f ca="1">语言!$A$723</f>
        <v>金钢合金手斧</v>
      </c>
      <c r="D243" s="258"/>
      <c r="E243" s="258"/>
      <c r="F243" s="258"/>
      <c r="G243" s="258"/>
      <c r="H243" s="258"/>
      <c r="I243" s="258"/>
      <c r="J243" s="258"/>
    </row>
    <row r="244" spans="1:10" ht="12.75" x14ac:dyDescent="0.2">
      <c r="A244" s="108"/>
      <c r="B244" s="282">
        <v>224</v>
      </c>
      <c r="C244" s="282" t="str">
        <f ca="1">语言!$A$724</f>
        <v>山丘猛击斧</v>
      </c>
      <c r="D244" s="258"/>
      <c r="E244" s="258"/>
      <c r="F244" s="258"/>
      <c r="G244" s="258"/>
      <c r="H244" s="258"/>
      <c r="I244" s="258"/>
      <c r="J244" s="258"/>
    </row>
    <row r="245" spans="1:10" ht="12.75" x14ac:dyDescent="0.2">
      <c r="A245" s="108"/>
      <c r="B245" s="282">
        <v>225</v>
      </c>
      <c r="C245" s="282" t="str">
        <f ca="1">语言!$A$725</f>
        <v>精神手斧</v>
      </c>
      <c r="D245" s="258"/>
      <c r="E245" s="258"/>
      <c r="F245" s="258"/>
      <c r="G245" s="258"/>
      <c r="H245" s="258"/>
      <c r="I245" s="258"/>
      <c r="J245" s="258"/>
    </row>
    <row r="246" spans="1:10" ht="12.75" x14ac:dyDescent="0.2">
      <c r="A246" s="108"/>
      <c r="B246" s="282">
        <v>226</v>
      </c>
      <c r="C246" s="282" t="str">
        <f ca="1">语言!$A$726</f>
        <v>元素手斧</v>
      </c>
      <c r="D246" s="258"/>
      <c r="E246" s="258"/>
      <c r="F246" s="258"/>
      <c r="G246" s="258"/>
      <c r="H246" s="258"/>
      <c r="I246" s="258"/>
      <c r="J246" s="258"/>
    </row>
    <row r="247" spans="1:10" ht="12.75" x14ac:dyDescent="0.2">
      <c r="A247" s="108"/>
      <c r="B247" s="282">
        <v>227</v>
      </c>
      <c r="C247" s="282" t="str">
        <f ca="1">语言!$A$727</f>
        <v>地狱斧</v>
      </c>
      <c r="D247" s="258"/>
      <c r="E247" s="258"/>
      <c r="F247" s="258"/>
      <c r="G247" s="258"/>
      <c r="H247" s="258"/>
      <c r="I247" s="258"/>
      <c r="J247" s="258"/>
    </row>
    <row r="248" spans="1:10" ht="12.75" x14ac:dyDescent="0.2">
      <c r="A248" s="108"/>
      <c r="B248" s="282">
        <v>228</v>
      </c>
      <c r="C248" s="282" t="str">
        <f ca="1">语言!$A$728</f>
        <v>蜥蜴王之斧</v>
      </c>
      <c r="D248" s="258"/>
      <c r="E248" s="258"/>
      <c r="F248" s="258"/>
      <c r="G248" s="258"/>
      <c r="H248" s="258"/>
      <c r="I248" s="258"/>
      <c r="J248" s="258"/>
    </row>
    <row r="249" spans="1:10" ht="12.75" x14ac:dyDescent="0.2">
      <c r="A249" s="108"/>
      <c r="B249" s="292"/>
      <c r="C249" s="292"/>
      <c r="D249" s="258"/>
      <c r="E249" s="258"/>
      <c r="F249" s="258"/>
      <c r="G249" s="258"/>
      <c r="H249" s="258"/>
      <c r="I249" s="258"/>
      <c r="J249" s="258"/>
    </row>
    <row r="250" spans="1:10" ht="12.75" x14ac:dyDescent="0.2">
      <c r="A250" s="108"/>
      <c r="B250" s="282">
        <v>229</v>
      </c>
      <c r="C250" s="282" t="str">
        <f ca="1">语言!$A$729</f>
        <v>重力子斧</v>
      </c>
      <c r="D250" s="258"/>
      <c r="E250" s="258"/>
      <c r="F250" s="258"/>
      <c r="G250" s="258"/>
      <c r="H250" s="258"/>
      <c r="I250" s="258"/>
      <c r="J250" s="258"/>
    </row>
    <row r="251" spans="1:10" ht="12.75" x14ac:dyDescent="0.2">
      <c r="A251" s="108"/>
      <c r="B251" s="282">
        <v>230</v>
      </c>
      <c r="C251" s="282" t="str">
        <f ca="1">语言!$A$730</f>
        <v>灰熊猛击斧</v>
      </c>
      <c r="D251" s="258"/>
      <c r="E251" s="258"/>
      <c r="F251" s="258"/>
      <c r="G251" s="258"/>
      <c r="H251" s="258"/>
      <c r="I251" s="258"/>
      <c r="J251" s="258"/>
    </row>
    <row r="252" spans="1:10" ht="12.75" x14ac:dyDescent="0.2">
      <c r="A252" s="108"/>
      <c r="B252" s="282">
        <v>231</v>
      </c>
      <c r="C252" s="282" t="str">
        <f ca="1">语言!$A$731</f>
        <v>岩石猛击斧</v>
      </c>
      <c r="D252" s="258"/>
      <c r="E252" s="258"/>
      <c r="F252" s="258"/>
      <c r="G252" s="258"/>
      <c r="H252" s="258"/>
      <c r="I252" s="258"/>
      <c r="J252" s="258"/>
    </row>
    <row r="253" spans="1:10" ht="12.75" x14ac:dyDescent="0.2">
      <c r="A253" s="108"/>
      <c r="B253" s="282">
        <v>232</v>
      </c>
      <c r="C253" s="282" t="str">
        <f ca="1">语言!$A$732</f>
        <v>灵魂手斧</v>
      </c>
      <c r="D253" s="258"/>
      <c r="E253" s="258"/>
      <c r="F253" s="258"/>
      <c r="G253" s="258"/>
      <c r="H253" s="258"/>
      <c r="I253" s="258"/>
      <c r="J253" s="258"/>
    </row>
    <row r="254" spans="1:10" ht="12.75" x14ac:dyDescent="0.2">
      <c r="A254" s="108"/>
      <c r="B254" s="282">
        <v>233</v>
      </c>
      <c r="C254" s="282" t="str">
        <f ca="1">语言!$A$733</f>
        <v>尖角猛击斧</v>
      </c>
      <c r="D254" s="258"/>
      <c r="E254" s="258"/>
      <c r="F254" s="258"/>
      <c r="G254" s="258"/>
      <c r="H254" s="258"/>
      <c r="I254" s="258"/>
      <c r="J254" s="258"/>
    </row>
    <row r="255" spans="1:10" ht="12.75" x14ac:dyDescent="0.2">
      <c r="A255" s="108"/>
      <c r="B255" s="282">
        <v>234</v>
      </c>
      <c r="C255" s="282" t="str">
        <f ca="1">语言!$A$734</f>
        <v>银斧</v>
      </c>
      <c r="D255" s="258"/>
      <c r="E255" s="258"/>
      <c r="F255" s="258"/>
      <c r="G255" s="258"/>
      <c r="H255" s="258"/>
      <c r="I255" s="258"/>
      <c r="J255" s="258"/>
    </row>
    <row r="256" spans="1:10" ht="12.75" x14ac:dyDescent="0.2">
      <c r="A256" s="108"/>
      <c r="B256" s="282">
        <v>235</v>
      </c>
      <c r="C256" s="282" t="str">
        <f ca="1">语言!$A$735</f>
        <v>魔法手斧</v>
      </c>
      <c r="D256" s="258"/>
      <c r="E256" s="258"/>
      <c r="F256" s="258"/>
      <c r="G256" s="258"/>
      <c r="H256" s="258"/>
      <c r="I256" s="258"/>
      <c r="J256" s="258"/>
    </row>
    <row r="257" spans="1:10" ht="12.75" x14ac:dyDescent="0.2">
      <c r="A257" s="108"/>
      <c r="B257" s="282">
        <v>236</v>
      </c>
      <c r="C257" s="282" t="str">
        <f ca="1">语言!$A$736</f>
        <v>维京斧</v>
      </c>
      <c r="D257" s="258"/>
      <c r="E257" s="258"/>
      <c r="F257" s="258"/>
      <c r="G257" s="258"/>
      <c r="H257" s="258"/>
      <c r="I257" s="258"/>
      <c r="J257" s="258"/>
    </row>
    <row r="258" spans="1:10" ht="12.75" x14ac:dyDescent="0.2">
      <c r="A258" s="108"/>
      <c r="B258" s="282">
        <v>237</v>
      </c>
      <c r="C258" s="282" t="str">
        <f ca="1">语言!$A$737</f>
        <v>奥玛尔之斧</v>
      </c>
      <c r="D258" s="258"/>
      <c r="E258" s="258"/>
      <c r="F258" s="258"/>
      <c r="G258" s="258"/>
      <c r="H258" s="258"/>
      <c r="I258" s="258"/>
      <c r="J258" s="258"/>
    </row>
    <row r="259" spans="1:10" ht="12.75" x14ac:dyDescent="0.2">
      <c r="A259" s="108"/>
      <c r="B259" s="282">
        <v>238</v>
      </c>
      <c r="C259" s="282" t="str">
        <f ca="1">语言!$A$738</f>
        <v>钢斧</v>
      </c>
      <c r="D259" s="258"/>
      <c r="E259" s="258"/>
      <c r="F259" s="258"/>
      <c r="G259" s="258"/>
      <c r="H259" s="258"/>
      <c r="I259" s="258"/>
      <c r="J259" s="258"/>
    </row>
    <row r="260" spans="1:10" ht="12.75" x14ac:dyDescent="0.2">
      <c r="A260" s="108"/>
      <c r="B260" s="282">
        <v>239</v>
      </c>
      <c r="C260" s="282" t="str">
        <f ca="1">语言!$A$739</f>
        <v>猛击斧</v>
      </c>
      <c r="D260" s="258"/>
      <c r="E260" s="258"/>
      <c r="F260" s="258"/>
      <c r="G260" s="258"/>
      <c r="H260" s="258"/>
      <c r="I260" s="258"/>
      <c r="J260" s="258"/>
    </row>
    <row r="261" spans="1:10" ht="12.75" x14ac:dyDescent="0.2">
      <c r="A261" s="108"/>
      <c r="B261" s="282">
        <v>240</v>
      </c>
      <c r="C261" s="282" t="str">
        <f ca="1">语言!$A$740</f>
        <v>魔力之斧</v>
      </c>
      <c r="D261" s="258"/>
      <c r="E261" s="258"/>
      <c r="F261" s="258"/>
      <c r="G261" s="258"/>
      <c r="H261" s="258"/>
      <c r="I261" s="258"/>
      <c r="J261" s="258"/>
    </row>
    <row r="262" spans="1:10" ht="12.75" x14ac:dyDescent="0.2">
      <c r="A262" s="108"/>
      <c r="B262" s="292"/>
      <c r="C262" s="292"/>
      <c r="D262" s="258"/>
      <c r="E262" s="258"/>
      <c r="F262" s="258"/>
      <c r="G262" s="258"/>
      <c r="H262" s="258"/>
      <c r="I262" s="258"/>
      <c r="J262" s="258"/>
    </row>
    <row r="263" spans="1:10" ht="12.75" x14ac:dyDescent="0.2">
      <c r="A263" s="108"/>
      <c r="B263" s="282">
        <v>241</v>
      </c>
      <c r="C263" s="282" t="str">
        <f ca="1">语言!$A$741</f>
        <v>重斧</v>
      </c>
      <c r="D263" s="258"/>
      <c r="E263" s="258"/>
      <c r="F263" s="258"/>
      <c r="G263" s="258"/>
      <c r="H263" s="258"/>
      <c r="I263" s="258"/>
      <c r="J263" s="258"/>
    </row>
    <row r="264" spans="1:10" ht="12.75" x14ac:dyDescent="0.2">
      <c r="A264" s="108"/>
      <c r="B264" s="282">
        <v>242</v>
      </c>
      <c r="C264" s="282" t="str">
        <f ca="1">语言!$A$742</f>
        <v>银制斧</v>
      </c>
      <c r="D264" s="258"/>
      <c r="E264" s="258"/>
      <c r="F264" s="258"/>
      <c r="G264" s="258"/>
      <c r="H264" s="258"/>
      <c r="I264" s="258"/>
      <c r="J264" s="258"/>
    </row>
    <row r="265" spans="1:10" ht="12.75" x14ac:dyDescent="0.2">
      <c r="A265" s="108"/>
      <c r="B265" s="282">
        <v>243</v>
      </c>
      <c r="C265" s="282" t="str">
        <f ca="1">语言!$A$743</f>
        <v>战斧</v>
      </c>
      <c r="D265" s="258"/>
      <c r="E265" s="258"/>
      <c r="F265" s="258"/>
      <c r="G265" s="258"/>
      <c r="H265" s="258"/>
      <c r="I265" s="258"/>
      <c r="J265" s="258"/>
    </row>
    <row r="266" spans="1:10" ht="12.75" x14ac:dyDescent="0.2">
      <c r="A266" s="108"/>
      <c r="B266" s="282">
        <v>244</v>
      </c>
      <c r="C266" s="282" t="str">
        <f ca="1">语言!$A$744</f>
        <v>魔咒手斧</v>
      </c>
      <c r="D266" s="258"/>
      <c r="E266" s="258"/>
      <c r="F266" s="258"/>
      <c r="G266" s="258"/>
      <c r="H266" s="258"/>
      <c r="I266" s="258"/>
      <c r="J266" s="258"/>
    </row>
    <row r="267" spans="1:10" ht="12.75" x14ac:dyDescent="0.2">
      <c r="A267" s="108"/>
      <c r="B267" s="282">
        <v>245</v>
      </c>
      <c r="C267" s="282" t="str">
        <f ca="1">语言!$A$745</f>
        <v>铁斧</v>
      </c>
      <c r="D267" s="258"/>
      <c r="E267" s="258"/>
      <c r="F267" s="258"/>
      <c r="G267" s="258"/>
      <c r="H267" s="258"/>
      <c r="I267" s="258"/>
      <c r="J267" s="258"/>
    </row>
    <row r="268" spans="1:10" ht="12.75" x14ac:dyDescent="0.2">
      <c r="A268" s="108"/>
      <c r="B268" s="282">
        <v>246</v>
      </c>
      <c r="C268" s="282" t="str">
        <f ca="1">语言!$A$746</f>
        <v>手斧</v>
      </c>
      <c r="D268" s="258"/>
      <c r="E268" s="258"/>
      <c r="F268" s="258"/>
      <c r="G268" s="258"/>
      <c r="H268" s="258"/>
      <c r="I268" s="258"/>
      <c r="J268" s="258"/>
    </row>
    <row r="269" spans="1:10" ht="12.75" x14ac:dyDescent="0.2">
      <c r="A269" s="108"/>
      <c r="B269" s="282">
        <v>247</v>
      </c>
      <c r="C269" s="282" t="str">
        <f ca="1">语言!$A$748</f>
        <v>历战之弓</v>
      </c>
      <c r="D269" s="258"/>
      <c r="E269" s="258"/>
      <c r="F269" s="258"/>
      <c r="G269" s="258"/>
      <c r="H269" s="258"/>
      <c r="I269" s="258"/>
      <c r="J269" s="258"/>
    </row>
    <row r="270" spans="1:10" ht="12.75" x14ac:dyDescent="0.2">
      <c r="A270" s="108"/>
      <c r="B270" s="282">
        <v>248</v>
      </c>
      <c r="C270" s="282" t="str">
        <f ca="1">语言!$A$749</f>
        <v>古来弓・岚</v>
      </c>
      <c r="D270" s="258"/>
      <c r="E270" s="258"/>
      <c r="F270" s="258"/>
      <c r="G270" s="258"/>
      <c r="H270" s="258"/>
      <c r="I270" s="258"/>
      <c r="J270" s="258"/>
    </row>
    <row r="271" spans="1:10" ht="12.75" x14ac:dyDescent="0.2">
      <c r="A271" s="108"/>
      <c r="B271" s="282">
        <v>249</v>
      </c>
      <c r="C271" s="282" t="str">
        <f ca="1">语言!$A$750</f>
        <v>超越弓・幻</v>
      </c>
      <c r="D271" s="258"/>
      <c r="E271" s="258"/>
      <c r="F271" s="258"/>
      <c r="G271" s="258"/>
      <c r="H271" s="258"/>
      <c r="I271" s="258"/>
      <c r="J271" s="258"/>
    </row>
    <row r="272" spans="1:10" ht="12.75" x14ac:dyDescent="0.2">
      <c r="A272" s="108"/>
      <c r="B272" s="282">
        <v>250</v>
      </c>
      <c r="C272" s="282" t="str">
        <f ca="1">语言!$A$751</f>
        <v>进化弓・鹰</v>
      </c>
      <c r="D272" s="258"/>
      <c r="E272" s="258"/>
      <c r="F272" s="258"/>
      <c r="G272" s="258"/>
      <c r="H272" s="258"/>
      <c r="I272" s="258"/>
      <c r="J272" s="258"/>
    </row>
    <row r="273" spans="1:10" ht="12.75" x14ac:dyDescent="0.2">
      <c r="A273" s="108"/>
      <c r="B273" s="282">
        <v>251</v>
      </c>
      <c r="C273" s="282" t="str">
        <f ca="1">语言!$A$752</f>
        <v>禁忌之弓</v>
      </c>
      <c r="D273" s="258"/>
      <c r="E273" s="258"/>
      <c r="F273" s="258"/>
      <c r="G273" s="258"/>
      <c r="H273" s="258"/>
      <c r="I273" s="258"/>
      <c r="J273" s="258"/>
    </row>
    <row r="274" spans="1:10" ht="12.75" x14ac:dyDescent="0.2">
      <c r="A274" s="108"/>
      <c r="B274" s="282">
        <v>252</v>
      </c>
      <c r="C274" s="282" t="str">
        <f ca="1">语言!$A$753</f>
        <v>海伯利昂弓</v>
      </c>
      <c r="D274" s="258"/>
      <c r="E274" s="258"/>
      <c r="F274" s="258"/>
      <c r="G274" s="258"/>
      <c r="H274" s="258"/>
      <c r="I274" s="258"/>
      <c r="J274" s="258"/>
    </row>
    <row r="275" spans="1:10" ht="12.75" x14ac:dyDescent="0.2">
      <c r="A275" s="108"/>
      <c r="B275" s="292"/>
      <c r="C275" s="292"/>
      <c r="D275" s="258"/>
      <c r="E275" s="258"/>
      <c r="F275" s="258"/>
      <c r="G275" s="258"/>
      <c r="H275" s="258"/>
      <c r="I275" s="258"/>
      <c r="J275" s="258"/>
    </row>
    <row r="276" spans="1:10" ht="12.75" x14ac:dyDescent="0.2">
      <c r="A276" s="108"/>
      <c r="B276" s="282">
        <v>253</v>
      </c>
      <c r="C276" s="282" t="str">
        <f ca="1">语言!$A$754</f>
        <v>弓圣的大弓</v>
      </c>
      <c r="D276" s="258"/>
      <c r="E276" s="258"/>
      <c r="F276" s="258"/>
      <c r="G276" s="258"/>
      <c r="H276" s="258"/>
      <c r="I276" s="258"/>
      <c r="J276" s="258"/>
    </row>
    <row r="277" spans="1:10" ht="12.75" x14ac:dyDescent="0.2">
      <c r="A277" s="108"/>
      <c r="B277" s="282">
        <v>254</v>
      </c>
      <c r="C277" s="282" t="str">
        <f ca="1">语言!$A$755</f>
        <v>符文弓</v>
      </c>
      <c r="D277" s="258"/>
      <c r="E277" s="258"/>
      <c r="F277" s="258"/>
      <c r="G277" s="258"/>
      <c r="H277" s="258"/>
      <c r="I277" s="258"/>
      <c r="J277" s="258"/>
    </row>
    <row r="278" spans="1:10" ht="12.75" x14ac:dyDescent="0.2">
      <c r="A278" s="108"/>
      <c r="B278" s="282">
        <v>255</v>
      </c>
      <c r="C278" s="282" t="str">
        <f ca="1">语言!$A$756</f>
        <v>雪男的大弓</v>
      </c>
      <c r="D278" s="258"/>
      <c r="E278" s="258"/>
      <c r="F278" s="258"/>
      <c r="G278" s="258"/>
      <c r="H278" s="258"/>
      <c r="I278" s="258"/>
      <c r="J278" s="258"/>
    </row>
    <row r="279" spans="1:10" ht="12.75" x14ac:dyDescent="0.2">
      <c r="A279" s="108"/>
      <c r="B279" s="282">
        <v>256</v>
      </c>
      <c r="C279" s="282" t="str">
        <f ca="1">语言!$A$757</f>
        <v>金钢合金弓</v>
      </c>
      <c r="D279" s="258"/>
      <c r="E279" s="258"/>
      <c r="F279" s="258"/>
      <c r="G279" s="258"/>
      <c r="H279" s="258"/>
      <c r="I279" s="258"/>
      <c r="J279" s="258"/>
    </row>
    <row r="280" spans="1:10" ht="12.75" x14ac:dyDescent="0.2">
      <c r="A280" s="108"/>
      <c r="B280" s="282">
        <v>257</v>
      </c>
      <c r="C280" s="282" t="str">
        <f ca="1">语言!$A$758</f>
        <v>强化弓・隼</v>
      </c>
      <c r="D280" s="258"/>
      <c r="E280" s="258"/>
      <c r="F280" s="258"/>
      <c r="G280" s="258"/>
      <c r="H280" s="258"/>
      <c r="I280" s="258"/>
      <c r="J280" s="258"/>
    </row>
    <row r="281" spans="1:10" ht="12.75" x14ac:dyDescent="0.2">
      <c r="A281" s="108"/>
      <c r="B281" s="282">
        <v>258</v>
      </c>
      <c r="C281" s="282" t="str">
        <f ca="1">语言!$A$759</f>
        <v>达人的大弓</v>
      </c>
      <c r="D281" s="258"/>
      <c r="E281" s="258"/>
      <c r="F281" s="258"/>
      <c r="G281" s="258"/>
      <c r="H281" s="258"/>
      <c r="I281" s="258"/>
      <c r="J281" s="258"/>
    </row>
    <row r="282" spans="1:10" ht="12.75" x14ac:dyDescent="0.2">
      <c r="A282" s="108"/>
      <c r="B282" s="282">
        <v>259</v>
      </c>
      <c r="C282" s="282" t="str">
        <f ca="1">语言!$A$760</f>
        <v>光辉弓</v>
      </c>
      <c r="D282" s="258"/>
      <c r="E282" s="258"/>
      <c r="F282" s="258"/>
      <c r="G282" s="258"/>
      <c r="H282" s="258"/>
      <c r="I282" s="258"/>
      <c r="J282" s="258"/>
    </row>
    <row r="283" spans="1:10" ht="12.75" x14ac:dyDescent="0.2">
      <c r="A283" s="108"/>
      <c r="B283" s="282">
        <v>260</v>
      </c>
      <c r="C283" s="282" t="str">
        <f ca="1">语言!$A$761</f>
        <v>海盗的大弓</v>
      </c>
      <c r="D283" s="258"/>
      <c r="E283" s="258"/>
      <c r="F283" s="258"/>
      <c r="G283" s="258"/>
      <c r="H283" s="258"/>
      <c r="I283" s="258"/>
      <c r="J283" s="258"/>
    </row>
    <row r="284" spans="1:10" ht="12.75" x14ac:dyDescent="0.2">
      <c r="A284" s="108"/>
      <c r="B284" s="282">
        <v>261</v>
      </c>
      <c r="C284" s="282" t="str">
        <f ca="1">语言!$A$762</f>
        <v>精神弓</v>
      </c>
      <c r="D284" s="258"/>
      <c r="E284" s="258"/>
      <c r="F284" s="258"/>
      <c r="G284" s="258"/>
      <c r="H284" s="258"/>
      <c r="I284" s="258"/>
      <c r="J284" s="258"/>
    </row>
    <row r="285" spans="1:10" ht="12.75" x14ac:dyDescent="0.2">
      <c r="A285" s="108"/>
      <c r="B285" s="282">
        <v>262</v>
      </c>
      <c r="C285" s="282" t="str">
        <f ca="1">语言!$A$763</f>
        <v>战姬的大弓</v>
      </c>
      <c r="D285" s="258"/>
      <c r="E285" s="258"/>
      <c r="F285" s="258"/>
      <c r="G285" s="258"/>
      <c r="H285" s="258"/>
      <c r="I285" s="258"/>
      <c r="J285" s="258"/>
    </row>
    <row r="286" spans="1:10" ht="12.75" x14ac:dyDescent="0.2">
      <c r="A286" s="108"/>
      <c r="B286" s="282">
        <v>263</v>
      </c>
      <c r="C286" s="282" t="str">
        <f ca="1">语言!$A$764</f>
        <v>元素弓</v>
      </c>
      <c r="D286" s="258"/>
      <c r="E286" s="258"/>
      <c r="F286" s="258"/>
      <c r="G286" s="258"/>
      <c r="H286" s="258"/>
      <c r="I286" s="258"/>
      <c r="J286" s="258"/>
    </row>
    <row r="287" spans="1:10" ht="12.75" x14ac:dyDescent="0.2">
      <c r="A287" s="108"/>
      <c r="B287" s="282">
        <v>264</v>
      </c>
      <c r="C287" s="282" t="str">
        <f ca="1">语言!$A$765</f>
        <v>影弓</v>
      </c>
      <c r="D287" s="258"/>
      <c r="E287" s="258"/>
      <c r="F287" s="258"/>
      <c r="G287" s="258"/>
      <c r="H287" s="258"/>
      <c r="I287" s="258"/>
      <c r="J287" s="258"/>
    </row>
    <row r="288" spans="1:10" ht="12.75" x14ac:dyDescent="0.2">
      <c r="A288" s="108"/>
      <c r="B288" s="292"/>
      <c r="C288" s="292"/>
      <c r="D288" s="258"/>
      <c r="E288" s="258"/>
      <c r="F288" s="258"/>
      <c r="G288" s="258"/>
      <c r="H288" s="258"/>
      <c r="I288" s="258"/>
      <c r="J288" s="258"/>
    </row>
    <row r="289" spans="1:10" ht="12.75" x14ac:dyDescent="0.2">
      <c r="A289" s="108"/>
      <c r="B289" s="282">
        <v>265</v>
      </c>
      <c r="C289" s="282" t="str">
        <f ca="1">语言!$A$766</f>
        <v>战斧弓</v>
      </c>
      <c r="D289" s="258"/>
      <c r="E289" s="258"/>
      <c r="F289" s="258"/>
      <c r="G289" s="258"/>
      <c r="H289" s="258"/>
      <c r="I289" s="258"/>
      <c r="J289" s="258"/>
    </row>
    <row r="290" spans="1:10" ht="12.75" x14ac:dyDescent="0.2">
      <c r="A290" s="108"/>
      <c r="B290" s="282">
        <v>266</v>
      </c>
      <c r="C290" s="282" t="str">
        <f ca="1">语言!$A$767</f>
        <v>神射手的大弓</v>
      </c>
      <c r="D290" s="258"/>
      <c r="E290" s="258"/>
      <c r="F290" s="258"/>
      <c r="G290" s="258"/>
      <c r="H290" s="258"/>
      <c r="I290" s="258"/>
      <c r="J290" s="258"/>
    </row>
    <row r="291" spans="1:10" ht="12.75" x14ac:dyDescent="0.2">
      <c r="A291" s="108"/>
      <c r="B291" s="282">
        <v>267</v>
      </c>
      <c r="C291" s="282" t="str">
        <f ca="1">语言!$A$768</f>
        <v>灵魂弓</v>
      </c>
      <c r="D291" s="258"/>
      <c r="E291" s="258"/>
      <c r="F291" s="258"/>
      <c r="G291" s="258"/>
      <c r="H291" s="258"/>
      <c r="I291" s="258"/>
      <c r="J291" s="258"/>
    </row>
    <row r="292" spans="1:10" ht="12.75" x14ac:dyDescent="0.2">
      <c r="A292" s="108"/>
      <c r="B292" s="282">
        <v>268</v>
      </c>
      <c r="C292" s="282" t="str">
        <f ca="1">语言!$A$769</f>
        <v>士兵的大弓</v>
      </c>
      <c r="D292" s="258"/>
      <c r="E292" s="258"/>
      <c r="F292" s="258"/>
      <c r="G292" s="258"/>
      <c r="H292" s="258"/>
      <c r="I292" s="258"/>
      <c r="J292" s="258"/>
    </row>
    <row r="293" spans="1:10" ht="12.75" x14ac:dyDescent="0.2">
      <c r="A293" s="108"/>
      <c r="B293" s="282">
        <v>269</v>
      </c>
      <c r="C293" s="282" t="str">
        <f ca="1">语言!$A$770</f>
        <v>重弓</v>
      </c>
      <c r="D293" s="258"/>
      <c r="E293" s="258"/>
      <c r="F293" s="258"/>
      <c r="G293" s="258"/>
      <c r="H293" s="258"/>
      <c r="I293" s="258"/>
      <c r="J293" s="258"/>
    </row>
    <row r="294" spans="1:10" ht="12.75" x14ac:dyDescent="0.2">
      <c r="A294" s="108"/>
      <c r="B294" s="282">
        <v>270</v>
      </c>
      <c r="C294" s="282" t="str">
        <f ca="1">语言!$A$771</f>
        <v>魔法弓</v>
      </c>
      <c r="D294" s="258"/>
      <c r="E294" s="258"/>
      <c r="F294" s="258"/>
      <c r="G294" s="258"/>
      <c r="H294" s="258"/>
      <c r="I294" s="258"/>
      <c r="J294" s="258"/>
    </row>
    <row r="295" spans="1:10" ht="12.75" x14ac:dyDescent="0.2">
      <c r="A295" s="108"/>
      <c r="B295" s="282">
        <v>271</v>
      </c>
      <c r="C295" s="282" t="str">
        <f ca="1">语言!$A$772</f>
        <v>杀手弓</v>
      </c>
      <c r="D295" s="258"/>
      <c r="E295" s="258"/>
      <c r="F295" s="258"/>
      <c r="G295" s="258"/>
      <c r="H295" s="258"/>
      <c r="I295" s="258"/>
      <c r="J295" s="258"/>
    </row>
    <row r="296" spans="1:10" ht="12.75" x14ac:dyDescent="0.2">
      <c r="A296" s="108"/>
      <c r="B296" s="282">
        <v>272</v>
      </c>
      <c r="C296" s="282" t="str">
        <f ca="1">语言!$A$773</f>
        <v>魔咒弓</v>
      </c>
      <c r="D296" s="258"/>
      <c r="E296" s="258"/>
      <c r="F296" s="258"/>
      <c r="G296" s="258"/>
      <c r="H296" s="258"/>
      <c r="I296" s="258"/>
      <c r="J296" s="258"/>
    </row>
    <row r="297" spans="1:10" ht="12.75" x14ac:dyDescent="0.2">
      <c r="A297" s="108"/>
      <c r="B297" s="282">
        <v>273</v>
      </c>
      <c r="C297" s="282" t="str">
        <f ca="1">语言!$A$774</f>
        <v>狼弓</v>
      </c>
      <c r="D297" s="258"/>
      <c r="E297" s="258"/>
      <c r="F297" s="258"/>
      <c r="G297" s="258"/>
      <c r="H297" s="258"/>
      <c r="I297" s="258"/>
      <c r="J297" s="258"/>
    </row>
    <row r="298" spans="1:10" ht="12.75" x14ac:dyDescent="0.2">
      <c r="A298" s="108"/>
      <c r="B298" s="282">
        <v>274</v>
      </c>
      <c r="C298" s="282" t="str">
        <f ca="1">语言!$A$775</f>
        <v>石弓</v>
      </c>
      <c r="D298" s="258"/>
      <c r="E298" s="258"/>
      <c r="F298" s="258"/>
      <c r="G298" s="258"/>
      <c r="H298" s="258"/>
      <c r="I298" s="258"/>
      <c r="J298" s="258"/>
    </row>
    <row r="299" spans="1:10" ht="12.75" x14ac:dyDescent="0.2">
      <c r="A299" s="108"/>
      <c r="B299" s="282">
        <v>275</v>
      </c>
      <c r="C299" s="282" t="str">
        <f ca="1">语言!$A$776</f>
        <v>复合弓</v>
      </c>
      <c r="D299" s="258"/>
      <c r="E299" s="258"/>
      <c r="F299" s="258"/>
      <c r="G299" s="258"/>
      <c r="H299" s="258"/>
      <c r="I299" s="258"/>
      <c r="J299" s="258"/>
    </row>
    <row r="300" spans="1:10" ht="12.75" x14ac:dyDescent="0.2">
      <c r="A300" s="108"/>
      <c r="B300" s="282">
        <v>276</v>
      </c>
      <c r="C300" s="282" t="str">
        <f ca="1">语言!$A$777</f>
        <v>长弓</v>
      </c>
      <c r="D300" s="258"/>
      <c r="E300" s="258"/>
      <c r="F300" s="258"/>
      <c r="G300" s="258"/>
      <c r="H300" s="258"/>
      <c r="I300" s="258"/>
      <c r="J300" s="258"/>
    </row>
    <row r="301" spans="1:10" ht="12.75" x14ac:dyDescent="0.2">
      <c r="A301" s="108"/>
      <c r="B301" s="292"/>
      <c r="C301" s="292"/>
      <c r="D301" s="258"/>
      <c r="E301" s="258"/>
      <c r="F301" s="258"/>
      <c r="G301" s="258"/>
      <c r="H301" s="258"/>
      <c r="I301" s="258"/>
      <c r="J301" s="258"/>
    </row>
    <row r="302" spans="1:10" ht="12.75" x14ac:dyDescent="0.2">
      <c r="A302" s="108"/>
      <c r="B302" s="282">
        <v>277</v>
      </c>
      <c r="C302" s="282" t="str">
        <f ca="1">语言!$A$779</f>
        <v>历战之杖</v>
      </c>
      <c r="D302" s="258"/>
      <c r="E302" s="258"/>
      <c r="F302" s="258"/>
      <c r="G302" s="258"/>
      <c r="H302" s="258"/>
      <c r="I302" s="258"/>
      <c r="J302" s="258"/>
    </row>
    <row r="303" spans="1:10" ht="12.75" x14ac:dyDescent="0.2">
      <c r="A303" s="108"/>
      <c r="B303" s="282">
        <v>278</v>
      </c>
      <c r="C303" s="282" t="str">
        <f ca="1">语言!$A$780</f>
        <v>大主教之杖</v>
      </c>
      <c r="D303" s="258"/>
      <c r="E303" s="258"/>
      <c r="F303" s="258"/>
      <c r="G303" s="258"/>
      <c r="H303" s="258"/>
      <c r="I303" s="258"/>
      <c r="J303" s="258"/>
    </row>
    <row r="304" spans="1:10" ht="12.75" x14ac:dyDescent="0.2">
      <c r="A304" s="108"/>
      <c r="B304" s="282">
        <v>279</v>
      </c>
      <c r="C304" s="282" t="str">
        <f ca="1">语言!$A$781</f>
        <v>斗智之杖</v>
      </c>
      <c r="D304" s="258"/>
      <c r="E304" s="258"/>
      <c r="F304" s="258"/>
      <c r="G304" s="258"/>
      <c r="H304" s="258"/>
      <c r="I304" s="258"/>
      <c r="J304" s="258"/>
    </row>
    <row r="305" spans="1:10" ht="12.75" x14ac:dyDescent="0.2">
      <c r="A305" s="108"/>
      <c r="B305" s="282">
        <v>280</v>
      </c>
      <c r="C305" s="282" t="str">
        <f ca="1">语言!$A$782</f>
        <v>术士之杖</v>
      </c>
      <c r="D305" s="258"/>
      <c r="E305" s="258"/>
      <c r="F305" s="258"/>
      <c r="G305" s="258"/>
      <c r="H305" s="258"/>
      <c r="I305" s="258"/>
      <c r="J305" s="258"/>
    </row>
    <row r="306" spans="1:10" ht="12.75" x14ac:dyDescent="0.2">
      <c r="A306" s="108"/>
      <c r="B306" s="282">
        <v>281</v>
      </c>
      <c r="C306" s="282" t="str">
        <f ca="1">语言!$A$783</f>
        <v>绝对零度之杖</v>
      </c>
      <c r="D306" s="258"/>
      <c r="E306" s="258"/>
      <c r="F306" s="258"/>
      <c r="G306" s="258"/>
      <c r="H306" s="258"/>
      <c r="I306" s="258"/>
      <c r="J306" s="258"/>
    </row>
    <row r="307" spans="1:10" ht="12.75" x14ac:dyDescent="0.2">
      <c r="A307" s="108"/>
      <c r="B307" s="282">
        <v>282</v>
      </c>
      <c r="C307" s="282" t="str">
        <f ca="1">语言!$A$784</f>
        <v>世界树手杖</v>
      </c>
      <c r="D307" s="258"/>
      <c r="E307" s="258"/>
      <c r="F307" s="258"/>
      <c r="G307" s="258"/>
      <c r="H307" s="258"/>
      <c r="I307" s="258"/>
      <c r="J307" s="258"/>
    </row>
    <row r="308" spans="1:10" ht="12.75" x14ac:dyDescent="0.2">
      <c r="A308" s="108"/>
      <c r="B308" s="282">
        <v>283</v>
      </c>
      <c r="C308" s="282" t="str">
        <f ca="1">语言!$A$785</f>
        <v>马提亚斯之杖</v>
      </c>
      <c r="D308" s="258"/>
      <c r="E308" s="258"/>
      <c r="F308" s="258"/>
      <c r="G308" s="258"/>
      <c r="H308" s="258"/>
      <c r="I308" s="258"/>
      <c r="J308" s="258"/>
    </row>
    <row r="309" spans="1:10" ht="12.75" x14ac:dyDescent="0.2">
      <c r="A309" s="108"/>
      <c r="B309" s="282">
        <v>284</v>
      </c>
      <c r="C309" s="282" t="str">
        <f ca="1">语言!$A$786</f>
        <v>禁忌之杖</v>
      </c>
      <c r="D309" s="258"/>
      <c r="E309" s="258"/>
      <c r="F309" s="258"/>
      <c r="G309" s="258"/>
      <c r="H309" s="258"/>
      <c r="I309" s="258"/>
      <c r="J309" s="258"/>
    </row>
    <row r="310" spans="1:10" ht="12.75" x14ac:dyDescent="0.2">
      <c r="A310" s="108"/>
      <c r="B310" s="282">
        <v>285</v>
      </c>
      <c r="C310" s="282" t="str">
        <f ca="1">语言!$A$787</f>
        <v>魔法之杖</v>
      </c>
      <c r="D310" s="258"/>
      <c r="E310" s="258"/>
      <c r="F310" s="258"/>
      <c r="G310" s="258"/>
      <c r="H310" s="258"/>
      <c r="I310" s="258"/>
      <c r="J310" s="258"/>
    </row>
    <row r="311" spans="1:10" ht="12.75" x14ac:dyDescent="0.2">
      <c r="A311" s="108"/>
      <c r="B311" s="282">
        <v>286</v>
      </c>
      <c r="C311" s="282" t="str">
        <f ca="1">语言!$A$788</f>
        <v>巨人棍棒</v>
      </c>
      <c r="D311" s="258"/>
      <c r="E311" s="258"/>
      <c r="F311" s="258"/>
      <c r="G311" s="258"/>
      <c r="H311" s="258"/>
      <c r="I311" s="258"/>
      <c r="J311" s="258"/>
    </row>
    <row r="312" spans="1:10" ht="12.75" x14ac:dyDescent="0.2">
      <c r="A312" s="108"/>
      <c r="B312" s="282">
        <v>287</v>
      </c>
      <c r="C312" s="282" t="str">
        <f ca="1">语言!$A$789</f>
        <v>陨石杖</v>
      </c>
      <c r="D312" s="258"/>
      <c r="E312" s="258"/>
      <c r="F312" s="258"/>
      <c r="G312" s="258"/>
      <c r="H312" s="258"/>
      <c r="I312" s="258"/>
      <c r="J312" s="258"/>
    </row>
    <row r="313" spans="1:10" ht="12.75" x14ac:dyDescent="0.2">
      <c r="A313" s="108"/>
      <c r="B313" s="282">
        <v>288</v>
      </c>
      <c r="C313" s="282" t="str">
        <f ca="1">语言!$A$790</f>
        <v>晨星锤</v>
      </c>
      <c r="D313" s="258"/>
      <c r="E313" s="258"/>
      <c r="F313" s="258"/>
      <c r="G313" s="258"/>
      <c r="H313" s="258"/>
      <c r="I313" s="258"/>
      <c r="J313" s="258"/>
    </row>
    <row r="314" spans="1:10" ht="12.75" x14ac:dyDescent="0.2">
      <c r="A314" s="108"/>
      <c r="B314" s="292"/>
      <c r="C314" s="292"/>
      <c r="D314" s="258"/>
      <c r="E314" s="258"/>
      <c r="F314" s="258"/>
      <c r="G314" s="258"/>
      <c r="H314" s="258"/>
      <c r="I314" s="258"/>
      <c r="J314" s="258"/>
    </row>
    <row r="315" spans="1:10" ht="12.75" x14ac:dyDescent="0.2">
      <c r="A315" s="108"/>
      <c r="B315" s="282">
        <v>289</v>
      </c>
      <c r="C315" s="282" t="str">
        <f ca="1">语言!$A$791</f>
        <v>智慧手杖</v>
      </c>
      <c r="D315" s="258"/>
      <c r="E315" s="258"/>
      <c r="F315" s="258"/>
      <c r="G315" s="258"/>
      <c r="H315" s="258"/>
      <c r="I315" s="258"/>
      <c r="J315" s="258"/>
    </row>
    <row r="316" spans="1:10" ht="12.75" x14ac:dyDescent="0.2">
      <c r="A316" s="108"/>
      <c r="B316" s="282">
        <v>290</v>
      </c>
      <c r="C316" s="282" t="str">
        <f ca="1">语言!$A$792</f>
        <v>大蓝宝石杖</v>
      </c>
      <c r="D316" s="258"/>
      <c r="E316" s="258"/>
      <c r="F316" s="258"/>
      <c r="G316" s="258"/>
      <c r="H316" s="258"/>
      <c r="I316" s="258"/>
      <c r="J316" s="258"/>
    </row>
    <row r="317" spans="1:10" ht="12.75" x14ac:dyDescent="0.2">
      <c r="A317" s="108"/>
      <c r="B317" s="282">
        <v>291</v>
      </c>
      <c r="C317" s="282" t="str">
        <f ca="1">语言!$A$793</f>
        <v>巨锤</v>
      </c>
      <c r="D317" s="258"/>
      <c r="E317" s="258"/>
      <c r="F317" s="258"/>
      <c r="G317" s="258"/>
      <c r="H317" s="258"/>
      <c r="I317" s="258"/>
      <c r="J317" s="258"/>
    </row>
    <row r="318" spans="1:10" ht="12.75" x14ac:dyDescent="0.2">
      <c r="A318" s="108"/>
      <c r="B318" s="282">
        <v>292</v>
      </c>
      <c r="C318" s="282" t="str">
        <f ca="1">语言!$A$794</f>
        <v>蓝宝石杖</v>
      </c>
      <c r="D318" s="258"/>
      <c r="E318" s="258"/>
      <c r="F318" s="258"/>
      <c r="G318" s="258"/>
      <c r="H318" s="258"/>
      <c r="I318" s="258"/>
      <c r="J318" s="258"/>
    </row>
    <row r="319" spans="1:10" ht="12.75" x14ac:dyDescent="0.2">
      <c r="A319" s="108"/>
      <c r="B319" s="282">
        <v>293</v>
      </c>
      <c r="C319" s="282" t="str">
        <f ca="1">语言!$A$795</f>
        <v>战锤</v>
      </c>
      <c r="D319" s="258"/>
      <c r="E319" s="258"/>
      <c r="F319" s="258"/>
      <c r="G319" s="258"/>
      <c r="H319" s="258"/>
      <c r="I319" s="258"/>
      <c r="J319" s="258"/>
    </row>
    <row r="320" spans="1:10" ht="12.75" x14ac:dyDescent="0.2">
      <c r="A320" s="108"/>
      <c r="B320" s="282">
        <v>294</v>
      </c>
      <c r="C320" s="282" t="str">
        <f ca="1">语言!$A$796</f>
        <v>黑手杖</v>
      </c>
      <c r="D320" s="258"/>
      <c r="E320" s="258"/>
      <c r="F320" s="258"/>
      <c r="G320" s="258"/>
      <c r="H320" s="258"/>
      <c r="I320" s="258"/>
      <c r="J320" s="258"/>
    </row>
    <row r="321" spans="1:10" ht="12.75" x14ac:dyDescent="0.2">
      <c r="A321" s="108"/>
      <c r="B321" s="282">
        <v>295</v>
      </c>
      <c r="C321" s="282" t="str">
        <f ca="1">语言!$A$797</f>
        <v>法师手杖</v>
      </c>
      <c r="D321" s="258"/>
      <c r="E321" s="258"/>
      <c r="F321" s="258"/>
      <c r="G321" s="258"/>
      <c r="H321" s="258"/>
      <c r="I321" s="258"/>
      <c r="J321" s="258"/>
    </row>
    <row r="322" spans="1:10" ht="12.75" x14ac:dyDescent="0.2">
      <c r="A322" s="108"/>
      <c r="B322" s="282">
        <v>296</v>
      </c>
      <c r="C322" s="282" t="str">
        <f ca="1">语言!$A$798</f>
        <v>大石英杖</v>
      </c>
      <c r="D322" s="258"/>
      <c r="E322" s="258"/>
      <c r="F322" s="258"/>
      <c r="G322" s="258"/>
      <c r="H322" s="258"/>
      <c r="I322" s="258"/>
      <c r="J322" s="258"/>
    </row>
    <row r="323" spans="1:10" ht="12.75" x14ac:dyDescent="0.2">
      <c r="A323" s="108"/>
      <c r="B323" s="282">
        <v>297</v>
      </c>
      <c r="C323" s="282" t="str">
        <f ca="1">语言!$A$799</f>
        <v>奇迹手杖</v>
      </c>
      <c r="D323" s="258"/>
      <c r="E323" s="258"/>
      <c r="F323" s="258"/>
      <c r="G323" s="258"/>
      <c r="H323" s="258"/>
      <c r="I323" s="258"/>
      <c r="J323" s="258"/>
    </row>
    <row r="324" spans="1:10" ht="12.75" x14ac:dyDescent="0.2">
      <c r="A324" s="108"/>
      <c r="B324" s="282">
        <v>298</v>
      </c>
      <c r="C324" s="282" t="str">
        <f ca="1">语言!$A$800</f>
        <v>长柄权杖</v>
      </c>
      <c r="D324" s="258"/>
      <c r="E324" s="258"/>
      <c r="F324" s="258"/>
      <c r="G324" s="258"/>
      <c r="H324" s="258"/>
      <c r="I324" s="258"/>
      <c r="J324" s="258"/>
    </row>
    <row r="325" spans="1:10" ht="12.75" x14ac:dyDescent="0.2">
      <c r="A325" s="108"/>
      <c r="B325" s="282">
        <v>299</v>
      </c>
      <c r="C325" s="282" t="str">
        <f ca="1">语言!$A$801</f>
        <v>橡木手杖</v>
      </c>
      <c r="D325" s="258"/>
      <c r="E325" s="258"/>
      <c r="F325" s="258"/>
      <c r="G325" s="258"/>
      <c r="H325" s="258"/>
      <c r="I325" s="258"/>
      <c r="J325" s="258"/>
    </row>
    <row r="326" spans="1:10" ht="12.75" x14ac:dyDescent="0.2">
      <c r="A326" s="108"/>
      <c r="B326" s="282">
        <v>300</v>
      </c>
      <c r="C326" s="282" t="str">
        <f ca="1">语言!$A$802</f>
        <v>连伽</v>
      </c>
      <c r="D326" s="258"/>
      <c r="E326" s="258"/>
      <c r="F326" s="258"/>
      <c r="G326" s="258"/>
      <c r="H326" s="258"/>
      <c r="I326" s="258"/>
      <c r="J326" s="258"/>
    </row>
    <row r="327" spans="1:10" ht="12.75" x14ac:dyDescent="0.2">
      <c r="A327" s="108"/>
      <c r="B327" s="292"/>
      <c r="C327" s="292"/>
      <c r="D327" s="258"/>
      <c r="E327" s="258"/>
      <c r="F327" s="258"/>
      <c r="G327" s="258"/>
      <c r="H327" s="258"/>
      <c r="I327" s="258"/>
      <c r="J327" s="258"/>
    </row>
    <row r="328" spans="1:10" ht="12.75" x14ac:dyDescent="0.2">
      <c r="A328" s="108"/>
      <c r="B328" s="282">
        <v>301</v>
      </c>
      <c r="C328" s="282" t="str">
        <f ca="1">语言!$A$803</f>
        <v>理力之杖</v>
      </c>
      <c r="D328" s="258"/>
      <c r="E328" s="258"/>
      <c r="F328" s="258"/>
      <c r="G328" s="258"/>
      <c r="H328" s="258"/>
      <c r="I328" s="258"/>
      <c r="J328" s="258"/>
    </row>
    <row r="329" spans="1:10" ht="12.75" x14ac:dyDescent="0.2">
      <c r="A329" s="108"/>
      <c r="B329" s="282">
        <v>302</v>
      </c>
      <c r="C329" s="282" t="str">
        <f ca="1">语言!$A$804</f>
        <v>权杖</v>
      </c>
      <c r="D329" s="258"/>
      <c r="E329" s="258"/>
      <c r="F329" s="258"/>
      <c r="G329" s="258"/>
      <c r="H329" s="258"/>
      <c r="I329" s="258"/>
      <c r="J329" s="258"/>
    </row>
    <row r="330" spans="1:10" ht="12.75" x14ac:dyDescent="0.2">
      <c r="A330" s="108"/>
      <c r="B330" s="282">
        <v>303</v>
      </c>
      <c r="C330" s="282" t="str">
        <f ca="1">语言!$A$805</f>
        <v>月桂手杖</v>
      </c>
      <c r="D330" s="258"/>
      <c r="E330" s="258"/>
      <c r="F330" s="258"/>
      <c r="G330" s="258"/>
      <c r="H330" s="258"/>
      <c r="I330" s="258"/>
      <c r="J330" s="258"/>
    </row>
    <row r="331" spans="1:10" ht="12.75" x14ac:dyDescent="0.2">
      <c r="A331" s="108"/>
      <c r="B331" s="282">
        <v>304</v>
      </c>
      <c r="C331" s="282" t="str">
        <f ca="1">语言!$A$806</f>
        <v>复合杖</v>
      </c>
      <c r="D331" s="258"/>
      <c r="E331" s="258"/>
      <c r="F331" s="258"/>
      <c r="G331" s="258"/>
      <c r="H331" s="258"/>
      <c r="I331" s="258"/>
      <c r="J331" s="258"/>
    </row>
    <row r="332" spans="1:10" ht="12.75" x14ac:dyDescent="0.2">
      <c r="A332" s="108"/>
      <c r="B332" s="282">
        <v>305</v>
      </c>
      <c r="C332" s="282" t="str">
        <f ca="1">语言!$A$807</f>
        <v>石英杖</v>
      </c>
      <c r="D332" s="258"/>
      <c r="E332" s="258"/>
      <c r="F332" s="258"/>
      <c r="G332" s="258"/>
      <c r="H332" s="258"/>
      <c r="I332" s="258"/>
      <c r="J332" s="258"/>
    </row>
    <row r="333" spans="1:10" ht="12.75" x14ac:dyDescent="0.2">
      <c r="A333" s="108"/>
      <c r="B333" s="282">
        <v>306</v>
      </c>
      <c r="C333" s="282" t="str">
        <f ca="1">语言!$A$808</f>
        <v>光之手杖</v>
      </c>
      <c r="D333" s="258"/>
      <c r="E333" s="258"/>
      <c r="F333" s="258"/>
      <c r="G333" s="258"/>
      <c r="H333" s="258"/>
      <c r="I333" s="258"/>
      <c r="J333" s="258"/>
    </row>
    <row r="334" spans="1:10" ht="12.75" x14ac:dyDescent="0.2">
      <c r="A334" s="108"/>
      <c r="B334" s="282">
        <v>307</v>
      </c>
      <c r="C334" s="282" t="str">
        <f ca="1">语言!$A$809</f>
        <v>石杖</v>
      </c>
      <c r="D334" s="258"/>
      <c r="E334" s="258"/>
      <c r="F334" s="258"/>
      <c r="G334" s="258"/>
      <c r="H334" s="258"/>
      <c r="I334" s="258"/>
      <c r="J334" s="258"/>
    </row>
    <row r="335" spans="1:10" ht="12.75" x14ac:dyDescent="0.2">
      <c r="A335" s="108"/>
      <c r="B335" s="282">
        <v>308</v>
      </c>
      <c r="C335" s="282" t="str">
        <f ca="1">语言!$A$810</f>
        <v>手杖</v>
      </c>
      <c r="D335" s="258"/>
      <c r="E335" s="258"/>
      <c r="F335" s="258"/>
      <c r="G335" s="258"/>
      <c r="H335" s="258"/>
      <c r="I335" s="258"/>
      <c r="J335" s="258"/>
    </row>
    <row r="336" spans="1:10" ht="12.75" x14ac:dyDescent="0.2">
      <c r="A336" s="108"/>
      <c r="B336" s="282">
        <v>309</v>
      </c>
      <c r="C336" s="282" t="str">
        <f ca="1">语言!$A$812</f>
        <v>历战之盾</v>
      </c>
      <c r="D336" s="258"/>
      <c r="E336" s="258"/>
      <c r="F336" s="258"/>
      <c r="G336" s="258"/>
      <c r="H336" s="258"/>
      <c r="I336" s="258"/>
      <c r="J336" s="258"/>
    </row>
    <row r="337" spans="1:10" ht="12.75" x14ac:dyDescent="0.2">
      <c r="A337" s="108"/>
      <c r="B337" s="282">
        <v>310</v>
      </c>
      <c r="C337" s="282" t="str">
        <f ca="1">语言!$A$813</f>
        <v>米克马克之盾</v>
      </c>
      <c r="D337" s="258"/>
      <c r="E337" s="258"/>
      <c r="F337" s="258"/>
      <c r="G337" s="258"/>
      <c r="H337" s="258"/>
      <c r="I337" s="258"/>
      <c r="J337" s="258"/>
    </row>
    <row r="338" spans="1:10" ht="12.75" x14ac:dyDescent="0.2">
      <c r="A338" s="108"/>
      <c r="B338" s="282">
        <v>311</v>
      </c>
      <c r="C338" s="282" t="str">
        <f ca="1">语言!$A$814</f>
        <v>禁忌之盾</v>
      </c>
      <c r="D338" s="258"/>
      <c r="E338" s="258"/>
      <c r="F338" s="258"/>
      <c r="G338" s="258"/>
      <c r="H338" s="258"/>
      <c r="I338" s="258"/>
      <c r="J338" s="258"/>
    </row>
    <row r="339" spans="1:10" ht="12.75" x14ac:dyDescent="0.2">
      <c r="A339" s="108"/>
      <c r="B339" s="282">
        <v>312</v>
      </c>
      <c r="C339" s="282" t="str">
        <f ca="1">语言!$A$815</f>
        <v>力之盾</v>
      </c>
      <c r="D339" s="258"/>
      <c r="E339" s="258"/>
      <c r="F339" s="258"/>
      <c r="G339" s="258"/>
      <c r="H339" s="258"/>
      <c r="I339" s="258"/>
      <c r="J339" s="258"/>
    </row>
    <row r="340" spans="1:10" ht="12.75" x14ac:dyDescent="0.2">
      <c r="A340" s="108"/>
      <c r="B340" s="292"/>
      <c r="C340" s="292"/>
      <c r="D340" s="258"/>
      <c r="E340" s="258"/>
      <c r="F340" s="258"/>
      <c r="G340" s="258"/>
      <c r="H340" s="258"/>
      <c r="I340" s="258"/>
      <c r="J340" s="258"/>
    </row>
    <row r="341" spans="1:10" ht="12.75" x14ac:dyDescent="0.2">
      <c r="A341" s="108"/>
      <c r="B341" s="282">
        <v>313</v>
      </c>
      <c r="C341" s="282" t="str">
        <f ca="1">语言!$A$816</f>
        <v>巨盾</v>
      </c>
      <c r="D341" s="258"/>
      <c r="E341" s="258"/>
      <c r="F341" s="258"/>
      <c r="G341" s="258"/>
      <c r="H341" s="258"/>
      <c r="I341" s="258"/>
      <c r="J341" s="258"/>
    </row>
    <row r="342" spans="1:10" ht="12.75" x14ac:dyDescent="0.2">
      <c r="A342" s="108"/>
      <c r="B342" s="282">
        <v>314</v>
      </c>
      <c r="C342" s="282" t="str">
        <f ca="1">语言!$A$817</f>
        <v>海兽之盾</v>
      </c>
      <c r="D342" s="258"/>
      <c r="E342" s="258"/>
      <c r="F342" s="258"/>
      <c r="G342" s="258"/>
      <c r="H342" s="258"/>
      <c r="I342" s="258"/>
      <c r="J342" s="258"/>
    </row>
    <row r="343" spans="1:10" ht="12.75" x14ac:dyDescent="0.2">
      <c r="A343" s="108"/>
      <c r="B343" s="282">
        <v>315</v>
      </c>
      <c r="C343" s="282" t="str">
        <f ca="1">语言!$A$818</f>
        <v>骑士盾</v>
      </c>
      <c r="D343" s="258"/>
      <c r="E343" s="258"/>
      <c r="F343" s="258"/>
      <c r="G343" s="258"/>
      <c r="H343" s="258"/>
      <c r="I343" s="258"/>
      <c r="J343" s="258"/>
    </row>
    <row r="344" spans="1:10" ht="12.75" x14ac:dyDescent="0.2">
      <c r="A344" s="108"/>
      <c r="B344" s="282">
        <v>316</v>
      </c>
      <c r="C344" s="282" t="str">
        <f ca="1">语言!$A$819</f>
        <v>古斯塔夫之盾</v>
      </c>
      <c r="D344" s="258"/>
      <c r="E344" s="258"/>
      <c r="F344" s="258"/>
      <c r="G344" s="258"/>
      <c r="H344" s="258"/>
      <c r="I344" s="258"/>
      <c r="J344" s="258"/>
    </row>
    <row r="345" spans="1:10" ht="12.75" x14ac:dyDescent="0.2">
      <c r="A345" s="108"/>
      <c r="B345" s="282">
        <v>317</v>
      </c>
      <c r="C345" s="282" t="str">
        <f ca="1">语言!$A$820</f>
        <v>金钢合金盾</v>
      </c>
      <c r="D345" s="258"/>
      <c r="E345" s="258"/>
      <c r="F345" s="258"/>
      <c r="G345" s="258"/>
      <c r="H345" s="258"/>
      <c r="I345" s="258"/>
      <c r="J345" s="258"/>
    </row>
    <row r="346" spans="1:10" ht="12.75" x14ac:dyDescent="0.2">
      <c r="A346" s="108"/>
      <c r="B346" s="282">
        <v>318</v>
      </c>
      <c r="C346" s="282" t="str">
        <f ca="1">语言!$A$821</f>
        <v>塔盾</v>
      </c>
      <c r="D346" s="258"/>
      <c r="E346" s="258"/>
      <c r="F346" s="258"/>
      <c r="G346" s="258"/>
      <c r="H346" s="258"/>
      <c r="I346" s="258"/>
      <c r="J346" s="258"/>
    </row>
    <row r="347" spans="1:10" ht="12.75" x14ac:dyDescent="0.2">
      <c r="A347" s="108"/>
      <c r="B347" s="282">
        <v>319</v>
      </c>
      <c r="C347" s="282" t="str">
        <f ca="1">语言!$A$822</f>
        <v>尖刺盾</v>
      </c>
      <c r="D347" s="258"/>
      <c r="E347" s="258"/>
      <c r="F347" s="258"/>
      <c r="G347" s="258"/>
      <c r="H347" s="258"/>
      <c r="I347" s="258"/>
      <c r="J347" s="258"/>
    </row>
    <row r="348" spans="1:10" ht="12.75" x14ac:dyDescent="0.2">
      <c r="A348" s="108"/>
      <c r="B348" s="282">
        <v>320</v>
      </c>
      <c r="C348" s="282" t="str">
        <f ca="1">语言!$A$823</f>
        <v>元素盾</v>
      </c>
      <c r="D348" s="258"/>
      <c r="E348" s="258"/>
      <c r="F348" s="258"/>
      <c r="G348" s="258"/>
      <c r="H348" s="258"/>
      <c r="I348" s="258"/>
      <c r="J348" s="258"/>
    </row>
    <row r="349" spans="1:10" ht="12.75" x14ac:dyDescent="0.2">
      <c r="A349" s="108"/>
      <c r="B349" s="282">
        <v>321</v>
      </c>
      <c r="C349" s="282" t="str">
        <f ca="1">语言!$A$824</f>
        <v>闪避之盾</v>
      </c>
      <c r="D349" s="258"/>
      <c r="E349" s="258"/>
      <c r="F349" s="258"/>
      <c r="G349" s="258"/>
      <c r="H349" s="258"/>
      <c r="I349" s="258"/>
      <c r="J349" s="258"/>
    </row>
    <row r="350" spans="1:10" ht="12.75" x14ac:dyDescent="0.2">
      <c r="A350" s="108"/>
      <c r="B350" s="282">
        <v>322</v>
      </c>
      <c r="C350" s="282" t="str">
        <f ca="1">语言!$A$825</f>
        <v>板盾</v>
      </c>
      <c r="D350" s="258"/>
      <c r="E350" s="258"/>
      <c r="F350" s="258"/>
      <c r="G350" s="258"/>
      <c r="H350" s="258"/>
      <c r="I350" s="258"/>
      <c r="J350" s="258"/>
    </row>
    <row r="351" spans="1:10" ht="12.75" x14ac:dyDescent="0.2">
      <c r="A351" s="108"/>
      <c r="B351" s="282">
        <v>323</v>
      </c>
      <c r="C351" s="282" t="str">
        <f ca="1">语言!$A$826</f>
        <v>鸢形盾</v>
      </c>
      <c r="D351" s="258"/>
      <c r="E351" s="258"/>
      <c r="F351" s="258"/>
      <c r="G351" s="258"/>
      <c r="H351" s="258"/>
      <c r="I351" s="258"/>
      <c r="J351" s="258"/>
    </row>
    <row r="352" spans="1:10" ht="12.75" x14ac:dyDescent="0.2">
      <c r="A352" s="108"/>
      <c r="B352" s="282">
        <v>324</v>
      </c>
      <c r="C352" s="282" t="str">
        <f ca="1">语言!$A$827</f>
        <v>大盾</v>
      </c>
      <c r="D352" s="258"/>
      <c r="E352" s="258"/>
      <c r="F352" s="258"/>
      <c r="G352" s="258"/>
      <c r="H352" s="258"/>
      <c r="I352" s="258"/>
      <c r="J352" s="258"/>
    </row>
    <row r="353" spans="1:10" ht="12.75" x14ac:dyDescent="0.2">
      <c r="A353" s="108"/>
      <c r="B353" s="292"/>
      <c r="C353" s="292"/>
      <c r="D353" s="258"/>
      <c r="E353" s="258"/>
      <c r="F353" s="258"/>
      <c r="G353" s="258"/>
      <c r="H353" s="258"/>
      <c r="I353" s="258"/>
      <c r="J353" s="258"/>
    </row>
    <row r="354" spans="1:10" ht="12.75" x14ac:dyDescent="0.2">
      <c r="A354" s="108"/>
      <c r="B354" s="282">
        <v>325</v>
      </c>
      <c r="C354" s="282" t="str">
        <f ca="1">语言!$A$828</f>
        <v>圆盾</v>
      </c>
      <c r="D354" s="258"/>
      <c r="E354" s="258"/>
      <c r="F354" s="258"/>
      <c r="G354" s="258"/>
      <c r="H354" s="258"/>
      <c r="I354" s="258"/>
      <c r="J354" s="258"/>
    </row>
    <row r="355" spans="1:10" ht="12.75" x14ac:dyDescent="0.2">
      <c r="A355" s="108"/>
      <c r="B355" s="282">
        <v>326</v>
      </c>
      <c r="C355" s="282" t="str">
        <f ca="1">语言!$A$829</f>
        <v>小圆盾</v>
      </c>
      <c r="D355" s="258"/>
      <c r="E355" s="258"/>
      <c r="F355" s="258"/>
      <c r="G355" s="258"/>
      <c r="H355" s="258"/>
      <c r="I355" s="258"/>
      <c r="J355" s="258"/>
    </row>
    <row r="356" spans="1:10" ht="12.75" x14ac:dyDescent="0.2">
      <c r="A356" s="108"/>
      <c r="B356" s="282">
        <v>327</v>
      </c>
      <c r="C356" s="282" t="str">
        <f ca="1">语言!$A$831</f>
        <v>水晶头盔</v>
      </c>
      <c r="D356" s="258"/>
      <c r="E356" s="258"/>
      <c r="F356" s="258"/>
      <c r="G356" s="258"/>
      <c r="H356" s="258"/>
      <c r="I356" s="258"/>
      <c r="J356" s="258"/>
    </row>
    <row r="357" spans="1:10" ht="12.75" x14ac:dyDescent="0.2">
      <c r="A357" s="108"/>
      <c r="B357" s="282">
        <v>328</v>
      </c>
      <c r="C357" s="282" t="str">
        <f ca="1">语言!$A$832</f>
        <v>睡神宝冠</v>
      </c>
      <c r="D357" s="258"/>
      <c r="E357" s="258"/>
      <c r="F357" s="258"/>
      <c r="G357" s="258"/>
      <c r="H357" s="258"/>
      <c r="I357" s="258"/>
      <c r="J357" s="258"/>
    </row>
    <row r="358" spans="1:10" ht="12.75" x14ac:dyDescent="0.2">
      <c r="A358" s="108"/>
      <c r="B358" s="282">
        <v>329</v>
      </c>
      <c r="C358" s="282" t="str">
        <f ca="1">语言!$A$833</f>
        <v>金钢合金帽</v>
      </c>
      <c r="D358" s="258"/>
      <c r="E358" s="258"/>
      <c r="F358" s="258"/>
      <c r="G358" s="258"/>
      <c r="H358" s="258"/>
      <c r="I358" s="258"/>
      <c r="J358" s="258"/>
    </row>
    <row r="359" spans="1:10" ht="12.75" x14ac:dyDescent="0.2">
      <c r="A359" s="108"/>
      <c r="B359" s="282">
        <v>330</v>
      </c>
      <c r="C359" s="282" t="str">
        <f ca="1">语言!$A$834</f>
        <v>龙之头盔</v>
      </c>
      <c r="D359" s="258"/>
      <c r="E359" s="258"/>
      <c r="F359" s="258"/>
      <c r="G359" s="258"/>
      <c r="H359" s="258"/>
      <c r="I359" s="258"/>
      <c r="J359" s="258"/>
    </row>
    <row r="360" spans="1:10" ht="12.75" x14ac:dyDescent="0.2">
      <c r="A360" s="108"/>
      <c r="B360" s="282">
        <v>331</v>
      </c>
      <c r="C360" s="282" t="str">
        <f ca="1">语言!$A$835</f>
        <v>魔物操控人的帽子</v>
      </c>
      <c r="D360" s="258"/>
      <c r="E360" s="258"/>
      <c r="F360" s="258"/>
      <c r="G360" s="258"/>
      <c r="H360" s="258"/>
      <c r="I360" s="258"/>
      <c r="J360" s="258"/>
    </row>
    <row r="361" spans="1:10" ht="12.75" x14ac:dyDescent="0.2">
      <c r="A361" s="108"/>
      <c r="B361" s="282">
        <v>332</v>
      </c>
      <c r="C361" s="282" t="str">
        <f ca="1">语言!$A$836</f>
        <v>教师的帽子</v>
      </c>
      <c r="D361" s="258"/>
      <c r="E361" s="258"/>
      <c r="F361" s="258"/>
      <c r="G361" s="258"/>
      <c r="H361" s="258"/>
      <c r="I361" s="258"/>
      <c r="J361" s="258"/>
    </row>
    <row r="362" spans="1:10" ht="12.75" x14ac:dyDescent="0.2">
      <c r="A362" s="108"/>
      <c r="B362" s="282">
        <v>333</v>
      </c>
      <c r="C362" s="282" t="str">
        <f ca="1">语言!$A$837</f>
        <v>冒险家的帽子</v>
      </c>
      <c r="D362" s="258"/>
      <c r="E362" s="258"/>
      <c r="F362" s="258"/>
      <c r="G362" s="258"/>
      <c r="H362" s="258"/>
      <c r="I362" s="258"/>
      <c r="J362" s="258"/>
    </row>
    <row r="363" spans="1:10" ht="12.75" x14ac:dyDescent="0.2">
      <c r="A363" s="108"/>
      <c r="B363" s="282">
        <v>334</v>
      </c>
      <c r="C363" s="282" t="str">
        <f ca="1">语言!$A$838</f>
        <v>白金头盔</v>
      </c>
      <c r="D363" s="258"/>
      <c r="E363" s="258"/>
      <c r="F363" s="258"/>
      <c r="G363" s="258"/>
      <c r="H363" s="258"/>
      <c r="I363" s="258"/>
      <c r="J363" s="258"/>
    </row>
    <row r="364" spans="1:10" ht="12.75" x14ac:dyDescent="0.2">
      <c r="A364" s="108"/>
      <c r="B364" s="282">
        <v>335</v>
      </c>
      <c r="C364" s="282" t="str">
        <f ca="1">语言!$A$839</f>
        <v>历史研究家的帽子</v>
      </c>
      <c r="D364" s="258"/>
      <c r="E364" s="258"/>
      <c r="F364" s="258"/>
      <c r="G364" s="258"/>
      <c r="H364" s="258"/>
      <c r="I364" s="258"/>
      <c r="J364" s="258"/>
    </row>
    <row r="365" spans="1:10" ht="12.75" x14ac:dyDescent="0.2">
      <c r="A365" s="108"/>
      <c r="B365" s="282">
        <v>336</v>
      </c>
      <c r="C365" s="282" t="str">
        <f ca="1">语言!$A$840</f>
        <v>海市蜃楼帽子</v>
      </c>
      <c r="D365" s="258"/>
      <c r="E365" s="258"/>
      <c r="F365" s="258"/>
      <c r="G365" s="258"/>
      <c r="H365" s="258"/>
      <c r="I365" s="258"/>
      <c r="J365" s="258"/>
    </row>
    <row r="366" spans="1:10" ht="12.75" x14ac:dyDescent="0.2">
      <c r="A366" s="108"/>
      <c r="B366" s="292"/>
      <c r="C366" s="292"/>
      <c r="D366" s="258"/>
      <c r="E366" s="258"/>
      <c r="F366" s="258"/>
      <c r="G366" s="258"/>
      <c r="H366" s="258"/>
      <c r="I366" s="258"/>
      <c r="J366" s="258"/>
    </row>
    <row r="367" spans="1:10" ht="12.75" x14ac:dyDescent="0.2">
      <c r="A367" s="108"/>
      <c r="B367" s="282">
        <v>337</v>
      </c>
      <c r="C367" s="282" t="str">
        <f ca="1">语言!$A$841</f>
        <v>雷布洛的头盔</v>
      </c>
      <c r="D367" s="258"/>
      <c r="E367" s="258"/>
      <c r="F367" s="258"/>
      <c r="G367" s="258"/>
      <c r="H367" s="258"/>
      <c r="I367" s="258"/>
      <c r="J367" s="258"/>
    </row>
    <row r="368" spans="1:10" ht="12.75" x14ac:dyDescent="0.2">
      <c r="A368" s="108"/>
      <c r="B368" s="282">
        <v>338</v>
      </c>
      <c r="C368" s="282" t="str">
        <f ca="1">语言!$A$842</f>
        <v>帝国头盔</v>
      </c>
      <c r="D368" s="258"/>
      <c r="E368" s="258"/>
      <c r="F368" s="258"/>
      <c r="G368" s="258"/>
      <c r="H368" s="258"/>
      <c r="I368" s="258"/>
      <c r="J368" s="258"/>
    </row>
    <row r="369" spans="1:10" ht="12.75" x14ac:dyDescent="0.2">
      <c r="A369" s="108"/>
      <c r="B369" s="282">
        <v>339</v>
      </c>
      <c r="C369" s="282" t="str">
        <f ca="1">语言!$A$843</f>
        <v>静寂头巾</v>
      </c>
      <c r="D369" s="258"/>
      <c r="E369" s="258"/>
      <c r="F369" s="258"/>
      <c r="G369" s="258"/>
      <c r="H369" s="258"/>
      <c r="I369" s="258"/>
      <c r="J369" s="258"/>
    </row>
    <row r="370" spans="1:10" ht="12.75" x14ac:dyDescent="0.2">
      <c r="A370" s="108"/>
      <c r="B370" s="282">
        <v>340</v>
      </c>
      <c r="C370" s="282" t="str">
        <f ca="1">语言!$A$844</f>
        <v>毛皮帽子</v>
      </c>
      <c r="D370" s="258"/>
      <c r="E370" s="258"/>
      <c r="F370" s="258"/>
      <c r="G370" s="258"/>
      <c r="H370" s="258"/>
      <c r="I370" s="258"/>
      <c r="J370" s="258"/>
    </row>
    <row r="371" spans="1:10" ht="12.75" x14ac:dyDescent="0.2">
      <c r="A371" s="108"/>
      <c r="B371" s="282">
        <v>341</v>
      </c>
      <c r="C371" s="282" t="str">
        <f ca="1">语言!$A$845</f>
        <v>魔法饰环</v>
      </c>
      <c r="D371" s="258"/>
      <c r="E371" s="258"/>
      <c r="F371" s="258"/>
      <c r="G371" s="258"/>
      <c r="H371" s="258"/>
      <c r="I371" s="258"/>
      <c r="J371" s="258"/>
    </row>
    <row r="372" spans="1:10" ht="12.75" x14ac:dyDescent="0.2">
      <c r="A372" s="108"/>
      <c r="B372" s="282">
        <v>342</v>
      </c>
      <c r="C372" s="282" t="str">
        <f ca="1">语言!$A$846</f>
        <v>元素帽</v>
      </c>
      <c r="D372" s="258"/>
      <c r="E372" s="258"/>
      <c r="F372" s="258"/>
      <c r="G372" s="258"/>
      <c r="H372" s="258"/>
      <c r="I372" s="258"/>
      <c r="J372" s="258"/>
    </row>
    <row r="373" spans="1:10" ht="12.75" x14ac:dyDescent="0.2">
      <c r="A373" s="108"/>
      <c r="B373" s="282">
        <v>343</v>
      </c>
      <c r="C373" s="282" t="str">
        <f ca="1">语言!$A$847</f>
        <v>老兵的头盔</v>
      </c>
      <c r="D373" s="258"/>
      <c r="E373" s="258"/>
      <c r="F373" s="258"/>
      <c r="G373" s="258"/>
      <c r="H373" s="258"/>
      <c r="I373" s="258"/>
      <c r="J373" s="258"/>
    </row>
    <row r="374" spans="1:10" ht="12.75" x14ac:dyDescent="0.2">
      <c r="A374" s="108"/>
      <c r="B374" s="282">
        <v>344</v>
      </c>
      <c r="C374" s="282" t="str">
        <f ca="1">语言!$A$848</f>
        <v>盖雷斯的头盔</v>
      </c>
      <c r="D374" s="258"/>
      <c r="E374" s="258"/>
      <c r="F374" s="258"/>
      <c r="G374" s="258"/>
      <c r="H374" s="258"/>
      <c r="I374" s="258"/>
      <c r="J374" s="258"/>
    </row>
    <row r="375" spans="1:10" ht="12.75" x14ac:dyDescent="0.2">
      <c r="A375" s="108"/>
      <c r="B375" s="282">
        <v>345</v>
      </c>
      <c r="C375" s="282" t="str">
        <f ca="1">语言!$A$849</f>
        <v>显赫头盔</v>
      </c>
      <c r="D375" s="258"/>
      <c r="E375" s="258"/>
      <c r="F375" s="258"/>
      <c r="G375" s="258"/>
      <c r="H375" s="258"/>
      <c r="I375" s="258"/>
      <c r="J375" s="258"/>
    </row>
    <row r="376" spans="1:10" ht="12.75" x14ac:dyDescent="0.2">
      <c r="A376" s="108"/>
      <c r="B376" s="282">
        <v>346</v>
      </c>
      <c r="C376" s="282" t="str">
        <f ca="1">语言!$A$850</f>
        <v>犄角头盔</v>
      </c>
      <c r="D376" s="258"/>
      <c r="E376" s="258"/>
      <c r="F376" s="258"/>
      <c r="G376" s="258"/>
      <c r="H376" s="258"/>
      <c r="I376" s="258"/>
      <c r="J376" s="258"/>
    </row>
    <row r="377" spans="1:10" ht="12.75" x14ac:dyDescent="0.2">
      <c r="A377" s="108"/>
      <c r="B377" s="282">
        <v>347</v>
      </c>
      <c r="C377" s="282" t="str">
        <f ca="1">语言!$A$851</f>
        <v>星屑帽子</v>
      </c>
      <c r="D377" s="258"/>
      <c r="E377" s="258"/>
      <c r="F377" s="258"/>
      <c r="G377" s="258"/>
      <c r="H377" s="258"/>
      <c r="I377" s="258"/>
      <c r="J377" s="258"/>
    </row>
    <row r="378" spans="1:10" ht="12.75" x14ac:dyDescent="0.2">
      <c r="A378" s="108"/>
      <c r="B378" s="282">
        <v>348</v>
      </c>
      <c r="C378" s="282" t="str">
        <f ca="1">语言!$A$852</f>
        <v>高速头盔</v>
      </c>
      <c r="D378" s="258"/>
      <c r="E378" s="258"/>
      <c r="F378" s="258"/>
      <c r="G378" s="258"/>
      <c r="H378" s="258"/>
      <c r="I378" s="258"/>
      <c r="J378" s="258"/>
    </row>
    <row r="379" spans="1:10" ht="12.75" x14ac:dyDescent="0.2">
      <c r="A379" s="108"/>
      <c r="B379" s="292"/>
      <c r="C379" s="292"/>
      <c r="D379" s="258"/>
      <c r="E379" s="258"/>
      <c r="F379" s="258"/>
      <c r="G379" s="258"/>
      <c r="H379" s="258"/>
      <c r="I379" s="258"/>
      <c r="J379" s="258"/>
    </row>
    <row r="380" spans="1:10" ht="12.75" x14ac:dyDescent="0.2">
      <c r="A380" s="108"/>
      <c r="B380" s="282">
        <v>349</v>
      </c>
      <c r="C380" s="282" t="str">
        <f ca="1">语言!$A$853</f>
        <v>猎鹰的帽子</v>
      </c>
      <c r="D380" s="258"/>
      <c r="E380" s="258"/>
      <c r="F380" s="258"/>
      <c r="G380" s="258"/>
      <c r="H380" s="258"/>
      <c r="I380" s="258"/>
      <c r="J380" s="258"/>
    </row>
    <row r="381" spans="1:10" ht="12.75" x14ac:dyDescent="0.2">
      <c r="A381" s="108"/>
      <c r="B381" s="282">
        <v>350</v>
      </c>
      <c r="C381" s="282" t="str">
        <f ca="1">语言!$A$854</f>
        <v>祭司之帽</v>
      </c>
      <c r="D381" s="258"/>
      <c r="E381" s="258"/>
      <c r="F381" s="258"/>
      <c r="G381" s="258"/>
      <c r="H381" s="258"/>
      <c r="I381" s="258"/>
      <c r="J381" s="258"/>
    </row>
    <row r="382" spans="1:10" ht="12.75" x14ac:dyDescent="0.2">
      <c r="A382" s="108"/>
      <c r="B382" s="282">
        <v>351</v>
      </c>
      <c r="C382" s="282" t="str">
        <f ca="1">语言!$A$855</f>
        <v>黄金发饰</v>
      </c>
      <c r="D382" s="258"/>
      <c r="E382" s="258"/>
      <c r="F382" s="258"/>
      <c r="G382" s="258"/>
      <c r="H382" s="258"/>
      <c r="I382" s="258"/>
      <c r="J382" s="258"/>
    </row>
    <row r="383" spans="1:10" ht="12.75" x14ac:dyDescent="0.2">
      <c r="A383" s="108"/>
      <c r="B383" s="282">
        <v>352</v>
      </c>
      <c r="C383" s="282" t="str">
        <f ca="1">语言!$A$856</f>
        <v>银制头盔</v>
      </c>
      <c r="D383" s="258"/>
      <c r="E383" s="258"/>
      <c r="F383" s="258"/>
      <c r="G383" s="258"/>
      <c r="H383" s="258"/>
      <c r="I383" s="258"/>
      <c r="J383" s="258"/>
    </row>
    <row r="384" spans="1:10" ht="12.75" x14ac:dyDescent="0.2">
      <c r="A384" s="108"/>
      <c r="B384" s="282">
        <v>353</v>
      </c>
      <c r="C384" s="282" t="str">
        <f ca="1">语言!$A$857</f>
        <v>雪隐兜帽</v>
      </c>
      <c r="D384" s="258"/>
      <c r="E384" s="258"/>
      <c r="F384" s="258"/>
      <c r="G384" s="258"/>
      <c r="H384" s="258"/>
      <c r="I384" s="258"/>
      <c r="J384" s="258"/>
    </row>
    <row r="385" spans="1:10" ht="12.75" x14ac:dyDescent="0.2">
      <c r="A385" s="108"/>
      <c r="B385" s="282">
        <v>354</v>
      </c>
      <c r="C385" s="282" t="str">
        <f ca="1">语言!$A$858</f>
        <v>神圣头盔</v>
      </c>
      <c r="D385" s="258"/>
      <c r="E385" s="258"/>
      <c r="F385" s="258"/>
      <c r="G385" s="258"/>
      <c r="H385" s="258"/>
      <c r="I385" s="258"/>
      <c r="J385" s="258"/>
    </row>
    <row r="386" spans="1:10" ht="12.75" x14ac:dyDescent="0.2">
      <c r="A386" s="108"/>
      <c r="B386" s="282">
        <v>355</v>
      </c>
      <c r="C386" s="282" t="str">
        <f ca="1">语言!$A$859</f>
        <v>脉轮头带</v>
      </c>
      <c r="D386" s="258"/>
      <c r="E386" s="258"/>
      <c r="F386" s="258"/>
      <c r="G386" s="258"/>
      <c r="H386" s="258"/>
      <c r="I386" s="258"/>
      <c r="J386" s="258"/>
    </row>
    <row r="387" spans="1:10" ht="12.75" x14ac:dyDescent="0.2">
      <c r="A387" s="108"/>
      <c r="B387" s="282">
        <v>356</v>
      </c>
      <c r="C387" s="282" t="str">
        <f ca="1">语言!$A$860</f>
        <v>大头盔</v>
      </c>
      <c r="D387" s="258"/>
      <c r="E387" s="258"/>
      <c r="F387" s="258"/>
      <c r="G387" s="258"/>
      <c r="H387" s="258"/>
      <c r="I387" s="258"/>
      <c r="J387" s="258"/>
    </row>
    <row r="388" spans="1:10" ht="12.75" x14ac:dyDescent="0.2">
      <c r="A388" s="108"/>
      <c r="B388" s="282">
        <v>357</v>
      </c>
      <c r="C388" s="282" t="str">
        <f ca="1">语言!$A$861</f>
        <v>飞行头盔</v>
      </c>
      <c r="D388" s="258"/>
      <c r="E388" s="258"/>
      <c r="F388" s="258"/>
      <c r="G388" s="258"/>
      <c r="H388" s="258"/>
      <c r="I388" s="258"/>
      <c r="J388" s="258"/>
    </row>
    <row r="389" spans="1:10" ht="12.75" x14ac:dyDescent="0.2">
      <c r="A389" s="108"/>
      <c r="B389" s="282">
        <v>358</v>
      </c>
      <c r="C389" s="282" t="str">
        <f ca="1">语言!$A$862</f>
        <v>黑帽</v>
      </c>
      <c r="D389" s="258"/>
      <c r="E389" s="258"/>
      <c r="F389" s="258"/>
      <c r="G389" s="258"/>
      <c r="H389" s="258"/>
      <c r="I389" s="258"/>
      <c r="J389" s="258"/>
    </row>
    <row r="390" spans="1:10" ht="12.75" x14ac:dyDescent="0.2">
      <c r="A390" s="108"/>
      <c r="B390" s="282">
        <v>359</v>
      </c>
      <c r="C390" s="282" t="str">
        <f ca="1">语言!$A$863</f>
        <v>帽盔</v>
      </c>
      <c r="D390" s="258"/>
      <c r="E390" s="258"/>
      <c r="F390" s="258"/>
      <c r="G390" s="258"/>
      <c r="H390" s="258"/>
      <c r="I390" s="258"/>
      <c r="J390" s="258"/>
    </row>
    <row r="391" spans="1:10" ht="12.75" x14ac:dyDescent="0.2">
      <c r="A391" s="108"/>
      <c r="B391" s="282">
        <v>360</v>
      </c>
      <c r="C391" s="282" t="str">
        <f ca="1">语言!$A$864</f>
        <v>饰环</v>
      </c>
      <c r="D391" s="258"/>
      <c r="E391" s="258"/>
      <c r="F391" s="258"/>
      <c r="G391" s="258"/>
      <c r="H391" s="258"/>
      <c r="I391" s="258"/>
      <c r="J391" s="258"/>
    </row>
    <row r="392" spans="1:10" ht="12.75" x14ac:dyDescent="0.2">
      <c r="A392" s="108"/>
      <c r="B392" s="292"/>
      <c r="C392" s="292"/>
      <c r="D392" s="258"/>
      <c r="E392" s="258"/>
      <c r="F392" s="258"/>
      <c r="G392" s="258"/>
      <c r="H392" s="258"/>
      <c r="I392" s="258"/>
      <c r="J392" s="258"/>
    </row>
    <row r="393" spans="1:10" ht="12.75" x14ac:dyDescent="0.2">
      <c r="A393" s="108"/>
      <c r="B393" s="282">
        <v>361</v>
      </c>
      <c r="C393" s="282" t="str">
        <f ca="1">语言!$A$865</f>
        <v>铁制头盔</v>
      </c>
      <c r="D393" s="258"/>
      <c r="E393" s="258"/>
      <c r="F393" s="258"/>
      <c r="G393" s="258"/>
      <c r="H393" s="258"/>
      <c r="I393" s="258"/>
      <c r="J393" s="258"/>
    </row>
    <row r="394" spans="1:10" ht="12.75" x14ac:dyDescent="0.2">
      <c r="A394" s="108"/>
      <c r="B394" s="282">
        <v>362</v>
      </c>
      <c r="C394" s="282" t="str">
        <f ca="1">语言!$A$866</f>
        <v>银发饰</v>
      </c>
      <c r="D394" s="258"/>
      <c r="E394" s="258"/>
      <c r="F394" s="258"/>
      <c r="G394" s="258"/>
      <c r="H394" s="258"/>
      <c r="I394" s="258"/>
      <c r="J394" s="258"/>
    </row>
    <row r="395" spans="1:10" ht="12.75" x14ac:dyDescent="0.2">
      <c r="A395" s="108"/>
      <c r="B395" s="282">
        <v>363</v>
      </c>
      <c r="C395" s="282" t="str">
        <f ca="1">语言!$A$867</f>
        <v>青铜头盔</v>
      </c>
      <c r="D395" s="258"/>
      <c r="E395" s="258"/>
      <c r="F395" s="258"/>
      <c r="G395" s="258"/>
      <c r="H395" s="258"/>
      <c r="I395" s="258"/>
      <c r="J395" s="258"/>
    </row>
    <row r="396" spans="1:10" ht="12.75" x14ac:dyDescent="0.2">
      <c r="A396" s="108"/>
      <c r="B396" s="282">
        <v>364</v>
      </c>
      <c r="C396" s="282" t="str">
        <f ca="1">语言!$A$868</f>
        <v>羽毛帽</v>
      </c>
      <c r="D396" s="258"/>
      <c r="E396" s="258"/>
      <c r="F396" s="258"/>
      <c r="G396" s="258"/>
      <c r="H396" s="258"/>
      <c r="I396" s="258"/>
      <c r="J396" s="258"/>
    </row>
    <row r="397" spans="1:10" ht="12.75" x14ac:dyDescent="0.2">
      <c r="A397" s="108"/>
      <c r="B397" s="282">
        <v>365</v>
      </c>
      <c r="C397" s="282" t="str">
        <f ca="1">语言!$A$869</f>
        <v>尖帽子</v>
      </c>
      <c r="D397" s="258"/>
      <c r="E397" s="258"/>
      <c r="F397" s="258"/>
      <c r="G397" s="258"/>
      <c r="H397" s="258"/>
      <c r="I397" s="258"/>
      <c r="J397" s="258"/>
    </row>
    <row r="398" spans="1:10" ht="12.75" x14ac:dyDescent="0.2">
      <c r="A398" s="108"/>
      <c r="B398" s="282">
        <v>366</v>
      </c>
      <c r="C398" s="282" t="str">
        <f ca="1">语言!$A$870</f>
        <v>橡胶头盔</v>
      </c>
      <c r="D398" s="258"/>
      <c r="E398" s="258"/>
      <c r="F398" s="258"/>
      <c r="G398" s="258"/>
      <c r="H398" s="258"/>
      <c r="I398" s="258"/>
      <c r="J398" s="258"/>
    </row>
    <row r="399" spans="1:10" ht="12.75" x14ac:dyDescent="0.2">
      <c r="A399" s="108"/>
      <c r="B399" s="282">
        <v>367</v>
      </c>
      <c r="C399" s="282" t="str">
        <f ca="1">语言!$A$871</f>
        <v>皮帽子</v>
      </c>
      <c r="D399" s="258"/>
      <c r="E399" s="258"/>
      <c r="F399" s="258"/>
      <c r="G399" s="258"/>
      <c r="H399" s="258"/>
      <c r="I399" s="258"/>
      <c r="J399" s="258"/>
    </row>
    <row r="400" spans="1:10" ht="12.75" x14ac:dyDescent="0.2">
      <c r="A400" s="108"/>
      <c r="B400" s="282">
        <v>368</v>
      </c>
      <c r="C400" s="282" t="str">
        <f ca="1">语言!$A$872</f>
        <v>帽子</v>
      </c>
      <c r="D400" s="258"/>
      <c r="E400" s="258"/>
      <c r="F400" s="258"/>
      <c r="G400" s="258"/>
      <c r="H400" s="258"/>
      <c r="I400" s="258"/>
      <c r="J400" s="258"/>
    </row>
    <row r="401" spans="1:10" ht="12.75" x14ac:dyDescent="0.2">
      <c r="A401" s="108"/>
      <c r="B401" s="282">
        <v>369</v>
      </c>
      <c r="C401" s="282" t="str">
        <f ca="1">语言!$A$874</f>
        <v>水晶盔甲</v>
      </c>
      <c r="D401" s="258"/>
      <c r="E401" s="258"/>
      <c r="F401" s="258"/>
      <c r="G401" s="258"/>
      <c r="H401" s="258"/>
      <c r="I401" s="258"/>
      <c r="J401" s="258"/>
    </row>
    <row r="402" spans="1:10" ht="12.75" x14ac:dyDescent="0.2">
      <c r="A402" s="108"/>
      <c r="B402" s="282">
        <v>370</v>
      </c>
      <c r="C402" s="282" t="str">
        <f ca="1">语言!$A$875</f>
        <v>水晶背心</v>
      </c>
      <c r="D402" s="258"/>
      <c r="E402" s="258"/>
      <c r="F402" s="258"/>
      <c r="G402" s="258"/>
      <c r="H402" s="258"/>
      <c r="I402" s="258"/>
      <c r="J402" s="258"/>
    </row>
    <row r="403" spans="1:10" ht="12.75" x14ac:dyDescent="0.2">
      <c r="A403" s="108"/>
      <c r="B403" s="282">
        <v>371</v>
      </c>
      <c r="C403" s="282" t="str">
        <f ca="1">语言!$A$876</f>
        <v>大圣火长袍</v>
      </c>
      <c r="D403" s="258"/>
      <c r="E403" s="258"/>
      <c r="F403" s="258"/>
      <c r="G403" s="258"/>
      <c r="H403" s="258"/>
      <c r="I403" s="258"/>
      <c r="J403" s="258"/>
    </row>
    <row r="404" spans="1:10" ht="12.75" x14ac:dyDescent="0.2">
      <c r="A404" s="108"/>
      <c r="B404" s="282">
        <v>372</v>
      </c>
      <c r="C404" s="282" t="str">
        <f ca="1">语言!$A$877</f>
        <v>龙之盔甲</v>
      </c>
      <c r="D404" s="258"/>
      <c r="E404" s="258"/>
      <c r="F404" s="258"/>
      <c r="G404" s="258"/>
      <c r="H404" s="258"/>
      <c r="I404" s="258"/>
      <c r="J404" s="258"/>
    </row>
    <row r="405" spans="1:10" ht="12.75" x14ac:dyDescent="0.2">
      <c r="A405" s="108"/>
      <c r="B405" s="292"/>
      <c r="C405" s="292"/>
      <c r="D405" s="258"/>
      <c r="E405" s="258"/>
      <c r="F405" s="258"/>
      <c r="G405" s="258"/>
      <c r="H405" s="258"/>
      <c r="I405" s="258"/>
      <c r="J405" s="258"/>
    </row>
    <row r="406" spans="1:10" ht="12.75" x14ac:dyDescent="0.2">
      <c r="A406" s="108"/>
      <c r="B406" s="282">
        <v>373</v>
      </c>
      <c r="C406" s="282" t="str">
        <f ca="1">语言!$A$878</f>
        <v>龙之背心</v>
      </c>
      <c r="D406" s="258"/>
      <c r="E406" s="258"/>
      <c r="F406" s="258"/>
      <c r="G406" s="258"/>
      <c r="H406" s="258"/>
      <c r="I406" s="258"/>
      <c r="J406" s="258"/>
    </row>
    <row r="407" spans="1:10" ht="12.75" x14ac:dyDescent="0.2">
      <c r="A407" s="108"/>
      <c r="B407" s="282">
        <v>374</v>
      </c>
      <c r="C407" s="282" t="str">
        <f ca="1">语言!$A$879</f>
        <v>精致舞娘衣服</v>
      </c>
      <c r="D407" s="258"/>
      <c r="E407" s="258"/>
      <c r="F407" s="258"/>
      <c r="G407" s="258"/>
      <c r="H407" s="258"/>
      <c r="I407" s="258"/>
      <c r="J407" s="258"/>
    </row>
    <row r="408" spans="1:10" ht="12.75" x14ac:dyDescent="0.2">
      <c r="A408" s="108"/>
      <c r="B408" s="282">
        <v>375</v>
      </c>
      <c r="C408" s="282" t="str">
        <f ca="1">语言!$A$880</f>
        <v>魔术师长袍</v>
      </c>
      <c r="D408" s="258"/>
      <c r="E408" s="258"/>
      <c r="F408" s="258"/>
      <c r="G408" s="258"/>
      <c r="H408" s="258"/>
      <c r="I408" s="258"/>
      <c r="J408" s="258"/>
    </row>
    <row r="409" spans="1:10" ht="12.75" x14ac:dyDescent="0.2">
      <c r="A409" s="108"/>
      <c r="B409" s="282">
        <v>376</v>
      </c>
      <c r="C409" s="282" t="str">
        <f ca="1">语言!$A$881</f>
        <v>告解盔甲</v>
      </c>
      <c r="D409" s="258"/>
      <c r="E409" s="258"/>
      <c r="F409" s="258"/>
      <c r="G409" s="258"/>
      <c r="H409" s="258"/>
      <c r="I409" s="258"/>
      <c r="J409" s="258"/>
    </row>
    <row r="410" spans="1:10" ht="12.75" x14ac:dyDescent="0.2">
      <c r="A410" s="108"/>
      <c r="B410" s="282">
        <v>377</v>
      </c>
      <c r="C410" s="282" t="str">
        <f ca="1">语言!$A$882</f>
        <v>名家铠甲</v>
      </c>
      <c r="D410" s="258"/>
      <c r="E410" s="258"/>
      <c r="F410" s="258"/>
      <c r="G410" s="258"/>
      <c r="H410" s="258"/>
      <c r="I410" s="258"/>
      <c r="J410" s="258"/>
    </row>
    <row r="411" spans="1:10" ht="12.75" x14ac:dyDescent="0.2">
      <c r="A411" s="108"/>
      <c r="B411" s="282">
        <v>378</v>
      </c>
      <c r="C411" s="282" t="str">
        <f ca="1">语言!$A$883</f>
        <v>公主大衣</v>
      </c>
      <c r="D411" s="258"/>
      <c r="E411" s="258"/>
      <c r="F411" s="258"/>
      <c r="G411" s="258"/>
      <c r="H411" s="258"/>
      <c r="I411" s="258"/>
      <c r="J411" s="258"/>
    </row>
    <row r="412" spans="1:10" ht="12.75" x14ac:dyDescent="0.2">
      <c r="A412" s="108"/>
      <c r="B412" s="282">
        <v>379</v>
      </c>
      <c r="C412" s="282" t="str">
        <f ca="1">语言!$A$884</f>
        <v>圣火骑士的礼服</v>
      </c>
      <c r="D412" s="258"/>
      <c r="E412" s="258"/>
      <c r="F412" s="258"/>
      <c r="G412" s="258"/>
      <c r="H412" s="258"/>
      <c r="I412" s="258"/>
      <c r="J412" s="258"/>
    </row>
    <row r="413" spans="1:10" ht="12.75" x14ac:dyDescent="0.2">
      <c r="A413" s="108"/>
      <c r="B413" s="282">
        <v>380</v>
      </c>
      <c r="C413" s="282" t="str">
        <f ca="1">语言!$A$885</f>
        <v>龙姬之衣</v>
      </c>
      <c r="D413" s="258"/>
      <c r="E413" s="258"/>
      <c r="F413" s="258"/>
      <c r="G413" s="258"/>
      <c r="H413" s="258"/>
      <c r="I413" s="258"/>
      <c r="J413" s="258"/>
    </row>
    <row r="414" spans="1:10" ht="12.75" x14ac:dyDescent="0.2">
      <c r="A414" s="108"/>
      <c r="B414" s="282">
        <v>381</v>
      </c>
      <c r="C414" s="282" t="str">
        <f ca="1">语言!$A$886</f>
        <v>白金盔甲</v>
      </c>
      <c r="D414" s="258"/>
      <c r="E414" s="258"/>
      <c r="F414" s="258"/>
      <c r="G414" s="258"/>
      <c r="H414" s="258"/>
      <c r="I414" s="258"/>
      <c r="J414" s="258"/>
    </row>
    <row r="415" spans="1:10" ht="12.75" x14ac:dyDescent="0.2">
      <c r="A415" s="108"/>
      <c r="B415" s="282">
        <v>382</v>
      </c>
      <c r="C415" s="282" t="str">
        <f ca="1">语言!$A$887</f>
        <v>执念大衣</v>
      </c>
      <c r="D415" s="258"/>
      <c r="E415" s="258"/>
      <c r="F415" s="258"/>
      <c r="G415" s="258"/>
      <c r="H415" s="258"/>
      <c r="I415" s="258"/>
      <c r="J415" s="258"/>
    </row>
    <row r="416" spans="1:10" ht="12.75" x14ac:dyDescent="0.2">
      <c r="A416" s="108"/>
      <c r="B416" s="282">
        <v>383</v>
      </c>
      <c r="C416" s="282" t="str">
        <f ca="1">语言!$A$888</f>
        <v>帝国盔甲</v>
      </c>
      <c r="D416" s="258"/>
      <c r="E416" s="258"/>
      <c r="F416" s="258"/>
      <c r="G416" s="258"/>
      <c r="H416" s="258"/>
      <c r="I416" s="258"/>
      <c r="J416" s="258"/>
    </row>
    <row r="417" spans="1:10" ht="12.75" x14ac:dyDescent="0.2">
      <c r="A417" s="108"/>
      <c r="B417" s="282">
        <v>384</v>
      </c>
      <c r="C417" s="282" t="str">
        <f ca="1">语言!$A$889</f>
        <v>白金背心</v>
      </c>
      <c r="D417" s="258"/>
      <c r="E417" s="258"/>
      <c r="F417" s="258"/>
      <c r="G417" s="258"/>
      <c r="H417" s="258"/>
      <c r="I417" s="258"/>
      <c r="J417" s="258"/>
    </row>
    <row r="418" spans="1:10" ht="12.75" x14ac:dyDescent="0.2">
      <c r="A418" s="108"/>
      <c r="B418" s="292"/>
      <c r="C418" s="292"/>
      <c r="D418" s="258"/>
      <c r="E418" s="258"/>
      <c r="F418" s="258"/>
      <c r="G418" s="258"/>
      <c r="H418" s="258"/>
      <c r="I418" s="258"/>
      <c r="J418" s="258"/>
    </row>
    <row r="419" spans="1:10" ht="12.75" x14ac:dyDescent="0.2">
      <c r="A419" s="108"/>
      <c r="B419" s="282">
        <v>385</v>
      </c>
      <c r="C419" s="282" t="str">
        <f ca="1">语言!$A$890</f>
        <v>帝国背心</v>
      </c>
      <c r="D419" s="258"/>
      <c r="E419" s="258"/>
      <c r="F419" s="258"/>
      <c r="G419" s="258"/>
      <c r="H419" s="258"/>
      <c r="I419" s="258"/>
      <c r="J419" s="258"/>
    </row>
    <row r="420" spans="1:10" ht="12.75" x14ac:dyDescent="0.2">
      <c r="A420" s="108"/>
      <c r="B420" s="282">
        <v>386</v>
      </c>
      <c r="C420" s="282" t="str">
        <f ca="1">语言!$A$891</f>
        <v>元素重甲</v>
      </c>
      <c r="D420" s="258"/>
      <c r="E420" s="258"/>
      <c r="F420" s="258"/>
      <c r="G420" s="258"/>
      <c r="H420" s="258"/>
      <c r="I420" s="258"/>
      <c r="J420" s="258"/>
    </row>
    <row r="421" spans="1:10" ht="12.75" x14ac:dyDescent="0.2">
      <c r="A421" s="108"/>
      <c r="B421" s="282">
        <v>387</v>
      </c>
      <c r="C421" s="282" t="str">
        <f ca="1">语言!$A$892</f>
        <v>寂静斗篷</v>
      </c>
      <c r="D421" s="258"/>
      <c r="E421" s="258"/>
      <c r="F421" s="258"/>
      <c r="G421" s="258"/>
      <c r="H421" s="258"/>
      <c r="I421" s="258"/>
      <c r="J421" s="258"/>
    </row>
    <row r="422" spans="1:10" ht="12.75" x14ac:dyDescent="0.2">
      <c r="A422" s="108"/>
      <c r="B422" s="282">
        <v>388</v>
      </c>
      <c r="C422" s="282" t="str">
        <f ca="1">语言!$A$893</f>
        <v>古老长袍</v>
      </c>
      <c r="D422" s="258"/>
      <c r="E422" s="258"/>
      <c r="F422" s="258"/>
      <c r="G422" s="258"/>
      <c r="H422" s="258"/>
      <c r="I422" s="258"/>
      <c r="J422" s="258"/>
    </row>
    <row r="423" spans="1:10" ht="12.75" x14ac:dyDescent="0.2">
      <c r="A423" s="108"/>
      <c r="B423" s="282">
        <v>389</v>
      </c>
      <c r="C423" s="282" t="str">
        <f ca="1">语言!$A$894</f>
        <v>彩虹长袍</v>
      </c>
      <c r="D423" s="258"/>
      <c r="E423" s="258"/>
      <c r="F423" s="258"/>
      <c r="G423" s="258"/>
      <c r="H423" s="258"/>
      <c r="I423" s="258"/>
      <c r="J423" s="258"/>
    </row>
    <row r="424" spans="1:10" ht="12.75" x14ac:dyDescent="0.2">
      <c r="A424" s="108"/>
      <c r="B424" s="282">
        <v>390</v>
      </c>
      <c r="C424" s="282" t="str">
        <f ca="1">语言!$A$895</f>
        <v>元素轻甲</v>
      </c>
      <c r="D424" s="258"/>
      <c r="E424" s="258"/>
      <c r="F424" s="258"/>
      <c r="G424" s="258"/>
      <c r="H424" s="258"/>
      <c r="I424" s="258"/>
      <c r="J424" s="258"/>
    </row>
    <row r="425" spans="1:10" ht="12.75" x14ac:dyDescent="0.2">
      <c r="A425" s="108"/>
      <c r="B425" s="282">
        <v>391</v>
      </c>
      <c r="C425" s="282" t="str">
        <f ca="1">语言!$A$896</f>
        <v>毛皮大衣</v>
      </c>
      <c r="D425" s="258"/>
      <c r="E425" s="258"/>
      <c r="F425" s="258"/>
      <c r="G425" s="258"/>
      <c r="H425" s="258"/>
      <c r="I425" s="258"/>
      <c r="J425" s="258"/>
    </row>
    <row r="426" spans="1:10" ht="12.75" x14ac:dyDescent="0.2">
      <c r="A426" s="108"/>
      <c r="B426" s="282">
        <v>392</v>
      </c>
      <c r="C426" s="282" t="str">
        <f ca="1">语言!$A$897</f>
        <v>异国之服</v>
      </c>
      <c r="D426" s="258"/>
      <c r="E426" s="258"/>
      <c r="F426" s="258"/>
      <c r="G426" s="258"/>
      <c r="H426" s="258"/>
      <c r="I426" s="258"/>
      <c r="J426" s="258"/>
    </row>
    <row r="427" spans="1:10" ht="12.75" x14ac:dyDescent="0.2">
      <c r="A427" s="108"/>
      <c r="B427" s="282">
        <v>393</v>
      </c>
      <c r="C427" s="282" t="str">
        <f ca="1">语言!$A$898</f>
        <v>显赫盔甲</v>
      </c>
      <c r="D427" s="258"/>
      <c r="E427" s="258"/>
      <c r="F427" s="258"/>
      <c r="G427" s="258"/>
      <c r="H427" s="258"/>
      <c r="I427" s="258"/>
      <c r="J427" s="258"/>
    </row>
    <row r="428" spans="1:10" ht="12.75" x14ac:dyDescent="0.2">
      <c r="A428" s="108"/>
      <c r="B428" s="282">
        <v>394</v>
      </c>
      <c r="C428" s="282" t="str">
        <f ca="1">语言!$A$899</f>
        <v>黑曜会之服</v>
      </c>
      <c r="D428" s="258"/>
      <c r="E428" s="258"/>
      <c r="F428" s="258"/>
      <c r="G428" s="258"/>
      <c r="H428" s="258"/>
      <c r="I428" s="258"/>
      <c r="J428" s="258"/>
    </row>
    <row r="429" spans="1:10" ht="12.75" x14ac:dyDescent="0.2">
      <c r="A429" s="108"/>
      <c r="B429" s="282">
        <v>395</v>
      </c>
      <c r="C429" s="282" t="str">
        <f ca="1">语言!$A$900</f>
        <v>显赫背心</v>
      </c>
      <c r="D429" s="258"/>
      <c r="E429" s="258"/>
      <c r="F429" s="258"/>
      <c r="G429" s="258"/>
      <c r="H429" s="258"/>
      <c r="I429" s="258"/>
      <c r="J429" s="258"/>
    </row>
    <row r="430" spans="1:10" ht="12.75" x14ac:dyDescent="0.2">
      <c r="A430" s="108"/>
      <c r="B430" s="282">
        <v>396</v>
      </c>
      <c r="C430" s="282" t="str">
        <f ca="1">语言!$A$901</f>
        <v>猎鹰之服</v>
      </c>
      <c r="D430" s="258"/>
      <c r="E430" s="258"/>
      <c r="F430" s="258"/>
      <c r="G430" s="258"/>
      <c r="H430" s="258"/>
      <c r="I430" s="258"/>
      <c r="J430" s="258"/>
    </row>
    <row r="431" spans="1:10" ht="12.75" x14ac:dyDescent="0.2">
      <c r="A431" s="108"/>
      <c r="B431" s="292"/>
      <c r="C431" s="292"/>
      <c r="D431" s="258"/>
      <c r="E431" s="258"/>
      <c r="F431" s="258"/>
      <c r="G431" s="258"/>
      <c r="H431" s="258"/>
      <c r="I431" s="258"/>
      <c r="J431" s="258"/>
    </row>
    <row r="432" spans="1:10" ht="12.75" x14ac:dyDescent="0.2">
      <c r="A432" s="108"/>
      <c r="B432" s="282">
        <v>397</v>
      </c>
      <c r="C432" s="282" t="str">
        <f ca="1">语言!$A$902</f>
        <v>元素长袍</v>
      </c>
      <c r="D432" s="258"/>
      <c r="E432" s="258"/>
      <c r="F432" s="258"/>
      <c r="G432" s="258"/>
      <c r="H432" s="258"/>
      <c r="I432" s="258"/>
      <c r="J432" s="258"/>
    </row>
    <row r="433" spans="1:10" ht="12.75" x14ac:dyDescent="0.2">
      <c r="A433" s="108"/>
      <c r="B433" s="282">
        <v>398</v>
      </c>
      <c r="C433" s="282" t="str">
        <f ca="1">语言!$A$903</f>
        <v>犄角盔甲</v>
      </c>
      <c r="D433" s="258"/>
      <c r="E433" s="258"/>
      <c r="F433" s="258"/>
      <c r="G433" s="258"/>
      <c r="H433" s="258"/>
      <c r="I433" s="258"/>
      <c r="J433" s="258"/>
    </row>
    <row r="434" spans="1:10" ht="12.75" x14ac:dyDescent="0.2">
      <c r="A434" s="108"/>
      <c r="B434" s="282">
        <v>399</v>
      </c>
      <c r="C434" s="282" t="str">
        <f ca="1">语言!$A$904</f>
        <v>银制盔甲</v>
      </c>
      <c r="D434" s="258"/>
      <c r="E434" s="258"/>
      <c r="F434" s="258"/>
      <c r="G434" s="258"/>
      <c r="H434" s="258"/>
      <c r="I434" s="258"/>
      <c r="J434" s="258"/>
    </row>
    <row r="435" spans="1:10" ht="12.75" x14ac:dyDescent="0.2">
      <c r="A435" s="108"/>
      <c r="B435" s="282">
        <v>400</v>
      </c>
      <c r="C435" s="282" t="str">
        <f ca="1">语言!$A$905</f>
        <v>犄角背心</v>
      </c>
      <c r="D435" s="258"/>
      <c r="E435" s="258"/>
      <c r="F435" s="258"/>
      <c r="G435" s="258"/>
      <c r="H435" s="258"/>
      <c r="I435" s="258"/>
      <c r="J435" s="258"/>
    </row>
    <row r="436" spans="1:10" ht="12.75" x14ac:dyDescent="0.2">
      <c r="A436" s="108"/>
      <c r="B436" s="282">
        <v>401</v>
      </c>
      <c r="C436" s="282" t="str">
        <f ca="1">语言!$A$906</f>
        <v>银制背心</v>
      </c>
      <c r="D436" s="258"/>
      <c r="E436" s="258"/>
      <c r="F436" s="258"/>
      <c r="G436" s="258"/>
      <c r="H436" s="258"/>
      <c r="I436" s="258"/>
      <c r="J436" s="258"/>
    </row>
    <row r="437" spans="1:10" ht="12.75" x14ac:dyDescent="0.2">
      <c r="A437" s="108"/>
      <c r="B437" s="282">
        <v>402</v>
      </c>
      <c r="C437" s="282" t="str">
        <f ca="1">语言!$A$907</f>
        <v>魔咒长袍</v>
      </c>
      <c r="D437" s="258"/>
      <c r="E437" s="258"/>
      <c r="F437" s="258"/>
      <c r="G437" s="258"/>
      <c r="H437" s="258"/>
      <c r="I437" s="258"/>
      <c r="J437" s="258"/>
    </row>
    <row r="438" spans="1:10" ht="12.75" x14ac:dyDescent="0.2">
      <c r="A438" s="108"/>
      <c r="B438" s="282">
        <v>403</v>
      </c>
      <c r="C438" s="282" t="str">
        <f ca="1">语言!$A$908</f>
        <v>雪隐斗篷</v>
      </c>
      <c r="D438" s="258"/>
      <c r="E438" s="258"/>
      <c r="F438" s="258"/>
      <c r="G438" s="258"/>
      <c r="H438" s="258"/>
      <c r="I438" s="258"/>
      <c r="J438" s="258"/>
    </row>
    <row r="439" spans="1:10" ht="12.75" x14ac:dyDescent="0.2">
      <c r="A439" s="108"/>
      <c r="B439" s="282">
        <v>404</v>
      </c>
      <c r="C439" s="282" t="str">
        <f ca="1">语言!$A$909</f>
        <v>铁制盔甲</v>
      </c>
      <c r="D439" s="258"/>
      <c r="E439" s="258"/>
      <c r="F439" s="258"/>
      <c r="G439" s="258"/>
      <c r="H439" s="258"/>
      <c r="I439" s="258"/>
      <c r="J439" s="258"/>
    </row>
    <row r="440" spans="1:10" ht="12.75" x14ac:dyDescent="0.2">
      <c r="A440" s="108"/>
      <c r="B440" s="282">
        <v>405</v>
      </c>
      <c r="C440" s="282" t="str">
        <f ca="1">语言!$A$910</f>
        <v>大盔甲</v>
      </c>
      <c r="D440" s="258"/>
      <c r="E440" s="258"/>
      <c r="F440" s="258"/>
      <c r="G440" s="258"/>
      <c r="H440" s="258"/>
      <c r="I440" s="258"/>
      <c r="J440" s="258"/>
    </row>
    <row r="441" spans="1:10" ht="12.75" x14ac:dyDescent="0.2">
      <c r="A441" s="108"/>
      <c r="B441" s="282">
        <v>406</v>
      </c>
      <c r="C441" s="282" t="str">
        <f ca="1">语言!$A$911</f>
        <v>铁制背心</v>
      </c>
      <c r="D441" s="258"/>
      <c r="E441" s="258"/>
      <c r="F441" s="258"/>
      <c r="G441" s="258"/>
      <c r="H441" s="258"/>
      <c r="I441" s="258"/>
      <c r="J441" s="258"/>
    </row>
    <row r="442" spans="1:10" ht="12.75" x14ac:dyDescent="0.2">
      <c r="A442" s="108"/>
      <c r="B442" s="282">
        <v>407</v>
      </c>
      <c r="C442" s="282" t="str">
        <f ca="1">语言!$A$912</f>
        <v>安宁之服</v>
      </c>
      <c r="D442" s="258"/>
      <c r="E442" s="258"/>
      <c r="F442" s="258"/>
      <c r="G442" s="258"/>
      <c r="H442" s="258"/>
      <c r="I442" s="258"/>
      <c r="J442" s="258"/>
    </row>
    <row r="443" spans="1:10" ht="12.75" x14ac:dyDescent="0.2">
      <c r="A443" s="108"/>
      <c r="B443" s="282">
        <v>408</v>
      </c>
      <c r="C443" s="282" t="str">
        <f ca="1">语言!$A$913</f>
        <v>大背心</v>
      </c>
      <c r="D443" s="258"/>
      <c r="E443" s="258"/>
      <c r="F443" s="258"/>
      <c r="G443" s="258"/>
      <c r="H443" s="258"/>
      <c r="I443" s="258"/>
      <c r="J443" s="258"/>
    </row>
    <row r="444" spans="1:10" ht="12.75" x14ac:dyDescent="0.2">
      <c r="A444" s="108"/>
      <c r="B444" s="292"/>
      <c r="C444" s="292"/>
      <c r="D444" s="258"/>
      <c r="E444" s="258"/>
      <c r="F444" s="258"/>
      <c r="G444" s="258"/>
      <c r="H444" s="258"/>
      <c r="I444" s="258"/>
      <c r="J444" s="258"/>
    </row>
    <row r="445" spans="1:10" ht="12.75" x14ac:dyDescent="0.2">
      <c r="A445" s="108"/>
      <c r="B445" s="282">
        <v>409</v>
      </c>
      <c r="C445" s="282" t="str">
        <f ca="1">语言!$A$914</f>
        <v>毛皮长袍</v>
      </c>
      <c r="D445" s="258"/>
      <c r="E445" s="258"/>
      <c r="F445" s="258"/>
      <c r="G445" s="258"/>
      <c r="H445" s="258"/>
      <c r="I445" s="258"/>
      <c r="J445" s="258"/>
    </row>
    <row r="446" spans="1:10" ht="12.75" x14ac:dyDescent="0.2">
      <c r="A446" s="108"/>
      <c r="B446" s="282">
        <v>410</v>
      </c>
      <c r="C446" s="282" t="str">
        <f ca="1">语言!$A$915</f>
        <v>黑装束</v>
      </c>
      <c r="D446" s="258"/>
      <c r="E446" s="258"/>
      <c r="F446" s="258"/>
      <c r="G446" s="258"/>
      <c r="H446" s="258"/>
      <c r="I446" s="258"/>
      <c r="J446" s="258"/>
    </row>
    <row r="447" spans="1:10" ht="12.75" x14ac:dyDescent="0.2">
      <c r="A447" s="108"/>
      <c r="B447" s="282">
        <v>411</v>
      </c>
      <c r="C447" s="282" t="str">
        <f ca="1">语言!$A$916</f>
        <v>疾风之服</v>
      </c>
      <c r="D447" s="258"/>
      <c r="E447" s="258"/>
      <c r="F447" s="258"/>
      <c r="G447" s="258"/>
      <c r="H447" s="258"/>
      <c r="I447" s="258"/>
      <c r="J447" s="258"/>
    </row>
    <row r="448" spans="1:10" ht="12.75" x14ac:dyDescent="0.2">
      <c r="A448" s="108"/>
      <c r="B448" s="282">
        <v>412</v>
      </c>
      <c r="C448" s="282" t="str">
        <f ca="1">语言!$A$917</f>
        <v>传统舞娘衣服</v>
      </c>
      <c r="D448" s="258"/>
      <c r="E448" s="258"/>
      <c r="F448" s="258"/>
      <c r="G448" s="258"/>
      <c r="H448" s="258"/>
      <c r="I448" s="258"/>
      <c r="J448" s="258"/>
    </row>
    <row r="449" spans="1:10" ht="12.75" x14ac:dyDescent="0.2">
      <c r="A449" s="108"/>
      <c r="B449" s="282">
        <v>413</v>
      </c>
      <c r="C449" s="282" t="str">
        <f ca="1">语言!$A$918</f>
        <v>青铜盔甲</v>
      </c>
      <c r="D449" s="258"/>
      <c r="E449" s="258"/>
      <c r="F449" s="258"/>
      <c r="G449" s="258"/>
      <c r="H449" s="258"/>
      <c r="I449" s="258"/>
      <c r="J449" s="258"/>
    </row>
    <row r="450" spans="1:10" ht="12.75" x14ac:dyDescent="0.2">
      <c r="A450" s="108"/>
      <c r="B450" s="282">
        <v>414</v>
      </c>
      <c r="C450" s="282" t="str">
        <f ca="1">语言!$A$919</f>
        <v>青铜背心</v>
      </c>
      <c r="D450" s="258"/>
      <c r="E450" s="258"/>
      <c r="F450" s="258"/>
      <c r="G450" s="258"/>
      <c r="H450" s="258"/>
      <c r="I450" s="258"/>
      <c r="J450" s="258"/>
    </row>
    <row r="451" spans="1:10" ht="12.75" x14ac:dyDescent="0.2">
      <c r="A451" s="108"/>
      <c r="B451" s="282">
        <v>415</v>
      </c>
      <c r="C451" s="282" t="str">
        <f ca="1">语言!$A$920</f>
        <v>亚麻长袍</v>
      </c>
      <c r="D451" s="258"/>
      <c r="E451" s="258"/>
      <c r="F451" s="258"/>
      <c r="G451" s="258"/>
      <c r="H451" s="258"/>
      <c r="I451" s="258"/>
      <c r="J451" s="258"/>
    </row>
    <row r="452" spans="1:10" ht="12.75" x14ac:dyDescent="0.2">
      <c r="A452" s="108"/>
      <c r="B452" s="282">
        <v>416</v>
      </c>
      <c r="C452" s="282" t="str">
        <f ca="1">语言!$A$921</f>
        <v>橡胶盔甲</v>
      </c>
      <c r="D452" s="258"/>
      <c r="E452" s="258"/>
      <c r="F452" s="258"/>
      <c r="G452" s="258"/>
      <c r="H452" s="258"/>
      <c r="I452" s="258"/>
      <c r="J452" s="258"/>
    </row>
    <row r="453" spans="1:10" ht="12.75" x14ac:dyDescent="0.2">
      <c r="A453" s="108"/>
      <c r="B453" s="282">
        <v>417</v>
      </c>
      <c r="C453" s="282" t="str">
        <f ca="1">语言!$A$922</f>
        <v>橡胶背心</v>
      </c>
      <c r="D453" s="258"/>
      <c r="E453" s="258"/>
      <c r="F453" s="258"/>
      <c r="G453" s="258"/>
      <c r="H453" s="258"/>
      <c r="I453" s="258"/>
      <c r="J453" s="258"/>
    </row>
    <row r="454" spans="1:10" ht="12.75" x14ac:dyDescent="0.2">
      <c r="A454" s="108"/>
      <c r="B454" s="282">
        <v>418</v>
      </c>
      <c r="C454" s="282" t="str">
        <f ca="1">语言!$A$923</f>
        <v>长袍</v>
      </c>
      <c r="D454" s="258"/>
      <c r="E454" s="258"/>
      <c r="F454" s="258"/>
      <c r="G454" s="258"/>
      <c r="H454" s="258"/>
      <c r="I454" s="258"/>
      <c r="J454" s="258"/>
    </row>
    <row r="455" spans="1:10" ht="12.75" x14ac:dyDescent="0.2">
      <c r="A455" s="108"/>
      <c r="B455" s="282">
        <v>419</v>
      </c>
      <c r="C455" s="282" t="str">
        <f ca="1">语言!$A$925</f>
        <v>隔离缎带</v>
      </c>
      <c r="D455" s="480" t="s">
        <v>281</v>
      </c>
      <c r="E455" s="371"/>
      <c r="F455" s="371"/>
      <c r="G455" s="371"/>
      <c r="H455" s="371"/>
      <c r="I455" s="371"/>
      <c r="J455" s="371"/>
    </row>
    <row r="456" spans="1:10" ht="12.75" x14ac:dyDescent="0.2">
      <c r="A456" s="108"/>
      <c r="B456" s="282">
        <v>420</v>
      </c>
      <c r="C456" s="282" t="str">
        <f ca="1">语言!$A$926</f>
        <v>引诱缎带</v>
      </c>
      <c r="D456" s="371"/>
      <c r="E456" s="371"/>
      <c r="F456" s="371"/>
      <c r="G456" s="371"/>
      <c r="H456" s="371"/>
      <c r="I456" s="371"/>
      <c r="J456" s="371"/>
    </row>
    <row r="457" spans="1:10" ht="12.75" x14ac:dyDescent="0.2">
      <c r="A457" s="108"/>
      <c r="B457" s="292"/>
      <c r="C457" s="292"/>
      <c r="D457" s="258"/>
      <c r="E457" s="258"/>
      <c r="F457" s="258"/>
      <c r="G457" s="258"/>
      <c r="H457" s="258"/>
      <c r="I457" s="258"/>
      <c r="J457" s="258"/>
    </row>
    <row r="458" spans="1:10" ht="12.75" x14ac:dyDescent="0.2">
      <c r="A458" s="108"/>
      <c r="B458" s="282">
        <v>421</v>
      </c>
      <c r="C458" s="282" t="str">
        <f ca="1">语言!$A$927</f>
        <v>队长的徽章</v>
      </c>
      <c r="D458" s="258"/>
      <c r="E458" s="258"/>
      <c r="F458" s="258"/>
      <c r="G458" s="258"/>
      <c r="H458" s="258"/>
      <c r="I458" s="258"/>
      <c r="J458" s="258"/>
    </row>
    <row r="459" spans="1:10" ht="12.75" x14ac:dyDescent="0.2">
      <c r="A459" s="108"/>
      <c r="B459" s="282">
        <v>422</v>
      </c>
      <c r="C459" s="282" t="str">
        <f ca="1">语言!$A$928</f>
        <v>友情的徽章</v>
      </c>
      <c r="D459" s="258"/>
      <c r="E459" s="258"/>
      <c r="F459" s="258"/>
      <c r="G459" s="258"/>
      <c r="H459" s="258"/>
      <c r="I459" s="258"/>
      <c r="J459" s="258"/>
    </row>
    <row r="460" spans="1:10" ht="12.75" x14ac:dyDescent="0.2">
      <c r="A460" s="108"/>
      <c r="B460" s="282">
        <v>423</v>
      </c>
      <c r="C460" s="282" t="str">
        <f ca="1">语言!$A$929</f>
        <v>龙之领巾</v>
      </c>
      <c r="D460" s="258"/>
      <c r="E460" s="258"/>
      <c r="F460" s="258"/>
      <c r="G460" s="258"/>
      <c r="H460" s="258"/>
      <c r="I460" s="258"/>
      <c r="J460" s="258"/>
    </row>
    <row r="461" spans="1:10" ht="12.75" x14ac:dyDescent="0.2">
      <c r="A461" s="108"/>
      <c r="B461" s="282">
        <v>424</v>
      </c>
      <c r="C461" s="282" t="str">
        <f ca="1">语言!$A$930</f>
        <v>兽之领巾</v>
      </c>
      <c r="D461" s="258"/>
      <c r="E461" s="258"/>
      <c r="F461" s="258"/>
      <c r="G461" s="258"/>
      <c r="H461" s="258"/>
      <c r="I461" s="258"/>
      <c r="J461" s="258"/>
    </row>
    <row r="462" spans="1:10" ht="12.75" x14ac:dyDescent="0.2">
      <c r="A462" s="108"/>
      <c r="B462" s="282">
        <v>425</v>
      </c>
      <c r="C462" s="282" t="str">
        <f ca="1">语言!$A$931</f>
        <v>王家之证</v>
      </c>
      <c r="D462" s="258"/>
      <c r="E462" s="258"/>
      <c r="F462" s="258"/>
      <c r="G462" s="258"/>
      <c r="H462" s="258"/>
      <c r="I462" s="258"/>
      <c r="J462" s="258"/>
    </row>
    <row r="463" spans="1:10" ht="12.75" x14ac:dyDescent="0.2">
      <c r="A463" s="108"/>
      <c r="B463" s="282">
        <v>426</v>
      </c>
      <c r="C463" s="282" t="str">
        <f ca="1">语言!$A$932</f>
        <v>守墓人之证</v>
      </c>
      <c r="D463" s="258"/>
      <c r="E463" s="258"/>
      <c r="F463" s="258"/>
      <c r="G463" s="258"/>
      <c r="H463" s="258"/>
      <c r="I463" s="258"/>
      <c r="J463" s="258"/>
    </row>
    <row r="464" spans="1:10" ht="12.75" x14ac:dyDescent="0.2">
      <c r="A464" s="108"/>
      <c r="B464" s="282">
        <v>427</v>
      </c>
      <c r="C464" s="282" t="str">
        <f ca="1">语言!$A$933</f>
        <v>物理腰带</v>
      </c>
      <c r="D464" s="258"/>
      <c r="E464" s="258"/>
      <c r="F464" s="258"/>
      <c r="G464" s="258"/>
      <c r="H464" s="258"/>
      <c r="I464" s="258"/>
      <c r="J464" s="258"/>
    </row>
    <row r="465" spans="1:10" ht="12.75" x14ac:dyDescent="0.2">
      <c r="A465" s="108"/>
      <c r="B465" s="282">
        <v>428</v>
      </c>
      <c r="C465" s="282" t="str">
        <f ca="1">语言!$A$934</f>
        <v>精神腰带</v>
      </c>
      <c r="D465" s="258"/>
      <c r="E465" s="258"/>
      <c r="F465" s="258"/>
      <c r="G465" s="258"/>
      <c r="H465" s="258"/>
      <c r="I465" s="258"/>
      <c r="J465" s="258"/>
    </row>
    <row r="466" spans="1:10" ht="12.75" x14ac:dyDescent="0.2">
      <c r="A466" s="108"/>
      <c r="B466" s="282">
        <v>429</v>
      </c>
      <c r="C466" s="282" t="str">
        <f ca="1">语言!$A$935</f>
        <v>加护的饰章</v>
      </c>
      <c r="D466" s="258"/>
      <c r="E466" s="258"/>
      <c r="F466" s="258"/>
      <c r="G466" s="258"/>
      <c r="H466" s="258"/>
      <c r="I466" s="258"/>
      <c r="J466" s="258"/>
    </row>
    <row r="467" spans="1:10" ht="12.75" x14ac:dyDescent="0.2">
      <c r="A467" s="108"/>
      <c r="B467" s="282">
        <v>430</v>
      </c>
      <c r="C467" s="282" t="str">
        <f ca="1">语言!$A$936</f>
        <v>守备的饰章</v>
      </c>
      <c r="D467" s="258"/>
      <c r="E467" s="258"/>
      <c r="F467" s="258"/>
      <c r="G467" s="258"/>
      <c r="H467" s="258"/>
      <c r="I467" s="258"/>
      <c r="J467" s="258"/>
    </row>
    <row r="468" spans="1:10" ht="12.75" x14ac:dyDescent="0.2">
      <c r="A468" s="108"/>
      <c r="B468" s="282">
        <v>431</v>
      </c>
      <c r="C468" s="282" t="str">
        <f ca="1">语言!$A$937</f>
        <v>力量腰带</v>
      </c>
      <c r="D468" s="258"/>
      <c r="E468" s="258"/>
      <c r="F468" s="258"/>
      <c r="G468" s="258"/>
      <c r="H468" s="258"/>
      <c r="I468" s="258"/>
      <c r="J468" s="258"/>
    </row>
    <row r="469" spans="1:10" ht="12.75" x14ac:dyDescent="0.2">
      <c r="A469" s="108"/>
      <c r="B469" s="282">
        <v>432</v>
      </c>
      <c r="C469" s="282" t="str">
        <f ca="1">语言!$A$938</f>
        <v>元素增幅器</v>
      </c>
      <c r="D469" s="258"/>
      <c r="E469" s="258"/>
      <c r="F469" s="258"/>
      <c r="G469" s="258"/>
      <c r="H469" s="258"/>
      <c r="I469" s="258"/>
      <c r="J469" s="258"/>
    </row>
    <row r="470" spans="1:10" ht="12.75" x14ac:dyDescent="0.2">
      <c r="A470" s="108"/>
      <c r="B470" s="292"/>
      <c r="C470" s="292"/>
      <c r="D470" s="258"/>
      <c r="E470" s="258"/>
      <c r="F470" s="258"/>
      <c r="G470" s="258"/>
      <c r="H470" s="258"/>
      <c r="I470" s="258"/>
      <c r="J470" s="258"/>
    </row>
    <row r="471" spans="1:10" ht="12.75" x14ac:dyDescent="0.2">
      <c r="A471" s="108"/>
      <c r="B471" s="282">
        <v>433</v>
      </c>
      <c r="C471" s="282" t="str">
        <f ca="1">语言!$A$939</f>
        <v>守护者腰带</v>
      </c>
      <c r="D471" s="258"/>
      <c r="E471" s="258"/>
      <c r="F471" s="258"/>
      <c r="G471" s="258"/>
      <c r="H471" s="258"/>
      <c r="I471" s="258"/>
      <c r="J471" s="258"/>
    </row>
    <row r="472" spans="1:10" ht="12.75" x14ac:dyDescent="0.2">
      <c r="A472" s="108"/>
      <c r="B472" s="282">
        <v>434</v>
      </c>
      <c r="C472" s="282" t="str">
        <f ca="1">语言!$A$940</f>
        <v>元素守护者</v>
      </c>
      <c r="D472" s="258"/>
      <c r="E472" s="258"/>
      <c r="F472" s="258"/>
      <c r="G472" s="258"/>
      <c r="H472" s="258"/>
      <c r="I472" s="258"/>
      <c r="J472" s="258"/>
    </row>
    <row r="473" spans="1:10" ht="12.75" x14ac:dyDescent="0.2">
      <c r="A473" s="108"/>
      <c r="B473" s="282">
        <v>435</v>
      </c>
      <c r="C473" s="282" t="str">
        <f ca="1">语言!$A$941</f>
        <v>体力项链</v>
      </c>
      <c r="D473" s="258"/>
      <c r="E473" s="258"/>
      <c r="F473" s="258"/>
      <c r="G473" s="258"/>
      <c r="H473" s="258"/>
      <c r="I473" s="258"/>
      <c r="J473" s="258"/>
    </row>
    <row r="474" spans="1:10" ht="12.75" x14ac:dyDescent="0.2">
      <c r="A474" s="108"/>
      <c r="B474" s="282">
        <v>436</v>
      </c>
      <c r="C474" s="282" t="str">
        <f ca="1">语言!$A$942</f>
        <v>精神项链</v>
      </c>
      <c r="D474" s="258"/>
      <c r="E474" s="258"/>
      <c r="F474" s="258"/>
      <c r="G474" s="258"/>
      <c r="H474" s="258"/>
      <c r="I474" s="258"/>
      <c r="J474" s="258"/>
    </row>
    <row r="475" spans="1:10" ht="12.75" x14ac:dyDescent="0.2">
      <c r="A475" s="108"/>
      <c r="B475" s="282">
        <v>437</v>
      </c>
      <c r="C475" s="282" t="str">
        <f ca="1">语言!$A$943</f>
        <v>守护项链</v>
      </c>
      <c r="D475" s="258"/>
      <c r="E475" s="258"/>
      <c r="F475" s="258"/>
      <c r="G475" s="258"/>
      <c r="H475" s="258"/>
      <c r="I475" s="258"/>
      <c r="J475" s="258"/>
    </row>
    <row r="476" spans="1:10" ht="12.75" x14ac:dyDescent="0.2">
      <c r="A476" s="108"/>
      <c r="B476" s="282">
        <v>438</v>
      </c>
      <c r="C476" s="282" t="str">
        <f ca="1">语言!$A$944</f>
        <v>狙击项链</v>
      </c>
      <c r="D476" s="258"/>
      <c r="E476" s="258"/>
      <c r="F476" s="258"/>
      <c r="G476" s="258"/>
      <c r="H476" s="258"/>
      <c r="I476" s="258"/>
      <c r="J476" s="258"/>
    </row>
    <row r="477" spans="1:10" ht="12.75" x14ac:dyDescent="0.2">
      <c r="A477" s="108"/>
      <c r="B477" s="282">
        <v>439</v>
      </c>
      <c r="C477" s="282" t="str">
        <f ca="1">语言!$A$945</f>
        <v>察知项链</v>
      </c>
      <c r="D477" s="258"/>
      <c r="E477" s="258"/>
      <c r="F477" s="258"/>
      <c r="G477" s="258"/>
      <c r="H477" s="258"/>
      <c r="I477" s="258"/>
      <c r="J477" s="258"/>
    </row>
    <row r="478" spans="1:10" ht="12.75" x14ac:dyDescent="0.2">
      <c r="A478" s="108"/>
      <c r="B478" s="282">
        <v>440</v>
      </c>
      <c r="C478" s="282" t="str">
        <f ca="1">语言!$A$946</f>
        <v>灵敏项链</v>
      </c>
      <c r="D478" s="258"/>
      <c r="E478" s="258"/>
      <c r="F478" s="258"/>
      <c r="G478" s="258"/>
      <c r="H478" s="258"/>
      <c r="I478" s="258"/>
      <c r="J478" s="258"/>
    </row>
    <row r="479" spans="1:10" ht="12.75" x14ac:dyDescent="0.2">
      <c r="A479" s="108"/>
      <c r="B479" s="282">
        <v>441</v>
      </c>
      <c r="C479" s="282" t="str">
        <f ca="1">语言!$A$947</f>
        <v>会心项链</v>
      </c>
      <c r="D479" s="258"/>
      <c r="E479" s="258"/>
      <c r="F479" s="258"/>
      <c r="G479" s="258"/>
      <c r="H479" s="258"/>
      <c r="I479" s="258"/>
      <c r="J479" s="258"/>
    </row>
    <row r="480" spans="1:10" ht="12.75" x14ac:dyDescent="0.2">
      <c r="A480" s="108"/>
      <c r="B480" s="282">
        <v>442</v>
      </c>
      <c r="C480" s="282" t="str">
        <f ca="1">语言!$A$948</f>
        <v>体力手环</v>
      </c>
      <c r="D480" s="258"/>
      <c r="E480" s="258"/>
      <c r="F480" s="258"/>
      <c r="G480" s="258"/>
      <c r="H480" s="258"/>
      <c r="I480" s="258"/>
      <c r="J480" s="258"/>
    </row>
    <row r="481" spans="1:10" ht="12.75" x14ac:dyDescent="0.2">
      <c r="A481" s="108"/>
      <c r="B481" s="282">
        <v>443</v>
      </c>
      <c r="C481" s="282" t="str">
        <f ca="1">语言!$A$949</f>
        <v>精神手环</v>
      </c>
      <c r="D481" s="258"/>
      <c r="E481" s="258"/>
      <c r="F481" s="258"/>
      <c r="G481" s="258"/>
      <c r="H481" s="258"/>
      <c r="I481" s="258"/>
      <c r="J481" s="258"/>
    </row>
    <row r="482" spans="1:10" ht="12.75" x14ac:dyDescent="0.2">
      <c r="A482" s="108"/>
      <c r="B482" s="282">
        <v>444</v>
      </c>
      <c r="C482" s="282" t="str">
        <f ca="1">语言!$A$950</f>
        <v>守护手环</v>
      </c>
      <c r="D482" s="258"/>
      <c r="E482" s="258"/>
      <c r="F482" s="258"/>
      <c r="G482" s="258"/>
      <c r="H482" s="258"/>
      <c r="I482" s="258"/>
      <c r="J482" s="258"/>
    </row>
    <row r="483" spans="1:10" ht="12.75" x14ac:dyDescent="0.2">
      <c r="A483" s="108"/>
      <c r="B483" s="292"/>
      <c r="C483" s="292"/>
      <c r="D483" s="258"/>
      <c r="E483" s="258"/>
      <c r="F483" s="258"/>
      <c r="G483" s="258"/>
      <c r="H483" s="258"/>
      <c r="I483" s="258"/>
      <c r="J483" s="258"/>
    </row>
    <row r="484" spans="1:10" ht="12.75" x14ac:dyDescent="0.2">
      <c r="A484" s="108"/>
      <c r="B484" s="282">
        <v>445</v>
      </c>
      <c r="C484" s="282" t="str">
        <f ca="1">语言!$A$951</f>
        <v>狙击手环</v>
      </c>
      <c r="D484" s="258"/>
      <c r="E484" s="258"/>
      <c r="F484" s="258"/>
      <c r="G484" s="258"/>
      <c r="H484" s="258"/>
      <c r="I484" s="258"/>
      <c r="J484" s="258"/>
    </row>
    <row r="485" spans="1:10" ht="12.75" x14ac:dyDescent="0.2">
      <c r="A485" s="108"/>
      <c r="B485" s="282">
        <v>446</v>
      </c>
      <c r="C485" s="282" t="str">
        <f ca="1">语言!$A$952</f>
        <v>察知手环</v>
      </c>
      <c r="D485" s="258"/>
      <c r="E485" s="258"/>
      <c r="F485" s="258"/>
      <c r="G485" s="258"/>
      <c r="H485" s="258"/>
      <c r="I485" s="258"/>
      <c r="J485" s="258"/>
    </row>
    <row r="486" spans="1:10" ht="12.75" x14ac:dyDescent="0.2">
      <c r="A486" s="108"/>
      <c r="B486" s="282">
        <v>447</v>
      </c>
      <c r="C486" s="282" t="str">
        <f ca="1">语言!$A$953</f>
        <v>灵敏手环</v>
      </c>
      <c r="D486" s="258"/>
      <c r="E486" s="258"/>
      <c r="F486" s="258"/>
      <c r="G486" s="258"/>
      <c r="H486" s="258"/>
      <c r="I486" s="258"/>
      <c r="J486" s="258"/>
    </row>
    <row r="487" spans="1:10" ht="12.75" x14ac:dyDescent="0.2">
      <c r="A487" s="108"/>
      <c r="B487" s="282">
        <v>448</v>
      </c>
      <c r="C487" s="282" t="str">
        <f ca="1">语言!$A$954</f>
        <v>会心手环</v>
      </c>
      <c r="D487" s="258"/>
      <c r="E487" s="258"/>
      <c r="F487" s="258"/>
      <c r="G487" s="258"/>
      <c r="H487" s="258"/>
      <c r="I487" s="258"/>
      <c r="J487" s="258"/>
    </row>
    <row r="488" spans="1:10" ht="12.75" x14ac:dyDescent="0.2">
      <c r="A488" s="108"/>
      <c r="B488" s="282">
        <v>449</v>
      </c>
      <c r="C488" s="282" t="str">
        <f ca="1">语言!$A$955</f>
        <v>体力戒指</v>
      </c>
      <c r="D488" s="258"/>
      <c r="E488" s="258"/>
      <c r="F488" s="258"/>
      <c r="G488" s="258"/>
      <c r="H488" s="258"/>
      <c r="I488" s="258"/>
      <c r="J488" s="258"/>
    </row>
    <row r="489" spans="1:10" ht="12.75" x14ac:dyDescent="0.2">
      <c r="A489" s="108"/>
      <c r="B489" s="282">
        <v>450</v>
      </c>
      <c r="C489" s="282" t="str">
        <f ca="1">语言!$A$956</f>
        <v>精神戒指</v>
      </c>
      <c r="D489" s="258"/>
      <c r="E489" s="258"/>
      <c r="F489" s="258"/>
      <c r="G489" s="258"/>
      <c r="H489" s="258"/>
      <c r="I489" s="258"/>
      <c r="J489" s="258"/>
    </row>
    <row r="490" spans="1:10" ht="12.75" x14ac:dyDescent="0.2">
      <c r="A490" s="108"/>
      <c r="B490" s="282">
        <v>451</v>
      </c>
      <c r="C490" s="282" t="str">
        <f ca="1">语言!$A$957</f>
        <v>守护戒指</v>
      </c>
      <c r="D490" s="258"/>
      <c r="E490" s="258"/>
      <c r="F490" s="258"/>
      <c r="G490" s="258"/>
      <c r="H490" s="258"/>
      <c r="I490" s="258"/>
      <c r="J490" s="258"/>
    </row>
    <row r="491" spans="1:10" ht="12.75" x14ac:dyDescent="0.2">
      <c r="A491" s="108"/>
      <c r="B491" s="282">
        <v>452</v>
      </c>
      <c r="C491" s="282" t="str">
        <f ca="1">语言!$A$958</f>
        <v>狙击戒指</v>
      </c>
      <c r="D491" s="258"/>
      <c r="E491" s="258"/>
      <c r="F491" s="258"/>
      <c r="G491" s="258"/>
      <c r="H491" s="258"/>
      <c r="I491" s="258"/>
      <c r="J491" s="258"/>
    </row>
    <row r="492" spans="1:10" ht="12.75" x14ac:dyDescent="0.2">
      <c r="A492" s="108"/>
      <c r="B492" s="282">
        <v>453</v>
      </c>
      <c r="C492" s="282" t="str">
        <f ca="1">语言!$A$959</f>
        <v>察知戒指</v>
      </c>
      <c r="D492" s="258"/>
      <c r="E492" s="258"/>
      <c r="F492" s="258"/>
      <c r="G492" s="258"/>
      <c r="H492" s="258"/>
      <c r="I492" s="258"/>
      <c r="J492" s="258"/>
    </row>
    <row r="493" spans="1:10" ht="12.75" x14ac:dyDescent="0.2">
      <c r="A493" s="108"/>
      <c r="B493" s="282">
        <v>454</v>
      </c>
      <c r="C493" s="282" t="str">
        <f ca="1">语言!$A$960</f>
        <v>灵敏戒指</v>
      </c>
      <c r="D493" s="258"/>
      <c r="E493" s="258"/>
      <c r="F493" s="258"/>
      <c r="G493" s="258"/>
      <c r="H493" s="258"/>
      <c r="I493" s="258"/>
      <c r="J493" s="258"/>
    </row>
    <row r="494" spans="1:10" ht="12.75" x14ac:dyDescent="0.2">
      <c r="A494" s="108"/>
      <c r="B494" s="282">
        <v>455</v>
      </c>
      <c r="C494" s="282" t="str">
        <f ca="1">语言!$A$961</f>
        <v>会心戒指</v>
      </c>
      <c r="D494" s="258"/>
      <c r="E494" s="258"/>
      <c r="F494" s="258"/>
      <c r="G494" s="258"/>
      <c r="H494" s="258"/>
      <c r="I494" s="258"/>
      <c r="J494" s="258"/>
    </row>
    <row r="495" spans="1:10" ht="12.75" x14ac:dyDescent="0.2">
      <c r="A495" s="108"/>
      <c r="B495" s="282">
        <v>456</v>
      </c>
      <c r="C495" s="282" t="str">
        <f ca="1">语言!$A$962</f>
        <v>体力耳环</v>
      </c>
      <c r="D495" s="258"/>
      <c r="E495" s="258"/>
      <c r="F495" s="258"/>
      <c r="G495" s="258"/>
      <c r="H495" s="258"/>
      <c r="I495" s="258"/>
      <c r="J495" s="258"/>
    </row>
    <row r="496" spans="1:10" ht="12.75" x14ac:dyDescent="0.2">
      <c r="A496" s="108"/>
      <c r="B496" s="292"/>
      <c r="C496" s="292"/>
      <c r="D496" s="258"/>
      <c r="E496" s="258"/>
      <c r="F496" s="258"/>
      <c r="G496" s="258"/>
      <c r="H496" s="258"/>
      <c r="I496" s="258"/>
      <c r="J496" s="258"/>
    </row>
    <row r="497" spans="1:10" ht="12.75" x14ac:dyDescent="0.2">
      <c r="A497" s="108"/>
      <c r="B497" s="282">
        <v>457</v>
      </c>
      <c r="C497" s="282" t="str">
        <f ca="1">语言!$A$963</f>
        <v>精神耳环</v>
      </c>
      <c r="D497" s="258"/>
      <c r="E497" s="258"/>
      <c r="F497" s="258"/>
      <c r="G497" s="258"/>
      <c r="H497" s="258"/>
      <c r="I497" s="258"/>
      <c r="J497" s="258"/>
    </row>
    <row r="498" spans="1:10" ht="12.75" x14ac:dyDescent="0.2">
      <c r="A498" s="108"/>
      <c r="B498" s="282">
        <v>458</v>
      </c>
      <c r="C498" s="282" t="str">
        <f ca="1">语言!$A$964</f>
        <v>守护耳环</v>
      </c>
      <c r="D498" s="258"/>
      <c r="E498" s="258"/>
      <c r="F498" s="258"/>
      <c r="G498" s="258"/>
      <c r="H498" s="258"/>
      <c r="I498" s="258"/>
      <c r="J498" s="258"/>
    </row>
    <row r="499" spans="1:10" ht="12.75" x14ac:dyDescent="0.2">
      <c r="A499" s="108"/>
      <c r="B499" s="282">
        <v>459</v>
      </c>
      <c r="C499" s="282" t="str">
        <f ca="1">语言!$A$965</f>
        <v>狙击耳环</v>
      </c>
      <c r="D499" s="258"/>
      <c r="E499" s="258"/>
      <c r="F499" s="258"/>
      <c r="G499" s="258"/>
      <c r="H499" s="258"/>
      <c r="I499" s="258"/>
      <c r="J499" s="258"/>
    </row>
    <row r="500" spans="1:10" ht="12.75" x14ac:dyDescent="0.2">
      <c r="A500" s="108"/>
      <c r="B500" s="282">
        <v>460</v>
      </c>
      <c r="C500" s="282" t="str">
        <f ca="1">语言!$A$966</f>
        <v>察知耳环</v>
      </c>
      <c r="D500" s="258"/>
      <c r="E500" s="258"/>
      <c r="F500" s="258"/>
      <c r="G500" s="258"/>
      <c r="H500" s="258"/>
      <c r="I500" s="258"/>
      <c r="J500" s="258"/>
    </row>
    <row r="501" spans="1:10" ht="12.75" x14ac:dyDescent="0.2">
      <c r="A501" s="108"/>
      <c r="B501" s="282">
        <v>461</v>
      </c>
      <c r="C501" s="282" t="str">
        <f ca="1">语言!$A$967</f>
        <v>灵敏耳环</v>
      </c>
      <c r="D501" s="258"/>
      <c r="E501" s="258"/>
      <c r="F501" s="258"/>
      <c r="G501" s="258"/>
      <c r="H501" s="258"/>
      <c r="I501" s="258"/>
      <c r="J501" s="258"/>
    </row>
    <row r="502" spans="1:10" ht="12.75" x14ac:dyDescent="0.2">
      <c r="A502" s="108"/>
      <c r="B502" s="282">
        <v>462</v>
      </c>
      <c r="C502" s="282" t="str">
        <f ca="1">语言!$A$968</f>
        <v>会心耳环</v>
      </c>
      <c r="D502" s="258"/>
      <c r="E502" s="258"/>
      <c r="F502" s="258"/>
      <c r="G502" s="258"/>
      <c r="H502" s="258"/>
      <c r="I502" s="258"/>
      <c r="J502" s="258"/>
    </row>
    <row r="503" spans="1:10" ht="12.75" x14ac:dyDescent="0.2">
      <c r="A503" s="108"/>
      <c r="B503" s="282">
        <v>463</v>
      </c>
      <c r="C503" s="282" t="str">
        <f ca="1">语言!$A$969</f>
        <v>纺织者的护身符</v>
      </c>
      <c r="D503" s="258"/>
      <c r="E503" s="258"/>
      <c r="F503" s="258"/>
      <c r="G503" s="258"/>
      <c r="H503" s="258"/>
      <c r="I503" s="258"/>
      <c r="J503" s="258"/>
    </row>
    <row r="504" spans="1:10" ht="12.75" x14ac:dyDescent="0.2">
      <c r="A504" s="108"/>
      <c r="B504" s="282">
        <v>464</v>
      </c>
      <c r="C504" s="282" t="str">
        <f ca="1">语言!$A$970</f>
        <v>爱妻家的护身符</v>
      </c>
      <c r="D504" s="258"/>
      <c r="E504" s="258"/>
      <c r="F504" s="258"/>
      <c r="G504" s="258"/>
      <c r="H504" s="258"/>
      <c r="I504" s="258"/>
      <c r="J504" s="258"/>
    </row>
    <row r="505" spans="1:10" ht="12.75" x14ac:dyDescent="0.2">
      <c r="A505" s="108"/>
      <c r="B505" s="282">
        <v>465</v>
      </c>
      <c r="C505" s="282" t="str">
        <f ca="1">语言!$A$971</f>
        <v>美食家的护身符</v>
      </c>
      <c r="D505" s="258"/>
      <c r="E505" s="258"/>
      <c r="F505" s="258"/>
      <c r="G505" s="258"/>
      <c r="H505" s="258"/>
      <c r="I505" s="258"/>
      <c r="J505" s="258"/>
    </row>
    <row r="506" spans="1:10" ht="12.75" x14ac:dyDescent="0.2">
      <c r="A506" s="108"/>
      <c r="B506" s="282">
        <v>466</v>
      </c>
      <c r="C506" s="282" t="str">
        <f ca="1">语言!$A$972</f>
        <v>火焰避邪符</v>
      </c>
      <c r="D506" s="258"/>
      <c r="E506" s="258"/>
      <c r="F506" s="258"/>
      <c r="G506" s="258"/>
      <c r="H506" s="258"/>
      <c r="I506" s="258"/>
      <c r="J506" s="258"/>
    </row>
    <row r="507" spans="1:10" ht="12.75" x14ac:dyDescent="0.2">
      <c r="A507" s="108"/>
      <c r="B507" s="282">
        <v>467</v>
      </c>
      <c r="C507" s="282" t="str">
        <f ca="1">语言!$A$973</f>
        <v>冰冻避邪符</v>
      </c>
      <c r="D507" s="258"/>
      <c r="E507" s="258"/>
      <c r="F507" s="258"/>
      <c r="G507" s="258"/>
      <c r="H507" s="258"/>
      <c r="I507" s="258"/>
      <c r="J507" s="258"/>
    </row>
    <row r="508" spans="1:10" ht="12.75" x14ac:dyDescent="0.2">
      <c r="A508" s="108"/>
      <c r="B508" s="282">
        <v>468</v>
      </c>
      <c r="C508" s="282" t="str">
        <f ca="1">语言!$A$974</f>
        <v>龙卷风避邪符</v>
      </c>
      <c r="D508" s="258"/>
      <c r="E508" s="258"/>
      <c r="F508" s="258"/>
      <c r="G508" s="258"/>
      <c r="H508" s="258"/>
      <c r="I508" s="258"/>
      <c r="J508" s="258"/>
    </row>
    <row r="509" spans="1:10" ht="12.75" x14ac:dyDescent="0.2">
      <c r="A509" s="108"/>
      <c r="B509" s="292"/>
      <c r="C509" s="292"/>
      <c r="D509" s="258"/>
      <c r="E509" s="258"/>
      <c r="F509" s="258"/>
      <c r="G509" s="258"/>
      <c r="H509" s="258"/>
      <c r="I509" s="258"/>
      <c r="J509" s="258"/>
    </row>
    <row r="510" spans="1:10" ht="12.75" x14ac:dyDescent="0.2">
      <c r="A510" s="108"/>
      <c r="B510" s="282">
        <v>469</v>
      </c>
      <c r="C510" s="282" t="str">
        <f ca="1">语言!$A$975</f>
        <v>雷电避邪符</v>
      </c>
      <c r="D510" s="258"/>
      <c r="E510" s="258"/>
      <c r="F510" s="258"/>
      <c r="G510" s="258"/>
      <c r="H510" s="258"/>
      <c r="I510" s="258"/>
      <c r="J510" s="258"/>
    </row>
    <row r="511" spans="1:10" ht="12.75" x14ac:dyDescent="0.2">
      <c r="A511" s="108"/>
      <c r="B511" s="282">
        <v>470</v>
      </c>
      <c r="C511" s="282" t="str">
        <f ca="1">语言!$A$976</f>
        <v>霄暗避邪符</v>
      </c>
      <c r="D511" s="258"/>
      <c r="E511" s="258"/>
      <c r="F511" s="258"/>
      <c r="G511" s="258"/>
      <c r="H511" s="258"/>
      <c r="I511" s="258"/>
      <c r="J511" s="258"/>
    </row>
    <row r="512" spans="1:10" ht="12.75" x14ac:dyDescent="0.2">
      <c r="A512" s="108"/>
      <c r="B512" s="282">
        <v>471</v>
      </c>
      <c r="C512" s="282" t="str">
        <f ca="1">语言!$A$977</f>
        <v>闪光避邪符</v>
      </c>
      <c r="D512" s="258"/>
      <c r="E512" s="258"/>
      <c r="F512" s="258"/>
      <c r="G512" s="258"/>
      <c r="H512" s="258"/>
      <c r="I512" s="258"/>
      <c r="J512" s="258"/>
    </row>
    <row r="513" spans="1:10" ht="12.75" x14ac:dyDescent="0.2">
      <c r="A513" s="108"/>
      <c r="B513" s="282">
        <v>472</v>
      </c>
      <c r="C513" s="282" t="str">
        <f ca="1">语言!$A$978</f>
        <v>火之避邪符</v>
      </c>
      <c r="D513" s="258"/>
      <c r="E513" s="258"/>
      <c r="F513" s="258"/>
      <c r="G513" s="258"/>
      <c r="H513" s="258"/>
      <c r="I513" s="258"/>
      <c r="J513" s="258"/>
    </row>
    <row r="514" spans="1:10" ht="12.75" x14ac:dyDescent="0.2">
      <c r="A514" s="108"/>
      <c r="B514" s="282">
        <v>473</v>
      </c>
      <c r="C514" s="282" t="str">
        <f ca="1">语言!$A$979</f>
        <v>冰之避邪符</v>
      </c>
      <c r="D514" s="258"/>
      <c r="E514" s="258"/>
      <c r="F514" s="258"/>
      <c r="G514" s="258"/>
      <c r="H514" s="258"/>
      <c r="I514" s="258"/>
      <c r="J514" s="258"/>
    </row>
    <row r="515" spans="1:10" ht="12.75" x14ac:dyDescent="0.2">
      <c r="A515" s="108"/>
      <c r="B515" s="282">
        <v>474</v>
      </c>
      <c r="C515" s="282" t="str">
        <f ca="1">语言!$A$980</f>
        <v>风之避邪符</v>
      </c>
      <c r="D515" s="258"/>
      <c r="E515" s="258"/>
      <c r="F515" s="258"/>
      <c r="G515" s="258"/>
      <c r="H515" s="258"/>
      <c r="I515" s="258"/>
      <c r="J515" s="258"/>
    </row>
    <row r="516" spans="1:10" ht="12.75" x14ac:dyDescent="0.2">
      <c r="A516" s="108"/>
      <c r="B516" s="282">
        <v>475</v>
      </c>
      <c r="C516" s="282" t="str">
        <f ca="1">语言!$A$981</f>
        <v>雷之避邪符</v>
      </c>
      <c r="D516" s="258"/>
      <c r="E516" s="258"/>
      <c r="F516" s="258"/>
      <c r="G516" s="258"/>
      <c r="H516" s="258"/>
      <c r="I516" s="258"/>
      <c r="J516" s="258"/>
    </row>
    <row r="517" spans="1:10" ht="12.75" x14ac:dyDescent="0.2">
      <c r="A517" s="108"/>
      <c r="B517" s="282">
        <v>476</v>
      </c>
      <c r="C517" s="282" t="str">
        <f ca="1">语言!$A$982</f>
        <v>暗之避邪符</v>
      </c>
      <c r="D517" s="258"/>
      <c r="E517" s="258"/>
      <c r="F517" s="258"/>
      <c r="G517" s="258"/>
      <c r="H517" s="258"/>
      <c r="I517" s="258"/>
      <c r="J517" s="258"/>
    </row>
    <row r="518" spans="1:10" ht="12.75" x14ac:dyDescent="0.2">
      <c r="A518" s="108"/>
      <c r="B518" s="282">
        <v>477</v>
      </c>
      <c r="C518" s="282" t="str">
        <f ca="1">语言!$A$983</f>
        <v>光之避邪符</v>
      </c>
      <c r="D518" s="258"/>
      <c r="E518" s="258"/>
      <c r="F518" s="258"/>
      <c r="G518" s="258"/>
      <c r="H518" s="258"/>
      <c r="I518" s="258"/>
      <c r="J518" s="258"/>
    </row>
    <row r="519" spans="1:10" ht="12.75" x14ac:dyDescent="0.2">
      <c r="A519" s="108"/>
      <c r="B519" s="282">
        <v>478</v>
      </c>
      <c r="C519" s="282" t="str">
        <f ca="1">语言!$A$984</f>
        <v>猛毒耐性石</v>
      </c>
      <c r="D519" s="258"/>
      <c r="E519" s="258"/>
      <c r="F519" s="258"/>
      <c r="G519" s="258"/>
      <c r="H519" s="258"/>
      <c r="I519" s="258"/>
      <c r="J519" s="258"/>
    </row>
    <row r="520" spans="1:10" ht="12.75" x14ac:dyDescent="0.2">
      <c r="A520" s="108"/>
      <c r="B520" s="282">
        <v>479</v>
      </c>
      <c r="C520" s="282" t="str">
        <f ca="1">语言!$A$985</f>
        <v>睡眠耐性石</v>
      </c>
      <c r="D520" s="258"/>
      <c r="E520" s="258"/>
      <c r="F520" s="258"/>
      <c r="G520" s="258"/>
      <c r="H520" s="258"/>
      <c r="I520" s="258"/>
      <c r="J520" s="258"/>
    </row>
    <row r="521" spans="1:10" ht="12.75" x14ac:dyDescent="0.2">
      <c r="A521" s="108"/>
      <c r="B521" s="282">
        <v>480</v>
      </c>
      <c r="C521" s="282" t="str">
        <f ca="1">语言!$A$986</f>
        <v>沉默耐性石</v>
      </c>
      <c r="D521" s="258"/>
      <c r="E521" s="258"/>
      <c r="F521" s="258"/>
      <c r="G521" s="258"/>
      <c r="H521" s="258"/>
      <c r="I521" s="258"/>
      <c r="J521" s="258"/>
    </row>
    <row r="522" spans="1:10" ht="12.75" x14ac:dyDescent="0.2">
      <c r="A522" s="108"/>
      <c r="B522" s="292"/>
      <c r="C522" s="292"/>
      <c r="D522" s="258"/>
      <c r="E522" s="258"/>
      <c r="F522" s="258"/>
      <c r="G522" s="258"/>
      <c r="H522" s="258"/>
      <c r="I522" s="258"/>
      <c r="J522" s="258"/>
    </row>
    <row r="523" spans="1:10" ht="12.75" x14ac:dyDescent="0.2">
      <c r="A523" s="108"/>
      <c r="B523" s="282">
        <v>481</v>
      </c>
      <c r="C523" s="282" t="str">
        <f ca="1">语言!$A$987</f>
        <v>暗暗耐性石</v>
      </c>
      <c r="D523" s="258"/>
      <c r="E523" s="258"/>
      <c r="F523" s="258"/>
      <c r="G523" s="258"/>
      <c r="H523" s="258"/>
      <c r="I523" s="258"/>
      <c r="J523" s="258"/>
    </row>
    <row r="524" spans="1:10" ht="12.75" x14ac:dyDescent="0.2">
      <c r="A524" s="108"/>
      <c r="B524" s="282">
        <v>482</v>
      </c>
      <c r="C524" s="282" t="str">
        <f ca="1">语言!$A$988</f>
        <v>恐怖耐性石</v>
      </c>
      <c r="D524" s="258"/>
      <c r="E524" s="258"/>
      <c r="F524" s="258"/>
      <c r="G524" s="258"/>
      <c r="H524" s="258"/>
      <c r="I524" s="258"/>
      <c r="J524" s="258"/>
    </row>
    <row r="525" spans="1:10" ht="12.75" x14ac:dyDescent="0.2">
      <c r="A525" s="108"/>
      <c r="B525" s="282">
        <v>483</v>
      </c>
      <c r="C525" s="282" t="str">
        <f ca="1">语言!$A$989</f>
        <v>混乱耐性石</v>
      </c>
      <c r="D525" s="258"/>
      <c r="E525" s="258"/>
      <c r="F525" s="258"/>
      <c r="G525" s="258"/>
      <c r="H525" s="258"/>
      <c r="I525" s="258"/>
      <c r="J525" s="258"/>
    </row>
    <row r="526" spans="1:10" ht="12.75" x14ac:dyDescent="0.2">
      <c r="A526" s="108"/>
      <c r="B526" s="282">
        <v>484</v>
      </c>
      <c r="C526" s="282" t="str">
        <f ca="1">语言!$A$990</f>
        <v>昏迷耐性石</v>
      </c>
      <c r="D526" s="258"/>
      <c r="E526" s="258"/>
      <c r="F526" s="258"/>
      <c r="G526" s="258"/>
      <c r="H526" s="258"/>
      <c r="I526" s="258"/>
      <c r="J526" s="258"/>
    </row>
    <row r="527" spans="1:10" ht="12.75" x14ac:dyDescent="0.2">
      <c r="A527" s="108"/>
      <c r="B527" s="282">
        <v>485</v>
      </c>
      <c r="C527" s="282" t="str">
        <f ca="1">语言!$A$991</f>
        <v>即死耐性石</v>
      </c>
      <c r="D527" s="258"/>
      <c r="E527" s="258"/>
      <c r="F527" s="258"/>
      <c r="G527" s="258"/>
      <c r="H527" s="258"/>
      <c r="I527" s="258"/>
      <c r="J527" s="258"/>
    </row>
    <row r="528" spans="1:10" ht="12.75" x14ac:dyDescent="0.2">
      <c r="A528" s="108"/>
      <c r="B528" s="282">
        <v>486</v>
      </c>
      <c r="C528" s="282" t="str">
        <f ca="1">语言!$A$992</f>
        <v>药的素材</v>
      </c>
      <c r="D528" s="258"/>
      <c r="E528" s="258"/>
      <c r="F528" s="258"/>
      <c r="G528" s="258"/>
      <c r="H528" s="258"/>
      <c r="I528" s="258"/>
      <c r="J528" s="258"/>
    </row>
    <row r="529" spans="1:10" ht="12.75" x14ac:dyDescent="0.2">
      <c r="A529" s="108"/>
      <c r="B529" s="282">
        <v>487</v>
      </c>
      <c r="C529" s="282" t="str">
        <f ca="1">语言!$A$993</f>
        <v>药的素材（扩散）</v>
      </c>
      <c r="D529" s="258"/>
      <c r="E529" s="258"/>
      <c r="F529" s="258"/>
      <c r="G529" s="258"/>
      <c r="H529" s="258"/>
      <c r="I529" s="258"/>
      <c r="J529" s="258"/>
    </row>
    <row r="530" spans="1:10" ht="12.75" x14ac:dyDescent="0.2">
      <c r="A530" s="108"/>
      <c r="B530" s="282">
        <v>488</v>
      </c>
      <c r="C530" s="282" t="str">
        <f ca="1">语言!$A$994</f>
        <v>秘药的素材</v>
      </c>
      <c r="D530" s="258"/>
      <c r="E530" s="258"/>
      <c r="F530" s="258"/>
      <c r="G530" s="258"/>
      <c r="H530" s="258"/>
      <c r="I530" s="258"/>
      <c r="J530" s="258"/>
    </row>
    <row r="531" spans="1:10" ht="12.75" x14ac:dyDescent="0.2">
      <c r="A531" s="108"/>
      <c r="B531" s="282">
        <v>489</v>
      </c>
      <c r="C531" s="282" t="str">
        <f ca="1">语言!$A$995</f>
        <v>秘药的素材（扩散）</v>
      </c>
      <c r="D531" s="258"/>
      <c r="E531" s="258"/>
      <c r="F531" s="258"/>
      <c r="G531" s="258"/>
      <c r="H531" s="258"/>
      <c r="I531" s="258"/>
      <c r="J531" s="258"/>
    </row>
    <row r="532" spans="1:10" ht="12.75" x14ac:dyDescent="0.2">
      <c r="A532" s="108"/>
      <c r="B532" s="282">
        <v>490</v>
      </c>
      <c r="C532" s="282" t="str">
        <f ca="1">语言!$A$996</f>
        <v>含毒的素材</v>
      </c>
      <c r="D532" s="258"/>
      <c r="E532" s="258"/>
      <c r="F532" s="258"/>
      <c r="G532" s="258"/>
      <c r="H532" s="258"/>
      <c r="I532" s="258"/>
      <c r="J532" s="258"/>
    </row>
    <row r="533" spans="1:10" ht="12.75" x14ac:dyDescent="0.2">
      <c r="A533" s="108"/>
      <c r="B533" s="282">
        <v>491</v>
      </c>
      <c r="C533" s="282" t="str">
        <f ca="1">语言!$A$997</f>
        <v>含毒的素材（扩散）</v>
      </c>
      <c r="D533" s="258"/>
      <c r="E533" s="258"/>
      <c r="F533" s="258"/>
      <c r="G533" s="258"/>
      <c r="H533" s="258"/>
      <c r="I533" s="258"/>
      <c r="J533" s="258"/>
    </row>
    <row r="534" spans="1:10" ht="12.75" x14ac:dyDescent="0.2">
      <c r="A534" s="108"/>
      <c r="B534" s="282">
        <v>492</v>
      </c>
      <c r="C534" s="282" t="str">
        <f ca="1">语言!$A$998</f>
        <v>超含毒的素材</v>
      </c>
      <c r="D534" s="258"/>
      <c r="E534" s="258"/>
      <c r="F534" s="258"/>
      <c r="G534" s="258"/>
      <c r="H534" s="258"/>
      <c r="I534" s="258"/>
      <c r="J534" s="258"/>
    </row>
    <row r="535" spans="1:10" ht="12.75" x14ac:dyDescent="0.2">
      <c r="A535" s="108"/>
      <c r="B535" s="292"/>
      <c r="C535" s="292"/>
      <c r="D535" s="258"/>
      <c r="E535" s="258"/>
      <c r="F535" s="258"/>
      <c r="G535" s="258"/>
      <c r="H535" s="258"/>
      <c r="I535" s="258"/>
      <c r="J535" s="258"/>
    </row>
    <row r="536" spans="1:10" ht="12.75" x14ac:dyDescent="0.2">
      <c r="A536" s="108"/>
      <c r="B536" s="282">
        <v>493</v>
      </c>
      <c r="C536" s="282" t="str">
        <f ca="1">语言!$A$999</f>
        <v>超含毒的素材（扩散）</v>
      </c>
      <c r="D536" s="258"/>
      <c r="E536" s="258"/>
      <c r="F536" s="258"/>
      <c r="G536" s="258"/>
      <c r="H536" s="258"/>
      <c r="I536" s="258"/>
      <c r="J536" s="258"/>
    </row>
    <row r="537" spans="1:10" ht="12.75" x14ac:dyDescent="0.2">
      <c r="A537" s="108"/>
      <c r="B537" s="282">
        <v>494</v>
      </c>
      <c r="C537" s="282" t="str">
        <f ca="1">语言!$A$1000</f>
        <v>毒利米树之叶</v>
      </c>
      <c r="D537" s="258"/>
      <c r="E537" s="258"/>
      <c r="F537" s="258"/>
      <c r="G537" s="258"/>
      <c r="H537" s="258"/>
      <c r="I537" s="258"/>
      <c r="J537" s="258"/>
    </row>
    <row r="538" spans="1:10" ht="12.75" x14ac:dyDescent="0.2">
      <c r="A538" s="108"/>
      <c r="B538" s="282">
        <v>495</v>
      </c>
      <c r="C538" s="282" t="str">
        <f ca="1">语言!$A$1001</f>
        <v>睡眠花之叶</v>
      </c>
      <c r="D538" s="258"/>
      <c r="E538" s="258"/>
      <c r="F538" s="258"/>
      <c r="G538" s="258"/>
      <c r="H538" s="258"/>
      <c r="I538" s="258"/>
      <c r="J538" s="258"/>
    </row>
    <row r="539" spans="1:10" ht="12.75" x14ac:dyDescent="0.2">
      <c r="A539" s="108"/>
      <c r="B539" s="282">
        <v>496</v>
      </c>
      <c r="C539" s="282" t="str">
        <f ca="1">语言!$A$1002</f>
        <v>混乱多之叶</v>
      </c>
      <c r="D539" s="258"/>
      <c r="E539" s="297"/>
      <c r="F539" s="297"/>
      <c r="G539" s="258"/>
      <c r="H539" s="258"/>
      <c r="I539" s="258"/>
      <c r="J539" s="258"/>
    </row>
    <row r="540" spans="1:10" ht="12.75" x14ac:dyDescent="0.2">
      <c r="A540" s="108"/>
      <c r="B540" s="282">
        <v>497</v>
      </c>
      <c r="C540" s="282" t="str">
        <f ca="1">语言!$A$1003</f>
        <v>葡萄树液</v>
      </c>
      <c r="D540" s="258"/>
      <c r="E540" s="297"/>
      <c r="F540" s="297"/>
      <c r="G540" s="258"/>
      <c r="H540" s="258"/>
      <c r="I540" s="258"/>
      <c r="J540" s="258"/>
    </row>
    <row r="541" spans="1:10" ht="12.75" x14ac:dyDescent="0.2">
      <c r="A541" s="108"/>
      <c r="B541" s="282">
        <v>498</v>
      </c>
      <c r="C541" s="282" t="str">
        <f ca="1">语言!$A$1004</f>
        <v>李子树液</v>
      </c>
      <c r="D541" s="258"/>
      <c r="E541" s="297"/>
      <c r="F541" s="297"/>
      <c r="G541" s="258"/>
      <c r="H541" s="258"/>
      <c r="I541" s="258"/>
      <c r="J541" s="258"/>
    </row>
    <row r="542" spans="1:10" ht="12.75" x14ac:dyDescent="0.2">
      <c r="A542" s="108"/>
      <c r="B542" s="282">
        <v>499</v>
      </c>
      <c r="C542" s="282" t="str">
        <f ca="1">语言!$A$1005</f>
        <v>石榴树液</v>
      </c>
      <c r="D542" s="258"/>
      <c r="E542" s="297"/>
      <c r="F542" s="297"/>
      <c r="G542" s="258"/>
      <c r="H542" s="258"/>
      <c r="I542" s="258"/>
      <c r="J542" s="258"/>
    </row>
    <row r="543" spans="1:10" ht="12.75" x14ac:dyDescent="0.2">
      <c r="A543" s="108"/>
      <c r="B543" s="282">
        <v>500</v>
      </c>
      <c r="C543" s="282" t="str">
        <f ca="1">语言!$A$1006</f>
        <v>橄榄花</v>
      </c>
      <c r="D543" s="258"/>
      <c r="E543" s="297"/>
      <c r="F543" s="297"/>
      <c r="G543" s="258"/>
      <c r="H543" s="258"/>
      <c r="I543" s="258"/>
      <c r="J543" s="258"/>
    </row>
    <row r="544" spans="1:10" ht="12.75" x14ac:dyDescent="0.2">
      <c r="A544" s="108"/>
      <c r="B544" s="282">
        <v>501</v>
      </c>
      <c r="C544" s="282" t="str">
        <f ca="1">语言!$A$1007</f>
        <v>神秘之花</v>
      </c>
      <c r="D544" s="258"/>
      <c r="E544" s="297"/>
      <c r="F544" s="297"/>
      <c r="G544" s="258"/>
      <c r="H544" s="258"/>
      <c r="I544" s="258"/>
      <c r="J544" s="258"/>
    </row>
    <row r="545" spans="1:10" ht="12.75" x14ac:dyDescent="0.2">
      <c r="A545" s="90"/>
      <c r="B545" s="90"/>
      <c r="C545" s="90"/>
      <c r="D545" s="258"/>
      <c r="E545" s="297"/>
      <c r="F545" s="297"/>
      <c r="G545" s="258"/>
      <c r="H545" s="258"/>
      <c r="I545" s="258"/>
      <c r="J545" s="258"/>
    </row>
  </sheetData>
  <mergeCells count="10">
    <mergeCell ref="E89:E90"/>
    <mergeCell ref="F89:I90"/>
    <mergeCell ref="D455:J456"/>
    <mergeCell ref="E23:E25"/>
    <mergeCell ref="E83:E84"/>
    <mergeCell ref="F83:I84"/>
    <mergeCell ref="E85:E86"/>
    <mergeCell ref="F85:I86"/>
    <mergeCell ref="E87:E88"/>
    <mergeCell ref="F87:I88"/>
  </mergeCells>
  <phoneticPr fontId="6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M209"/>
  <sheetViews>
    <sheetView tabSelected="1" workbookViewId="0">
      <pane ySplit="3" topLeftCell="A121" activePane="bottomLeft" state="frozen"/>
      <selection pane="bottomLeft" activeCell="F150" sqref="F150"/>
    </sheetView>
  </sheetViews>
  <sheetFormatPr defaultColWidth="12.5703125" defaultRowHeight="15.75" customHeight="1" x14ac:dyDescent="0.2"/>
  <cols>
    <col min="1" max="2" width="2.5703125" customWidth="1"/>
    <col min="3" max="3" width="27.5703125" customWidth="1"/>
    <col min="4" max="4" width="6.42578125" customWidth="1"/>
    <col min="5" max="5" width="5.140625" customWidth="1"/>
    <col min="6" max="6" width="52.5703125" customWidth="1"/>
    <col min="7" max="8" width="2.5703125" customWidth="1"/>
    <col min="9" max="9" width="25.140625" customWidth="1"/>
    <col min="10" max="11" width="6.42578125" customWidth="1"/>
    <col min="12" max="12" width="75.140625" customWidth="1"/>
    <col min="13" max="13" width="2.5703125" customWidth="1"/>
  </cols>
  <sheetData>
    <row r="1" spans="1:13" x14ac:dyDescent="0.2">
      <c r="A1" s="626" t="s">
        <v>282</v>
      </c>
      <c r="B1" s="371"/>
      <c r="C1" s="371"/>
      <c r="D1" s="371"/>
      <c r="E1" s="371"/>
      <c r="F1" s="371"/>
      <c r="G1" s="258"/>
      <c r="H1" s="626" t="s">
        <v>283</v>
      </c>
      <c r="I1" s="371"/>
      <c r="J1" s="371"/>
      <c r="K1" s="371"/>
      <c r="L1" s="371"/>
      <c r="M1" s="258"/>
    </row>
    <row r="2" spans="1:13" x14ac:dyDescent="0.2">
      <c r="A2" s="371"/>
      <c r="B2" s="371"/>
      <c r="C2" s="371"/>
      <c r="D2" s="371"/>
      <c r="E2" s="371"/>
      <c r="F2" s="371"/>
      <c r="G2" s="258"/>
      <c r="H2" s="371"/>
      <c r="I2" s="371"/>
      <c r="J2" s="371"/>
      <c r="K2" s="371"/>
      <c r="L2" s="371"/>
      <c r="M2" s="258"/>
    </row>
    <row r="3" spans="1:13" ht="15.75" customHeight="1" x14ac:dyDescent="0.25">
      <c r="A3" s="47"/>
      <c r="B3" s="477" t="str">
        <f ca="1">语言!$A$1629</f>
        <v>Summon Beast</v>
      </c>
      <c r="C3" s="371"/>
      <c r="D3" s="298" t="s">
        <v>284</v>
      </c>
      <c r="E3" s="299" t="s">
        <v>285</v>
      </c>
      <c r="F3" s="47" t="s">
        <v>286</v>
      </c>
      <c r="G3" s="47"/>
      <c r="H3" s="477" t="str">
        <f ca="1">语言!$A$2136</f>
        <v>拿手技能</v>
      </c>
      <c r="I3" s="371"/>
      <c r="J3" s="299" t="s">
        <v>284</v>
      </c>
      <c r="K3" s="299" t="s">
        <v>285</v>
      </c>
      <c r="L3" s="47" t="s">
        <v>287</v>
      </c>
      <c r="M3" s="47"/>
    </row>
    <row r="4" spans="1:13" x14ac:dyDescent="0.2">
      <c r="A4" s="300"/>
      <c r="B4" s="84"/>
      <c r="C4" s="301" t="str">
        <f ca="1">语言!$A$1726</f>
        <v>抓击</v>
      </c>
      <c r="D4" s="302" t="s">
        <v>288</v>
      </c>
      <c r="E4" s="302" t="s">
        <v>289</v>
      </c>
      <c r="F4" s="272" t="s">
        <v>290</v>
      </c>
      <c r="G4" s="258"/>
      <c r="H4" s="84"/>
      <c r="I4" s="303" t="str">
        <f ca="1">语言!$A$2137</f>
        <v>战斗</v>
      </c>
      <c r="J4" s="302" t="s">
        <v>288</v>
      </c>
      <c r="K4" s="302" t="s">
        <v>291</v>
      </c>
      <c r="L4" s="272" t="s">
        <v>292</v>
      </c>
      <c r="M4" s="300"/>
    </row>
    <row r="5" spans="1:13" x14ac:dyDescent="0.2">
      <c r="A5" s="258"/>
      <c r="B5" s="84"/>
      <c r="C5" s="85" t="str">
        <f ca="1">语言!$A$1746</f>
        <v>战斗ｘ３</v>
      </c>
      <c r="D5" s="302" t="s">
        <v>288</v>
      </c>
      <c r="E5" s="302" t="s">
        <v>293</v>
      </c>
      <c r="F5" s="272" t="s">
        <v>290</v>
      </c>
      <c r="G5" s="91"/>
      <c r="H5" s="300"/>
      <c r="I5" s="304"/>
      <c r="J5" s="305"/>
      <c r="K5" s="305"/>
      <c r="L5" s="258"/>
      <c r="M5" s="300"/>
    </row>
    <row r="6" spans="1:13" x14ac:dyDescent="0.2">
      <c r="A6" s="258"/>
      <c r="B6" s="84"/>
      <c r="C6" s="85" t="str">
        <f ca="1">语言!$A$1642</f>
        <v>失明之爪</v>
      </c>
      <c r="D6" s="302" t="s">
        <v>288</v>
      </c>
      <c r="E6" s="302" t="s">
        <v>289</v>
      </c>
      <c r="F6" s="272" t="s">
        <v>294</v>
      </c>
      <c r="G6" s="258"/>
      <c r="H6" s="84"/>
      <c r="I6" s="303" t="str">
        <f ca="1">语言!$A$2267</f>
        <v>斩击</v>
      </c>
      <c r="J6" s="302" t="s">
        <v>288</v>
      </c>
      <c r="K6" s="302" t="s">
        <v>291</v>
      </c>
      <c r="L6" s="272" t="s">
        <v>290</v>
      </c>
      <c r="M6" s="300"/>
    </row>
    <row r="7" spans="1:13" x14ac:dyDescent="0.2">
      <c r="A7" s="258"/>
      <c r="B7" s="84"/>
      <c r="C7" s="85" t="str">
        <f ca="1">语言!$A$1729</f>
        <v>睡眠之爪</v>
      </c>
      <c r="D7" s="302" t="s">
        <v>288</v>
      </c>
      <c r="E7" s="302" t="s">
        <v>289</v>
      </c>
      <c r="F7" s="272" t="s">
        <v>295</v>
      </c>
      <c r="G7" s="258"/>
      <c r="H7" s="84"/>
      <c r="I7" s="303" t="str">
        <f ca="1">语言!$A$2268</f>
        <v>切块</v>
      </c>
      <c r="J7" s="302" t="s">
        <v>288</v>
      </c>
      <c r="K7" s="302" t="s">
        <v>291</v>
      </c>
      <c r="L7" s="272" t="s">
        <v>290</v>
      </c>
      <c r="M7" s="300"/>
    </row>
    <row r="8" spans="1:13" x14ac:dyDescent="0.2">
      <c r="A8" s="258"/>
      <c r="B8" s="84"/>
      <c r="C8" s="85" t="str">
        <f ca="1">语言!$A$1665</f>
        <v>双重睡眠之爪</v>
      </c>
      <c r="D8" s="302" t="s">
        <v>288</v>
      </c>
      <c r="E8" s="302" t="s">
        <v>296</v>
      </c>
      <c r="F8" s="272" t="s">
        <v>295</v>
      </c>
      <c r="G8" s="258"/>
      <c r="H8" s="84"/>
      <c r="I8" s="303" t="str">
        <f ca="1">语言!$A$2250</f>
        <v>殴打</v>
      </c>
      <c r="J8" s="302" t="s">
        <v>288</v>
      </c>
      <c r="K8" s="302" t="s">
        <v>291</v>
      </c>
      <c r="L8" s="272" t="s">
        <v>290</v>
      </c>
      <c r="M8" s="300"/>
    </row>
    <row r="9" spans="1:13" x14ac:dyDescent="0.2">
      <c r="A9" s="258"/>
      <c r="B9" s="84"/>
      <c r="C9" s="85" t="str">
        <f ca="1">语言!$A$1635</f>
        <v>恐慌之爪</v>
      </c>
      <c r="D9" s="302" t="s">
        <v>288</v>
      </c>
      <c r="E9" s="302" t="s">
        <v>289</v>
      </c>
      <c r="F9" s="272" t="s">
        <v>297</v>
      </c>
      <c r="G9" s="258"/>
      <c r="H9" s="84"/>
      <c r="I9" s="303" t="str">
        <f ca="1">语言!$A$2203</f>
        <v>高速推进</v>
      </c>
      <c r="J9" s="302" t="s">
        <v>288</v>
      </c>
      <c r="K9" s="302" t="s">
        <v>291</v>
      </c>
      <c r="L9" s="272" t="s">
        <v>290</v>
      </c>
      <c r="M9" s="300"/>
    </row>
    <row r="10" spans="1:13" x14ac:dyDescent="0.2">
      <c r="A10" s="258"/>
      <c r="B10" s="84"/>
      <c r="C10" s="85" t="str">
        <f ca="1">语言!$A$1709</f>
        <v>破防之爪</v>
      </c>
      <c r="D10" s="302" t="s">
        <v>288</v>
      </c>
      <c r="E10" s="302" t="s">
        <v>289</v>
      </c>
      <c r="F10" s="272" t="s">
        <v>298</v>
      </c>
      <c r="G10" s="258"/>
      <c r="H10" s="84"/>
      <c r="I10" s="303" t="str">
        <f ca="1">语言!$A$2226</f>
        <v>强击</v>
      </c>
      <c r="J10" s="302" t="s">
        <v>288</v>
      </c>
      <c r="K10" s="302" t="s">
        <v>291</v>
      </c>
      <c r="L10" s="272" t="s">
        <v>290</v>
      </c>
      <c r="M10" s="300"/>
    </row>
    <row r="11" spans="1:13" x14ac:dyDescent="0.2">
      <c r="A11" s="258"/>
      <c r="B11" s="84"/>
      <c r="C11" s="85" t="str">
        <f ca="1">语言!$A$1738</f>
        <v>物攻连续剑舞</v>
      </c>
      <c r="D11" s="302" t="s">
        <v>288</v>
      </c>
      <c r="E11" s="302" t="s">
        <v>296</v>
      </c>
      <c r="F11" s="272" t="s">
        <v>299</v>
      </c>
      <c r="G11" s="258"/>
      <c r="H11" s="84"/>
      <c r="I11" s="303" t="str">
        <f ca="1">语言!$A$2166</f>
        <v>十字斩</v>
      </c>
      <c r="J11" s="302" t="s">
        <v>288</v>
      </c>
      <c r="K11" s="302" t="s">
        <v>291</v>
      </c>
      <c r="L11" s="272" t="s">
        <v>300</v>
      </c>
      <c r="M11" s="300"/>
    </row>
    <row r="12" spans="1:13" x14ac:dyDescent="0.2">
      <c r="A12" s="258"/>
      <c r="B12" s="84"/>
      <c r="C12" s="85" t="str">
        <f ca="1">语言!$A$1740</f>
        <v>连续铁壁剑舞</v>
      </c>
      <c r="D12" s="302" t="s">
        <v>288</v>
      </c>
      <c r="E12" s="302" t="s">
        <v>296</v>
      </c>
      <c r="F12" s="272" t="s">
        <v>301</v>
      </c>
      <c r="G12" s="258"/>
      <c r="H12" s="84"/>
      <c r="I12" s="303" t="str">
        <f ca="1">语言!$A$2175</f>
        <v>魔剑</v>
      </c>
      <c r="J12" s="302" t="s">
        <v>288</v>
      </c>
      <c r="K12" s="302" t="s">
        <v>291</v>
      </c>
      <c r="L12" s="272" t="s">
        <v>300</v>
      </c>
      <c r="M12" s="300"/>
    </row>
    <row r="13" spans="1:13" x14ac:dyDescent="0.2">
      <c r="A13" s="258"/>
      <c r="B13" s="84"/>
      <c r="C13" s="85" t="str">
        <f ca="1">语言!$A$1694</f>
        <v>无敌剑击</v>
      </c>
      <c r="D13" s="302" t="s">
        <v>288</v>
      </c>
      <c r="E13" s="302" t="s">
        <v>289</v>
      </c>
      <c r="F13" s="272" t="s">
        <v>302</v>
      </c>
      <c r="G13" s="258"/>
      <c r="H13" s="84"/>
      <c r="I13" s="303" t="str">
        <f ca="1">语言!$A$2241</f>
        <v>海盗杀手之重击</v>
      </c>
      <c r="J13" s="302" t="s">
        <v>288</v>
      </c>
      <c r="K13" s="302" t="s">
        <v>291</v>
      </c>
      <c r="L13" s="272" t="s">
        <v>300</v>
      </c>
      <c r="M13" s="300"/>
    </row>
    <row r="14" spans="1:13" x14ac:dyDescent="0.2">
      <c r="A14" s="258"/>
      <c r="B14" s="84"/>
      <c r="C14" s="85" t="str">
        <f ca="1">语言!$A$1706</f>
        <v>抓击（全体）</v>
      </c>
      <c r="D14" s="302" t="s">
        <v>303</v>
      </c>
      <c r="E14" s="302" t="s">
        <v>289</v>
      </c>
      <c r="F14" s="272" t="s">
        <v>290</v>
      </c>
      <c r="G14" s="258"/>
      <c r="H14" s="84"/>
      <c r="I14" s="303" t="str">
        <f ca="1">语言!$A$2222</f>
        <v>投掷肥料</v>
      </c>
      <c r="J14" s="302" t="s">
        <v>288</v>
      </c>
      <c r="K14" s="302" t="s">
        <v>291</v>
      </c>
      <c r="L14" s="272" t="s">
        <v>304</v>
      </c>
      <c r="M14" s="300"/>
    </row>
    <row r="15" spans="1:13" x14ac:dyDescent="0.2">
      <c r="A15" s="258"/>
      <c r="B15" s="84"/>
      <c r="C15" s="85" t="str">
        <f ca="1">语言!$A$1747</f>
        <v>战斗ｘ３（全体）</v>
      </c>
      <c r="D15" s="302" t="s">
        <v>303</v>
      </c>
      <c r="E15" s="302" t="s">
        <v>293</v>
      </c>
      <c r="F15" s="272" t="s">
        <v>290</v>
      </c>
      <c r="G15" s="258"/>
      <c r="H15" s="84"/>
      <c r="I15" s="303" t="str">
        <f ca="1">语言!$A$2246</f>
        <v>剧毒猛击</v>
      </c>
      <c r="J15" s="302" t="s">
        <v>288</v>
      </c>
      <c r="K15" s="302" t="s">
        <v>291</v>
      </c>
      <c r="L15" s="272" t="s">
        <v>304</v>
      </c>
      <c r="M15" s="300"/>
    </row>
    <row r="16" spans="1:13" x14ac:dyDescent="0.2">
      <c r="A16" s="258"/>
      <c r="B16" s="84"/>
      <c r="C16" s="85" t="str">
        <f ca="1">语言!$A$1748</f>
        <v>剧毒之爪（全体）</v>
      </c>
      <c r="D16" s="302" t="s">
        <v>303</v>
      </c>
      <c r="E16" s="302" t="s">
        <v>289</v>
      </c>
      <c r="F16" s="272" t="s">
        <v>305</v>
      </c>
      <c r="G16" s="258"/>
      <c r="H16" s="84"/>
      <c r="I16" s="303" t="str">
        <f ca="1">语言!$A$2259</f>
        <v>爱的狂想曲</v>
      </c>
      <c r="J16" s="302" t="s">
        <v>288</v>
      </c>
      <c r="K16" s="302" t="s">
        <v>291</v>
      </c>
      <c r="L16" s="272" t="s">
        <v>306</v>
      </c>
      <c r="M16" s="300"/>
    </row>
    <row r="17" spans="1:13" x14ac:dyDescent="0.2">
      <c r="A17" s="258"/>
      <c r="B17" s="84"/>
      <c r="C17" s="85" t="str">
        <f ca="1">语言!$A$1632</f>
        <v>大破甲斩（全体）</v>
      </c>
      <c r="D17" s="302" t="s">
        <v>303</v>
      </c>
      <c r="E17" s="302" t="s">
        <v>289</v>
      </c>
      <c r="F17" s="272" t="s">
        <v>307</v>
      </c>
      <c r="G17" s="258"/>
      <c r="H17" s="84"/>
      <c r="I17" s="303" t="str">
        <f ca="1">语言!$A$2256</f>
        <v>连续斩</v>
      </c>
      <c r="J17" s="302" t="s">
        <v>288</v>
      </c>
      <c r="K17" s="302" t="s">
        <v>308</v>
      </c>
      <c r="L17" s="272" t="s">
        <v>290</v>
      </c>
      <c r="M17" s="300"/>
    </row>
    <row r="18" spans="1:13" x14ac:dyDescent="0.2">
      <c r="A18" s="258"/>
      <c r="B18" s="84"/>
      <c r="C18" s="85" t="str">
        <f ca="1">语言!$A$1673</f>
        <v>捆绑（全体）</v>
      </c>
      <c r="D18" s="302" t="s">
        <v>303</v>
      </c>
      <c r="E18" s="302" t="s">
        <v>289</v>
      </c>
      <c r="F18" s="272" t="s">
        <v>309</v>
      </c>
      <c r="G18" s="258"/>
      <c r="H18" s="84"/>
      <c r="I18" s="303" t="str">
        <f ca="1">语言!$A$2249</f>
        <v>恋爱的前奏曲</v>
      </c>
      <c r="J18" s="302" t="s">
        <v>288</v>
      </c>
      <c r="K18" s="302" t="s">
        <v>308</v>
      </c>
      <c r="L18" s="272" t="s">
        <v>290</v>
      </c>
      <c r="M18" s="300"/>
    </row>
    <row r="19" spans="1:13" x14ac:dyDescent="0.2">
      <c r="A19" s="258"/>
      <c r="B19" s="84"/>
      <c r="C19" s="85" t="str">
        <f ca="1">语言!$A$1681</f>
        <v>舌头横扫（全体）</v>
      </c>
      <c r="D19" s="302" t="s">
        <v>303</v>
      </c>
      <c r="E19" s="302" t="s">
        <v>289</v>
      </c>
      <c r="F19" s="272" t="s">
        <v>310</v>
      </c>
      <c r="G19" s="258"/>
      <c r="H19" s="84"/>
      <c r="I19" s="303" t="str">
        <f ca="1">语言!$A$2289</f>
        <v>３连斩</v>
      </c>
      <c r="J19" s="302" t="s">
        <v>288</v>
      </c>
      <c r="K19" s="302" t="s">
        <v>311</v>
      </c>
      <c r="L19" s="272" t="s">
        <v>290</v>
      </c>
      <c r="M19" s="300"/>
    </row>
    <row r="20" spans="1:13" x14ac:dyDescent="0.2">
      <c r="A20" s="258"/>
      <c r="B20" s="84"/>
      <c r="C20" s="85" t="str">
        <f ca="1">语言!$A$1723</f>
        <v>锐利抓击（全体）</v>
      </c>
      <c r="D20" s="302" t="s">
        <v>303</v>
      </c>
      <c r="E20" s="302" t="s">
        <v>289</v>
      </c>
      <c r="F20" s="272" t="s">
        <v>310</v>
      </c>
      <c r="G20" s="258"/>
      <c r="H20" s="84"/>
      <c r="I20" s="303" t="str">
        <f ca="1">语言!$A$2278</f>
        <v>横扫</v>
      </c>
      <c r="J20" s="302" t="s">
        <v>303</v>
      </c>
      <c r="K20" s="302" t="s">
        <v>291</v>
      </c>
      <c r="L20" s="272" t="s">
        <v>290</v>
      </c>
      <c r="M20" s="300"/>
    </row>
    <row r="21" spans="1:13" x14ac:dyDescent="0.2">
      <c r="A21" s="258"/>
      <c r="B21" s="84"/>
      <c r="C21" s="85" t="str">
        <f ca="1">语言!$A$1754</f>
        <v>乱抓击（全体）</v>
      </c>
      <c r="D21" s="302" t="s">
        <v>303</v>
      </c>
      <c r="E21" s="302" t="s">
        <v>293</v>
      </c>
      <c r="F21" s="272" t="str">
        <f>"+1 Hit * BP"</f>
        <v>+1 Hit * BP</v>
      </c>
      <c r="G21" s="258"/>
      <c r="H21" s="84"/>
      <c r="I21" s="303" t="str">
        <f ca="1">语言!$A$2279</f>
        <v>乱斩</v>
      </c>
      <c r="J21" s="302" t="s">
        <v>303</v>
      </c>
      <c r="K21" s="302" t="s">
        <v>291</v>
      </c>
      <c r="L21" s="272" t="s">
        <v>290</v>
      </c>
      <c r="M21" s="300"/>
    </row>
    <row r="22" spans="1:13" x14ac:dyDescent="0.2">
      <c r="A22" s="258"/>
      <c r="B22" s="300"/>
      <c r="C22" s="91"/>
      <c r="D22" s="306"/>
      <c r="E22" s="305"/>
      <c r="F22" s="258"/>
      <c r="G22" s="258"/>
      <c r="H22" s="84"/>
      <c r="I22" s="303" t="str">
        <f ca="1">语言!$A$2290</f>
        <v>痛苦的练习曲</v>
      </c>
      <c r="J22" s="302" t="s">
        <v>303</v>
      </c>
      <c r="K22" s="302" t="s">
        <v>291</v>
      </c>
      <c r="L22" s="272" t="s">
        <v>290</v>
      </c>
      <c r="M22" s="300"/>
    </row>
    <row r="23" spans="1:13" x14ac:dyDescent="0.2">
      <c r="A23" s="258"/>
      <c r="B23" s="84"/>
      <c r="C23" s="85" t="str">
        <f ca="1">语言!$A$1633</f>
        <v>战斗</v>
      </c>
      <c r="D23" s="302" t="s">
        <v>288</v>
      </c>
      <c r="E23" s="302" t="s">
        <v>289</v>
      </c>
      <c r="F23" s="272" t="s">
        <v>290</v>
      </c>
      <c r="G23" s="258"/>
      <c r="H23" s="84"/>
      <c r="I23" s="303" t="str">
        <f ca="1">语言!$A$2276</f>
        <v>一闪</v>
      </c>
      <c r="J23" s="302" t="s">
        <v>303</v>
      </c>
      <c r="K23" s="302" t="s">
        <v>291</v>
      </c>
      <c r="L23" s="272" t="s">
        <v>290</v>
      </c>
      <c r="M23" s="300"/>
    </row>
    <row r="24" spans="1:13" x14ac:dyDescent="0.2">
      <c r="A24" s="258"/>
      <c r="B24" s="84"/>
      <c r="C24" s="85" t="str">
        <f ca="1">语言!$A$1699</f>
        <v>突进</v>
      </c>
      <c r="D24" s="302" t="s">
        <v>288</v>
      </c>
      <c r="E24" s="302" t="s">
        <v>289</v>
      </c>
      <c r="F24" s="272" t="s">
        <v>290</v>
      </c>
      <c r="G24" s="258"/>
      <c r="H24" s="84"/>
      <c r="I24" s="303" t="str">
        <f ca="1">语言!$A$2177</f>
        <v>醉剑</v>
      </c>
      <c r="J24" s="302" t="s">
        <v>303</v>
      </c>
      <c r="K24" s="302" t="s">
        <v>291</v>
      </c>
      <c r="L24" s="272" t="s">
        <v>290</v>
      </c>
      <c r="M24" s="300"/>
    </row>
    <row r="25" spans="1:13" x14ac:dyDescent="0.2">
      <c r="A25" s="258"/>
      <c r="B25" s="84"/>
      <c r="C25" s="301" t="str">
        <f ca="1">语言!$A$1667</f>
        <v>战斗ｘ２</v>
      </c>
      <c r="D25" s="302" t="s">
        <v>288</v>
      </c>
      <c r="E25" s="302" t="s">
        <v>296</v>
      </c>
      <c r="F25" s="272" t="s">
        <v>290</v>
      </c>
      <c r="G25" s="258"/>
      <c r="H25" s="84"/>
      <c r="I25" s="303" t="str">
        <f ca="1">语言!$A$2197</f>
        <v>斩首</v>
      </c>
      <c r="J25" s="302" t="s">
        <v>303</v>
      </c>
      <c r="K25" s="302" t="s">
        <v>291</v>
      </c>
      <c r="L25" s="272" t="s">
        <v>300</v>
      </c>
      <c r="M25" s="300"/>
    </row>
    <row r="26" spans="1:13" x14ac:dyDescent="0.2">
      <c r="A26" s="258"/>
      <c r="B26" s="84"/>
      <c r="C26" s="85" t="str">
        <f ca="1">语言!$A$1715</f>
        <v>连续鬼突进（全体）</v>
      </c>
      <c r="D26" s="302" t="s">
        <v>288</v>
      </c>
      <c r="E26" s="302" t="s">
        <v>296</v>
      </c>
      <c r="F26" s="272" t="s">
        <v>290</v>
      </c>
      <c r="G26" s="258"/>
      <c r="H26" s="84"/>
      <c r="I26" s="303" t="str">
        <f ca="1">语言!$A$2142</f>
        <v>游戏内为空白</v>
      </c>
      <c r="J26" s="302" t="s">
        <v>303</v>
      </c>
      <c r="K26" s="302" t="s">
        <v>291</v>
      </c>
      <c r="L26" s="272" t="s">
        <v>300</v>
      </c>
      <c r="M26" s="300"/>
    </row>
    <row r="27" spans="1:13" x14ac:dyDescent="0.2">
      <c r="A27" s="258"/>
      <c r="B27" s="84"/>
      <c r="C27" s="85" t="str">
        <f ca="1">语言!$A$1746</f>
        <v>战斗ｘ３</v>
      </c>
      <c r="D27" s="302" t="s">
        <v>288</v>
      </c>
      <c r="E27" s="302" t="s">
        <v>293</v>
      </c>
      <c r="F27" s="272" t="s">
        <v>290</v>
      </c>
      <c r="G27" s="258"/>
      <c r="H27" s="84"/>
      <c r="I27" s="303" t="str">
        <f ca="1">语言!$A$2176</f>
        <v>二连扫</v>
      </c>
      <c r="J27" s="302" t="s">
        <v>303</v>
      </c>
      <c r="K27" s="302" t="s">
        <v>308</v>
      </c>
      <c r="L27" s="272" t="s">
        <v>290</v>
      </c>
      <c r="M27" s="258"/>
    </row>
    <row r="28" spans="1:13" x14ac:dyDescent="0.2">
      <c r="A28" s="258"/>
      <c r="B28" s="84"/>
      <c r="C28" s="89" t="str">
        <f ca="1">语言!$A$1712</f>
        <v>剧毒攻击</v>
      </c>
      <c r="D28" s="302" t="s">
        <v>288</v>
      </c>
      <c r="E28" s="302" t="s">
        <v>289</v>
      </c>
      <c r="F28" s="272" t="s">
        <v>305</v>
      </c>
      <c r="G28" s="258"/>
      <c r="H28" s="300"/>
      <c r="I28" s="304"/>
      <c r="J28" s="305"/>
      <c r="K28" s="305"/>
      <c r="L28" s="258"/>
      <c r="M28" s="258"/>
    </row>
    <row r="29" spans="1:13" x14ac:dyDescent="0.2">
      <c r="A29" s="258"/>
      <c r="B29" s="84"/>
      <c r="C29" s="85" t="str">
        <f ca="1">语言!$A$1641</f>
        <v>暗暗大突进</v>
      </c>
      <c r="D29" s="302" t="s">
        <v>288</v>
      </c>
      <c r="E29" s="302" t="s">
        <v>296</v>
      </c>
      <c r="F29" s="272" t="s">
        <v>294</v>
      </c>
      <c r="G29" s="258"/>
      <c r="H29" s="84"/>
      <c r="I29" s="303" t="str">
        <f ca="1">语言!$A$2206</f>
        <v>嗯！</v>
      </c>
      <c r="J29" s="302" t="s">
        <v>288</v>
      </c>
      <c r="K29" s="302" t="s">
        <v>291</v>
      </c>
      <c r="L29" s="272" t="s">
        <v>290</v>
      </c>
      <c r="M29" s="258"/>
    </row>
    <row r="30" spans="1:13" x14ac:dyDescent="0.2">
      <c r="A30" s="258"/>
      <c r="B30" s="84"/>
      <c r="C30" s="85" t="str">
        <f ca="1">语言!$A$1660</f>
        <v>连续加速之枪</v>
      </c>
      <c r="D30" s="302" t="s">
        <v>288</v>
      </c>
      <c r="E30" s="302" t="s">
        <v>296</v>
      </c>
      <c r="F30" s="272" t="s">
        <v>312</v>
      </c>
      <c r="G30" s="258"/>
      <c r="H30" s="84"/>
      <c r="I30" s="303" t="str">
        <f ca="1">语言!$A$2274</f>
        <v>突刺</v>
      </c>
      <c r="J30" s="302" t="s">
        <v>288</v>
      </c>
      <c r="K30" s="302" t="s">
        <v>291</v>
      </c>
      <c r="L30" s="272" t="s">
        <v>290</v>
      </c>
      <c r="M30" s="258"/>
    </row>
    <row r="31" spans="1:13" x14ac:dyDescent="0.2">
      <c r="A31" s="258"/>
      <c r="B31" s="84"/>
      <c r="C31" s="85" t="str">
        <f ca="1">语言!$A$1634</f>
        <v>战斗（全体）</v>
      </c>
      <c r="D31" s="302" t="s">
        <v>303</v>
      </c>
      <c r="E31" s="302" t="s">
        <v>289</v>
      </c>
      <c r="F31" s="272" t="s">
        <v>290</v>
      </c>
      <c r="G31" s="258"/>
      <c r="H31" s="84"/>
      <c r="I31" s="303" t="str">
        <f ca="1">语言!$A$2181</f>
        <v>要害突刺</v>
      </c>
      <c r="J31" s="302" t="s">
        <v>288</v>
      </c>
      <c r="K31" s="302" t="s">
        <v>291</v>
      </c>
      <c r="L31" s="272" t="s">
        <v>290</v>
      </c>
      <c r="M31" s="258"/>
    </row>
    <row r="32" spans="1:13" x14ac:dyDescent="0.2">
      <c r="A32" s="258"/>
      <c r="B32" s="84"/>
      <c r="C32" s="85" t="str">
        <f ca="1">语言!$A$1705</f>
        <v>突进（全体）</v>
      </c>
      <c r="D32" s="302" t="s">
        <v>303</v>
      </c>
      <c r="E32" s="302" t="s">
        <v>289</v>
      </c>
      <c r="F32" s="272" t="s">
        <v>290</v>
      </c>
      <c r="G32" s="258"/>
      <c r="H32" s="84"/>
      <c r="I32" s="303" t="str">
        <f ca="1">语言!$A$2204</f>
        <v>高速推进</v>
      </c>
      <c r="J32" s="302" t="s">
        <v>288</v>
      </c>
      <c r="K32" s="302" t="s">
        <v>291</v>
      </c>
      <c r="L32" s="272" t="s">
        <v>290</v>
      </c>
      <c r="M32" s="258"/>
    </row>
    <row r="33" spans="1:13" x14ac:dyDescent="0.2">
      <c r="A33" s="258"/>
      <c r="B33" s="84"/>
      <c r="C33" s="85" t="str">
        <f ca="1">语言!$A$1702</f>
        <v>大突进（全体）</v>
      </c>
      <c r="D33" s="302" t="s">
        <v>303</v>
      </c>
      <c r="E33" s="302" t="s">
        <v>289</v>
      </c>
      <c r="F33" s="272" t="s">
        <v>290</v>
      </c>
      <c r="G33" s="258"/>
      <c r="H33" s="84"/>
      <c r="I33" s="303" t="str">
        <f ca="1">语言!$A$2227</f>
        <v>极击</v>
      </c>
      <c r="J33" s="302" t="s">
        <v>288</v>
      </c>
      <c r="K33" s="302" t="s">
        <v>291</v>
      </c>
      <c r="L33" s="272" t="s">
        <v>290</v>
      </c>
      <c r="M33" s="258"/>
    </row>
    <row r="34" spans="1:13" x14ac:dyDescent="0.2">
      <c r="A34" s="258"/>
      <c r="B34" s="84"/>
      <c r="C34" s="85" t="str">
        <f ca="1">语言!$A$1659</f>
        <v>战斗ｘ２（全体）</v>
      </c>
      <c r="D34" s="302" t="s">
        <v>303</v>
      </c>
      <c r="E34" s="302" t="s">
        <v>296</v>
      </c>
      <c r="F34" s="272" t="s">
        <v>290</v>
      </c>
      <c r="G34" s="258"/>
      <c r="H34" s="84"/>
      <c r="I34" s="303" t="str">
        <f ca="1">语言!$A$2238</f>
        <v>无双突刺</v>
      </c>
      <c r="J34" s="302" t="s">
        <v>288</v>
      </c>
      <c r="K34" s="302" t="s">
        <v>291</v>
      </c>
      <c r="L34" s="272" t="s">
        <v>300</v>
      </c>
      <c r="M34" s="258"/>
    </row>
    <row r="35" spans="1:13" x14ac:dyDescent="0.2">
      <c r="A35" s="258"/>
      <c r="B35" s="84"/>
      <c r="C35" s="85" t="str">
        <f ca="1">语言!$A$1747</f>
        <v>战斗ｘ３（全体）</v>
      </c>
      <c r="D35" s="302" t="s">
        <v>303</v>
      </c>
      <c r="E35" s="302" t="s">
        <v>293</v>
      </c>
      <c r="F35" s="272" t="s">
        <v>290</v>
      </c>
      <c r="G35" s="258"/>
      <c r="H35" s="84"/>
      <c r="I35" s="303" t="str">
        <f ca="1">语言!$A$2207</f>
        <v>嗯！嗯！</v>
      </c>
      <c r="J35" s="302" t="s">
        <v>288</v>
      </c>
      <c r="K35" s="302" t="s">
        <v>308</v>
      </c>
      <c r="L35" s="272" t="s">
        <v>290</v>
      </c>
      <c r="M35" s="258"/>
    </row>
    <row r="36" spans="1:13" x14ac:dyDescent="0.2">
      <c r="A36" s="258"/>
      <c r="B36" s="84"/>
      <c r="C36" s="85" t="str">
        <f ca="1">语言!$A$1668</f>
        <v>双重失明攻击（全体）</v>
      </c>
      <c r="D36" s="302" t="s">
        <v>303</v>
      </c>
      <c r="E36" s="302" t="s">
        <v>296</v>
      </c>
      <c r="F36" s="272" t="s">
        <v>294</v>
      </c>
      <c r="G36" s="258"/>
      <c r="H36" s="84"/>
      <c r="I36" s="303" t="str">
        <f ca="1">语言!$A$2257</f>
        <v>连环突刺</v>
      </c>
      <c r="J36" s="302" t="s">
        <v>288</v>
      </c>
      <c r="K36" s="302" t="s">
        <v>308</v>
      </c>
      <c r="L36" s="272" t="s">
        <v>290</v>
      </c>
      <c r="M36" s="258"/>
    </row>
    <row r="37" spans="1:13" x14ac:dyDescent="0.2">
      <c r="A37" s="258"/>
      <c r="B37" s="84"/>
      <c r="C37" s="85" t="str">
        <f ca="1">语言!$A$1734</f>
        <v>睡眠攻击（全体）</v>
      </c>
      <c r="D37" s="302" t="s">
        <v>303</v>
      </c>
      <c r="E37" s="302" t="s">
        <v>289</v>
      </c>
      <c r="F37" s="272" t="s">
        <v>295</v>
      </c>
      <c r="G37" s="258"/>
      <c r="H37" s="84"/>
      <c r="I37" s="303" t="str">
        <f ca="1">语言!$A$2219</f>
        <v>疾风二连突刺</v>
      </c>
      <c r="J37" s="302" t="s">
        <v>288</v>
      </c>
      <c r="K37" s="302" t="s">
        <v>308</v>
      </c>
      <c r="L37" s="272" t="s">
        <v>313</v>
      </c>
      <c r="M37" s="258"/>
    </row>
    <row r="38" spans="1:13" x14ac:dyDescent="0.2">
      <c r="A38" s="258"/>
      <c r="B38" s="84"/>
      <c r="C38" s="85" t="str">
        <f ca="1">语言!$A$1677</f>
        <v>一气呵成（全体）</v>
      </c>
      <c r="D38" s="302" t="s">
        <v>303</v>
      </c>
      <c r="E38" s="302" t="s">
        <v>289</v>
      </c>
      <c r="F38" s="272" t="s">
        <v>314</v>
      </c>
      <c r="G38" s="258"/>
      <c r="H38" s="84"/>
      <c r="I38" s="303" t="str">
        <f ca="1">语言!$A$2208</f>
        <v>嗯！嗯！嗯！</v>
      </c>
      <c r="J38" s="302" t="s">
        <v>288</v>
      </c>
      <c r="K38" s="302" t="s">
        <v>311</v>
      </c>
      <c r="L38" s="272" t="s">
        <v>290</v>
      </c>
      <c r="M38" s="258"/>
    </row>
    <row r="39" spans="1:13" x14ac:dyDescent="0.2">
      <c r="A39" s="258"/>
      <c r="B39" s="84"/>
      <c r="C39" s="85" t="str">
        <f ca="1">语言!$A$1685</f>
        <v>高速大突进（全体）</v>
      </c>
      <c r="D39" s="302" t="s">
        <v>303</v>
      </c>
      <c r="E39" s="302" t="s">
        <v>289</v>
      </c>
      <c r="F39" s="272" t="s">
        <v>315</v>
      </c>
      <c r="G39" s="258"/>
      <c r="H39" s="84"/>
      <c r="I39" s="303" t="str">
        <f ca="1">语言!$A$2293</f>
        <v>神风５连突刺</v>
      </c>
      <c r="J39" s="302" t="s">
        <v>288</v>
      </c>
      <c r="K39" s="302" t="s">
        <v>316</v>
      </c>
      <c r="L39" s="272" t="s">
        <v>290</v>
      </c>
      <c r="M39" s="258"/>
    </row>
    <row r="40" spans="1:13" ht="12.75" x14ac:dyDescent="0.2">
      <c r="A40" s="258"/>
      <c r="B40" s="258"/>
      <c r="C40" s="258"/>
      <c r="D40" s="305"/>
      <c r="E40" s="305"/>
      <c r="F40" s="258"/>
      <c r="G40" s="258"/>
      <c r="H40" s="84"/>
      <c r="I40" s="303" t="str">
        <f ca="1">语言!$A$2282</f>
        <v>乱挥</v>
      </c>
      <c r="J40" s="302" t="s">
        <v>303</v>
      </c>
      <c r="K40" s="302" t="s">
        <v>291</v>
      </c>
      <c r="L40" s="272" t="s">
        <v>290</v>
      </c>
      <c r="M40" s="258"/>
    </row>
    <row r="41" spans="1:13" ht="12.75" x14ac:dyDescent="0.2">
      <c r="A41" s="258"/>
      <c r="B41" s="84"/>
      <c r="C41" s="85" t="str">
        <f ca="1">语言!$A$1633</f>
        <v>战斗</v>
      </c>
      <c r="D41" s="307" t="s">
        <v>288</v>
      </c>
      <c r="E41" s="302" t="s">
        <v>289</v>
      </c>
      <c r="F41" s="272" t="s">
        <v>290</v>
      </c>
      <c r="G41" s="258"/>
      <c r="H41" s="300"/>
      <c r="I41" s="304"/>
      <c r="J41" s="305"/>
      <c r="K41" s="305"/>
      <c r="L41" s="258"/>
      <c r="M41" s="258"/>
    </row>
    <row r="42" spans="1:13" ht="12.75" x14ac:dyDescent="0.2">
      <c r="A42" s="258"/>
      <c r="B42" s="84"/>
      <c r="C42" s="85" t="str">
        <f ca="1">语言!$A$1736</f>
        <v>咬噬</v>
      </c>
      <c r="D42" s="307" t="s">
        <v>288</v>
      </c>
      <c r="E42" s="302" t="s">
        <v>289</v>
      </c>
      <c r="F42" s="272" t="s">
        <v>290</v>
      </c>
      <c r="G42" s="258"/>
      <c r="H42" s="84"/>
      <c r="I42" s="303" t="str">
        <f ca="1">语言!$A$2265</f>
        <v>猛击</v>
      </c>
      <c r="J42" s="302" t="s">
        <v>288</v>
      </c>
      <c r="K42" s="302" t="s">
        <v>291</v>
      </c>
      <c r="L42" s="272" t="s">
        <v>290</v>
      </c>
      <c r="M42" s="258"/>
    </row>
    <row r="43" spans="1:13" ht="12.75" x14ac:dyDescent="0.2">
      <c r="A43" s="258"/>
      <c r="B43" s="84"/>
      <c r="C43" s="85" t="str">
        <f ca="1">语言!$A$1639</f>
        <v>咬噬</v>
      </c>
      <c r="D43" s="307" t="s">
        <v>288</v>
      </c>
      <c r="E43" s="302" t="s">
        <v>289</v>
      </c>
      <c r="F43" s="272" t="s">
        <v>290</v>
      </c>
      <c r="G43" s="258"/>
      <c r="H43" s="84"/>
      <c r="I43" s="303" t="str">
        <f ca="1">语言!$A$2182</f>
        <v>要害突刺</v>
      </c>
      <c r="J43" s="302" t="s">
        <v>288</v>
      </c>
      <c r="K43" s="302" t="s">
        <v>291</v>
      </c>
      <c r="L43" s="272" t="s">
        <v>290</v>
      </c>
      <c r="M43" s="258"/>
    </row>
    <row r="44" spans="1:13" ht="12.75" x14ac:dyDescent="0.2">
      <c r="A44" s="258"/>
      <c r="B44" s="84"/>
      <c r="C44" s="85" t="str">
        <f ca="1">语言!$A$1667</f>
        <v>战斗ｘ２</v>
      </c>
      <c r="D44" s="307" t="s">
        <v>288</v>
      </c>
      <c r="E44" s="302" t="s">
        <v>296</v>
      </c>
      <c r="F44" s="272" t="s">
        <v>290</v>
      </c>
      <c r="G44" s="258"/>
      <c r="H44" s="84"/>
      <c r="I44" s="303" t="str">
        <f ca="1">语言!$A$2247</f>
        <v>剧毒猛击</v>
      </c>
      <c r="J44" s="302" t="s">
        <v>288</v>
      </c>
      <c r="K44" s="302" t="s">
        <v>291</v>
      </c>
      <c r="L44" s="272" t="s">
        <v>304</v>
      </c>
      <c r="M44" s="258"/>
    </row>
    <row r="45" spans="1:13" ht="12.75" x14ac:dyDescent="0.2">
      <c r="A45" s="258"/>
      <c r="B45" s="84"/>
      <c r="C45" s="85" t="str">
        <f ca="1">语言!$A$1666</f>
        <v>连刺</v>
      </c>
      <c r="D45" s="307" t="s">
        <v>288</v>
      </c>
      <c r="E45" s="302" t="s">
        <v>296</v>
      </c>
      <c r="F45" s="272" t="s">
        <v>290</v>
      </c>
      <c r="G45" s="258"/>
      <c r="H45" s="84"/>
      <c r="I45" s="303" t="str">
        <f ca="1">语言!$A$2148</f>
        <v>失明猛击</v>
      </c>
      <c r="J45" s="302" t="s">
        <v>288</v>
      </c>
      <c r="K45" s="302" t="s">
        <v>291</v>
      </c>
      <c r="L45" s="272" t="s">
        <v>317</v>
      </c>
      <c r="M45" s="258"/>
    </row>
    <row r="46" spans="1:13" ht="12.75" x14ac:dyDescent="0.2">
      <c r="A46" s="258"/>
      <c r="B46" s="84"/>
      <c r="C46" s="85" t="str">
        <f ca="1">语言!$A$1746</f>
        <v>战斗ｘ３</v>
      </c>
      <c r="D46" s="307" t="s">
        <v>288</v>
      </c>
      <c r="E46" s="302" t="s">
        <v>293</v>
      </c>
      <c r="F46" s="272" t="s">
        <v>290</v>
      </c>
      <c r="G46" s="258"/>
      <c r="H46" s="84"/>
      <c r="I46" s="303" t="str">
        <f ca="1">语言!$A$2271</f>
        <v>睡眠猛击</v>
      </c>
      <c r="J46" s="302" t="s">
        <v>288</v>
      </c>
      <c r="K46" s="302" t="s">
        <v>291</v>
      </c>
      <c r="L46" s="272" t="s">
        <v>318</v>
      </c>
      <c r="M46" s="258"/>
    </row>
    <row r="47" spans="1:13" ht="12.75" x14ac:dyDescent="0.2">
      <c r="A47" s="258"/>
      <c r="B47" s="84"/>
      <c r="C47" s="85" t="str">
        <f ca="1">语言!$A$1749</f>
        <v>毒牙</v>
      </c>
      <c r="D47" s="307" t="s">
        <v>288</v>
      </c>
      <c r="E47" s="302" t="s">
        <v>289</v>
      </c>
      <c r="F47" s="272" t="s">
        <v>305</v>
      </c>
      <c r="G47" s="258"/>
      <c r="H47" s="84"/>
      <c r="I47" s="303" t="str">
        <f ca="1">语言!$A$2237</f>
        <v>恐慌猛击</v>
      </c>
      <c r="J47" s="302" t="s">
        <v>288</v>
      </c>
      <c r="K47" s="302" t="s">
        <v>291</v>
      </c>
      <c r="L47" s="272" t="s">
        <v>306</v>
      </c>
      <c r="M47" s="258"/>
    </row>
    <row r="48" spans="1:13" ht="12.75" x14ac:dyDescent="0.2">
      <c r="A48" s="258"/>
      <c r="B48" s="84"/>
      <c r="C48" s="85" t="str">
        <f ca="1">语言!$A$1730</f>
        <v>睡眠之牙</v>
      </c>
      <c r="D48" s="307" t="s">
        <v>288</v>
      </c>
      <c r="E48" s="302" t="s">
        <v>289</v>
      </c>
      <c r="F48" s="272" t="s">
        <v>295</v>
      </c>
      <c r="G48" s="258"/>
      <c r="H48" s="84"/>
      <c r="I48" s="303" t="str">
        <f ca="1">语言!$A$2171</f>
        <v>连掷短剑</v>
      </c>
      <c r="J48" s="302" t="s">
        <v>319</v>
      </c>
      <c r="K48" s="302" t="s">
        <v>320</v>
      </c>
      <c r="L48" s="272" t="s">
        <v>290</v>
      </c>
      <c r="M48" s="258"/>
    </row>
    <row r="49" spans="1:13" ht="12.75" x14ac:dyDescent="0.2">
      <c r="A49" s="258"/>
      <c r="B49" s="84"/>
      <c r="C49" s="85" t="str">
        <f ca="1">语言!$A$1634</f>
        <v>战斗（全体）</v>
      </c>
      <c r="D49" s="307" t="s">
        <v>303</v>
      </c>
      <c r="E49" s="302" t="s">
        <v>289</v>
      </c>
      <c r="F49" s="272" t="s">
        <v>290</v>
      </c>
      <c r="G49" s="258"/>
      <c r="H49" s="84"/>
      <c r="I49" s="303" t="str">
        <f ca="1">语言!$A$2153</f>
        <v>连续投掷笔</v>
      </c>
      <c r="J49" s="302" t="s">
        <v>319</v>
      </c>
      <c r="K49" s="302" t="s">
        <v>320</v>
      </c>
      <c r="L49" s="272" t="s">
        <v>290</v>
      </c>
      <c r="M49" s="258"/>
    </row>
    <row r="50" spans="1:13" ht="12.75" x14ac:dyDescent="0.2">
      <c r="A50" s="258"/>
      <c r="B50" s="84"/>
      <c r="C50" s="85" t="str">
        <f ca="1">语言!$A$1707</f>
        <v>刺（全体）</v>
      </c>
      <c r="D50" s="307" t="s">
        <v>303</v>
      </c>
      <c r="E50" s="302" t="s">
        <v>289</v>
      </c>
      <c r="F50" s="272" t="s">
        <v>290</v>
      </c>
      <c r="G50" s="258"/>
      <c r="H50" s="84"/>
      <c r="I50" s="303" t="str">
        <f ca="1">语言!$A$2261</f>
        <v>连掷雕刻刀</v>
      </c>
      <c r="J50" s="302" t="s">
        <v>319</v>
      </c>
      <c r="K50" s="302" t="s">
        <v>320</v>
      </c>
      <c r="L50" s="272" t="s">
        <v>290</v>
      </c>
      <c r="M50" s="258"/>
    </row>
    <row r="51" spans="1:13" ht="12.75" x14ac:dyDescent="0.2">
      <c r="A51" s="258"/>
      <c r="B51" s="84"/>
      <c r="C51" s="85" t="str">
        <f ca="1">语言!$A$1659</f>
        <v>战斗ｘ２（全体）</v>
      </c>
      <c r="D51" s="307" t="s">
        <v>303</v>
      </c>
      <c r="E51" s="302" t="s">
        <v>296</v>
      </c>
      <c r="F51" s="272" t="s">
        <v>290</v>
      </c>
      <c r="G51" s="258"/>
      <c r="H51" s="300"/>
      <c r="I51" s="304"/>
      <c r="J51" s="305"/>
      <c r="K51" s="305"/>
      <c r="L51" s="258"/>
      <c r="M51" s="258"/>
    </row>
    <row r="52" spans="1:13" ht="12.75" x14ac:dyDescent="0.2">
      <c r="A52" s="258"/>
      <c r="B52" s="84"/>
      <c r="C52" s="85" t="str">
        <f ca="1">语言!$A$1704</f>
        <v>连刺（全体）</v>
      </c>
      <c r="D52" s="307" t="s">
        <v>303</v>
      </c>
      <c r="E52" s="302" t="s">
        <v>296</v>
      </c>
      <c r="F52" s="272" t="s">
        <v>290</v>
      </c>
      <c r="G52" s="258"/>
      <c r="H52" s="84"/>
      <c r="I52" s="303" t="str">
        <f ca="1">语言!$A$2198</f>
        <v>重拳</v>
      </c>
      <c r="J52" s="302" t="s">
        <v>288</v>
      </c>
      <c r="K52" s="302" t="s">
        <v>291</v>
      </c>
      <c r="L52" s="272" t="s">
        <v>290</v>
      </c>
      <c r="M52" s="258"/>
    </row>
    <row r="53" spans="1:13" ht="12.75" x14ac:dyDescent="0.2">
      <c r="A53" s="258"/>
      <c r="B53" s="84"/>
      <c r="C53" s="85" t="str">
        <f ca="1">语言!$A$1731</f>
        <v>睡眠之牙（全体）</v>
      </c>
      <c r="D53" s="307" t="s">
        <v>303</v>
      </c>
      <c r="E53" s="302" t="s">
        <v>289</v>
      </c>
      <c r="F53" s="272" t="s">
        <v>295</v>
      </c>
      <c r="G53" s="258"/>
      <c r="H53" s="84"/>
      <c r="I53" s="303" t="str">
        <f ca="1">语言!$A$2152</f>
        <v>脑天击</v>
      </c>
      <c r="J53" s="302" t="s">
        <v>288</v>
      </c>
      <c r="K53" s="302" t="s">
        <v>291</v>
      </c>
      <c r="L53" s="272" t="s">
        <v>290</v>
      </c>
      <c r="M53" s="258"/>
    </row>
    <row r="54" spans="1:13" ht="12.75" x14ac:dyDescent="0.2">
      <c r="A54" s="258"/>
      <c r="B54" s="84"/>
      <c r="C54" s="85" t="str">
        <f ca="1">语言!$A$1636</f>
        <v>混乱之牙（全体）</v>
      </c>
      <c r="D54" s="307" t="s">
        <v>303</v>
      </c>
      <c r="E54" s="302" t="s">
        <v>289</v>
      </c>
      <c r="F54" s="272" t="s">
        <v>297</v>
      </c>
      <c r="G54" s="258"/>
      <c r="H54" s="84"/>
      <c r="I54" s="303" t="str">
        <f ca="1">语言!$A$2228</f>
        <v>能量拳</v>
      </c>
      <c r="J54" s="302" t="s">
        <v>288</v>
      </c>
      <c r="K54" s="302" t="s">
        <v>291</v>
      </c>
      <c r="L54" s="272" t="s">
        <v>290</v>
      </c>
      <c r="M54" s="258"/>
    </row>
    <row r="55" spans="1:13" ht="12.75" x14ac:dyDescent="0.2">
      <c r="A55" s="258"/>
      <c r="B55" s="84"/>
      <c r="C55" s="85" t="str">
        <f ca="1">语言!$A$1757</f>
        <v>全力狂暴（全体）</v>
      </c>
      <c r="D55" s="307" t="s">
        <v>303</v>
      </c>
      <c r="E55" s="302" t="s">
        <v>289</v>
      </c>
      <c r="F55" s="272" t="s">
        <v>299</v>
      </c>
      <c r="G55" s="258"/>
      <c r="H55" s="84"/>
      <c r="I55" s="303" t="str">
        <f ca="1">语言!$A$2233</f>
        <v>直劈而下</v>
      </c>
      <c r="J55" s="302" t="s">
        <v>288</v>
      </c>
      <c r="K55" s="302" t="s">
        <v>291</v>
      </c>
      <c r="L55" s="272" t="s">
        <v>300</v>
      </c>
      <c r="M55" s="258"/>
    </row>
    <row r="56" spans="1:13" ht="12.75" x14ac:dyDescent="0.2">
      <c r="A56" s="258"/>
      <c r="B56" s="258"/>
      <c r="C56" s="258"/>
      <c r="D56" s="305"/>
      <c r="E56" s="305"/>
      <c r="F56" s="258"/>
      <c r="G56" s="258"/>
      <c r="H56" s="84"/>
      <c r="I56" s="303" t="str">
        <f ca="1">语言!$A$2156</f>
        <v>一刀两断</v>
      </c>
      <c r="J56" s="302" t="s">
        <v>288</v>
      </c>
      <c r="K56" s="302" t="s">
        <v>291</v>
      </c>
      <c r="L56" s="272" t="s">
        <v>300</v>
      </c>
      <c r="M56" s="258"/>
    </row>
    <row r="57" spans="1:13" ht="12.75" x14ac:dyDescent="0.2">
      <c r="A57" s="258"/>
      <c r="B57" s="84"/>
      <c r="C57" s="85" t="str">
        <f ca="1">语言!$A$1649</f>
        <v>斧劈</v>
      </c>
      <c r="D57" s="302" t="s">
        <v>288</v>
      </c>
      <c r="E57" s="302" t="s">
        <v>289</v>
      </c>
      <c r="F57" s="272" t="s">
        <v>290</v>
      </c>
      <c r="G57" s="258"/>
      <c r="H57" s="84"/>
      <c r="I57" s="303" t="str">
        <f ca="1">语言!$A$2167</f>
        <v>粉碎</v>
      </c>
      <c r="J57" s="302" t="s">
        <v>288</v>
      </c>
      <c r="K57" s="302" t="s">
        <v>291</v>
      </c>
      <c r="L57" s="272" t="s">
        <v>300</v>
      </c>
      <c r="M57" s="258"/>
    </row>
    <row r="58" spans="1:13" ht="12.75" x14ac:dyDescent="0.2">
      <c r="A58" s="258"/>
      <c r="B58" s="84"/>
      <c r="C58" s="85" t="str">
        <f ca="1">语言!$A$1746</f>
        <v>战斗ｘ３</v>
      </c>
      <c r="D58" s="302" t="s">
        <v>288</v>
      </c>
      <c r="E58" s="302" t="s">
        <v>293</v>
      </c>
      <c r="F58" s="272" t="s">
        <v>290</v>
      </c>
      <c r="G58" s="258"/>
      <c r="H58" s="84"/>
      <c r="I58" s="303" t="str">
        <f ca="1">语言!$A$2264</f>
        <v>七零八落斩</v>
      </c>
      <c r="J58" s="302" t="s">
        <v>288</v>
      </c>
      <c r="K58" s="302" t="s">
        <v>291</v>
      </c>
      <c r="L58" s="272" t="s">
        <v>300</v>
      </c>
      <c r="M58" s="258"/>
    </row>
    <row r="59" spans="1:13" ht="12.75" x14ac:dyDescent="0.2">
      <c r="A59" s="258"/>
      <c r="B59" s="84"/>
      <c r="C59" s="85" t="str">
        <f ca="1">语言!$A$1658</f>
        <v>连续破甲</v>
      </c>
      <c r="D59" s="302" t="s">
        <v>288</v>
      </c>
      <c r="E59" s="302" t="s">
        <v>296</v>
      </c>
      <c r="F59" s="272" t="s">
        <v>307</v>
      </c>
      <c r="G59" s="258"/>
      <c r="H59" s="84"/>
      <c r="I59" s="303" t="str">
        <f ca="1">语言!$A$2223</f>
        <v>投掷肥料</v>
      </c>
      <c r="J59" s="302" t="s">
        <v>288</v>
      </c>
      <c r="K59" s="302" t="s">
        <v>291</v>
      </c>
      <c r="L59" s="272" t="s">
        <v>304</v>
      </c>
      <c r="M59" s="258"/>
    </row>
    <row r="60" spans="1:13" ht="12.75" x14ac:dyDescent="0.2">
      <c r="A60" s="258"/>
      <c r="B60" s="84"/>
      <c r="C60" s="85" t="str">
        <f ca="1">语言!$A$1663</f>
        <v>连续加护破解</v>
      </c>
      <c r="D60" s="302" t="s">
        <v>288</v>
      </c>
      <c r="E60" s="302" t="s">
        <v>296</v>
      </c>
      <c r="F60" s="272" t="s">
        <v>321</v>
      </c>
      <c r="G60" s="258"/>
      <c r="H60" s="84"/>
      <c r="I60" s="303" t="str">
        <f ca="1">语言!$A$2283</f>
        <v>乱挥</v>
      </c>
      <c r="J60" s="302" t="s">
        <v>303</v>
      </c>
      <c r="K60" s="302" t="s">
        <v>291</v>
      </c>
      <c r="L60" s="272" t="s">
        <v>290</v>
      </c>
      <c r="M60" s="258"/>
    </row>
    <row r="61" spans="1:13" ht="12.75" x14ac:dyDescent="0.2">
      <c r="A61" s="258"/>
      <c r="B61" s="84"/>
      <c r="C61" s="85" t="str">
        <f ca="1">语言!$A$1647</f>
        <v>铁壁之斧</v>
      </c>
      <c r="D61" s="302" t="s">
        <v>288</v>
      </c>
      <c r="E61" s="302" t="s">
        <v>289</v>
      </c>
      <c r="F61" s="272" t="s">
        <v>301</v>
      </c>
      <c r="G61" s="258"/>
      <c r="H61" s="84"/>
      <c r="I61" s="303" t="str">
        <f ca="1">语言!$A$2193</f>
        <v>全力斩击</v>
      </c>
      <c r="J61" s="302" t="s">
        <v>303</v>
      </c>
      <c r="K61" s="302" t="s">
        <v>291</v>
      </c>
      <c r="L61" s="272" t="s">
        <v>290</v>
      </c>
      <c r="M61" s="258"/>
    </row>
    <row r="62" spans="1:13" ht="12.75" x14ac:dyDescent="0.2">
      <c r="A62" s="258"/>
      <c r="B62" s="84"/>
      <c r="C62" s="85" t="str">
        <f ca="1">语言!$A$1683</f>
        <v>守护之斧</v>
      </c>
      <c r="D62" s="302" t="s">
        <v>288</v>
      </c>
      <c r="E62" s="302" t="s">
        <v>289</v>
      </c>
      <c r="F62" s="272" t="s">
        <v>312</v>
      </c>
      <c r="G62" s="258"/>
      <c r="H62" s="84"/>
      <c r="I62" s="303" t="str">
        <f ca="1">语言!$A$2154</f>
        <v>王者的铁锤</v>
      </c>
      <c r="J62" s="302" t="s">
        <v>303</v>
      </c>
      <c r="K62" s="302" t="s">
        <v>291</v>
      </c>
      <c r="L62" s="272" t="s">
        <v>322</v>
      </c>
      <c r="M62" s="258"/>
    </row>
    <row r="63" spans="1:13" ht="12.75" x14ac:dyDescent="0.2">
      <c r="A63" s="258"/>
      <c r="B63" s="84"/>
      <c r="C63" s="85" t="str">
        <f ca="1">语言!$A$1718</f>
        <v>反击之斧</v>
      </c>
      <c r="D63" s="302" t="s">
        <v>288</v>
      </c>
      <c r="E63" s="302" t="s">
        <v>289</v>
      </c>
      <c r="F63" s="272" t="s">
        <v>323</v>
      </c>
      <c r="G63" s="258"/>
      <c r="H63" s="300"/>
      <c r="I63" s="304"/>
      <c r="J63" s="305"/>
      <c r="K63" s="305"/>
      <c r="L63" s="258"/>
      <c r="M63" s="258"/>
    </row>
    <row r="64" spans="1:13" ht="12.75" x14ac:dyDescent="0.2">
      <c r="A64" s="258"/>
      <c r="B64" s="84"/>
      <c r="C64" s="85" t="str">
        <f ca="1">语言!$A$1703</f>
        <v>斧劈（全体）</v>
      </c>
      <c r="D64" s="302" t="s">
        <v>303</v>
      </c>
      <c r="E64" s="302" t="s">
        <v>289</v>
      </c>
      <c r="F64" s="272" t="s">
        <v>290</v>
      </c>
      <c r="G64" s="258"/>
      <c r="H64" s="84"/>
      <c r="I64" s="303" t="str">
        <f ca="1">语言!$A$2242</f>
        <v>精准射击</v>
      </c>
      <c r="J64" s="302" t="s">
        <v>288</v>
      </c>
      <c r="K64" s="302" t="s">
        <v>291</v>
      </c>
      <c r="L64" s="272" t="s">
        <v>290</v>
      </c>
      <c r="M64" s="258"/>
    </row>
    <row r="65" spans="1:13" ht="12.75" x14ac:dyDescent="0.2">
      <c r="A65" s="258"/>
      <c r="B65" s="84"/>
      <c r="C65" s="85" t="str">
        <f ca="1">语言!$A$1747</f>
        <v>战斗ｘ３（全体）</v>
      </c>
      <c r="D65" s="302" t="s">
        <v>303</v>
      </c>
      <c r="E65" s="302" t="s">
        <v>293</v>
      </c>
      <c r="F65" s="272" t="s">
        <v>290</v>
      </c>
      <c r="G65" s="258"/>
      <c r="H65" s="84"/>
      <c r="I65" s="303" t="str">
        <f ca="1">语言!$A$2244</f>
        <v>剧毒之矢</v>
      </c>
      <c r="J65" s="302" t="s">
        <v>288</v>
      </c>
      <c r="K65" s="302" t="s">
        <v>291</v>
      </c>
      <c r="L65" s="272" t="s">
        <v>304</v>
      </c>
      <c r="M65" s="258"/>
    </row>
    <row r="66" spans="1:13" ht="12.75" x14ac:dyDescent="0.2">
      <c r="A66" s="258"/>
      <c r="B66" s="258"/>
      <c r="C66" s="258"/>
      <c r="D66" s="305"/>
      <c r="E66" s="305"/>
      <c r="F66" s="258"/>
      <c r="G66" s="258"/>
      <c r="H66" s="84"/>
      <c r="I66" s="303" t="str">
        <f ca="1">语言!$A$2146</f>
        <v>失明之矢</v>
      </c>
      <c r="J66" s="302" t="s">
        <v>288</v>
      </c>
      <c r="K66" s="302" t="s">
        <v>291</v>
      </c>
      <c r="L66" s="272" t="s">
        <v>317</v>
      </c>
      <c r="M66" s="258"/>
    </row>
    <row r="67" spans="1:13" ht="12.75" x14ac:dyDescent="0.2">
      <c r="A67" s="258"/>
      <c r="B67" s="84"/>
      <c r="C67" s="85" t="str">
        <f ca="1">语言!$A$1633</f>
        <v>战斗</v>
      </c>
      <c r="D67" s="302" t="s">
        <v>288</v>
      </c>
      <c r="E67" s="302" t="s">
        <v>289</v>
      </c>
      <c r="F67" s="272" t="s">
        <v>290</v>
      </c>
      <c r="G67" s="258"/>
      <c r="H67" s="84"/>
      <c r="I67" s="303" t="str">
        <f ca="1">语言!$A$2270</f>
        <v>睡眠之矢</v>
      </c>
      <c r="J67" s="302" t="s">
        <v>288</v>
      </c>
      <c r="K67" s="302" t="s">
        <v>291</v>
      </c>
      <c r="L67" s="272" t="s">
        <v>318</v>
      </c>
      <c r="M67" s="258"/>
    </row>
    <row r="68" spans="1:13" ht="12.75" x14ac:dyDescent="0.2">
      <c r="A68" s="258"/>
      <c r="B68" s="84"/>
      <c r="C68" s="85" t="str">
        <f ca="1">语言!$A$1725</f>
        <v>针</v>
      </c>
      <c r="D68" s="302" t="s">
        <v>288</v>
      </c>
      <c r="E68" s="302" t="s">
        <v>289</v>
      </c>
      <c r="F68" s="272" t="s">
        <v>290</v>
      </c>
      <c r="G68" s="258"/>
      <c r="H68" s="84"/>
      <c r="I68" s="303" t="str">
        <f ca="1">语言!$A$2236</f>
        <v>恐慌之矢</v>
      </c>
      <c r="J68" s="302" t="s">
        <v>288</v>
      </c>
      <c r="K68" s="302" t="s">
        <v>291</v>
      </c>
      <c r="L68" s="272" t="s">
        <v>306</v>
      </c>
      <c r="M68" s="258"/>
    </row>
    <row r="69" spans="1:13" ht="12.75" x14ac:dyDescent="0.2">
      <c r="A69" s="258"/>
      <c r="B69" s="84"/>
      <c r="C69" s="85" t="str">
        <f ca="1">语言!$A$1667</f>
        <v>战斗ｘ２</v>
      </c>
      <c r="D69" s="302" t="s">
        <v>288</v>
      </c>
      <c r="E69" s="302" t="s">
        <v>296</v>
      </c>
      <c r="F69" s="272" t="s">
        <v>290</v>
      </c>
      <c r="G69" s="258"/>
      <c r="H69" s="84"/>
      <c r="I69" s="303" t="str">
        <f ca="1">语言!$A$2139</f>
        <v>五月雨箭</v>
      </c>
      <c r="J69" s="302" t="s">
        <v>319</v>
      </c>
      <c r="K69" s="302" t="s">
        <v>324</v>
      </c>
      <c r="L69" s="272" t="s">
        <v>290</v>
      </c>
      <c r="M69" s="258"/>
    </row>
    <row r="70" spans="1:13" ht="12.75" x14ac:dyDescent="0.2">
      <c r="A70" s="258"/>
      <c r="B70" s="84"/>
      <c r="C70" s="85" t="str">
        <f ca="1">语言!$A$1746</f>
        <v>战斗ｘ３</v>
      </c>
      <c r="D70" s="302" t="s">
        <v>288</v>
      </c>
      <c r="E70" s="302" t="s">
        <v>293</v>
      </c>
      <c r="F70" s="272" t="s">
        <v>290</v>
      </c>
      <c r="G70" s="258"/>
      <c r="H70" s="84"/>
      <c r="I70" s="303" t="str">
        <f ca="1">语言!$A$2187</f>
        <v>乱射</v>
      </c>
      <c r="J70" s="302" t="s">
        <v>303</v>
      </c>
      <c r="K70" s="302" t="s">
        <v>320</v>
      </c>
      <c r="L70" s="272" t="s">
        <v>290</v>
      </c>
      <c r="M70" s="258"/>
    </row>
    <row r="71" spans="1:13" ht="12.75" x14ac:dyDescent="0.2">
      <c r="A71" s="258"/>
      <c r="B71" s="84"/>
      <c r="C71" s="85" t="str">
        <f ca="1">语言!$A$1711</f>
        <v>毒针</v>
      </c>
      <c r="D71" s="302" t="s">
        <v>288</v>
      </c>
      <c r="E71" s="302" t="s">
        <v>289</v>
      </c>
      <c r="F71" s="272" t="s">
        <v>305</v>
      </c>
      <c r="G71" s="258"/>
      <c r="H71" s="300"/>
      <c r="I71" s="304"/>
      <c r="J71" s="305"/>
      <c r="K71" s="305"/>
      <c r="L71" s="258"/>
      <c r="M71" s="258"/>
    </row>
    <row r="72" spans="1:13" ht="12.75" x14ac:dyDescent="0.2">
      <c r="A72" s="258"/>
      <c r="B72" s="84"/>
      <c r="C72" s="85" t="str">
        <f ca="1">语言!$A$1644</f>
        <v>暗暗之针</v>
      </c>
      <c r="D72" s="302" t="s">
        <v>288</v>
      </c>
      <c r="E72" s="302" t="s">
        <v>289</v>
      </c>
      <c r="F72" s="272" t="s">
        <v>294</v>
      </c>
      <c r="G72" s="258"/>
      <c r="H72" s="84"/>
      <c r="I72" s="303" t="str">
        <f ca="1">语言!$A$2251</f>
        <v>殴打</v>
      </c>
      <c r="J72" s="302" t="s">
        <v>288</v>
      </c>
      <c r="K72" s="302" t="s">
        <v>291</v>
      </c>
      <c r="L72" s="272" t="s">
        <v>290</v>
      </c>
      <c r="M72" s="258"/>
    </row>
    <row r="73" spans="1:13" ht="12.75" x14ac:dyDescent="0.2">
      <c r="A73" s="258"/>
      <c r="B73" s="84"/>
      <c r="C73" s="85" t="str">
        <f ca="1">语言!$A$1662</f>
        <v>属攻连续弓舞</v>
      </c>
      <c r="D73" s="302" t="s">
        <v>288</v>
      </c>
      <c r="E73" s="302" t="s">
        <v>296</v>
      </c>
      <c r="F73" s="272" t="s">
        <v>325</v>
      </c>
      <c r="G73" s="258"/>
      <c r="H73" s="84"/>
      <c r="I73" s="303" t="str">
        <f ca="1">语言!$A$2157</f>
        <v>拳骨</v>
      </c>
      <c r="J73" s="302" t="s">
        <v>288</v>
      </c>
      <c r="K73" s="302" t="s">
        <v>291</v>
      </c>
      <c r="L73" s="272" t="s">
        <v>290</v>
      </c>
      <c r="M73" s="258"/>
    </row>
    <row r="74" spans="1:13" ht="12.75" x14ac:dyDescent="0.2">
      <c r="A74" s="258"/>
      <c r="B74" s="84"/>
      <c r="C74" s="85" t="str">
        <f ca="1">语言!$A$1634</f>
        <v>战斗（全体）</v>
      </c>
      <c r="D74" s="302" t="s">
        <v>303</v>
      </c>
      <c r="E74" s="302" t="s">
        <v>289</v>
      </c>
      <c r="F74" s="272" t="s">
        <v>290</v>
      </c>
      <c r="G74" s="258"/>
      <c r="H74" s="84"/>
      <c r="I74" s="301" t="str">
        <f ca="1">语言!$A$2252</f>
        <v>殴打</v>
      </c>
      <c r="J74" s="308" t="s">
        <v>288</v>
      </c>
      <c r="K74" s="308" t="s">
        <v>291</v>
      </c>
      <c r="L74" s="301" t="s">
        <v>290</v>
      </c>
      <c r="M74" s="258"/>
    </row>
    <row r="75" spans="1:13" ht="12.75" x14ac:dyDescent="0.2">
      <c r="A75" s="258"/>
      <c r="B75" s="84"/>
      <c r="C75" s="85" t="str">
        <f ca="1">语言!$A$1659</f>
        <v>战斗ｘ２（全体）</v>
      </c>
      <c r="D75" s="302" t="s">
        <v>303</v>
      </c>
      <c r="E75" s="302" t="s">
        <v>296</v>
      </c>
      <c r="F75" s="272" t="s">
        <v>290</v>
      </c>
      <c r="G75" s="258"/>
      <c r="H75" s="84"/>
      <c r="I75" s="301" t="str">
        <f ca="1">语言!$A$2216</f>
        <v>脚踢</v>
      </c>
      <c r="J75" s="308" t="s">
        <v>288</v>
      </c>
      <c r="K75" s="308" t="s">
        <v>291</v>
      </c>
      <c r="L75" s="301" t="s">
        <v>290</v>
      </c>
      <c r="M75" s="258"/>
    </row>
    <row r="76" spans="1:13" ht="12.75" x14ac:dyDescent="0.2">
      <c r="A76" s="258"/>
      <c r="B76" s="84"/>
      <c r="C76" s="85" t="str">
        <f ca="1">语言!$A$1747</f>
        <v>战斗ｘ３（全体）</v>
      </c>
      <c r="D76" s="302" t="s">
        <v>303</v>
      </c>
      <c r="E76" s="302" t="s">
        <v>293</v>
      </c>
      <c r="F76" s="272" t="s">
        <v>290</v>
      </c>
      <c r="G76" s="258"/>
      <c r="H76" s="84"/>
      <c r="I76" s="303" t="str">
        <f ca="1">语言!$A$2229</f>
        <v>波动拳</v>
      </c>
      <c r="J76" s="302" t="s">
        <v>288</v>
      </c>
      <c r="K76" s="302" t="s">
        <v>291</v>
      </c>
      <c r="L76" s="272" t="s">
        <v>290</v>
      </c>
      <c r="M76" s="258"/>
    </row>
    <row r="77" spans="1:13" ht="12.75" x14ac:dyDescent="0.2">
      <c r="A77" s="258"/>
      <c r="B77" s="84"/>
      <c r="C77" s="85" t="str">
        <f ca="1">语言!$A$1645</f>
        <v>暗暗之针（全体）</v>
      </c>
      <c r="D77" s="302" t="s">
        <v>303</v>
      </c>
      <c r="E77" s="302" t="s">
        <v>289</v>
      </c>
      <c r="F77" s="272" t="s">
        <v>294</v>
      </c>
      <c r="G77" s="258"/>
      <c r="H77" s="300"/>
      <c r="I77" s="304"/>
      <c r="J77" s="305"/>
      <c r="K77" s="305"/>
      <c r="L77" s="258"/>
      <c r="M77" s="258"/>
    </row>
    <row r="78" spans="1:13" ht="12.75" x14ac:dyDescent="0.2">
      <c r="A78" s="258"/>
      <c r="B78" s="84"/>
      <c r="C78" s="85" t="str">
        <f ca="1">语言!$A$1733</f>
        <v>睡眠之针（全体）</v>
      </c>
      <c r="D78" s="302" t="s">
        <v>303</v>
      </c>
      <c r="E78" s="302" t="s">
        <v>289</v>
      </c>
      <c r="F78" s="272" t="s">
        <v>295</v>
      </c>
      <c r="G78" s="258"/>
      <c r="H78" s="84"/>
      <c r="I78" s="303" t="str">
        <f ca="1">语言!$A$2185</f>
        <v>火焰魔法</v>
      </c>
      <c r="J78" s="302" t="s">
        <v>303</v>
      </c>
      <c r="K78" s="302" t="s">
        <v>291</v>
      </c>
      <c r="L78" s="272" t="s">
        <v>290</v>
      </c>
      <c r="M78" s="258"/>
    </row>
    <row r="79" spans="1:13" ht="12.75" x14ac:dyDescent="0.2">
      <c r="A79" s="258"/>
      <c r="B79" s="84"/>
      <c r="C79" s="85" t="str">
        <f ca="1">语言!$A$1637</f>
        <v>混乱之针（全体）</v>
      </c>
      <c r="D79" s="302" t="s">
        <v>303</v>
      </c>
      <c r="E79" s="302" t="s">
        <v>289</v>
      </c>
      <c r="F79" s="272" t="s">
        <v>326</v>
      </c>
      <c r="G79" s="258"/>
      <c r="H79" s="84"/>
      <c r="I79" s="303" t="str">
        <f ca="1">语言!$A$2255</f>
        <v>一分熟</v>
      </c>
      <c r="J79" s="302" t="s">
        <v>303</v>
      </c>
      <c r="K79" s="302" t="s">
        <v>291</v>
      </c>
      <c r="L79" s="272" t="s">
        <v>290</v>
      </c>
      <c r="M79" s="258"/>
    </row>
    <row r="80" spans="1:13" ht="12.75" x14ac:dyDescent="0.2">
      <c r="A80" s="258"/>
      <c r="B80" s="84"/>
      <c r="C80" s="85" t="str">
        <f ca="1">语言!$A$1672</f>
        <v>九命弱体针（全体）</v>
      </c>
      <c r="D80" s="302" t="s">
        <v>303</v>
      </c>
      <c r="E80" s="302" t="s">
        <v>289</v>
      </c>
      <c r="F80" s="272" t="s">
        <v>327</v>
      </c>
      <c r="G80" s="258"/>
      <c r="H80" s="84"/>
      <c r="I80" s="303" t="str">
        <f ca="1">语言!$A$2184</f>
        <v>大火焰魔法</v>
      </c>
      <c r="J80" s="302" t="s">
        <v>303</v>
      </c>
      <c r="K80" s="302" t="s">
        <v>308</v>
      </c>
      <c r="L80" s="272" t="s">
        <v>290</v>
      </c>
      <c r="M80" s="258"/>
    </row>
    <row r="81" spans="1:13" ht="12.75" x14ac:dyDescent="0.2">
      <c r="A81" s="258"/>
      <c r="B81" s="258"/>
      <c r="C81" s="258"/>
      <c r="D81" s="305"/>
      <c r="E81" s="305"/>
      <c r="F81" s="258"/>
      <c r="G81" s="258"/>
      <c r="H81" s="84"/>
      <c r="I81" s="303" t="str">
        <f ca="1">语言!$A$2186</f>
        <v>加酒点燃</v>
      </c>
      <c r="J81" s="302" t="s">
        <v>303</v>
      </c>
      <c r="K81" s="302" t="s">
        <v>308</v>
      </c>
      <c r="L81" s="272" t="s">
        <v>290</v>
      </c>
      <c r="M81" s="258"/>
    </row>
    <row r="82" spans="1:13" ht="12.75" x14ac:dyDescent="0.2">
      <c r="A82" s="258"/>
      <c r="B82" s="84"/>
      <c r="C82" s="85" t="str">
        <f ca="1">语言!$A$1633</f>
        <v>战斗</v>
      </c>
      <c r="D82" s="302" t="s">
        <v>288</v>
      </c>
      <c r="E82" s="302" t="s">
        <v>289</v>
      </c>
      <c r="F82" s="272" t="s">
        <v>290</v>
      </c>
      <c r="G82" s="258"/>
      <c r="H82" s="84"/>
      <c r="I82" s="303" t="str">
        <f ca="1">语言!$A$2292</f>
        <v>全熟</v>
      </c>
      <c r="J82" s="302" t="s">
        <v>303</v>
      </c>
      <c r="K82" s="302" t="s">
        <v>308</v>
      </c>
      <c r="L82" s="272" t="s">
        <v>290</v>
      </c>
      <c r="M82" s="258"/>
    </row>
    <row r="83" spans="1:13" ht="12.75" x14ac:dyDescent="0.2">
      <c r="A83" s="258"/>
      <c r="B83" s="84"/>
      <c r="C83" s="85" t="str">
        <f ca="1">语言!$A$1667</f>
        <v>战斗ｘ２</v>
      </c>
      <c r="D83" s="302" t="s">
        <v>288</v>
      </c>
      <c r="E83" s="302" t="s">
        <v>296</v>
      </c>
      <c r="F83" s="272" t="s">
        <v>290</v>
      </c>
      <c r="G83" s="258"/>
      <c r="H83" s="84"/>
      <c r="I83" s="303" t="str">
        <f ca="1">语言!$A$2211</f>
        <v>特大火焰魔法</v>
      </c>
      <c r="J83" s="302" t="s">
        <v>303</v>
      </c>
      <c r="K83" s="302" t="s">
        <v>311</v>
      </c>
      <c r="L83" s="272" t="s">
        <v>290</v>
      </c>
      <c r="M83" s="258"/>
    </row>
    <row r="84" spans="1:13" ht="12.75" x14ac:dyDescent="0.2">
      <c r="A84" s="258"/>
      <c r="B84" s="84"/>
      <c r="C84" s="85" t="str">
        <f ca="1">语言!$A$1746</f>
        <v>战斗ｘ３</v>
      </c>
      <c r="D84" s="302" t="s">
        <v>288</v>
      </c>
      <c r="E84" s="302" t="s">
        <v>293</v>
      </c>
      <c r="F84" s="272" t="s">
        <v>290</v>
      </c>
      <c r="G84" s="258"/>
      <c r="H84" s="300"/>
      <c r="I84" s="309"/>
      <c r="J84" s="310"/>
      <c r="K84" s="310"/>
      <c r="L84" s="309"/>
      <c r="M84" s="311"/>
    </row>
    <row r="85" spans="1:13" ht="12.75" x14ac:dyDescent="0.2">
      <c r="A85" s="258"/>
      <c r="B85" s="84"/>
      <c r="C85" s="85" t="str">
        <f ca="1">语言!$A$1661</f>
        <v>双重泰山压顶</v>
      </c>
      <c r="D85" s="302" t="s">
        <v>288</v>
      </c>
      <c r="E85" s="302" t="s">
        <v>296</v>
      </c>
      <c r="F85" s="272" t="s">
        <v>297</v>
      </c>
      <c r="G85" s="258"/>
      <c r="H85" s="84"/>
      <c r="I85" s="301" t="str">
        <f ca="1">语言!$A$2164</f>
        <v>【调和】冰冻</v>
      </c>
      <c r="J85" s="308" t="s">
        <v>288</v>
      </c>
      <c r="K85" s="308" t="s">
        <v>291</v>
      </c>
      <c r="L85" s="301" t="s">
        <v>290</v>
      </c>
      <c r="M85" s="258"/>
    </row>
    <row r="86" spans="1:13" ht="12.75" x14ac:dyDescent="0.2">
      <c r="A86" s="258"/>
      <c r="B86" s="84"/>
      <c r="C86" s="85" t="str">
        <f ca="1">语言!$A$1664</f>
        <v>高速连续杖舞</v>
      </c>
      <c r="D86" s="302" t="s">
        <v>288</v>
      </c>
      <c r="E86" s="302" t="s">
        <v>296</v>
      </c>
      <c r="F86" s="272" t="s">
        <v>315</v>
      </c>
      <c r="G86" s="296"/>
      <c r="H86" s="84"/>
      <c r="I86" s="303" t="str">
        <f ca="1">语言!$A$2210</f>
        <v>冰冻魔法</v>
      </c>
      <c r="J86" s="302" t="s">
        <v>303</v>
      </c>
      <c r="K86" s="302" t="s">
        <v>291</v>
      </c>
      <c r="L86" s="272" t="s">
        <v>290</v>
      </c>
      <c r="M86" s="258"/>
    </row>
    <row r="87" spans="1:13" ht="12.75" x14ac:dyDescent="0.2">
      <c r="A87" s="258"/>
      <c r="B87" s="84"/>
      <c r="C87" s="85" t="str">
        <f ca="1">语言!$A$1652</f>
        <v>会心一击</v>
      </c>
      <c r="D87" s="302" t="s">
        <v>288</v>
      </c>
      <c r="E87" s="302" t="s">
        <v>289</v>
      </c>
      <c r="F87" s="272" t="s">
        <v>328</v>
      </c>
      <c r="G87" s="258"/>
      <c r="H87" s="84"/>
      <c r="I87" s="303" t="str">
        <f ca="1">语言!$A$2209</f>
        <v>大冰冻魔法</v>
      </c>
      <c r="J87" s="302" t="s">
        <v>303</v>
      </c>
      <c r="K87" s="302" t="s">
        <v>308</v>
      </c>
      <c r="L87" s="272" t="s">
        <v>290</v>
      </c>
      <c r="M87" s="311"/>
    </row>
    <row r="88" spans="1:13" ht="12.75" x14ac:dyDescent="0.2">
      <c r="A88" s="258"/>
      <c r="B88" s="84"/>
      <c r="C88" s="85" t="str">
        <f ca="1">语言!$A$1634</f>
        <v>战斗（全体）</v>
      </c>
      <c r="D88" s="302" t="s">
        <v>303</v>
      </c>
      <c r="E88" s="302" t="s">
        <v>289</v>
      </c>
      <c r="F88" s="272" t="s">
        <v>290</v>
      </c>
      <c r="G88" s="258"/>
      <c r="H88" s="84"/>
      <c r="I88" s="303" t="str">
        <f ca="1">语言!$A$2195</f>
        <v>特大冰冻魔法</v>
      </c>
      <c r="J88" s="302" t="s">
        <v>303</v>
      </c>
      <c r="K88" s="302" t="s">
        <v>311</v>
      </c>
      <c r="L88" s="272" t="s">
        <v>290</v>
      </c>
      <c r="M88" s="258"/>
    </row>
    <row r="89" spans="1:13" ht="12.75" x14ac:dyDescent="0.2">
      <c r="A89" s="258"/>
      <c r="B89" s="84"/>
      <c r="C89" s="85" t="str">
        <f ca="1">语言!$A$1659</f>
        <v>战斗ｘ２（全体）</v>
      </c>
      <c r="D89" s="302" t="s">
        <v>303</v>
      </c>
      <c r="E89" s="302" t="s">
        <v>296</v>
      </c>
      <c r="F89" s="272" t="s">
        <v>290</v>
      </c>
      <c r="G89" s="258"/>
      <c r="H89" s="300"/>
      <c r="I89" s="304"/>
      <c r="J89" s="305"/>
      <c r="K89" s="305"/>
      <c r="L89" s="258"/>
      <c r="M89" s="258"/>
    </row>
    <row r="90" spans="1:13" ht="12.75" x14ac:dyDescent="0.2">
      <c r="A90" s="258"/>
      <c r="B90" s="84"/>
      <c r="C90" s="85" t="str">
        <f ca="1">语言!$A$1674</f>
        <v>怒涛殴打（全体）</v>
      </c>
      <c r="D90" s="302" t="s">
        <v>303</v>
      </c>
      <c r="E90" s="302" t="s">
        <v>296</v>
      </c>
      <c r="F90" s="272" t="s">
        <v>290</v>
      </c>
      <c r="G90" s="258"/>
      <c r="H90" s="84"/>
      <c r="I90" s="303" t="str">
        <f ca="1">语言!$A$2217</f>
        <v>雷击魔法</v>
      </c>
      <c r="J90" s="302" t="s">
        <v>303</v>
      </c>
      <c r="K90" s="302" t="s">
        <v>291</v>
      </c>
      <c r="L90" s="272" t="s">
        <v>290</v>
      </c>
      <c r="M90" s="258"/>
    </row>
    <row r="91" spans="1:13" ht="12.75" x14ac:dyDescent="0.2">
      <c r="A91" s="258"/>
      <c r="B91" s="84"/>
      <c r="C91" s="85" t="str">
        <f ca="1">语言!$A$1747</f>
        <v>战斗ｘ３（全体）</v>
      </c>
      <c r="D91" s="302" t="s">
        <v>303</v>
      </c>
      <c r="E91" s="302" t="s">
        <v>293</v>
      </c>
      <c r="F91" s="272" t="s">
        <v>290</v>
      </c>
      <c r="G91" s="258"/>
      <c r="H91" s="84"/>
      <c r="I91" s="303" t="str">
        <f ca="1">语言!$A$2218</f>
        <v>大雷击魔法</v>
      </c>
      <c r="J91" s="302" t="s">
        <v>303</v>
      </c>
      <c r="K91" s="302" t="s">
        <v>308</v>
      </c>
      <c r="L91" s="272" t="s">
        <v>290</v>
      </c>
      <c r="M91" s="258"/>
    </row>
    <row r="92" spans="1:13" ht="12.75" x14ac:dyDescent="0.2">
      <c r="A92" s="258"/>
      <c r="B92" s="84"/>
      <c r="C92" s="85" t="str">
        <f ca="1">语言!$A$1720</f>
        <v>夹击（全体）</v>
      </c>
      <c r="D92" s="302" t="s">
        <v>303</v>
      </c>
      <c r="E92" s="302" t="s">
        <v>289</v>
      </c>
      <c r="F92" s="272" t="s">
        <v>294</v>
      </c>
      <c r="G92" s="258"/>
      <c r="H92" s="84"/>
      <c r="I92" s="303" t="str">
        <f ca="1">语言!$A$2286</f>
        <v>特大雷击魔法</v>
      </c>
      <c r="J92" s="302" t="s">
        <v>303</v>
      </c>
      <c r="K92" s="302" t="s">
        <v>311</v>
      </c>
      <c r="L92" s="272" t="s">
        <v>290</v>
      </c>
      <c r="M92" s="258"/>
    </row>
    <row r="93" spans="1:13" ht="12.75" x14ac:dyDescent="0.2">
      <c r="A93" s="258"/>
      <c r="B93" s="84"/>
      <c r="C93" s="85" t="str">
        <f ca="1">语言!$A$1721</f>
        <v>超级夹击（全体）</v>
      </c>
      <c r="D93" s="302" t="s">
        <v>303</v>
      </c>
      <c r="E93" s="302" t="s">
        <v>289</v>
      </c>
      <c r="F93" s="272" t="s">
        <v>298</v>
      </c>
      <c r="G93" s="258"/>
      <c r="H93" s="300"/>
      <c r="I93" s="304"/>
      <c r="J93" s="305"/>
      <c r="K93" s="305"/>
      <c r="L93" s="258"/>
      <c r="M93" s="258"/>
    </row>
    <row r="94" spans="1:13" ht="12.75" x14ac:dyDescent="0.2">
      <c r="A94" s="258"/>
      <c r="B94" s="258"/>
      <c r="C94" s="258"/>
      <c r="D94" s="305"/>
      <c r="E94" s="305"/>
      <c r="F94" s="258"/>
      <c r="G94" s="258"/>
      <c r="H94" s="84"/>
      <c r="I94" s="303" t="str">
        <f ca="1">语言!$A$2294</f>
        <v>疾风魔法</v>
      </c>
      <c r="J94" s="302" t="s">
        <v>303</v>
      </c>
      <c r="K94" s="302" t="s">
        <v>291</v>
      </c>
      <c r="L94" s="272" t="s">
        <v>290</v>
      </c>
      <c r="M94" s="258"/>
    </row>
    <row r="95" spans="1:13" ht="12.75" x14ac:dyDescent="0.2">
      <c r="A95" s="258"/>
      <c r="B95" s="84"/>
      <c r="C95" s="85" t="str">
        <f ca="1">语言!$A$1690</f>
        <v>业火</v>
      </c>
      <c r="D95" s="302" t="s">
        <v>288</v>
      </c>
      <c r="E95" s="302" t="s">
        <v>289</v>
      </c>
      <c r="F95" s="272" t="s">
        <v>290</v>
      </c>
      <c r="G95" s="258"/>
      <c r="H95" s="84"/>
      <c r="I95" s="303" t="str">
        <f ca="1">语言!$A$2291</f>
        <v>特大疾风魔法</v>
      </c>
      <c r="J95" s="302" t="s">
        <v>303</v>
      </c>
      <c r="K95" s="302" t="s">
        <v>311</v>
      </c>
      <c r="L95" s="272" t="s">
        <v>290</v>
      </c>
      <c r="M95" s="258"/>
    </row>
    <row r="96" spans="1:13" ht="12.75" x14ac:dyDescent="0.2">
      <c r="A96" s="258"/>
      <c r="B96" s="84"/>
      <c r="C96" s="85" t="str">
        <f ca="1">语言!$A$1691</f>
        <v>业火（全体）</v>
      </c>
      <c r="D96" s="302" t="s">
        <v>303</v>
      </c>
      <c r="E96" s="302" t="s">
        <v>289</v>
      </c>
      <c r="F96" s="272" t="s">
        <v>290</v>
      </c>
      <c r="G96" s="258"/>
      <c r="H96" s="84"/>
      <c r="I96" s="303" t="str">
        <f ca="1">语言!$A$2277</f>
        <v>卷起龙卷风</v>
      </c>
      <c r="J96" s="302" t="s">
        <v>303</v>
      </c>
      <c r="K96" s="302" t="s">
        <v>311</v>
      </c>
      <c r="L96" s="272" t="s">
        <v>290</v>
      </c>
      <c r="M96" s="258"/>
    </row>
    <row r="97" spans="1:13" ht="12.75" x14ac:dyDescent="0.2">
      <c r="A97" s="258"/>
      <c r="B97" s="84"/>
      <c r="C97" s="85" t="str">
        <f ca="1">语言!$A$1653</f>
        <v>红莲之炎（全体）</v>
      </c>
      <c r="D97" s="302" t="s">
        <v>303</v>
      </c>
      <c r="E97" s="302" t="s">
        <v>289</v>
      </c>
      <c r="F97" s="272" t="s">
        <v>329</v>
      </c>
      <c r="G97" s="258"/>
      <c r="H97" s="300"/>
      <c r="I97" s="304"/>
      <c r="J97" s="305"/>
      <c r="K97" s="305"/>
      <c r="L97" s="258"/>
      <c r="M97" s="258"/>
    </row>
    <row r="98" spans="1:13" ht="12.75" x14ac:dyDescent="0.2">
      <c r="A98" s="258"/>
      <c r="B98" s="84"/>
      <c r="C98" s="85" t="str">
        <f ca="1">语言!$A$1693</f>
        <v>炼狱之钟（全体）</v>
      </c>
      <c r="D98" s="302" t="s">
        <v>303</v>
      </c>
      <c r="E98" s="302" t="s">
        <v>296</v>
      </c>
      <c r="F98" s="272" t="s">
        <v>330</v>
      </c>
      <c r="G98" s="258"/>
      <c r="H98" s="84"/>
      <c r="I98" s="303" t="str">
        <f ca="1">语言!$A$2220</f>
        <v>光明魔法</v>
      </c>
      <c r="J98" s="302" t="s">
        <v>303</v>
      </c>
      <c r="K98" s="302" t="s">
        <v>291</v>
      </c>
      <c r="L98" s="272" t="s">
        <v>290</v>
      </c>
      <c r="M98" s="258"/>
    </row>
    <row r="99" spans="1:13" ht="12.75" x14ac:dyDescent="0.2">
      <c r="A99" s="258"/>
      <c r="B99" s="258"/>
      <c r="C99" s="258"/>
      <c r="D99" s="305"/>
      <c r="E99" s="305"/>
      <c r="F99" s="258"/>
      <c r="G99" s="258"/>
      <c r="H99" s="84"/>
      <c r="I99" s="303" t="str">
        <f ca="1">语言!$A$2221</f>
        <v>特大光明魔法</v>
      </c>
      <c r="J99" s="302" t="s">
        <v>303</v>
      </c>
      <c r="K99" s="302" t="s">
        <v>311</v>
      </c>
      <c r="L99" s="272" t="s">
        <v>290</v>
      </c>
      <c r="M99" s="311"/>
    </row>
    <row r="100" spans="1:13" ht="12.75" x14ac:dyDescent="0.2">
      <c r="A100" s="258"/>
      <c r="B100" s="84"/>
      <c r="C100" s="85" t="str">
        <f ca="1">语言!$A$1678</f>
        <v>冰冻</v>
      </c>
      <c r="D100" s="302" t="s">
        <v>288</v>
      </c>
      <c r="E100" s="302" t="s">
        <v>289</v>
      </c>
      <c r="F100" s="272" t="s">
        <v>290</v>
      </c>
      <c r="G100" s="258"/>
      <c r="H100" s="300"/>
      <c r="I100" s="304"/>
      <c r="J100" s="305"/>
      <c r="K100" s="305"/>
      <c r="L100" s="258"/>
      <c r="M100" s="258"/>
    </row>
    <row r="101" spans="1:13" ht="12.75" x14ac:dyDescent="0.2">
      <c r="A101" s="258"/>
      <c r="B101" s="84"/>
      <c r="C101" s="85" t="str">
        <f ca="1">语言!$A$1686</f>
        <v>连续冰冻</v>
      </c>
      <c r="D101" s="302" t="s">
        <v>288</v>
      </c>
      <c r="E101" s="302" t="s">
        <v>296</v>
      </c>
      <c r="F101" s="272" t="s">
        <v>290</v>
      </c>
      <c r="G101" s="258"/>
      <c r="H101" s="84"/>
      <c r="I101" s="303" t="str">
        <f ca="1">语言!$A$2145</f>
        <v>暗黑魔法</v>
      </c>
      <c r="J101" s="302" t="s">
        <v>303</v>
      </c>
      <c r="K101" s="302" t="s">
        <v>291</v>
      </c>
      <c r="L101" s="272" t="s">
        <v>290</v>
      </c>
      <c r="M101" s="258"/>
    </row>
    <row r="102" spans="1:13" ht="12.75" x14ac:dyDescent="0.2">
      <c r="A102" s="258"/>
      <c r="B102" s="84"/>
      <c r="C102" s="85" t="str">
        <f ca="1">语言!$A$1743</f>
        <v>剧毒之冰</v>
      </c>
      <c r="D102" s="302" t="s">
        <v>288</v>
      </c>
      <c r="E102" s="302" t="s">
        <v>289</v>
      </c>
      <c r="F102" s="272" t="s">
        <v>305</v>
      </c>
      <c r="G102" s="258"/>
      <c r="H102" s="84"/>
      <c r="I102" s="303" t="str">
        <f ca="1">语言!$A$2280</f>
        <v>特大暗黑魔法</v>
      </c>
      <c r="J102" s="302" t="s">
        <v>303</v>
      </c>
      <c r="K102" s="302" t="s">
        <v>311</v>
      </c>
      <c r="L102" s="272" t="s">
        <v>290</v>
      </c>
      <c r="M102" s="258"/>
    </row>
    <row r="103" spans="1:13" ht="12.75" x14ac:dyDescent="0.2">
      <c r="A103" s="258"/>
      <c r="B103" s="84"/>
      <c r="C103" s="85" t="str">
        <f ca="1">语言!$A$1679</f>
        <v>冰冻（全体）</v>
      </c>
      <c r="D103" s="302" t="s">
        <v>303</v>
      </c>
      <c r="E103" s="302" t="s">
        <v>289</v>
      </c>
      <c r="F103" s="272" t="s">
        <v>290</v>
      </c>
      <c r="G103" s="258"/>
      <c r="H103" s="300"/>
      <c r="I103" s="304"/>
      <c r="J103" s="305"/>
      <c r="K103" s="305"/>
      <c r="L103" s="258"/>
      <c r="M103" s="258"/>
    </row>
    <row r="104" spans="1:13" ht="12.75" x14ac:dyDescent="0.2">
      <c r="A104" s="258"/>
      <c r="B104" s="84"/>
      <c r="C104" s="85" t="str">
        <f ca="1">语言!$A$1687</f>
        <v>冰泥（全体）</v>
      </c>
      <c r="D104" s="302" t="s">
        <v>303</v>
      </c>
      <c r="E104" s="302" t="s">
        <v>296</v>
      </c>
      <c r="F104" s="272" t="s">
        <v>290</v>
      </c>
      <c r="G104" s="258"/>
      <c r="H104" s="272"/>
      <c r="I104" s="303" t="str">
        <f ca="1">语言!$A$2150</f>
        <v>丢空瓶</v>
      </c>
      <c r="J104" s="302" t="s">
        <v>288</v>
      </c>
      <c r="K104" s="302" t="s">
        <v>291</v>
      </c>
      <c r="L104" s="272" t="s">
        <v>290</v>
      </c>
      <c r="M104" s="258"/>
    </row>
    <row r="105" spans="1:13" ht="12.75" x14ac:dyDescent="0.2">
      <c r="A105" s="258"/>
      <c r="B105" s="84"/>
      <c r="C105" s="85" t="str">
        <f ca="1">语言!$A$1646</f>
        <v>魔冰冻之息（全体）</v>
      </c>
      <c r="D105" s="302" t="s">
        <v>303</v>
      </c>
      <c r="E105" s="302" t="s">
        <v>289</v>
      </c>
      <c r="F105" s="272" t="s">
        <v>331</v>
      </c>
      <c r="G105" s="258"/>
      <c r="H105" s="84"/>
      <c r="I105" s="303" t="str">
        <f ca="1">语言!$A$2151</f>
        <v>投掷花束</v>
      </c>
      <c r="J105" s="302" t="s">
        <v>288</v>
      </c>
      <c r="K105" s="302" t="s">
        <v>291</v>
      </c>
      <c r="L105" s="272" t="s">
        <v>290</v>
      </c>
      <c r="M105" s="258"/>
    </row>
    <row r="106" spans="1:13" ht="12.75" x14ac:dyDescent="0.2">
      <c r="A106" s="258"/>
      <c r="B106" s="84"/>
      <c r="C106" s="85" t="str">
        <f ca="1">语言!$A$1688</f>
        <v>冰冻之息（全体）</v>
      </c>
      <c r="D106" s="302" t="s">
        <v>303</v>
      </c>
      <c r="E106" s="302" t="s">
        <v>289</v>
      </c>
      <c r="F106" s="272" t="s">
        <v>321</v>
      </c>
      <c r="G106" s="258"/>
      <c r="H106" s="84"/>
      <c r="I106" s="301" t="str">
        <f ca="1">语言!$A$2234</f>
        <v>投掷面具</v>
      </c>
      <c r="J106" s="308" t="s">
        <v>288</v>
      </c>
      <c r="K106" s="308" t="s">
        <v>291</v>
      </c>
      <c r="L106" s="301" t="s">
        <v>290</v>
      </c>
      <c r="M106" s="258"/>
    </row>
    <row r="107" spans="1:13" ht="12.75" x14ac:dyDescent="0.2">
      <c r="A107" s="258"/>
      <c r="B107" s="84"/>
      <c r="C107" s="85" t="str">
        <f ca="1">语言!$A$1657</f>
        <v>钻石之钟（全体）</v>
      </c>
      <c r="D107" s="302" t="s">
        <v>303</v>
      </c>
      <c r="E107" s="302" t="s">
        <v>289</v>
      </c>
      <c r="F107" s="272" t="s">
        <v>330</v>
      </c>
      <c r="G107" s="258"/>
      <c r="H107" s="84"/>
      <c r="I107" s="301" t="str">
        <f ca="1">语言!$A$2281</f>
        <v>投掷教科书</v>
      </c>
      <c r="J107" s="308" t="s">
        <v>288</v>
      </c>
      <c r="K107" s="308" t="s">
        <v>291</v>
      </c>
      <c r="L107" s="301" t="s">
        <v>290</v>
      </c>
      <c r="M107" s="258"/>
    </row>
    <row r="108" spans="1:13" ht="12.75" x14ac:dyDescent="0.2">
      <c r="A108" s="258"/>
      <c r="B108" s="258"/>
      <c r="C108" s="258"/>
      <c r="D108" s="305"/>
      <c r="E108" s="305"/>
      <c r="F108" s="258"/>
      <c r="G108" s="258"/>
      <c r="H108" s="84"/>
      <c r="I108" s="301" t="str">
        <f ca="1">语言!$A$2285</f>
        <v>投掷书本</v>
      </c>
      <c r="J108" s="308" t="s">
        <v>288</v>
      </c>
      <c r="K108" s="308" t="s">
        <v>291</v>
      </c>
      <c r="L108" s="301" t="s">
        <v>290</v>
      </c>
      <c r="M108" s="258"/>
    </row>
    <row r="109" spans="1:13" ht="12.75" x14ac:dyDescent="0.2">
      <c r="A109" s="258"/>
      <c r="B109" s="84"/>
      <c r="C109" s="85" t="str">
        <f ca="1">语言!$A$1670</f>
        <v>雷击</v>
      </c>
      <c r="D109" s="302" t="s">
        <v>288</v>
      </c>
      <c r="E109" s="302" t="s">
        <v>289</v>
      </c>
      <c r="F109" s="272" t="s">
        <v>290</v>
      </c>
      <c r="G109" s="258"/>
      <c r="H109" s="84"/>
      <c r="I109" s="301" t="str">
        <f ca="1">语言!$A$2288</f>
        <v>投掷日记</v>
      </c>
      <c r="J109" s="308" t="s">
        <v>288</v>
      </c>
      <c r="K109" s="308" t="s">
        <v>291</v>
      </c>
      <c r="L109" s="301" t="s">
        <v>290</v>
      </c>
      <c r="M109" s="258"/>
    </row>
    <row r="110" spans="1:13" ht="12.75" x14ac:dyDescent="0.2">
      <c r="A110" s="258"/>
      <c r="B110" s="84"/>
      <c r="C110" s="85" t="str">
        <f ca="1">语言!$A$1724</f>
        <v>连续雷击</v>
      </c>
      <c r="D110" s="302" t="s">
        <v>288</v>
      </c>
      <c r="E110" s="302" t="s">
        <v>296</v>
      </c>
      <c r="F110" s="272" t="s">
        <v>290</v>
      </c>
      <c r="G110" s="258"/>
      <c r="H110" s="84"/>
      <c r="I110" s="301" t="str">
        <f ca="1">语言!$A$2254</f>
        <v>投掷抹布</v>
      </c>
      <c r="J110" s="308" t="s">
        <v>288</v>
      </c>
      <c r="K110" s="308" t="s">
        <v>291</v>
      </c>
      <c r="L110" s="301" t="s">
        <v>304</v>
      </c>
      <c r="M110" s="258"/>
    </row>
    <row r="111" spans="1:13" ht="12.75" x14ac:dyDescent="0.2">
      <c r="A111" s="258"/>
      <c r="B111" s="84"/>
      <c r="C111" s="85" t="str">
        <f ca="1">语言!$A$1753</f>
        <v>防护雷击</v>
      </c>
      <c r="D111" s="302" t="s">
        <v>288</v>
      </c>
      <c r="E111" s="302" t="s">
        <v>289</v>
      </c>
      <c r="F111" s="272" t="s">
        <v>299</v>
      </c>
      <c r="G111" s="258"/>
      <c r="H111" s="272"/>
      <c r="I111" s="301" t="str">
        <f ca="1">语言!$A$2260</f>
        <v>投掷沙</v>
      </c>
      <c r="J111" s="308" t="s">
        <v>288</v>
      </c>
      <c r="K111" s="308" t="s">
        <v>291</v>
      </c>
      <c r="L111" s="301" t="s">
        <v>317</v>
      </c>
      <c r="M111" s="258"/>
    </row>
    <row r="112" spans="1:13" ht="12.75" x14ac:dyDescent="0.2">
      <c r="A112" s="258"/>
      <c r="B112" s="84"/>
      <c r="C112" s="85" t="str">
        <f ca="1">语言!$A$1671</f>
        <v>雷击（全体）</v>
      </c>
      <c r="D112" s="302" t="s">
        <v>303</v>
      </c>
      <c r="E112" s="302" t="s">
        <v>289</v>
      </c>
      <c r="F112" s="272" t="s">
        <v>290</v>
      </c>
      <c r="G112" s="258"/>
      <c r="H112" s="84"/>
      <c r="I112" s="301" t="str">
        <f ca="1">语言!$A$2196</f>
        <v>全力投掷酒</v>
      </c>
      <c r="J112" s="308" t="s">
        <v>288</v>
      </c>
      <c r="K112" s="308" t="s">
        <v>320</v>
      </c>
      <c r="L112" s="301" t="s">
        <v>306</v>
      </c>
      <c r="M112" s="258"/>
    </row>
    <row r="113" spans="1:13" ht="12.75" x14ac:dyDescent="0.2">
      <c r="A113" s="258"/>
      <c r="B113" s="84"/>
      <c r="C113" s="85" t="str">
        <f ca="1">语言!$A$1638</f>
        <v>恐光电光（全体）</v>
      </c>
      <c r="D113" s="302" t="s">
        <v>303</v>
      </c>
      <c r="E113" s="302" t="s">
        <v>289</v>
      </c>
      <c r="F113" s="272" t="s">
        <v>297</v>
      </c>
      <c r="G113" s="258"/>
      <c r="H113" s="84"/>
      <c r="I113" s="303" t="str">
        <f ca="1">语言!$A$2205</f>
        <v>全力投掷日记</v>
      </c>
      <c r="J113" s="302" t="s">
        <v>303</v>
      </c>
      <c r="K113" s="302" t="s">
        <v>291</v>
      </c>
      <c r="L113" s="272" t="s">
        <v>290</v>
      </c>
      <c r="M113" s="258"/>
    </row>
    <row r="114" spans="1:13" ht="12.75" x14ac:dyDescent="0.2">
      <c r="A114" s="258"/>
      <c r="B114" s="84"/>
      <c r="C114" s="85" t="str">
        <f ca="1">语言!$A$1752</f>
        <v>漩涡暴击之钟（全体）</v>
      </c>
      <c r="D114" s="302" t="s">
        <v>303</v>
      </c>
      <c r="E114" s="302" t="s">
        <v>289</v>
      </c>
      <c r="F114" s="272" t="s">
        <v>330</v>
      </c>
      <c r="G114" s="258"/>
      <c r="H114" s="84"/>
      <c r="I114" s="301" t="str">
        <f ca="1">语言!$A$2284</f>
        <v>全力投掷书本</v>
      </c>
      <c r="J114" s="308" t="s">
        <v>303</v>
      </c>
      <c r="K114" s="308" t="s">
        <v>291</v>
      </c>
      <c r="L114" s="301" t="s">
        <v>290</v>
      </c>
      <c r="M114" s="258"/>
    </row>
    <row r="115" spans="1:13" ht="12.75" x14ac:dyDescent="0.2">
      <c r="A115" s="258"/>
      <c r="B115" s="258"/>
      <c r="C115" s="258"/>
      <c r="D115" s="305"/>
      <c r="E115" s="305"/>
      <c r="F115" s="258"/>
      <c r="G115" s="258"/>
      <c r="H115" s="272"/>
      <c r="I115" s="301" t="str">
        <f ca="1">语言!$A$2158</f>
        <v>调和「炸裂爆药」</v>
      </c>
      <c r="J115" s="308" t="s">
        <v>303</v>
      </c>
      <c r="K115" s="308" t="s">
        <v>291</v>
      </c>
      <c r="L115" s="301" t="s">
        <v>290</v>
      </c>
      <c r="M115" s="258"/>
    </row>
    <row r="116" spans="1:13" ht="12.75" x14ac:dyDescent="0.2">
      <c r="A116" s="258"/>
      <c r="B116" s="84"/>
      <c r="C116" s="85" t="str">
        <f ca="1">语言!$A$1755</f>
        <v>风斩</v>
      </c>
      <c r="D116" s="302" t="s">
        <v>288</v>
      </c>
      <c r="E116" s="302" t="s">
        <v>289</v>
      </c>
      <c r="F116" s="272" t="s">
        <v>290</v>
      </c>
      <c r="G116" s="258"/>
      <c r="H116" s="300"/>
      <c r="I116" s="304"/>
      <c r="J116" s="305"/>
      <c r="K116" s="305"/>
      <c r="L116" s="258"/>
      <c r="M116" s="258"/>
    </row>
    <row r="117" spans="1:13" ht="12.75" x14ac:dyDescent="0.2">
      <c r="A117" s="258"/>
      <c r="B117" s="84"/>
      <c r="C117" s="85" t="str">
        <f ca="1">语言!$A$1742</f>
        <v>镰鼬</v>
      </c>
      <c r="D117" s="302" t="s">
        <v>288</v>
      </c>
      <c r="E117" s="302" t="s">
        <v>289</v>
      </c>
      <c r="F117" s="272" t="s">
        <v>290</v>
      </c>
      <c r="G117" s="258"/>
      <c r="H117" s="84"/>
      <c r="I117" s="301" t="str">
        <f ca="1">语言!$A$2248</f>
        <v>祈祷</v>
      </c>
      <c r="J117" s="308" t="s">
        <v>288</v>
      </c>
      <c r="K117" s="308" t="s">
        <v>290</v>
      </c>
      <c r="L117" s="301" t="s">
        <v>332</v>
      </c>
      <c r="M117" s="258"/>
    </row>
    <row r="118" spans="1:13" ht="12.75" x14ac:dyDescent="0.2">
      <c r="A118" s="258"/>
      <c r="B118" s="84"/>
      <c r="C118" s="85" t="str">
        <f ca="1">语言!$A$1745</f>
        <v>剧毒之风</v>
      </c>
      <c r="D118" s="302" t="s">
        <v>288</v>
      </c>
      <c r="E118" s="302" t="s">
        <v>289</v>
      </c>
      <c r="F118" s="272" t="s">
        <v>305</v>
      </c>
      <c r="G118" s="258"/>
      <c r="H118" s="84"/>
      <c r="I118" s="301" t="str">
        <f ca="1">语言!$A$2199</f>
        <v>恢复ＨＰ的葡萄</v>
      </c>
      <c r="J118" s="308" t="s">
        <v>288</v>
      </c>
      <c r="K118" s="308" t="s">
        <v>290</v>
      </c>
      <c r="L118" s="301" t="s">
        <v>333</v>
      </c>
      <c r="M118" s="258"/>
    </row>
    <row r="119" spans="1:13" ht="12.75" x14ac:dyDescent="0.2">
      <c r="A119" s="258"/>
      <c r="B119" s="84"/>
      <c r="C119" s="85" t="str">
        <f ca="1">语言!$A$1735</f>
        <v>睡眠之风</v>
      </c>
      <c r="D119" s="302" t="s">
        <v>288</v>
      </c>
      <c r="E119" s="302" t="s">
        <v>289</v>
      </c>
      <c r="F119" s="272" t="s">
        <v>295</v>
      </c>
      <c r="G119" s="258"/>
      <c r="H119" s="272"/>
      <c r="I119" s="301" t="str">
        <f ca="1">语言!$A$2138</f>
        <v>阿里的面包</v>
      </c>
      <c r="J119" s="308" t="s">
        <v>288</v>
      </c>
      <c r="K119" s="308" t="s">
        <v>290</v>
      </c>
      <c r="L119" s="301" t="s">
        <v>333</v>
      </c>
      <c r="M119" s="258"/>
    </row>
    <row r="120" spans="1:13" ht="12.75" x14ac:dyDescent="0.2">
      <c r="A120" s="258"/>
      <c r="B120" s="84"/>
      <c r="C120" s="85" t="str">
        <f ca="1">语言!$A$1756</f>
        <v>风斩（全体）</v>
      </c>
      <c r="D120" s="302" t="s">
        <v>303</v>
      </c>
      <c r="E120" s="302" t="s">
        <v>289</v>
      </c>
      <c r="F120" s="272" t="s">
        <v>290</v>
      </c>
      <c r="G120" s="258"/>
      <c r="H120" s="272"/>
      <c r="I120" s="301" t="str">
        <f ca="1">语言!$A$2190</f>
        <v>刚出炉的面包</v>
      </c>
      <c r="J120" s="308" t="s">
        <v>288</v>
      </c>
      <c r="K120" s="308" t="s">
        <v>290</v>
      </c>
      <c r="L120" s="301" t="s">
        <v>333</v>
      </c>
      <c r="M120" s="258"/>
    </row>
    <row r="121" spans="1:13" ht="12.75" x14ac:dyDescent="0.2">
      <c r="A121" s="258"/>
      <c r="B121" s="84"/>
      <c r="C121" s="85" t="str">
        <f ca="1">语言!$A$1648</f>
        <v>死亡之蝶（全体）</v>
      </c>
      <c r="D121" s="302" t="s">
        <v>303</v>
      </c>
      <c r="E121" s="302" t="s">
        <v>289</v>
      </c>
      <c r="F121" s="272" t="s">
        <v>295</v>
      </c>
      <c r="G121" s="258"/>
      <c r="H121" s="84"/>
      <c r="I121" s="301" t="str">
        <f ca="1">语言!$A$2258</f>
        <v>ＨＰ疗愈</v>
      </c>
      <c r="J121" s="308" t="s">
        <v>288</v>
      </c>
      <c r="K121" s="308" t="s">
        <v>290</v>
      </c>
      <c r="L121" s="301" t="s">
        <v>333</v>
      </c>
      <c r="M121" s="258"/>
    </row>
    <row r="122" spans="1:13" ht="12.75" x14ac:dyDescent="0.2">
      <c r="A122" s="258"/>
      <c r="B122" s="84"/>
      <c r="C122" s="85" t="str">
        <f ca="1">语言!$A$1655</f>
        <v>破坏之风翼（全体）</v>
      </c>
      <c r="D122" s="302" t="s">
        <v>303</v>
      </c>
      <c r="E122" s="302" t="s">
        <v>289</v>
      </c>
      <c r="F122" s="272" t="s">
        <v>307</v>
      </c>
      <c r="G122" s="258"/>
      <c r="H122" s="84"/>
      <c r="I122" s="301" t="str">
        <f ca="1">语言!$A$2200</f>
        <v>恢复ＨＰ的葡萄（大）</v>
      </c>
      <c r="J122" s="308" t="s">
        <v>288</v>
      </c>
      <c r="K122" s="308" t="s">
        <v>290</v>
      </c>
      <c r="L122" s="301" t="s">
        <v>334</v>
      </c>
      <c r="M122" s="258"/>
    </row>
    <row r="123" spans="1:13" ht="12.75" x14ac:dyDescent="0.2">
      <c r="A123" s="258"/>
      <c r="B123" s="84"/>
      <c r="C123" s="85" t="str">
        <f ca="1">语言!$A$1741</f>
        <v>暴风雨之钟（全体）</v>
      </c>
      <c r="D123" s="302" t="s">
        <v>303</v>
      </c>
      <c r="E123" s="302" t="s">
        <v>289</v>
      </c>
      <c r="F123" s="272" t="s">
        <v>330</v>
      </c>
      <c r="G123" s="258"/>
      <c r="H123" s="84"/>
      <c r="I123" s="301" t="str">
        <f ca="1">语言!$A$2201</f>
        <v>恢复全体ＨＰ的技能</v>
      </c>
      <c r="J123" s="308" t="s">
        <v>303</v>
      </c>
      <c r="K123" s="308" t="s">
        <v>290</v>
      </c>
      <c r="L123" s="301" t="s">
        <v>333</v>
      </c>
      <c r="M123" s="258"/>
    </row>
    <row r="124" spans="1:13" ht="12.75" x14ac:dyDescent="0.2">
      <c r="A124" s="258"/>
      <c r="B124" s="258"/>
      <c r="C124" s="258"/>
      <c r="D124" s="305"/>
      <c r="E124" s="305"/>
      <c r="F124" s="258"/>
      <c r="G124" s="258"/>
      <c r="H124" s="272"/>
      <c r="I124" s="301" t="str">
        <f ca="1">语言!$A$2230</f>
        <v>恢复全体ＨＰ的大技能</v>
      </c>
      <c r="J124" s="308" t="s">
        <v>303</v>
      </c>
      <c r="K124" s="308" t="s">
        <v>290</v>
      </c>
      <c r="L124" s="301" t="s">
        <v>335</v>
      </c>
      <c r="M124" s="258"/>
    </row>
    <row r="125" spans="1:13" ht="12.75" x14ac:dyDescent="0.2">
      <c r="A125" s="258"/>
      <c r="B125" s="84"/>
      <c r="C125" s="85" t="str">
        <f ca="1">语言!$A$1697</f>
        <v>光明</v>
      </c>
      <c r="D125" s="302" t="s">
        <v>288</v>
      </c>
      <c r="E125" s="302" t="s">
        <v>289</v>
      </c>
      <c r="F125" s="272" t="s">
        <v>290</v>
      </c>
      <c r="G125" s="258"/>
      <c r="H125" s="84"/>
      <c r="I125" s="301" t="str">
        <f ca="1">语言!$A$2192</f>
        <v>恢复全体ＨＰ的特大技能</v>
      </c>
      <c r="J125" s="308" t="s">
        <v>303</v>
      </c>
      <c r="K125" s="308" t="s">
        <v>290</v>
      </c>
      <c r="L125" s="301" t="s">
        <v>336</v>
      </c>
      <c r="M125" s="258"/>
    </row>
    <row r="126" spans="1:13" ht="12.75" x14ac:dyDescent="0.2">
      <c r="A126" s="258"/>
      <c r="B126" s="84"/>
      <c r="C126" s="85" t="str">
        <f ca="1">语言!$A$1695</f>
        <v>连续光明</v>
      </c>
      <c r="D126" s="302" t="s">
        <v>288</v>
      </c>
      <c r="E126" s="302" t="s">
        <v>296</v>
      </c>
      <c r="F126" s="272" t="s">
        <v>290</v>
      </c>
      <c r="G126" s="258"/>
      <c r="H126" s="84"/>
      <c r="I126" s="301" t="str">
        <f ca="1">语言!$A$2194</f>
        <v>疗愈的摇篮</v>
      </c>
      <c r="J126" s="308" t="s">
        <v>303</v>
      </c>
      <c r="K126" s="308" t="s">
        <v>290</v>
      </c>
      <c r="L126" s="301" t="s">
        <v>336</v>
      </c>
      <c r="M126" s="258"/>
    </row>
    <row r="127" spans="1:13" ht="12.75" x14ac:dyDescent="0.2">
      <c r="A127" s="258"/>
      <c r="B127" s="84"/>
      <c r="C127" s="85" t="str">
        <f ca="1">语言!$A$1698</f>
        <v>光明（全体）</v>
      </c>
      <c r="D127" s="302" t="s">
        <v>303</v>
      </c>
      <c r="E127" s="302" t="s">
        <v>289</v>
      </c>
      <c r="F127" s="272" t="s">
        <v>290</v>
      </c>
      <c r="G127" s="258"/>
      <c r="H127" s="272"/>
      <c r="I127" s="301" t="str">
        <f ca="1">语言!$A$2159</f>
        <v>【调和】全部恢复药</v>
      </c>
      <c r="J127" s="308" t="s">
        <v>303</v>
      </c>
      <c r="K127" s="308" t="s">
        <v>290</v>
      </c>
      <c r="L127" s="301" t="s">
        <v>337</v>
      </c>
      <c r="M127" s="258"/>
    </row>
    <row r="128" spans="1:13" ht="12.75" x14ac:dyDescent="0.2">
      <c r="A128" s="258"/>
      <c r="B128" s="84"/>
      <c r="C128" s="85" t="str">
        <f ca="1">语言!$A$1728</f>
        <v>太能光能射线之钟（全体）</v>
      </c>
      <c r="D128" s="302" t="s">
        <v>303</v>
      </c>
      <c r="E128" s="302" t="s">
        <v>289</v>
      </c>
      <c r="F128" s="272" t="s">
        <v>330</v>
      </c>
      <c r="G128" s="258"/>
      <c r="H128" s="300"/>
      <c r="I128" s="309"/>
      <c r="J128" s="310"/>
      <c r="K128" s="310"/>
      <c r="L128" s="309"/>
      <c r="M128" s="258"/>
    </row>
    <row r="129" spans="1:13" ht="12.75" x14ac:dyDescent="0.2">
      <c r="A129" s="258"/>
      <c r="B129" s="258"/>
      <c r="C129" s="258"/>
      <c r="D129" s="305"/>
      <c r="E129" s="305"/>
      <c r="F129" s="258"/>
      <c r="G129" s="258"/>
      <c r="H129" s="272"/>
      <c r="I129" s="301" t="str">
        <f ca="1">语言!$A$2215</f>
        <v>恢复ＳＰ的李子</v>
      </c>
      <c r="J129" s="308" t="s">
        <v>288</v>
      </c>
      <c r="K129" s="308" t="s">
        <v>290</v>
      </c>
      <c r="L129" s="301" t="s">
        <v>338</v>
      </c>
      <c r="M129" s="258"/>
    </row>
    <row r="130" spans="1:13" ht="12.75" x14ac:dyDescent="0.2">
      <c r="A130" s="258"/>
      <c r="B130" s="84"/>
      <c r="C130" s="85" t="str">
        <f ca="1">语言!$A$1675</f>
        <v>暗黑</v>
      </c>
      <c r="D130" s="302" t="s">
        <v>288</v>
      </c>
      <c r="E130" s="302" t="s">
        <v>289</v>
      </c>
      <c r="F130" s="272" t="s">
        <v>290</v>
      </c>
      <c r="G130" s="258"/>
      <c r="H130" s="272"/>
      <c r="I130" s="301" t="str">
        <f ca="1">语言!$A$2172</f>
        <v>技能的气息</v>
      </c>
      <c r="J130" s="308" t="s">
        <v>303</v>
      </c>
      <c r="K130" s="308" t="s">
        <v>290</v>
      </c>
      <c r="L130" s="301" t="s">
        <v>339</v>
      </c>
      <c r="M130" s="258"/>
    </row>
    <row r="131" spans="1:13" ht="12.75" x14ac:dyDescent="0.2">
      <c r="A131" s="258"/>
      <c r="B131" s="84"/>
      <c r="C131" s="85" t="str">
        <f ca="1">语言!$A$1722</f>
        <v>连续暗黑</v>
      </c>
      <c r="D131" s="302" t="s">
        <v>288</v>
      </c>
      <c r="E131" s="302" t="s">
        <v>296</v>
      </c>
      <c r="F131" s="272" t="s">
        <v>290</v>
      </c>
      <c r="G131" s="258"/>
      <c r="H131" s="84"/>
      <c r="I131" s="301" t="str">
        <f ca="1">语言!$A$2180</f>
        <v>南国的调味料</v>
      </c>
      <c r="J131" s="308" t="s">
        <v>303</v>
      </c>
      <c r="K131" s="308" t="s">
        <v>290</v>
      </c>
      <c r="L131" s="301" t="s">
        <v>338</v>
      </c>
      <c r="M131" s="258"/>
    </row>
    <row r="132" spans="1:13" ht="12.75" x14ac:dyDescent="0.2">
      <c r="A132" s="258"/>
      <c r="B132" s="84"/>
      <c r="C132" s="85" t="str">
        <f ca="1">语言!$A$1676</f>
        <v>暗黑（全体）</v>
      </c>
      <c r="D132" s="302" t="s">
        <v>303</v>
      </c>
      <c r="E132" s="302" t="s">
        <v>289</v>
      </c>
      <c r="F132" s="272" t="s">
        <v>290</v>
      </c>
      <c r="G132" s="258"/>
      <c r="H132" s="84"/>
      <c r="I132" s="301" t="str">
        <f ca="1">语言!$A$2189</f>
        <v>鼓动技能</v>
      </c>
      <c r="J132" s="308" t="s">
        <v>303</v>
      </c>
      <c r="K132" s="308" t="s">
        <v>290</v>
      </c>
      <c r="L132" s="301" t="s">
        <v>340</v>
      </c>
      <c r="M132" s="258"/>
    </row>
    <row r="133" spans="1:13" ht="12.75" x14ac:dyDescent="0.2">
      <c r="A133" s="258"/>
      <c r="B133" s="84"/>
      <c r="C133" s="85" t="str">
        <f ca="1">语言!$A$1669</f>
        <v>日蚀之钟（全体）</v>
      </c>
      <c r="D133" s="302" t="s">
        <v>303</v>
      </c>
      <c r="E133" s="302" t="s">
        <v>289</v>
      </c>
      <c r="F133" s="272" t="s">
        <v>330</v>
      </c>
      <c r="G133" s="258"/>
      <c r="H133" s="258"/>
      <c r="I133" s="309"/>
      <c r="J133" s="310"/>
      <c r="K133" s="310"/>
      <c r="L133" s="309"/>
      <c r="M133" s="258"/>
    </row>
    <row r="134" spans="1:13" ht="12.75" x14ac:dyDescent="0.2">
      <c r="A134" s="258"/>
      <c r="B134" s="258"/>
      <c r="C134" s="258"/>
      <c r="D134" s="305"/>
      <c r="E134" s="305"/>
      <c r="F134" s="258"/>
      <c r="G134" s="258"/>
      <c r="H134" s="84"/>
      <c r="I134" s="301" t="str">
        <f ca="1">语言!$A$2141</f>
        <v>睡眠治疗药</v>
      </c>
      <c r="J134" s="308" t="s">
        <v>288</v>
      </c>
      <c r="K134" s="308" t="s">
        <v>290</v>
      </c>
      <c r="L134" s="301" t="s">
        <v>341</v>
      </c>
      <c r="M134" s="258"/>
    </row>
    <row r="135" spans="1:13" ht="12.75" x14ac:dyDescent="0.2">
      <c r="A135" s="258"/>
      <c r="B135" s="272"/>
      <c r="C135" s="85" t="str">
        <f ca="1">语言!$A$1717</f>
        <v>ＨＰ治疗</v>
      </c>
      <c r="D135" s="302" t="s">
        <v>288</v>
      </c>
      <c r="E135" s="302" t="s">
        <v>290</v>
      </c>
      <c r="F135" s="272" t="s">
        <v>342</v>
      </c>
      <c r="G135" s="258"/>
      <c r="H135" s="272"/>
      <c r="I135" s="301" t="str">
        <f ca="1">语言!$A$2168</f>
        <v>暗暗治疗药</v>
      </c>
      <c r="J135" s="308" t="s">
        <v>288</v>
      </c>
      <c r="K135" s="308" t="s">
        <v>290</v>
      </c>
      <c r="L135" s="301" t="s">
        <v>343</v>
      </c>
      <c r="M135" s="258"/>
    </row>
    <row r="136" spans="1:13" ht="12.75" x14ac:dyDescent="0.2">
      <c r="A136" s="258"/>
      <c r="B136" s="272"/>
      <c r="C136" s="85" t="str">
        <f ca="1">语言!$A$1716</f>
        <v>ＨＰ治疗（大）</v>
      </c>
      <c r="D136" s="302" t="s">
        <v>288</v>
      </c>
      <c r="E136" s="302" t="s">
        <v>290</v>
      </c>
      <c r="F136" s="272" t="s">
        <v>344</v>
      </c>
      <c r="G136" s="258"/>
      <c r="H136" s="84"/>
      <c r="I136" s="301" t="str">
        <f ca="1">语言!$A$2169</f>
        <v>毒治疗药</v>
      </c>
      <c r="J136" s="308" t="s">
        <v>288</v>
      </c>
      <c r="K136" s="308" t="s">
        <v>290</v>
      </c>
      <c r="L136" s="301" t="s">
        <v>345</v>
      </c>
      <c r="M136" s="258"/>
    </row>
    <row r="137" spans="1:13" ht="12.75" x14ac:dyDescent="0.2">
      <c r="A137" s="258"/>
      <c r="B137" s="272"/>
      <c r="C137" s="85" t="str">
        <f ca="1">语言!$A$1650</f>
        <v>持续光合成（ＨＰ）</v>
      </c>
      <c r="D137" s="302" t="s">
        <v>288</v>
      </c>
      <c r="E137" s="302" t="s">
        <v>290</v>
      </c>
      <c r="F137" s="272" t="s">
        <v>346</v>
      </c>
      <c r="G137" s="258"/>
      <c r="H137" s="272"/>
      <c r="I137" s="301" t="str">
        <f ca="1">语言!$A$2170</f>
        <v>沉默治疗药</v>
      </c>
      <c r="J137" s="308" t="s">
        <v>288</v>
      </c>
      <c r="K137" s="308" t="s">
        <v>290</v>
      </c>
      <c r="L137" s="301" t="s">
        <v>347</v>
      </c>
      <c r="M137" s="258"/>
    </row>
    <row r="138" spans="1:13" ht="12.75" x14ac:dyDescent="0.2">
      <c r="A138" s="258"/>
      <c r="B138" s="627"/>
      <c r="C138" s="499" t="str">
        <f ca="1">语言!$A$1708</f>
        <v>千年茸</v>
      </c>
      <c r="D138" s="628" t="s">
        <v>288</v>
      </c>
      <c r="E138" s="628" t="s">
        <v>290</v>
      </c>
      <c r="F138" s="627" t="s">
        <v>348</v>
      </c>
      <c r="G138" s="258"/>
      <c r="H138" s="272"/>
      <c r="I138" s="301" t="str">
        <f ca="1">语言!$A$2235</f>
        <v>万能药</v>
      </c>
      <c r="J138" s="308" t="s">
        <v>288</v>
      </c>
      <c r="K138" s="308" t="s">
        <v>290</v>
      </c>
      <c r="L138" s="301" t="s">
        <v>349</v>
      </c>
      <c r="M138" s="258"/>
    </row>
    <row r="139" spans="1:13" ht="12.75" x14ac:dyDescent="0.2">
      <c r="A139" s="258"/>
      <c r="B139" s="371"/>
      <c r="C139" s="371"/>
      <c r="D139" s="371"/>
      <c r="E139" s="371"/>
      <c r="F139" s="371"/>
      <c r="G139" s="258"/>
      <c r="H139" s="300"/>
      <c r="I139" s="309"/>
      <c r="J139" s="310"/>
      <c r="K139" s="310"/>
      <c r="L139" s="309"/>
      <c r="M139" s="258"/>
    </row>
    <row r="140" spans="1:13" ht="12.75" x14ac:dyDescent="0.2">
      <c r="A140" s="258"/>
      <c r="B140" s="272"/>
      <c r="C140" s="85" t="str">
        <f ca="1">语言!$A$1682</f>
        <v>理毛（全体）</v>
      </c>
      <c r="D140" s="302" t="s">
        <v>303</v>
      </c>
      <c r="E140" s="302" t="s">
        <v>290</v>
      </c>
      <c r="F140" s="272" t="s">
        <v>342</v>
      </c>
      <c r="G140" s="258"/>
      <c r="H140" s="84"/>
      <c r="I140" s="301" t="str">
        <f ca="1">语言!$A$2243</f>
        <v>毒药</v>
      </c>
      <c r="J140" s="308" t="s">
        <v>288</v>
      </c>
      <c r="K140" s="308" t="s">
        <v>290</v>
      </c>
      <c r="L140" s="301" t="s">
        <v>304</v>
      </c>
      <c r="M140" s="258"/>
    </row>
    <row r="141" spans="1:13" ht="12.75" x14ac:dyDescent="0.2">
      <c r="A141" s="258"/>
      <c r="B141" s="272"/>
      <c r="C141" s="85" t="str">
        <f ca="1">语言!$A$1680</f>
        <v>ＨＰ治疗（大）（全体）</v>
      </c>
      <c r="D141" s="302" t="s">
        <v>303</v>
      </c>
      <c r="E141" s="302" t="s">
        <v>290</v>
      </c>
      <c r="F141" s="272" t="s">
        <v>344</v>
      </c>
      <c r="G141" s="258"/>
      <c r="H141" s="272"/>
      <c r="I141" s="301" t="str">
        <f ca="1">语言!$A$2160&amp;" ("&amp;语言!$A$2135&amp;")"</f>
        <v>【调和】毒药 (药师杰夫)</v>
      </c>
      <c r="J141" s="308" t="s">
        <v>288</v>
      </c>
      <c r="K141" s="308" t="s">
        <v>290</v>
      </c>
      <c r="L141" s="301" t="s">
        <v>350</v>
      </c>
      <c r="M141" s="258"/>
    </row>
    <row r="142" spans="1:13" ht="12.75" x14ac:dyDescent="0.2">
      <c r="A142" s="258"/>
      <c r="B142" s="272"/>
      <c r="C142" s="85" t="str">
        <f ca="1">语言!$A$1692</f>
        <v>惊奇疗愈（全体）</v>
      </c>
      <c r="D142" s="302" t="s">
        <v>303</v>
      </c>
      <c r="E142" s="302" t="s">
        <v>290</v>
      </c>
      <c r="F142" s="272" t="s">
        <v>351</v>
      </c>
      <c r="G142" s="258"/>
      <c r="H142" s="84"/>
      <c r="I142" s="301" t="str">
        <f ca="1">语言!$A$2161&amp;" ("&amp;语言!$A$2115&amp;")"</f>
        <v>调和「猛毒药」 (药师凡妮莎)</v>
      </c>
      <c r="J142" s="308" t="s">
        <v>288</v>
      </c>
      <c r="K142" s="308" t="s">
        <v>290</v>
      </c>
      <c r="L142" s="301" t="s">
        <v>352</v>
      </c>
      <c r="M142" s="258"/>
    </row>
    <row r="143" spans="1:13" ht="12.75" x14ac:dyDescent="0.2">
      <c r="A143" s="258"/>
      <c r="B143" s="272"/>
      <c r="C143" s="85" t="str">
        <f ca="1">语言!$A$1651</f>
        <v>持续光合成（ＳＰ）（全体）</v>
      </c>
      <c r="D143" s="302" t="s">
        <v>303</v>
      </c>
      <c r="E143" s="302" t="s">
        <v>290</v>
      </c>
      <c r="F143" s="272" t="s">
        <v>353</v>
      </c>
      <c r="G143" s="258"/>
      <c r="H143" s="84"/>
      <c r="I143" s="301" t="str">
        <f ca="1">语言!$A$2147</f>
        <v>暗暗药</v>
      </c>
      <c r="J143" s="308" t="s">
        <v>288</v>
      </c>
      <c r="K143" s="308" t="s">
        <v>290</v>
      </c>
      <c r="L143" s="301" t="s">
        <v>317</v>
      </c>
      <c r="M143" s="258"/>
    </row>
    <row r="144" spans="1:13" ht="12.75" x14ac:dyDescent="0.2">
      <c r="A144" s="258"/>
      <c r="B144" s="258"/>
      <c r="C144" s="258"/>
      <c r="D144" s="305"/>
      <c r="E144" s="305"/>
      <c r="F144" s="258"/>
      <c r="G144" s="258"/>
      <c r="H144" s="272"/>
      <c r="I144" s="301" t="str">
        <f ca="1">语言!$A$2266</f>
        <v>睡眠药</v>
      </c>
      <c r="J144" s="308" t="s">
        <v>288</v>
      </c>
      <c r="K144" s="308" t="s">
        <v>290</v>
      </c>
      <c r="L144" s="301" t="s">
        <v>318</v>
      </c>
      <c r="M144" s="258"/>
    </row>
    <row r="145" spans="1:13" ht="12.75" x14ac:dyDescent="0.2">
      <c r="A145" s="258"/>
      <c r="B145" s="272"/>
      <c r="C145" s="85" t="str">
        <f ca="1">语言!$A$1744</f>
        <v>剧毒之雾（全体）</v>
      </c>
      <c r="D145" s="302" t="s">
        <v>303</v>
      </c>
      <c r="E145" s="302" t="s">
        <v>290</v>
      </c>
      <c r="F145" s="272" t="s">
        <v>354</v>
      </c>
      <c r="G145" s="258"/>
      <c r="H145" s="84"/>
      <c r="I145" s="301" t="str">
        <f ca="1">语言!$A$2262</f>
        <v>可疑的什么东西</v>
      </c>
      <c r="J145" s="308" t="s">
        <v>288</v>
      </c>
      <c r="K145" s="308" t="s">
        <v>290</v>
      </c>
      <c r="L145" s="301" t="s">
        <v>318</v>
      </c>
      <c r="M145" s="258"/>
    </row>
    <row r="146" spans="1:13" ht="12.75" x14ac:dyDescent="0.2">
      <c r="A146" s="258"/>
      <c r="B146" s="272"/>
      <c r="C146" s="85" t="str">
        <f ca="1">语言!$A$1643</f>
        <v>失明之雾（全体）</v>
      </c>
      <c r="D146" s="302" t="s">
        <v>303</v>
      </c>
      <c r="E146" s="302" t="s">
        <v>290</v>
      </c>
      <c r="F146" s="272" t="s">
        <v>355</v>
      </c>
      <c r="G146" s="258"/>
      <c r="H146" s="272"/>
      <c r="I146" s="301" t="str">
        <f ca="1">语言!$A$2162</f>
        <v>调和「睡眠药」</v>
      </c>
      <c r="J146" s="308" t="s">
        <v>288</v>
      </c>
      <c r="K146" s="308" t="s">
        <v>290</v>
      </c>
      <c r="L146" s="301" t="s">
        <v>356</v>
      </c>
      <c r="M146" s="258"/>
    </row>
    <row r="147" spans="1:13" ht="12.75" x14ac:dyDescent="0.2">
      <c r="A147" s="258"/>
      <c r="B147" s="272"/>
      <c r="C147" s="85" t="str">
        <f ca="1">语言!$A$1713</f>
        <v>彩虹闪光（全体）</v>
      </c>
      <c r="D147" s="302" t="s">
        <v>303</v>
      </c>
      <c r="E147" s="302" t="s">
        <v>290</v>
      </c>
      <c r="F147" s="272" t="s">
        <v>357</v>
      </c>
      <c r="G147" s="258"/>
      <c r="H147" s="272"/>
      <c r="I147" s="301" t="str">
        <f ca="1">语言!$A$2143</f>
        <v>混乱药</v>
      </c>
      <c r="J147" s="308" t="s">
        <v>288</v>
      </c>
      <c r="K147" s="308" t="s">
        <v>290</v>
      </c>
      <c r="L147" s="301" t="s">
        <v>306</v>
      </c>
      <c r="M147" s="311"/>
    </row>
    <row r="148" spans="1:13" ht="12.75" x14ac:dyDescent="0.2">
      <c r="A148" s="258"/>
      <c r="B148" s="272"/>
      <c r="C148" s="85" t="str">
        <f ca="1">语言!$A$1727</f>
        <v>睡眠波（全体）</v>
      </c>
      <c r="D148" s="302" t="s">
        <v>303</v>
      </c>
      <c r="E148" s="302" t="s">
        <v>290</v>
      </c>
      <c r="F148" s="272" t="s">
        <v>358</v>
      </c>
      <c r="G148" s="258"/>
      <c r="H148" s="272"/>
      <c r="I148" s="301" t="str">
        <f ca="1">语言!$A$2245</f>
        <v>毒粉</v>
      </c>
      <c r="J148" s="308" t="s">
        <v>303</v>
      </c>
      <c r="K148" s="308" t="s">
        <v>290</v>
      </c>
      <c r="L148" s="301" t="s">
        <v>350</v>
      </c>
      <c r="M148" s="311"/>
    </row>
    <row r="149" spans="1:13" ht="12.75" x14ac:dyDescent="0.2">
      <c r="A149" s="258"/>
      <c r="B149" s="272"/>
      <c r="C149" s="85" t="str">
        <f ca="1">语言!$A$1732</f>
        <v>睡眠之雾（全体）</v>
      </c>
      <c r="D149" s="302" t="s">
        <v>303</v>
      </c>
      <c r="E149" s="302" t="s">
        <v>290</v>
      </c>
      <c r="F149" s="272" t="s">
        <v>359</v>
      </c>
      <c r="G149" s="258"/>
      <c r="H149" s="84"/>
      <c r="I149" s="301" t="str">
        <f ca="1">语言!$A$2178</f>
        <v>撒上小麦粉</v>
      </c>
      <c r="J149" s="308" t="s">
        <v>303</v>
      </c>
      <c r="K149" s="308" t="s">
        <v>290</v>
      </c>
      <c r="L149" s="301" t="s">
        <v>317</v>
      </c>
      <c r="M149" s="258"/>
    </row>
    <row r="150" spans="1:13" ht="12.75" x14ac:dyDescent="0.2">
      <c r="A150" s="258"/>
      <c r="B150" s="272"/>
      <c r="C150" s="85" t="str">
        <f ca="1">语言!$A$1654</f>
        <v>腥红之粉（全体）</v>
      </c>
      <c r="D150" s="302" t="s">
        <v>303</v>
      </c>
      <c r="E150" s="302" t="s">
        <v>290</v>
      </c>
      <c r="F150" s="272" t="s">
        <v>360</v>
      </c>
      <c r="G150" s="258"/>
      <c r="H150" s="272"/>
      <c r="I150" s="301" t="str">
        <f ca="1">语言!$A$2144</f>
        <v>混乱之粉</v>
      </c>
      <c r="J150" s="308" t="s">
        <v>303</v>
      </c>
      <c r="K150" s="308" t="s">
        <v>290</v>
      </c>
      <c r="L150" s="301" t="s">
        <v>306</v>
      </c>
      <c r="M150" s="258"/>
    </row>
    <row r="151" spans="1:13" ht="12.75" x14ac:dyDescent="0.2">
      <c r="A151" s="258"/>
      <c r="B151" s="84"/>
      <c r="C151" s="85" t="str">
        <f ca="1">语言!$A$1751</f>
        <v>死亡云雾（全体）</v>
      </c>
      <c r="D151" s="283" t="s">
        <v>303</v>
      </c>
      <c r="E151" s="283" t="s">
        <v>290</v>
      </c>
      <c r="F151" s="642" t="s">
        <v>12909</v>
      </c>
      <c r="G151" s="258"/>
      <c r="H151" s="84"/>
      <c r="I151" s="301" t="str">
        <f ca="1">语言!$A$2231</f>
        <v>臭气</v>
      </c>
      <c r="J151" s="308" t="s">
        <v>303</v>
      </c>
      <c r="K151" s="308" t="s">
        <v>290</v>
      </c>
      <c r="L151" s="301" t="s">
        <v>361</v>
      </c>
      <c r="M151" s="258"/>
    </row>
    <row r="152" spans="1:13" ht="12.75" x14ac:dyDescent="0.2">
      <c r="A152" s="258"/>
      <c r="B152" s="258"/>
      <c r="C152" s="258"/>
      <c r="D152" s="305"/>
      <c r="E152" s="305"/>
      <c r="F152" s="258"/>
      <c r="G152" s="258"/>
      <c r="H152" s="300"/>
      <c r="I152" s="309"/>
      <c r="J152" s="310"/>
      <c r="K152" s="310"/>
      <c r="L152" s="309"/>
      <c r="M152" s="258"/>
    </row>
    <row r="153" spans="1:13" ht="12.75" x14ac:dyDescent="0.2">
      <c r="A153" s="258"/>
      <c r="B153" s="272"/>
      <c r="C153" s="85" t="str">
        <f ca="1">语言!$A$1631</f>
        <v>酸性蓝</v>
      </c>
      <c r="D153" s="302" t="s">
        <v>288</v>
      </c>
      <c r="E153" s="302" t="s">
        <v>290</v>
      </c>
      <c r="F153" s="272" t="s">
        <v>298</v>
      </c>
      <c r="G153" s="258"/>
      <c r="H153" s="84"/>
      <c r="I153" s="301" t="str">
        <f ca="1">语言!$A$2232</f>
        <v>攻击力下降</v>
      </c>
      <c r="J153" s="308" t="s">
        <v>288</v>
      </c>
      <c r="K153" s="308" t="s">
        <v>290</v>
      </c>
      <c r="L153" s="301" t="s">
        <v>362</v>
      </c>
      <c r="M153" s="258"/>
    </row>
    <row r="154" spans="1:13" ht="12.75" x14ac:dyDescent="0.2">
      <c r="A154" s="258"/>
      <c r="B154" s="272"/>
      <c r="C154" s="85" t="str">
        <f ca="1">语言!$A$1640</f>
        <v>黑之黏液</v>
      </c>
      <c r="D154" s="302" t="s">
        <v>288</v>
      </c>
      <c r="E154" s="302" t="s">
        <v>290</v>
      </c>
      <c r="F154" s="272" t="s">
        <v>363</v>
      </c>
      <c r="G154" s="258"/>
      <c r="H154" s="84"/>
      <c r="I154" s="301" t="str">
        <f ca="1">语言!$A$2149</f>
        <v>起开</v>
      </c>
      <c r="J154" s="308" t="s">
        <v>288</v>
      </c>
      <c r="K154" s="308" t="s">
        <v>290</v>
      </c>
      <c r="L154" s="301" t="s">
        <v>364</v>
      </c>
      <c r="M154" s="311"/>
    </row>
    <row r="155" spans="1:13" ht="12.75" x14ac:dyDescent="0.2">
      <c r="A155" s="258"/>
      <c r="B155" s="272"/>
      <c r="C155" s="85" t="str">
        <f ca="1">语言!$A$1714</f>
        <v>红之黏液</v>
      </c>
      <c r="D155" s="302" t="s">
        <v>288</v>
      </c>
      <c r="E155" s="302" t="s">
        <v>290</v>
      </c>
      <c r="F155" s="272" t="s">
        <v>365</v>
      </c>
      <c r="G155" s="258"/>
      <c r="H155" s="84"/>
      <c r="I155" s="301" t="str">
        <f ca="1">语言!$A$2173</f>
        <v>防御力下降</v>
      </c>
      <c r="J155" s="308" t="s">
        <v>288</v>
      </c>
      <c r="K155" s="308" t="s">
        <v>290</v>
      </c>
      <c r="L155" s="301" t="s">
        <v>366</v>
      </c>
      <c r="M155" s="258"/>
    </row>
    <row r="156" spans="1:13" ht="12.75" x14ac:dyDescent="0.2">
      <c r="A156" s="258"/>
      <c r="B156" s="272"/>
      <c r="C156" s="85" t="str">
        <f ca="1">语言!$A$1750</f>
        <v>强黏液</v>
      </c>
      <c r="D156" s="302" t="s">
        <v>288</v>
      </c>
      <c r="E156" s="302" t="s">
        <v>290</v>
      </c>
      <c r="F156" s="272" t="s">
        <v>367</v>
      </c>
      <c r="G156" s="258"/>
      <c r="H156" s="84"/>
      <c r="I156" s="301" t="str">
        <f ca="1">语言!$A$2183</f>
        <v>恐吓</v>
      </c>
      <c r="J156" s="308" t="s">
        <v>288</v>
      </c>
      <c r="K156" s="308" t="s">
        <v>290</v>
      </c>
      <c r="L156" s="301" t="s">
        <v>366</v>
      </c>
      <c r="M156" s="258"/>
    </row>
    <row r="157" spans="1:13" ht="12.75" x14ac:dyDescent="0.2">
      <c r="A157" s="258"/>
      <c r="B157" s="629"/>
      <c r="C157" s="499" t="str">
        <f ca="1">语言!$A$1684</f>
        <v>极恶臭（全体）</v>
      </c>
      <c r="D157" s="628" t="s">
        <v>303</v>
      </c>
      <c r="E157" s="628" t="s">
        <v>290</v>
      </c>
      <c r="F157" s="627" t="s">
        <v>368</v>
      </c>
      <c r="G157" s="258"/>
      <c r="H157" s="272"/>
      <c r="I157" s="301" t="str">
        <f ca="1">语言!$A$2214</f>
        <v>攻击力下降</v>
      </c>
      <c r="J157" s="308" t="s">
        <v>303</v>
      </c>
      <c r="K157" s="308" t="s">
        <v>290</v>
      </c>
      <c r="L157" s="301" t="s">
        <v>362</v>
      </c>
      <c r="M157" s="258"/>
    </row>
    <row r="158" spans="1:13" ht="12.75" x14ac:dyDescent="0.2">
      <c r="A158" s="258"/>
      <c r="B158" s="371"/>
      <c r="C158" s="371"/>
      <c r="D158" s="371"/>
      <c r="E158" s="371"/>
      <c r="F158" s="371"/>
      <c r="G158" s="258"/>
      <c r="H158" s="84"/>
      <c r="I158" s="301" t="str">
        <f ca="1">语言!$A$2213</f>
        <v>防御力下降</v>
      </c>
      <c r="J158" s="308" t="s">
        <v>303</v>
      </c>
      <c r="K158" s="308" t="s">
        <v>290</v>
      </c>
      <c r="L158" s="301" t="s">
        <v>366</v>
      </c>
      <c r="M158" s="258"/>
    </row>
    <row r="159" spans="1:13" ht="12.75" x14ac:dyDescent="0.2">
      <c r="A159" s="258"/>
      <c r="B159" s="371"/>
      <c r="C159" s="371"/>
      <c r="D159" s="371"/>
      <c r="E159" s="371"/>
      <c r="F159" s="371"/>
      <c r="G159" s="258"/>
      <c r="H159" s="84"/>
      <c r="I159" s="301" t="str">
        <f ca="1">语言!$A$2240</f>
        <v>物理下降</v>
      </c>
      <c r="J159" s="308" t="s">
        <v>303</v>
      </c>
      <c r="K159" s="308" t="s">
        <v>290</v>
      </c>
      <c r="L159" s="301" t="s">
        <v>369</v>
      </c>
      <c r="M159" s="258"/>
    </row>
    <row r="160" spans="1:13" ht="12.75" x14ac:dyDescent="0.2">
      <c r="A160" s="258"/>
      <c r="B160" s="258"/>
      <c r="C160" s="258"/>
      <c r="D160" s="305"/>
      <c r="E160" s="305"/>
      <c r="F160" s="258"/>
      <c r="G160" s="258"/>
      <c r="H160" s="272"/>
      <c r="I160" s="301" t="str">
        <f ca="1">语言!$A$2225</f>
        <v>精神下降</v>
      </c>
      <c r="J160" s="308" t="s">
        <v>303</v>
      </c>
      <c r="K160" s="308" t="s">
        <v>290</v>
      </c>
      <c r="L160" s="301" t="s">
        <v>370</v>
      </c>
      <c r="M160" s="258"/>
    </row>
    <row r="161" spans="1:13" ht="12.75" x14ac:dyDescent="0.2">
      <c r="A161" s="258"/>
      <c r="B161" s="272"/>
      <c r="C161" s="85" t="str">
        <f ca="1">语言!$A$1737</f>
        <v>防御力提升</v>
      </c>
      <c r="D161" s="302" t="s">
        <v>288</v>
      </c>
      <c r="E161" s="302" t="s">
        <v>290</v>
      </c>
      <c r="F161" s="272" t="s">
        <v>371</v>
      </c>
      <c r="G161" s="258"/>
      <c r="H161" s="84"/>
      <c r="I161" s="301" t="str">
        <f ca="1">语言!$A$2191</f>
        <v>全部下降</v>
      </c>
      <c r="J161" s="308" t="s">
        <v>303</v>
      </c>
      <c r="K161" s="308" t="s">
        <v>290</v>
      </c>
      <c r="L161" s="301" t="s">
        <v>372</v>
      </c>
      <c r="M161" s="311"/>
    </row>
    <row r="162" spans="1:13" ht="12.75" x14ac:dyDescent="0.2">
      <c r="A162" s="258"/>
      <c r="B162" s="272"/>
      <c r="C162" s="85" t="str">
        <f ca="1">语言!$A$1710</f>
        <v>物理提升</v>
      </c>
      <c r="D162" s="302" t="s">
        <v>288</v>
      </c>
      <c r="E162" s="302" t="s">
        <v>290</v>
      </c>
      <c r="F162" s="272" t="s">
        <v>373</v>
      </c>
      <c r="G162" s="258"/>
      <c r="H162" s="84"/>
      <c r="I162" s="301" t="str">
        <f ca="1">语言!$A$2269</f>
        <v>速度下降</v>
      </c>
      <c r="J162" s="308" t="s">
        <v>303</v>
      </c>
      <c r="K162" s="308" t="s">
        <v>290</v>
      </c>
      <c r="L162" s="301" t="s">
        <v>374</v>
      </c>
      <c r="M162" s="258"/>
    </row>
    <row r="163" spans="1:13" ht="12.75" x14ac:dyDescent="0.2">
      <c r="A163" s="258"/>
      <c r="B163" s="272"/>
      <c r="C163" s="85" t="str">
        <f ca="1">语言!$A$1700</f>
        <v>精神提升</v>
      </c>
      <c r="D163" s="302" t="s">
        <v>288</v>
      </c>
      <c r="E163" s="302" t="s">
        <v>290</v>
      </c>
      <c r="F163" s="272" t="s">
        <v>375</v>
      </c>
      <c r="G163" s="258"/>
      <c r="H163" s="300"/>
      <c r="I163" s="309"/>
      <c r="J163" s="310"/>
      <c r="K163" s="310"/>
      <c r="L163" s="309"/>
      <c r="M163" s="258"/>
    </row>
    <row r="164" spans="1:13" ht="12.75" x14ac:dyDescent="0.2">
      <c r="A164" s="258"/>
      <c r="B164" s="630"/>
      <c r="C164" s="499" t="str">
        <f ca="1">语言!$A$1689</f>
        <v>冲击之钟</v>
      </c>
      <c r="D164" s="628" t="s">
        <v>288</v>
      </c>
      <c r="E164" s="628" t="s">
        <v>289</v>
      </c>
      <c r="F164" s="627" t="s">
        <v>376</v>
      </c>
      <c r="G164" s="258"/>
      <c r="H164" s="272"/>
      <c r="I164" s="301" t="str">
        <f ca="1">语言!$A$2155</f>
        <v>支援</v>
      </c>
      <c r="J164" s="308" t="s">
        <v>288</v>
      </c>
      <c r="K164" s="308" t="s">
        <v>290</v>
      </c>
      <c r="L164" s="301" t="s">
        <v>377</v>
      </c>
      <c r="M164" s="258"/>
    </row>
    <row r="165" spans="1:13" ht="12.75" x14ac:dyDescent="0.2">
      <c r="A165" s="258"/>
      <c r="B165" s="371"/>
      <c r="C165" s="371"/>
      <c r="D165" s="371"/>
      <c r="E165" s="371"/>
      <c r="F165" s="371"/>
      <c r="G165" s="258"/>
      <c r="H165" s="272"/>
      <c r="I165" s="301" t="str">
        <f ca="1">语言!$A$2263</f>
        <v>研磨</v>
      </c>
      <c r="J165" s="308" t="s">
        <v>288</v>
      </c>
      <c r="K165" s="308" t="s">
        <v>290</v>
      </c>
      <c r="L165" s="301" t="s">
        <v>377</v>
      </c>
      <c r="M165" s="258"/>
    </row>
    <row r="166" spans="1:13" ht="12.75" x14ac:dyDescent="0.2">
      <c r="A166" s="258"/>
      <c r="B166" s="371"/>
      <c r="C166" s="371"/>
      <c r="D166" s="371"/>
      <c r="E166" s="371"/>
      <c r="F166" s="371"/>
      <c r="G166" s="258"/>
      <c r="H166" s="272"/>
      <c r="I166" s="301" t="str">
        <f ca="1">语言!$A$2253</f>
        <v>盛满的什么东西</v>
      </c>
      <c r="J166" s="308" t="s">
        <v>288</v>
      </c>
      <c r="K166" s="308" t="s">
        <v>290</v>
      </c>
      <c r="L166" s="301" t="s">
        <v>377</v>
      </c>
      <c r="M166" s="258"/>
    </row>
    <row r="167" spans="1:13" ht="12.75" x14ac:dyDescent="0.2">
      <c r="A167" s="258"/>
      <c r="B167" s="629"/>
      <c r="C167" s="499" t="str">
        <f ca="1">语言!$A$1719</f>
        <v>反击姿势</v>
      </c>
      <c r="D167" s="628" t="s">
        <v>288</v>
      </c>
      <c r="E167" s="628" t="s">
        <v>290</v>
      </c>
      <c r="F167" s="627" t="s">
        <v>378</v>
      </c>
      <c r="G167" s="258"/>
      <c r="H167" s="272"/>
      <c r="I167" s="301" t="str">
        <f ca="1">语言!$A$2179</f>
        <v>激励</v>
      </c>
      <c r="J167" s="308" t="s">
        <v>288</v>
      </c>
      <c r="K167" s="308" t="s">
        <v>290</v>
      </c>
      <c r="L167" s="301" t="s">
        <v>379</v>
      </c>
      <c r="M167" s="258"/>
    </row>
    <row r="168" spans="1:13" ht="12.75" x14ac:dyDescent="0.2">
      <c r="A168" s="258"/>
      <c r="B168" s="371"/>
      <c r="C168" s="371"/>
      <c r="D168" s="371"/>
      <c r="E168" s="371"/>
      <c r="F168" s="371"/>
      <c r="G168" s="258"/>
      <c r="H168" s="272"/>
      <c r="I168" s="301" t="str">
        <f ca="1">语言!$A$2140</f>
        <v>攻击架式</v>
      </c>
      <c r="J168" s="308" t="s">
        <v>288</v>
      </c>
      <c r="K168" s="308" t="s">
        <v>290</v>
      </c>
      <c r="L168" s="301" t="s">
        <v>380</v>
      </c>
      <c r="M168" s="258"/>
    </row>
    <row r="169" spans="1:13" ht="12.75" x14ac:dyDescent="0.2">
      <c r="A169" s="258"/>
      <c r="B169" s="272"/>
      <c r="C169" s="85" t="str">
        <f ca="1">语言!$A$1701</f>
        <v>精神提升（全体）</v>
      </c>
      <c r="D169" s="302" t="s">
        <v>303</v>
      </c>
      <c r="E169" s="302" t="s">
        <v>290</v>
      </c>
      <c r="F169" s="272" t="s">
        <v>375</v>
      </c>
      <c r="G169" s="258"/>
      <c r="H169" s="272"/>
      <c r="I169" s="301" t="str">
        <f ca="1">语言!$A$2273</f>
        <v>活力之舞</v>
      </c>
      <c r="J169" s="308" t="s">
        <v>288</v>
      </c>
      <c r="K169" s="308" t="s">
        <v>290</v>
      </c>
      <c r="L169" s="301" t="s">
        <v>380</v>
      </c>
      <c r="M169" s="258"/>
    </row>
    <row r="170" spans="1:13" ht="12.75" x14ac:dyDescent="0.2">
      <c r="A170" s="258"/>
      <c r="B170" s="258"/>
      <c r="C170" s="258"/>
      <c r="D170" s="305"/>
      <c r="E170" s="305"/>
      <c r="F170" s="258"/>
      <c r="G170" s="258"/>
      <c r="H170" s="272"/>
      <c r="I170" s="301" t="str">
        <f ca="1">语言!$A$2174</f>
        <v>防御架式</v>
      </c>
      <c r="J170" s="308" t="s">
        <v>288</v>
      </c>
      <c r="K170" s="308" t="s">
        <v>290</v>
      </c>
      <c r="L170" s="301" t="s">
        <v>381</v>
      </c>
      <c r="M170" s="258"/>
    </row>
    <row r="171" spans="1:13" ht="12.75" x14ac:dyDescent="0.2">
      <c r="A171" s="258"/>
      <c r="B171" s="463"/>
      <c r="C171" s="632" t="str">
        <f ca="1">语言!$A$1696</f>
        <v>凯特琳魔法</v>
      </c>
      <c r="D171" s="493" t="s">
        <v>382</v>
      </c>
      <c r="E171" s="371"/>
      <c r="F171" s="371"/>
      <c r="G171" s="258"/>
      <c r="H171" s="272"/>
      <c r="I171" s="301" t="str">
        <f ca="1">语言!$A$2295</f>
        <v>圣职者的哲学</v>
      </c>
      <c r="J171" s="308" t="s">
        <v>288</v>
      </c>
      <c r="K171" s="308" t="s">
        <v>290</v>
      </c>
      <c r="L171" s="301" t="s">
        <v>383</v>
      </c>
      <c r="M171" s="258"/>
    </row>
    <row r="172" spans="1:13" ht="12.75" x14ac:dyDescent="0.2">
      <c r="A172" s="258"/>
      <c r="B172" s="371"/>
      <c r="C172" s="371"/>
      <c r="D172" s="493" t="s">
        <v>384</v>
      </c>
      <c r="E172" s="371"/>
      <c r="F172" s="371"/>
      <c r="G172" s="258"/>
      <c r="H172" s="272"/>
      <c r="I172" s="301" t="str">
        <f ca="1">语言!$A$2163</f>
        <v>调和「增强药」</v>
      </c>
      <c r="J172" s="308" t="s">
        <v>303</v>
      </c>
      <c r="K172" s="308" t="s">
        <v>290</v>
      </c>
      <c r="L172" s="301" t="s">
        <v>385</v>
      </c>
      <c r="M172" s="258"/>
    </row>
    <row r="173" spans="1:13" ht="12.75" x14ac:dyDescent="0.2">
      <c r="A173" s="258"/>
      <c r="B173" s="371"/>
      <c r="C173" s="371"/>
      <c r="D173" s="591" t="s">
        <v>303</v>
      </c>
      <c r="E173" s="631" t="s">
        <v>386</v>
      </c>
      <c r="F173" s="371"/>
      <c r="G173" s="258"/>
      <c r="H173" s="272"/>
      <c r="I173" s="301" t="str">
        <f ca="1">语言!$A$2212</f>
        <v>攻击力提升</v>
      </c>
      <c r="J173" s="308" t="s">
        <v>303</v>
      </c>
      <c r="K173" s="308" t="s">
        <v>290</v>
      </c>
      <c r="L173" s="301" t="s">
        <v>380</v>
      </c>
      <c r="M173" s="258"/>
    </row>
    <row r="174" spans="1:13" ht="12.75" x14ac:dyDescent="0.2">
      <c r="A174" s="258"/>
      <c r="B174" s="371"/>
      <c r="C174" s="371"/>
      <c r="D174" s="371"/>
      <c r="E174" s="371"/>
      <c r="F174" s="371"/>
      <c r="G174" s="91"/>
      <c r="H174" s="272"/>
      <c r="I174" s="301" t="str">
        <f ca="1">语言!$A$2275</f>
        <v>防御力提升</v>
      </c>
      <c r="J174" s="308" t="s">
        <v>303</v>
      </c>
      <c r="K174" s="308" t="s">
        <v>290</v>
      </c>
      <c r="L174" s="301" t="s">
        <v>381</v>
      </c>
      <c r="M174" s="258"/>
    </row>
    <row r="175" spans="1:13" ht="12.75" x14ac:dyDescent="0.2">
      <c r="A175" s="258"/>
      <c r="B175" s="371"/>
      <c r="C175" s="371"/>
      <c r="D175" s="493" t="s">
        <v>387</v>
      </c>
      <c r="E175" s="371"/>
      <c r="F175" s="371"/>
      <c r="G175" s="258"/>
      <c r="H175" s="272"/>
      <c r="I175" s="301" t="str">
        <f ca="1">语言!$A$2239</f>
        <v>物理提升</v>
      </c>
      <c r="J175" s="308" t="s">
        <v>303</v>
      </c>
      <c r="K175" s="308" t="s">
        <v>290</v>
      </c>
      <c r="L175" s="301" t="s">
        <v>388</v>
      </c>
      <c r="M175" s="258"/>
    </row>
    <row r="176" spans="1:13" ht="12.75" x14ac:dyDescent="0.2">
      <c r="A176" s="258"/>
      <c r="B176" s="371"/>
      <c r="C176" s="371"/>
      <c r="D176" s="591" t="s">
        <v>303</v>
      </c>
      <c r="E176" s="631" t="s">
        <v>389</v>
      </c>
      <c r="F176" s="371"/>
      <c r="G176" s="258"/>
      <c r="H176" s="272"/>
      <c r="I176" s="301" t="str">
        <f ca="1">语言!$A$2224</f>
        <v>精神提升</v>
      </c>
      <c r="J176" s="308" t="s">
        <v>303</v>
      </c>
      <c r="K176" s="308" t="s">
        <v>290</v>
      </c>
      <c r="L176" s="301" t="s">
        <v>390</v>
      </c>
      <c r="M176" s="258"/>
    </row>
    <row r="177" spans="1:13" ht="12.75" x14ac:dyDescent="0.2">
      <c r="A177" s="258"/>
      <c r="B177" s="371"/>
      <c r="C177" s="371"/>
      <c r="D177" s="371"/>
      <c r="E177" s="371"/>
      <c r="F177" s="371"/>
      <c r="G177" s="258"/>
      <c r="H177" s="272"/>
      <c r="I177" s="301" t="str">
        <f ca="1">语言!$A$2188</f>
        <v>精神统一</v>
      </c>
      <c r="J177" s="308" t="s">
        <v>303</v>
      </c>
      <c r="K177" s="308" t="s">
        <v>290</v>
      </c>
      <c r="L177" s="301" t="s">
        <v>391</v>
      </c>
      <c r="M177" s="258"/>
    </row>
    <row r="178" spans="1:13" ht="12.75" x14ac:dyDescent="0.2">
      <c r="A178" s="258"/>
      <c r="B178" s="371"/>
      <c r="C178" s="371"/>
      <c r="D178" s="493" t="s">
        <v>392</v>
      </c>
      <c r="E178" s="371"/>
      <c r="F178" s="371"/>
      <c r="G178" s="258"/>
      <c r="H178" s="272"/>
      <c r="I178" s="301" t="str">
        <f ca="1">语言!$A$2202</f>
        <v>激励</v>
      </c>
      <c r="J178" s="308" t="s">
        <v>303</v>
      </c>
      <c r="K178" s="308" t="s">
        <v>290</v>
      </c>
      <c r="L178" s="301" t="s">
        <v>383</v>
      </c>
      <c r="M178" s="258"/>
    </row>
    <row r="179" spans="1:13" ht="12.75" x14ac:dyDescent="0.2">
      <c r="A179" s="258"/>
      <c r="B179" s="371"/>
      <c r="C179" s="371"/>
      <c r="D179" s="591" t="s">
        <v>303</v>
      </c>
      <c r="E179" s="631" t="s">
        <v>393</v>
      </c>
      <c r="F179" s="371"/>
      <c r="G179" s="258"/>
      <c r="H179" s="272"/>
      <c r="I179" s="301" t="str">
        <f ca="1">语言!$A$2272</f>
        <v>速度提升</v>
      </c>
      <c r="J179" s="308" t="s">
        <v>303</v>
      </c>
      <c r="K179" s="308" t="s">
        <v>290</v>
      </c>
      <c r="L179" s="301" t="s">
        <v>394</v>
      </c>
      <c r="M179" s="258"/>
    </row>
    <row r="180" spans="1:13" ht="12.75" x14ac:dyDescent="0.2">
      <c r="A180" s="258"/>
      <c r="B180" s="371"/>
      <c r="C180" s="371"/>
      <c r="D180" s="371"/>
      <c r="E180" s="371"/>
      <c r="F180" s="371"/>
      <c r="G180" s="258"/>
      <c r="H180" s="272"/>
      <c r="I180" s="301" t="str">
        <f ca="1">语言!$A$2165</f>
        <v>暴击提升</v>
      </c>
      <c r="J180" s="308" t="s">
        <v>303</v>
      </c>
      <c r="K180" s="308" t="s">
        <v>290</v>
      </c>
      <c r="L180" s="301" t="s">
        <v>395</v>
      </c>
      <c r="M180" s="258"/>
    </row>
    <row r="181" spans="1:13" ht="12.75" x14ac:dyDescent="0.2">
      <c r="A181" s="258"/>
      <c r="B181" s="371"/>
      <c r="C181" s="371"/>
      <c r="D181" s="493" t="s">
        <v>396</v>
      </c>
      <c r="E181" s="371"/>
      <c r="F181" s="371"/>
      <c r="G181" s="258"/>
      <c r="H181" s="258"/>
      <c r="I181" s="309"/>
      <c r="J181" s="310"/>
      <c r="K181" s="310"/>
      <c r="L181" s="309"/>
      <c r="M181" s="258"/>
    </row>
    <row r="182" spans="1:13" ht="12.75" x14ac:dyDescent="0.2">
      <c r="A182" s="258"/>
      <c r="B182" s="371"/>
      <c r="C182" s="371"/>
      <c r="D182" s="591" t="s">
        <v>303</v>
      </c>
      <c r="E182" s="631" t="s">
        <v>397</v>
      </c>
      <c r="F182" s="371"/>
      <c r="G182" s="258"/>
      <c r="H182" s="272"/>
      <c r="I182" s="301" t="str">
        <f ca="1">语言!$A$2287</f>
        <v>因为受伤无法动弹。</v>
      </c>
      <c r="J182" s="308" t="s">
        <v>290</v>
      </c>
      <c r="K182" s="308" t="s">
        <v>290</v>
      </c>
      <c r="L182" s="301" t="s">
        <v>398</v>
      </c>
      <c r="M182" s="258"/>
    </row>
    <row r="183" spans="1:13" ht="12.75" x14ac:dyDescent="0.2">
      <c r="A183" s="258"/>
      <c r="B183" s="371"/>
      <c r="C183" s="371"/>
      <c r="D183" s="371"/>
      <c r="E183" s="371"/>
      <c r="F183" s="371"/>
      <c r="G183" s="258"/>
      <c r="H183" s="258"/>
      <c r="I183" s="309"/>
      <c r="J183" s="310"/>
      <c r="K183" s="310"/>
      <c r="L183" s="309"/>
      <c r="M183" s="258"/>
    </row>
    <row r="184" spans="1:13" ht="12.75" x14ac:dyDescent="0.2">
      <c r="A184" s="258"/>
      <c r="B184" s="258"/>
      <c r="C184" s="91"/>
      <c r="D184" s="305"/>
      <c r="E184" s="305"/>
      <c r="F184" s="258"/>
      <c r="G184" s="258"/>
      <c r="H184" s="296"/>
      <c r="I184" s="313"/>
      <c r="J184" s="314"/>
      <c r="K184" s="314"/>
      <c r="L184" s="313"/>
      <c r="M184" s="258"/>
    </row>
    <row r="185" spans="1:13" ht="12.75" x14ac:dyDescent="0.2">
      <c r="A185" s="258"/>
      <c r="B185" s="629"/>
      <c r="C185" s="506" t="str">
        <f ca="1">语言!$A$1656</f>
        <v>凯特林魔法ＤＸ</v>
      </c>
      <c r="D185" s="625" t="s">
        <v>382</v>
      </c>
      <c r="E185" s="371"/>
      <c r="F185" s="371"/>
      <c r="G185" s="296"/>
      <c r="H185" s="296"/>
      <c r="I185" s="315"/>
      <c r="J185" s="316"/>
      <c r="K185" s="316"/>
      <c r="L185" s="296"/>
      <c r="M185" s="296"/>
    </row>
    <row r="186" spans="1:13" ht="12.75" x14ac:dyDescent="0.2">
      <c r="A186" s="258"/>
      <c r="B186" s="371"/>
      <c r="C186" s="371"/>
      <c r="D186" s="625" t="s">
        <v>399</v>
      </c>
      <c r="E186" s="371"/>
      <c r="F186" s="371"/>
      <c r="G186" s="296"/>
      <c r="H186" s="296"/>
      <c r="I186" s="315"/>
      <c r="J186" s="316"/>
      <c r="K186" s="316"/>
      <c r="L186" s="296"/>
      <c r="M186" s="296"/>
    </row>
    <row r="187" spans="1:13" ht="12.75" x14ac:dyDescent="0.2">
      <c r="A187" s="258"/>
      <c r="B187" s="371"/>
      <c r="C187" s="371"/>
      <c r="D187" s="283" t="s">
        <v>303</v>
      </c>
      <c r="E187" s="625" t="s">
        <v>400</v>
      </c>
      <c r="F187" s="371"/>
      <c r="G187" s="296"/>
      <c r="H187" s="296"/>
      <c r="I187" s="313"/>
      <c r="J187" s="314"/>
      <c r="K187" s="314"/>
      <c r="L187" s="313"/>
      <c r="M187" s="296"/>
    </row>
    <row r="188" spans="1:13" ht="12.75" x14ac:dyDescent="0.2">
      <c r="A188" s="258"/>
      <c r="B188" s="371"/>
      <c r="C188" s="371"/>
      <c r="D188" s="625" t="s">
        <v>401</v>
      </c>
      <c r="E188" s="371"/>
      <c r="F188" s="371"/>
      <c r="G188" s="296"/>
      <c r="H188" s="296"/>
      <c r="I188" s="313"/>
      <c r="J188" s="314"/>
      <c r="K188" s="314"/>
      <c r="L188" s="313"/>
      <c r="M188" s="296"/>
    </row>
    <row r="189" spans="1:13" ht="12.75" x14ac:dyDescent="0.2">
      <c r="A189" s="258"/>
      <c r="B189" s="371"/>
      <c r="C189" s="371"/>
      <c r="D189" s="283" t="s">
        <v>303</v>
      </c>
      <c r="E189" s="625" t="s">
        <v>402</v>
      </c>
      <c r="F189" s="371"/>
      <c r="G189" s="296"/>
      <c r="H189" s="296"/>
      <c r="I189" s="313"/>
      <c r="J189" s="314"/>
      <c r="K189" s="314"/>
      <c r="L189" s="313"/>
      <c r="M189" s="296"/>
    </row>
    <row r="190" spans="1:13" ht="12.75" x14ac:dyDescent="0.2">
      <c r="A190" s="258"/>
      <c r="B190" s="371"/>
      <c r="C190" s="371"/>
      <c r="D190" s="625" t="s">
        <v>403</v>
      </c>
      <c r="E190" s="371"/>
      <c r="F190" s="371"/>
      <c r="G190" s="296"/>
      <c r="H190" s="296"/>
      <c r="I190" s="313"/>
      <c r="J190" s="314"/>
      <c r="K190" s="314"/>
      <c r="L190" s="313"/>
      <c r="M190" s="296"/>
    </row>
    <row r="191" spans="1:13" ht="12.75" x14ac:dyDescent="0.2">
      <c r="A191" s="258"/>
      <c r="B191" s="371"/>
      <c r="C191" s="371"/>
      <c r="D191" s="283" t="s">
        <v>303</v>
      </c>
      <c r="E191" s="625" t="s">
        <v>404</v>
      </c>
      <c r="F191" s="371"/>
      <c r="G191" s="296"/>
      <c r="H191" s="296"/>
      <c r="I191" s="313"/>
      <c r="J191" s="314"/>
      <c r="K191" s="314"/>
      <c r="L191" s="313"/>
      <c r="M191" s="296"/>
    </row>
    <row r="192" spans="1:13" ht="12.75" x14ac:dyDescent="0.2">
      <c r="A192" s="258"/>
      <c r="B192" s="371"/>
      <c r="C192" s="371"/>
      <c r="D192" s="625" t="s">
        <v>405</v>
      </c>
      <c r="E192" s="371"/>
      <c r="F192" s="371"/>
      <c r="G192" s="296"/>
      <c r="H192" s="296"/>
      <c r="I192" s="315"/>
      <c r="J192" s="316"/>
      <c r="K192" s="316"/>
      <c r="L192" s="296"/>
      <c r="M192" s="296"/>
    </row>
    <row r="193" spans="1:13" ht="12.75" x14ac:dyDescent="0.2">
      <c r="A193" s="258"/>
      <c r="B193" s="371"/>
      <c r="C193" s="371"/>
      <c r="D193" s="283" t="s">
        <v>303</v>
      </c>
      <c r="E193" s="625" t="s">
        <v>406</v>
      </c>
      <c r="F193" s="371"/>
      <c r="G193" s="296"/>
      <c r="H193" s="296"/>
      <c r="I193" s="313"/>
      <c r="J193" s="314"/>
      <c r="K193" s="314"/>
      <c r="L193" s="313"/>
      <c r="M193" s="296"/>
    </row>
    <row r="194" spans="1:13" ht="12.75" x14ac:dyDescent="0.2">
      <c r="A194" s="258"/>
      <c r="B194" s="258"/>
      <c r="C194" s="91"/>
      <c r="D194" s="305"/>
      <c r="E194" s="305"/>
      <c r="F194" s="258"/>
      <c r="G194" s="296"/>
      <c r="H194" s="296"/>
      <c r="I194" s="313"/>
      <c r="J194" s="314"/>
      <c r="K194" s="314"/>
      <c r="L194" s="313"/>
      <c r="M194" s="296"/>
    </row>
    <row r="195" spans="1:13" ht="12.75" x14ac:dyDescent="0.2">
      <c r="A195" s="258"/>
      <c r="B195" s="629"/>
      <c r="C195" s="506" t="str">
        <f ca="1">语言!$A$1739</f>
        <v>凯特琳魔法ＥＸ</v>
      </c>
      <c r="D195" s="625" t="s">
        <v>382</v>
      </c>
      <c r="E195" s="371"/>
      <c r="F195" s="371"/>
      <c r="G195" s="296"/>
      <c r="H195" s="296"/>
      <c r="I195" s="313"/>
      <c r="J195" s="314"/>
      <c r="K195" s="314"/>
      <c r="L195" s="313"/>
      <c r="M195" s="296"/>
    </row>
    <row r="196" spans="1:13" ht="12.75" x14ac:dyDescent="0.2">
      <c r="A196" s="258"/>
      <c r="B196" s="371"/>
      <c r="C196" s="371"/>
      <c r="D196" s="625" t="s">
        <v>407</v>
      </c>
      <c r="E196" s="371"/>
      <c r="F196" s="371"/>
      <c r="G196" s="296"/>
      <c r="H196" s="296"/>
      <c r="I196" s="313"/>
      <c r="J196" s="314"/>
      <c r="K196" s="314"/>
      <c r="L196" s="313"/>
      <c r="M196" s="296"/>
    </row>
    <row r="197" spans="1:13" ht="12.75" x14ac:dyDescent="0.2">
      <c r="A197" s="258"/>
      <c r="B197" s="371"/>
      <c r="C197" s="371"/>
      <c r="D197" s="302" t="s">
        <v>303</v>
      </c>
      <c r="E197" s="625" t="s">
        <v>408</v>
      </c>
      <c r="F197" s="371"/>
      <c r="G197" s="296"/>
      <c r="H197" s="296"/>
      <c r="I197" s="313"/>
      <c r="J197" s="314"/>
      <c r="K197" s="314"/>
      <c r="L197" s="313"/>
      <c r="M197" s="296"/>
    </row>
    <row r="198" spans="1:13" ht="12.75" x14ac:dyDescent="0.2">
      <c r="A198" s="258"/>
      <c r="B198" s="371"/>
      <c r="C198" s="371"/>
      <c r="D198" s="625" t="s">
        <v>409</v>
      </c>
      <c r="E198" s="371"/>
      <c r="F198" s="371"/>
      <c r="G198" s="296"/>
      <c r="H198" s="296"/>
      <c r="I198" s="315"/>
      <c r="J198" s="316"/>
      <c r="K198" s="316"/>
      <c r="L198" s="296"/>
      <c r="M198" s="296"/>
    </row>
    <row r="199" spans="1:13" ht="12.75" x14ac:dyDescent="0.2">
      <c r="A199" s="258"/>
      <c r="B199" s="371"/>
      <c r="C199" s="371"/>
      <c r="D199" s="302" t="s">
        <v>303</v>
      </c>
      <c r="E199" s="625" t="s">
        <v>410</v>
      </c>
      <c r="F199" s="371"/>
      <c r="G199" s="296"/>
      <c r="H199" s="296"/>
      <c r="I199" s="315"/>
      <c r="J199" s="316"/>
      <c r="K199" s="316"/>
      <c r="L199" s="296"/>
      <c r="M199" s="296"/>
    </row>
    <row r="200" spans="1:13" ht="12.75" x14ac:dyDescent="0.2">
      <c r="A200" s="258"/>
      <c r="B200" s="371"/>
      <c r="C200" s="371"/>
      <c r="D200" s="625" t="s">
        <v>411</v>
      </c>
      <c r="E200" s="371"/>
      <c r="F200" s="371"/>
      <c r="G200" s="296"/>
      <c r="H200" s="296"/>
      <c r="I200" s="313"/>
      <c r="J200" s="314"/>
      <c r="K200" s="314"/>
      <c r="L200" s="313"/>
      <c r="M200" s="296"/>
    </row>
    <row r="201" spans="1:13" ht="12.75" x14ac:dyDescent="0.2">
      <c r="A201" s="258"/>
      <c r="B201" s="371"/>
      <c r="C201" s="371"/>
      <c r="D201" s="628" t="s">
        <v>303</v>
      </c>
      <c r="E201" s="633" t="s">
        <v>412</v>
      </c>
      <c r="F201" s="371"/>
      <c r="G201" s="296"/>
      <c r="H201" s="296"/>
      <c r="I201" s="313"/>
      <c r="J201" s="314"/>
      <c r="K201" s="314"/>
      <c r="L201" s="313"/>
      <c r="M201" s="296"/>
    </row>
    <row r="202" spans="1:13" ht="12.75" x14ac:dyDescent="0.2">
      <c r="A202" s="258"/>
      <c r="B202" s="371"/>
      <c r="C202" s="371"/>
      <c r="D202" s="371"/>
      <c r="E202" s="371"/>
      <c r="F202" s="371"/>
      <c r="G202" s="296"/>
      <c r="H202" s="296"/>
      <c r="I202" s="313"/>
      <c r="J202" s="314"/>
      <c r="K202" s="314"/>
      <c r="L202" s="313"/>
      <c r="M202" s="296"/>
    </row>
    <row r="203" spans="1:13" ht="12.75" x14ac:dyDescent="0.2">
      <c r="A203" s="258"/>
      <c r="B203" s="371"/>
      <c r="C203" s="371"/>
      <c r="D203" s="625" t="s">
        <v>413</v>
      </c>
      <c r="E203" s="371"/>
      <c r="F203" s="371"/>
      <c r="G203" s="296"/>
      <c r="H203" s="296"/>
      <c r="I203" s="313"/>
      <c r="J203" s="314"/>
      <c r="K203" s="314"/>
      <c r="L203" s="313"/>
      <c r="M203" s="296"/>
    </row>
    <row r="204" spans="1:13" ht="12.75" x14ac:dyDescent="0.2">
      <c r="A204" s="258"/>
      <c r="B204" s="371"/>
      <c r="C204" s="371"/>
      <c r="D204" s="628" t="s">
        <v>303</v>
      </c>
      <c r="E204" s="633" t="s">
        <v>414</v>
      </c>
      <c r="F204" s="371"/>
      <c r="G204" s="296"/>
      <c r="H204" s="296"/>
      <c r="I204" s="313"/>
      <c r="J204" s="314"/>
      <c r="K204" s="314"/>
      <c r="L204" s="313"/>
      <c r="M204" s="296"/>
    </row>
    <row r="205" spans="1:13" ht="12.75" x14ac:dyDescent="0.2">
      <c r="A205" s="258"/>
      <c r="B205" s="371"/>
      <c r="C205" s="371"/>
      <c r="D205" s="371"/>
      <c r="E205" s="371"/>
      <c r="F205" s="371"/>
      <c r="G205" s="296"/>
      <c r="H205" s="296"/>
      <c r="I205" s="313"/>
      <c r="J205" s="314"/>
      <c r="K205" s="314"/>
      <c r="L205" s="313"/>
      <c r="M205" s="296"/>
    </row>
    <row r="206" spans="1:13" ht="12.75" x14ac:dyDescent="0.2">
      <c r="A206" s="258"/>
      <c r="B206" s="371"/>
      <c r="C206" s="371"/>
      <c r="D206" s="371"/>
      <c r="E206" s="371"/>
      <c r="F206" s="371"/>
      <c r="G206" s="296"/>
      <c r="H206" s="296"/>
      <c r="I206" s="317"/>
      <c r="J206" s="318"/>
      <c r="K206" s="318"/>
      <c r="L206" s="317"/>
      <c r="M206" s="296"/>
    </row>
    <row r="207" spans="1:13" ht="12.75" x14ac:dyDescent="0.2">
      <c r="A207" s="258"/>
      <c r="B207" s="258"/>
      <c r="C207" s="91"/>
      <c r="D207" s="258"/>
      <c r="E207" s="258"/>
      <c r="F207" s="258"/>
      <c r="G207" s="296"/>
      <c r="H207" s="319"/>
      <c r="I207" s="319"/>
      <c r="J207" s="319"/>
      <c r="K207" s="319"/>
      <c r="L207" s="319"/>
      <c r="M207" s="296"/>
    </row>
    <row r="208" spans="1:13" ht="12.75" x14ac:dyDescent="0.2">
      <c r="A208" s="258"/>
      <c r="B208" s="258"/>
      <c r="C208" s="91"/>
      <c r="D208" s="258"/>
      <c r="E208" s="258"/>
      <c r="F208" s="258"/>
      <c r="G208" s="296"/>
      <c r="H208" s="319"/>
      <c r="I208" s="319"/>
      <c r="J208" s="319"/>
      <c r="K208" s="319"/>
      <c r="L208" s="319"/>
      <c r="M208" s="296"/>
    </row>
    <row r="209" spans="1:13" ht="12.75" x14ac:dyDescent="0.2">
      <c r="A209" s="258"/>
      <c r="B209" s="258"/>
      <c r="C209" s="91"/>
      <c r="D209" s="258"/>
      <c r="E209" s="258"/>
      <c r="F209" s="258"/>
      <c r="G209" s="296"/>
      <c r="H209" s="297"/>
      <c r="I209" s="297"/>
      <c r="J209" s="297"/>
      <c r="K209" s="297"/>
      <c r="L209" s="297"/>
      <c r="M209" s="296"/>
    </row>
  </sheetData>
  <mergeCells count="63">
    <mergeCell ref="E204:F206"/>
    <mergeCell ref="E179:F180"/>
    <mergeCell ref="D181:F181"/>
    <mergeCell ref="E182:F183"/>
    <mergeCell ref="D185:F185"/>
    <mergeCell ref="D186:F186"/>
    <mergeCell ref="E187:F187"/>
    <mergeCell ref="D188:F188"/>
    <mergeCell ref="E199:F199"/>
    <mergeCell ref="D200:F200"/>
    <mergeCell ref="D201:D202"/>
    <mergeCell ref="E201:F202"/>
    <mergeCell ref="D203:F203"/>
    <mergeCell ref="B185:B193"/>
    <mergeCell ref="C185:C193"/>
    <mergeCell ref="B195:B206"/>
    <mergeCell ref="C195:C206"/>
    <mergeCell ref="D167:D168"/>
    <mergeCell ref="C171:C183"/>
    <mergeCell ref="D173:D174"/>
    <mergeCell ref="D176:D177"/>
    <mergeCell ref="D179:D180"/>
    <mergeCell ref="D182:D183"/>
    <mergeCell ref="D204:D206"/>
    <mergeCell ref="E173:F174"/>
    <mergeCell ref="D175:F175"/>
    <mergeCell ref="E176:F177"/>
    <mergeCell ref="D178:F178"/>
    <mergeCell ref="B171:B183"/>
    <mergeCell ref="B167:B168"/>
    <mergeCell ref="C167:C168"/>
    <mergeCell ref="F167:F168"/>
    <mergeCell ref="D171:F171"/>
    <mergeCell ref="D172:F172"/>
    <mergeCell ref="E167:E168"/>
    <mergeCell ref="B164:B166"/>
    <mergeCell ref="C164:C166"/>
    <mergeCell ref="D164:D166"/>
    <mergeCell ref="E164:E166"/>
    <mergeCell ref="F164:F166"/>
    <mergeCell ref="B157:B159"/>
    <mergeCell ref="C157:C159"/>
    <mergeCell ref="D157:D159"/>
    <mergeCell ref="E157:E159"/>
    <mergeCell ref="F157:F159"/>
    <mergeCell ref="A1:F2"/>
    <mergeCell ref="H1:L2"/>
    <mergeCell ref="B3:C3"/>
    <mergeCell ref="H3:I3"/>
    <mergeCell ref="B138:B139"/>
    <mergeCell ref="C138:C139"/>
    <mergeCell ref="D138:D139"/>
    <mergeCell ref="E138:E139"/>
    <mergeCell ref="F138:F139"/>
    <mergeCell ref="E197:F197"/>
    <mergeCell ref="D198:F198"/>
    <mergeCell ref="E189:F189"/>
    <mergeCell ref="D190:F190"/>
    <mergeCell ref="E191:F191"/>
    <mergeCell ref="D192:F192"/>
    <mergeCell ref="E193:F193"/>
    <mergeCell ref="D195:F195"/>
    <mergeCell ref="D196:F196"/>
  </mergeCells>
  <phoneticPr fontId="65"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CW123"/>
  <sheetViews>
    <sheetView topLeftCell="A49" workbookViewId="0">
      <pane xSplit="1" topLeftCell="B1" activePane="topRight" state="frozen"/>
      <selection pane="topRight" activeCell="B2" sqref="B2:P2"/>
    </sheetView>
  </sheetViews>
  <sheetFormatPr defaultColWidth="12.5703125" defaultRowHeight="15.75" customHeight="1" x14ac:dyDescent="0.2"/>
  <cols>
    <col min="2" max="101" width="9.42578125" customWidth="1"/>
  </cols>
  <sheetData>
    <row r="1" spans="1:101" ht="15.75" customHeight="1" x14ac:dyDescent="0.25">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2"/>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row>
    <row r="2" spans="1:101" x14ac:dyDescent="0.2">
      <c r="A2" s="50" t="str">
        <f ca="1">语言!$A$2297&amp;" 99"</f>
        <v>等级 99</v>
      </c>
      <c r="B2" s="634" t="s">
        <v>415</v>
      </c>
      <c r="C2" s="371"/>
      <c r="D2" s="371"/>
      <c r="E2" s="371"/>
      <c r="F2" s="371"/>
      <c r="G2" s="371"/>
      <c r="H2" s="371"/>
      <c r="I2" s="371"/>
      <c r="J2" s="371"/>
      <c r="K2" s="371"/>
      <c r="L2" s="371"/>
      <c r="M2" s="371"/>
      <c r="N2" s="371"/>
      <c r="O2" s="371"/>
      <c r="P2" s="371"/>
      <c r="Q2" s="322"/>
      <c r="R2" s="322"/>
      <c r="S2" s="322"/>
      <c r="T2" s="322"/>
      <c r="U2" s="322"/>
      <c r="V2" s="322"/>
      <c r="W2" s="322"/>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1"/>
      <c r="BE2" s="321"/>
      <c r="BF2" s="321"/>
      <c r="BG2" s="321"/>
      <c r="BH2" s="321"/>
      <c r="BI2" s="321"/>
      <c r="BJ2" s="321"/>
      <c r="BK2" s="321"/>
      <c r="BL2" s="321"/>
      <c r="BM2" s="321"/>
      <c r="BN2" s="321"/>
      <c r="BO2" s="321"/>
      <c r="BP2" s="321"/>
      <c r="BQ2" s="321"/>
      <c r="BR2" s="321"/>
      <c r="BS2" s="321"/>
      <c r="BT2" s="321"/>
      <c r="BU2" s="321"/>
      <c r="BV2" s="322"/>
      <c r="BW2" s="321"/>
      <c r="BX2" s="321"/>
      <c r="BY2" s="321"/>
      <c r="BZ2" s="321"/>
      <c r="CA2" s="321"/>
      <c r="CB2" s="321"/>
      <c r="CC2" s="321"/>
      <c r="CD2" s="321"/>
      <c r="CE2" s="321"/>
      <c r="CF2" s="321"/>
      <c r="CG2" s="321"/>
      <c r="CH2" s="321"/>
      <c r="CI2" s="321"/>
      <c r="CJ2" s="321"/>
      <c r="CK2" s="321"/>
      <c r="CL2" s="321"/>
      <c r="CM2" s="321"/>
      <c r="CN2" s="321"/>
      <c r="CO2" s="321"/>
      <c r="CP2" s="321"/>
      <c r="CQ2" s="321"/>
      <c r="CR2" s="321"/>
      <c r="CS2" s="321"/>
      <c r="CT2" s="321"/>
      <c r="CU2" s="321"/>
      <c r="CV2" s="321"/>
      <c r="CW2" s="321"/>
    </row>
    <row r="3" spans="1:101" x14ac:dyDescent="0.2">
      <c r="A3" s="323" t="str">
        <f ca="1">语言!$A$2298</f>
        <v>最大ＨＰ</v>
      </c>
      <c r="B3" s="48" t="str">
        <f ca="1">语言!$A$38&amp;" (5,781)"</f>
        <v>欧尔贝克 (5,781)</v>
      </c>
      <c r="C3" s="48"/>
      <c r="D3" s="48" t="str">
        <f ca="1">语言!$A$40&amp;" (5,336)"</f>
        <v>亚芬 (5,336)</v>
      </c>
      <c r="E3" s="48"/>
      <c r="F3" s="48" t="str">
        <f ca="1">语言!$A$37&amp;" (4,891)"</f>
        <v>特蕾莎 (4,891)</v>
      </c>
      <c r="G3" s="48"/>
      <c r="H3" s="48" t="str">
        <f ca="1">语言!$A$41&amp;" &amp; "&amp;语言!$A$42&amp;" (4,447)"</f>
        <v>泰里翁 &amp; 海茵特 (4,447)</v>
      </c>
      <c r="I3" s="48"/>
      <c r="J3" s="48"/>
      <c r="K3" s="48" t="str">
        <f ca="1">语言!$A$35&amp;" &amp; "&amp;语言!$A$39&amp;" (4,002)"</f>
        <v>欧菲莉亚 &amp; 普里姆萝洁 (4,002)</v>
      </c>
      <c r="L3" s="48"/>
      <c r="M3" s="48"/>
      <c r="N3" s="48" t="str">
        <f ca="1">语言!$A$36&amp;" (3,557)"</f>
        <v>赛拉斯 (3,557)</v>
      </c>
      <c r="O3" s="48"/>
      <c r="P3" s="48"/>
      <c r="Q3" s="322"/>
      <c r="R3" s="322"/>
      <c r="S3" s="322"/>
      <c r="T3" s="322"/>
      <c r="U3" s="322"/>
      <c r="V3" s="322"/>
      <c r="W3" s="322"/>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2"/>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row>
    <row r="4" spans="1:101" x14ac:dyDescent="0.2">
      <c r="A4" s="49" t="str">
        <f ca="1">语言!$A$2299</f>
        <v>最大ＳＰ</v>
      </c>
      <c r="B4" s="324" t="str">
        <f ca="1">语言!$A$35&amp;" (236)"</f>
        <v>欧菲莉亚 (236)</v>
      </c>
      <c r="C4" s="324"/>
      <c r="D4" s="324" t="str">
        <f ca="1">语言!$A$36&amp;" (218)"</f>
        <v>赛拉斯 (218)</v>
      </c>
      <c r="E4" s="324"/>
      <c r="F4" s="324" t="str">
        <f ca="1">语言!$A$37&amp;" &amp; "&amp;语言!$A$39&amp;" &amp; "&amp;语言!$A$40&amp;" (182)"</f>
        <v>特蕾莎 &amp; 普里姆萝洁 &amp; 亚芬 (182)</v>
      </c>
      <c r="G4" s="324"/>
      <c r="H4" s="324"/>
      <c r="I4" s="324"/>
      <c r="J4" s="324" t="str">
        <f ca="1">语言!$A$38&amp;" &amp; "&amp;语言!$A$41&amp;" &amp; "&amp;语言!$A$42&amp;" (145)"</f>
        <v>欧尔贝克 &amp; 泰里翁 &amp; 海茵特 (145)</v>
      </c>
      <c r="K4" s="324"/>
      <c r="L4" s="324"/>
      <c r="M4" s="324"/>
      <c r="N4" s="324"/>
      <c r="O4" s="324"/>
      <c r="P4" s="324"/>
      <c r="Q4" s="322"/>
      <c r="R4" s="322"/>
      <c r="S4" s="322"/>
      <c r="T4" s="322"/>
      <c r="U4" s="322"/>
      <c r="V4" s="322"/>
      <c r="W4" s="322"/>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2"/>
      <c r="BW4" s="321"/>
      <c r="BX4" s="321"/>
      <c r="BY4" s="321"/>
      <c r="BZ4" s="321"/>
      <c r="CA4" s="321"/>
      <c r="CB4" s="321"/>
      <c r="CC4" s="321"/>
      <c r="CD4" s="321"/>
      <c r="CE4" s="321"/>
      <c r="CF4" s="321"/>
      <c r="CG4" s="321"/>
      <c r="CH4" s="321"/>
      <c r="CI4" s="321"/>
      <c r="CJ4" s="321"/>
      <c r="CK4" s="321"/>
      <c r="CL4" s="321"/>
      <c r="CM4" s="321"/>
      <c r="CN4" s="321"/>
      <c r="CO4" s="321"/>
      <c r="CP4" s="321"/>
      <c r="CQ4" s="321"/>
      <c r="CR4" s="321"/>
      <c r="CS4" s="321"/>
      <c r="CT4" s="321"/>
      <c r="CU4" s="321"/>
      <c r="CV4" s="321"/>
      <c r="CW4" s="321"/>
    </row>
    <row r="5" spans="1:101" x14ac:dyDescent="0.2">
      <c r="A5" s="323" t="str">
        <f ca="1">语言!$A$2300</f>
        <v>物理攻击力</v>
      </c>
      <c r="B5" s="48" t="str">
        <f ca="1">语言!$A$38&amp;" &amp; "&amp;语言!$A$42&amp;" (342)"</f>
        <v>欧尔贝克 &amp; 海茵特 (342)</v>
      </c>
      <c r="C5" s="48"/>
      <c r="D5" s="48"/>
      <c r="E5" s="48" t="str">
        <f ca="1">语言!$A$37&amp;" &amp; "&amp;语言!$A$40&amp;" &amp; "&amp;语言!$A$41&amp;" (313)"</f>
        <v>特蕾莎 &amp; 亚芬 &amp; 泰里翁 (313)</v>
      </c>
      <c r="F5" s="48"/>
      <c r="G5" s="48"/>
      <c r="H5" s="48"/>
      <c r="I5" s="48" t="str">
        <f ca="1">语言!$A$35&amp;" &amp; "&amp;语言!$A$39&amp;" (285)"</f>
        <v>欧菲莉亚 &amp; 普里姆萝洁 (285)</v>
      </c>
      <c r="J5" s="48"/>
      <c r="K5" s="48"/>
      <c r="L5" s="48" t="str">
        <f ca="1">语言!$A$36&amp;" (256)"</f>
        <v>赛拉斯 (256)</v>
      </c>
      <c r="M5" s="48"/>
      <c r="N5" s="48"/>
      <c r="O5" s="48"/>
      <c r="P5" s="48"/>
      <c r="Q5" s="322"/>
      <c r="R5" s="322"/>
      <c r="S5" s="322"/>
      <c r="T5" s="322"/>
      <c r="U5" s="322"/>
      <c r="V5" s="322"/>
      <c r="W5" s="322"/>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321"/>
      <c r="BQ5" s="321"/>
      <c r="BR5" s="321"/>
      <c r="BS5" s="321"/>
      <c r="BT5" s="321"/>
      <c r="BU5" s="321"/>
      <c r="BV5" s="322"/>
      <c r="BW5" s="321"/>
      <c r="BX5" s="321"/>
      <c r="BY5" s="321"/>
      <c r="BZ5" s="321"/>
      <c r="CA5" s="321"/>
      <c r="CB5" s="321"/>
      <c r="CC5" s="321"/>
      <c r="CD5" s="321"/>
      <c r="CE5" s="321"/>
      <c r="CF5" s="321"/>
      <c r="CG5" s="321"/>
      <c r="CH5" s="321"/>
      <c r="CI5" s="321"/>
      <c r="CJ5" s="321"/>
      <c r="CK5" s="321"/>
      <c r="CL5" s="321"/>
      <c r="CM5" s="321"/>
      <c r="CN5" s="321"/>
      <c r="CO5" s="321"/>
      <c r="CP5" s="321"/>
      <c r="CQ5" s="321"/>
      <c r="CR5" s="321"/>
      <c r="CS5" s="321"/>
      <c r="CT5" s="321"/>
      <c r="CU5" s="321"/>
      <c r="CV5" s="321"/>
      <c r="CW5" s="321"/>
    </row>
    <row r="6" spans="1:101" x14ac:dyDescent="0.2">
      <c r="A6" s="49" t="str">
        <f ca="1">语言!$A$2301</f>
        <v>属性攻击力</v>
      </c>
      <c r="B6" s="635" t="str">
        <f ca="1">语言!$A$36&amp;" (370)"</f>
        <v>赛拉斯 (370)</v>
      </c>
      <c r="C6" s="371"/>
      <c r="D6" s="324" t="str">
        <f ca="1">语言!$A$35&amp;" &amp; "&amp;语言!$A$39&amp;" (342)"</f>
        <v>欧菲莉亚 &amp; 普里姆萝洁 (342)</v>
      </c>
      <c r="E6" s="324"/>
      <c r="F6" s="324"/>
      <c r="G6" s="324" t="str">
        <f ca="1">语言!$A$37&amp;" (313)"</f>
        <v>特蕾莎 (313)</v>
      </c>
      <c r="H6" s="324"/>
      <c r="I6" s="324" t="str">
        <f ca="1">语言!$A$40&amp;" &amp; "&amp;语言!$A$41&amp;" &amp; "&amp;语言!$A$42&amp;" (285)"</f>
        <v>亚芬 &amp; 泰里翁 &amp; 海茵特 (285)</v>
      </c>
      <c r="J6" s="324"/>
      <c r="K6" s="324"/>
      <c r="L6" s="324"/>
      <c r="M6" s="324" t="str">
        <f ca="1">语言!$A$38&amp;" (256)"</f>
        <v>欧尔贝克 (256)</v>
      </c>
      <c r="N6" s="324"/>
      <c r="O6" s="324"/>
      <c r="P6" s="324"/>
      <c r="Q6" s="322"/>
      <c r="R6" s="322"/>
      <c r="S6" s="322"/>
      <c r="T6" s="322"/>
      <c r="U6" s="322"/>
      <c r="V6" s="322"/>
      <c r="W6" s="322"/>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1"/>
      <c r="BO6" s="321"/>
      <c r="BP6" s="321"/>
      <c r="BQ6" s="321"/>
      <c r="BR6" s="321"/>
      <c r="BS6" s="321"/>
      <c r="BT6" s="321"/>
      <c r="BU6" s="321"/>
      <c r="BV6" s="322"/>
      <c r="BW6" s="321"/>
      <c r="BX6" s="321"/>
      <c r="BY6" s="321"/>
      <c r="BZ6" s="321"/>
      <c r="CA6" s="321"/>
      <c r="CB6" s="321"/>
      <c r="CC6" s="321"/>
      <c r="CD6" s="321"/>
      <c r="CE6" s="321"/>
      <c r="CF6" s="321"/>
      <c r="CG6" s="321"/>
      <c r="CH6" s="321"/>
      <c r="CI6" s="321"/>
      <c r="CJ6" s="321"/>
      <c r="CK6" s="321"/>
      <c r="CL6" s="321"/>
      <c r="CM6" s="321"/>
      <c r="CN6" s="321"/>
      <c r="CO6" s="321"/>
      <c r="CP6" s="321"/>
      <c r="CQ6" s="321"/>
      <c r="CR6" s="321"/>
      <c r="CS6" s="321"/>
      <c r="CT6" s="321"/>
      <c r="CU6" s="321"/>
      <c r="CV6" s="321"/>
      <c r="CW6" s="321"/>
    </row>
    <row r="7" spans="1:101" x14ac:dyDescent="0.2">
      <c r="A7" s="323" t="str">
        <f ca="1">语言!$A$2302</f>
        <v>物理防御力</v>
      </c>
      <c r="B7" s="48" t="str">
        <f ca="1">语言!$A$38&amp;" (313)"</f>
        <v>欧尔贝克 (313)</v>
      </c>
      <c r="C7" s="48"/>
      <c r="D7" s="48" t="str">
        <f ca="1">语言!$A$35&amp;" &amp; "&amp;语言!$A$37&amp;" &amp; "&amp;语言!$A$40&amp;" (285)"</f>
        <v>欧菲莉亚 &amp; 特蕾莎 &amp; 亚芬 (285)</v>
      </c>
      <c r="E7" s="48"/>
      <c r="F7" s="48"/>
      <c r="G7" s="48"/>
      <c r="H7" s="48" t="str">
        <f ca="1">语言!$A$36&amp;" (256)"</f>
        <v>赛拉斯 (256)</v>
      </c>
      <c r="I7" s="48"/>
      <c r="J7" s="48" t="str">
        <f ca="1">语言!$A$41&amp;" &amp; "&amp;语言!$A$42&amp;" (228)"</f>
        <v>泰里翁 &amp; 海茵特 (228)</v>
      </c>
      <c r="K7" s="48"/>
      <c r="L7" s="48"/>
      <c r="M7" s="48" t="str">
        <f ca="1">语言!$A$39&amp;" (199)"</f>
        <v>普里姆萝洁 (199)</v>
      </c>
      <c r="N7" s="48"/>
      <c r="O7" s="48"/>
      <c r="P7" s="48"/>
      <c r="Q7" s="322"/>
      <c r="R7" s="322"/>
      <c r="S7" s="322"/>
      <c r="T7" s="322"/>
      <c r="U7" s="322"/>
      <c r="V7" s="322"/>
      <c r="W7" s="322"/>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2"/>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row>
    <row r="8" spans="1:101" x14ac:dyDescent="0.2">
      <c r="A8" s="49" t="str">
        <f ca="1">语言!$A$2303</f>
        <v>属性防御力</v>
      </c>
      <c r="B8" s="324" t="str">
        <f ca="1">语言!$A$35&amp;" (370)"</f>
        <v>欧菲莉亚 (370)</v>
      </c>
      <c r="C8" s="324"/>
      <c r="D8" s="324" t="str">
        <f ca="1">语言!$A$36&amp;" (342)"</f>
        <v>赛拉斯 (342)</v>
      </c>
      <c r="E8" s="324"/>
      <c r="F8" s="324" t="str">
        <f ca="1">语言!$A$37&amp;" &amp; "&amp;语言!$A$40&amp;" (285)"</f>
        <v>特蕾莎 &amp; 亚芬 (285)</v>
      </c>
      <c r="G8" s="324"/>
      <c r="H8" s="324"/>
      <c r="I8" s="324" t="str">
        <f ca="1">语言!$A$38&amp;" &amp; "&amp;语言!$A$39&amp;" &amp; "&amp;语言!$A$41&amp;" &amp; "&amp;语言!$A$42&amp;" (228)"</f>
        <v>欧尔贝克 &amp; 普里姆萝洁 &amp; 泰里翁 &amp; 海茵特 (228)</v>
      </c>
      <c r="J8" s="324"/>
      <c r="K8" s="324"/>
      <c r="L8" s="324"/>
      <c r="M8" s="324"/>
      <c r="N8" s="324"/>
      <c r="O8" s="324"/>
      <c r="P8" s="324"/>
      <c r="Q8" s="322"/>
      <c r="R8" s="322"/>
      <c r="S8" s="322"/>
      <c r="T8" s="322"/>
      <c r="U8" s="322"/>
      <c r="V8" s="322"/>
      <c r="W8" s="322"/>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c r="BN8" s="321"/>
      <c r="BO8" s="321"/>
      <c r="BP8" s="321"/>
      <c r="BQ8" s="321"/>
      <c r="BR8" s="321"/>
      <c r="BS8" s="321"/>
      <c r="BT8" s="321"/>
      <c r="BU8" s="321"/>
      <c r="BV8" s="322"/>
      <c r="BW8" s="321"/>
      <c r="BX8" s="321"/>
      <c r="BY8" s="321"/>
      <c r="BZ8" s="321"/>
      <c r="CA8" s="321"/>
      <c r="CB8" s="321"/>
      <c r="CC8" s="321"/>
      <c r="CD8" s="321"/>
      <c r="CE8" s="321"/>
      <c r="CF8" s="321"/>
      <c r="CG8" s="321"/>
      <c r="CH8" s="321"/>
      <c r="CI8" s="321"/>
      <c r="CJ8" s="321"/>
      <c r="CK8" s="321"/>
      <c r="CL8" s="321"/>
      <c r="CM8" s="321"/>
      <c r="CN8" s="321"/>
      <c r="CO8" s="321"/>
      <c r="CP8" s="321"/>
      <c r="CQ8" s="321"/>
      <c r="CR8" s="321"/>
      <c r="CS8" s="321"/>
      <c r="CT8" s="321"/>
      <c r="CU8" s="321"/>
      <c r="CV8" s="321"/>
      <c r="CW8" s="321"/>
    </row>
    <row r="9" spans="1:101" x14ac:dyDescent="0.2">
      <c r="A9" s="323" t="str">
        <f ca="1">语言!$A$2304</f>
        <v>命中</v>
      </c>
      <c r="B9" s="48" t="str">
        <f ca="1">语言!$A$42&amp;" (342)"</f>
        <v>海茵特 (342)</v>
      </c>
      <c r="C9" s="48"/>
      <c r="D9" s="48" t="str">
        <f ca="1">语言!$A$38&amp;" &amp; "&amp;语言!$A$41&amp;" (313)"</f>
        <v>欧尔贝克 &amp; 泰里翁 (313)</v>
      </c>
      <c r="E9" s="48"/>
      <c r="F9" s="48"/>
      <c r="G9" s="48" t="str">
        <f ca="1">语言!$A$35&amp;" &amp; "&amp;语言!$A$36&amp;" &amp; "&amp;语言!$A$37&amp;" &amp; "&amp;语言!$A$39&amp;" &amp; "&amp;语言!$A$40&amp;" (285)"</f>
        <v>欧菲莉亚 &amp; 赛拉斯 &amp; 特蕾莎 &amp; 普里姆萝洁 &amp; 亚芬 (285)</v>
      </c>
      <c r="H9" s="48"/>
      <c r="I9" s="48"/>
      <c r="J9" s="48"/>
      <c r="K9" s="48"/>
      <c r="L9" s="48"/>
      <c r="M9" s="48"/>
      <c r="N9" s="48"/>
      <c r="O9" s="48"/>
      <c r="P9" s="48"/>
      <c r="Q9" s="322"/>
      <c r="R9" s="322"/>
      <c r="S9" s="322"/>
      <c r="T9" s="322"/>
      <c r="U9" s="322"/>
      <c r="V9" s="322"/>
      <c r="W9" s="322"/>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c r="BJ9" s="321"/>
      <c r="BK9" s="321"/>
      <c r="BL9" s="321"/>
      <c r="BM9" s="321"/>
      <c r="BN9" s="321"/>
      <c r="BO9" s="321"/>
      <c r="BP9" s="321"/>
      <c r="BQ9" s="321"/>
      <c r="BR9" s="321"/>
      <c r="BS9" s="321"/>
      <c r="BT9" s="321"/>
      <c r="BU9" s="321"/>
      <c r="BV9" s="322"/>
      <c r="BW9" s="321"/>
      <c r="BX9" s="321"/>
      <c r="BY9" s="321"/>
      <c r="BZ9" s="321"/>
      <c r="CA9" s="321"/>
      <c r="CB9" s="321"/>
      <c r="CC9" s="321"/>
      <c r="CD9" s="321"/>
      <c r="CE9" s="321"/>
      <c r="CF9" s="321"/>
      <c r="CG9" s="321"/>
      <c r="CH9" s="321"/>
      <c r="CI9" s="321"/>
      <c r="CJ9" s="321"/>
      <c r="CK9" s="321"/>
      <c r="CL9" s="321"/>
      <c r="CM9" s="321"/>
      <c r="CN9" s="321"/>
      <c r="CO9" s="321"/>
      <c r="CP9" s="321"/>
      <c r="CQ9" s="321"/>
      <c r="CR9" s="321"/>
      <c r="CS9" s="321"/>
      <c r="CT9" s="321"/>
      <c r="CU9" s="321"/>
      <c r="CV9" s="321"/>
      <c r="CW9" s="321"/>
    </row>
    <row r="10" spans="1:101" x14ac:dyDescent="0.2">
      <c r="A10" s="49" t="str">
        <f ca="1">语言!$A$2305</f>
        <v>行动速度</v>
      </c>
      <c r="B10" s="324" t="str">
        <f ca="1">语言!$A$39&amp;" (370)"</f>
        <v>普里姆萝洁 (370)</v>
      </c>
      <c r="C10" s="324"/>
      <c r="D10" s="324" t="str">
        <f ca="1">语言!$A$41&amp;" (342)"</f>
        <v>泰里翁 (342)</v>
      </c>
      <c r="E10" s="324"/>
      <c r="F10" s="324" t="str">
        <f ca="1">语言!$A$38&amp;" &amp; "&amp;语言!$A$42&amp;" (285)"</f>
        <v>欧尔贝克 &amp; 海茵特 (285)</v>
      </c>
      <c r="G10" s="324"/>
      <c r="H10" s="324"/>
      <c r="I10" s="324" t="str">
        <f ca="1">语言!$A$36&amp;" &amp; "&amp;语言!$A$37&amp;" (256)"</f>
        <v>赛拉斯 &amp; 特蕾莎 (256)</v>
      </c>
      <c r="J10" s="324"/>
      <c r="K10" s="324"/>
      <c r="L10" s="324" t="str">
        <f ca="1">语言!$A$35&amp;" &amp; "&amp;语言!$A$40&amp;" (228)"</f>
        <v>欧菲莉亚 &amp; 亚芬 (228)</v>
      </c>
      <c r="M10" s="324"/>
      <c r="N10" s="324"/>
      <c r="O10" s="324"/>
      <c r="P10" s="324"/>
      <c r="Q10" s="322"/>
      <c r="R10" s="322"/>
      <c r="S10" s="322"/>
      <c r="T10" s="322"/>
      <c r="U10" s="322"/>
      <c r="V10" s="322"/>
      <c r="W10" s="322"/>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c r="BJ10" s="321"/>
      <c r="BK10" s="321"/>
      <c r="BL10" s="321"/>
      <c r="BM10" s="321"/>
      <c r="BN10" s="321"/>
      <c r="BO10" s="321"/>
      <c r="BP10" s="321"/>
      <c r="BQ10" s="321"/>
      <c r="BR10" s="321"/>
      <c r="BS10" s="321"/>
      <c r="BT10" s="321"/>
      <c r="BU10" s="321"/>
      <c r="BV10" s="322"/>
      <c r="BW10" s="321"/>
      <c r="BX10" s="321"/>
      <c r="BY10" s="321"/>
      <c r="BZ10" s="321"/>
      <c r="CA10" s="321"/>
      <c r="CB10" s="321"/>
      <c r="CC10" s="321"/>
      <c r="CD10" s="321"/>
      <c r="CE10" s="321"/>
      <c r="CF10" s="321"/>
      <c r="CG10" s="321"/>
      <c r="CH10" s="321"/>
      <c r="CI10" s="321"/>
      <c r="CJ10" s="321"/>
      <c r="CK10" s="321"/>
      <c r="CL10" s="321"/>
      <c r="CM10" s="321"/>
      <c r="CN10" s="321"/>
      <c r="CO10" s="321"/>
      <c r="CP10" s="321"/>
      <c r="CQ10" s="321"/>
      <c r="CR10" s="321"/>
      <c r="CS10" s="321"/>
      <c r="CT10" s="321"/>
      <c r="CU10" s="321"/>
      <c r="CV10" s="321"/>
      <c r="CW10" s="321"/>
    </row>
    <row r="11" spans="1:101" x14ac:dyDescent="0.2">
      <c r="A11" s="323" t="str">
        <f ca="1">语言!$A$2306</f>
        <v>暴击</v>
      </c>
      <c r="B11" s="48" t="str">
        <f ca="1">语言!$A$42&amp;" (313)"</f>
        <v>海茵特 (313)</v>
      </c>
      <c r="C11" s="48"/>
      <c r="D11" s="48" t="str">
        <f ca="1">语言!$A$38&amp;" &amp; "&amp;语言!$A$39&amp;" &amp; "&amp;语言!$A$40&amp;" &amp; "&amp;语言!$A$41&amp;" (285)"</f>
        <v>欧尔贝克 &amp; 普里姆萝洁 &amp; 亚芬 &amp; 泰里翁 (285)</v>
      </c>
      <c r="E11" s="48"/>
      <c r="F11" s="48"/>
      <c r="G11" s="48"/>
      <c r="H11" s="48"/>
      <c r="I11" s="48" t="str">
        <f ca="1">语言!$A$37&amp;" (256)"</f>
        <v>特蕾莎 (256)</v>
      </c>
      <c r="J11" s="48"/>
      <c r="K11" s="48" t="str">
        <f ca="1">语言!$A$36&amp;" (228)"</f>
        <v>赛拉斯 (228)</v>
      </c>
      <c r="L11" s="48"/>
      <c r="M11" s="48" t="str">
        <f ca="1">语言!$A$35&amp;" (199)"</f>
        <v>欧菲莉亚 (199)</v>
      </c>
      <c r="N11" s="48"/>
      <c r="O11" s="48"/>
      <c r="P11" s="48"/>
      <c r="Q11" s="322"/>
      <c r="R11" s="322"/>
      <c r="S11" s="322"/>
      <c r="T11" s="322"/>
      <c r="U11" s="322"/>
      <c r="V11" s="322"/>
      <c r="W11" s="322"/>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c r="BO11" s="321"/>
      <c r="BP11" s="321"/>
      <c r="BQ11" s="321"/>
      <c r="BR11" s="321"/>
      <c r="BS11" s="321"/>
      <c r="BT11" s="321"/>
      <c r="BU11" s="321"/>
      <c r="BV11" s="322"/>
      <c r="BW11" s="321"/>
      <c r="BX11" s="321"/>
      <c r="BY11" s="321"/>
      <c r="BZ11" s="321"/>
      <c r="CA11" s="321"/>
      <c r="CB11" s="321"/>
      <c r="CC11" s="321"/>
      <c r="CD11" s="321"/>
      <c r="CE11" s="321"/>
      <c r="CF11" s="321"/>
      <c r="CG11" s="321"/>
      <c r="CH11" s="321"/>
      <c r="CI11" s="321"/>
      <c r="CJ11" s="321"/>
      <c r="CK11" s="321"/>
      <c r="CL11" s="321"/>
      <c r="CM11" s="321"/>
      <c r="CN11" s="321"/>
      <c r="CO11" s="321"/>
      <c r="CP11" s="321"/>
      <c r="CQ11" s="321"/>
      <c r="CR11" s="321"/>
      <c r="CS11" s="321"/>
      <c r="CT11" s="321"/>
      <c r="CU11" s="321"/>
      <c r="CV11" s="321"/>
      <c r="CW11" s="321"/>
    </row>
    <row r="12" spans="1:101" x14ac:dyDescent="0.2">
      <c r="A12" s="49" t="str">
        <f ca="1">语言!$A$2307</f>
        <v>回避</v>
      </c>
      <c r="B12" s="324" t="str">
        <f ca="1">语言!$A$41&amp;" (342)"</f>
        <v>泰里翁 (342)</v>
      </c>
      <c r="C12" s="324"/>
      <c r="D12" s="324" t="str">
        <f ca="1">语言!$A$39&amp;" &amp; "&amp;语言!$A$42&amp;" (313)"</f>
        <v>普里姆萝洁 &amp; 海茵特 (313)</v>
      </c>
      <c r="E12" s="324"/>
      <c r="F12" s="324"/>
      <c r="G12" s="324" t="str">
        <f ca="1">语言!$A$36&amp;" (285)"</f>
        <v>赛拉斯 (285)</v>
      </c>
      <c r="H12" s="324"/>
      <c r="I12" s="324" t="str">
        <f ca="1">语言!$A$37&amp;" &amp; "&amp;语言!$A$40&amp;" (256)"</f>
        <v>特蕾莎 &amp; 亚芬 (256)</v>
      </c>
      <c r="J12" s="324"/>
      <c r="K12" s="324"/>
      <c r="L12" s="324" t="str">
        <f ca="1">语言!$A$35&amp;" &amp; "&amp;语言!$A$38&amp;" (228)"</f>
        <v>欧菲莉亚 &amp; 欧尔贝克 (228)</v>
      </c>
      <c r="M12" s="324"/>
      <c r="N12" s="324"/>
      <c r="O12" s="324"/>
      <c r="P12" s="324"/>
      <c r="Q12" s="322"/>
      <c r="R12" s="322"/>
      <c r="S12" s="322"/>
      <c r="T12" s="322"/>
      <c r="U12" s="322"/>
      <c r="V12" s="322"/>
      <c r="W12" s="322"/>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c r="BO12" s="321"/>
      <c r="BP12" s="321"/>
      <c r="BQ12" s="321"/>
      <c r="BR12" s="321"/>
      <c r="BS12" s="321"/>
      <c r="BT12" s="321"/>
      <c r="BU12" s="321"/>
      <c r="BV12" s="322"/>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row>
    <row r="13" spans="1:101" ht="15.75" customHeight="1" x14ac:dyDescent="0.25">
      <c r="A13" s="320"/>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2"/>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row>
    <row r="14" spans="1:101" ht="15.75" customHeight="1" x14ac:dyDescent="0.25">
      <c r="A14" s="320"/>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c r="BO14" s="321"/>
      <c r="BP14" s="321"/>
      <c r="BQ14" s="321"/>
      <c r="BR14" s="321"/>
      <c r="BS14" s="321"/>
      <c r="BT14" s="321"/>
      <c r="BU14" s="321"/>
      <c r="BV14" s="322"/>
      <c r="BW14" s="321"/>
      <c r="BX14" s="321"/>
      <c r="BY14" s="321"/>
      <c r="BZ14" s="321"/>
      <c r="CA14" s="321"/>
      <c r="CB14" s="321"/>
      <c r="CC14" s="321"/>
      <c r="CD14" s="321"/>
      <c r="CE14" s="321"/>
      <c r="CF14" s="321"/>
      <c r="CG14" s="321"/>
      <c r="CH14" s="321"/>
      <c r="CI14" s="321"/>
      <c r="CJ14" s="321"/>
      <c r="CK14" s="321"/>
      <c r="CL14" s="321"/>
      <c r="CM14" s="321"/>
      <c r="CN14" s="321"/>
      <c r="CO14" s="321"/>
      <c r="CP14" s="321"/>
      <c r="CQ14" s="321"/>
      <c r="CR14" s="321"/>
      <c r="CS14" s="321"/>
      <c r="CT14" s="321"/>
      <c r="CU14" s="322"/>
      <c r="CV14" s="321"/>
      <c r="CW14" s="321"/>
    </row>
    <row r="15" spans="1:101" ht="15.75" customHeight="1" x14ac:dyDescent="0.25">
      <c r="A15" s="47" t="s">
        <v>416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c r="BO15" s="321"/>
      <c r="BP15" s="321"/>
      <c r="BQ15" s="321"/>
      <c r="BR15" s="321"/>
      <c r="BS15" s="321"/>
      <c r="BT15" s="321"/>
      <c r="BU15" s="321"/>
      <c r="BV15" s="322"/>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row>
    <row r="16" spans="1:101" x14ac:dyDescent="0.2">
      <c r="A16" s="50" t="str">
        <f ca="1">语言!$A$2297</f>
        <v>等级</v>
      </c>
      <c r="B16" s="49">
        <v>1</v>
      </c>
      <c r="C16" s="49">
        <v>2</v>
      </c>
      <c r="D16" s="49">
        <v>3</v>
      </c>
      <c r="E16" s="49">
        <v>4</v>
      </c>
      <c r="F16" s="49">
        <v>5</v>
      </c>
      <c r="G16" s="49">
        <v>6</v>
      </c>
      <c r="H16" s="49">
        <v>7</v>
      </c>
      <c r="I16" s="49">
        <v>8</v>
      </c>
      <c r="J16" s="49">
        <v>9</v>
      </c>
      <c r="K16" s="49">
        <v>10</v>
      </c>
      <c r="L16" s="49">
        <v>11</v>
      </c>
      <c r="M16" s="49">
        <v>12</v>
      </c>
      <c r="N16" s="49">
        <v>13</v>
      </c>
      <c r="O16" s="49">
        <v>14</v>
      </c>
      <c r="P16" s="49">
        <v>15</v>
      </c>
      <c r="Q16" s="49">
        <v>16</v>
      </c>
      <c r="R16" s="49">
        <v>17</v>
      </c>
      <c r="S16" s="49">
        <v>18</v>
      </c>
      <c r="T16" s="49">
        <v>19</v>
      </c>
      <c r="U16" s="49">
        <v>20</v>
      </c>
      <c r="V16" s="49">
        <v>21</v>
      </c>
      <c r="W16" s="49">
        <v>22</v>
      </c>
      <c r="X16" s="49">
        <v>23</v>
      </c>
      <c r="Y16" s="49">
        <v>24</v>
      </c>
      <c r="Z16" s="49">
        <v>25</v>
      </c>
      <c r="AA16" s="49">
        <v>26</v>
      </c>
      <c r="AB16" s="49">
        <v>27</v>
      </c>
      <c r="AC16" s="49">
        <v>28</v>
      </c>
      <c r="AD16" s="49">
        <v>29</v>
      </c>
      <c r="AE16" s="49">
        <v>30</v>
      </c>
      <c r="AF16" s="49">
        <v>31</v>
      </c>
      <c r="AG16" s="49">
        <v>32</v>
      </c>
      <c r="AH16" s="49">
        <v>33</v>
      </c>
      <c r="AI16" s="49">
        <v>34</v>
      </c>
      <c r="AJ16" s="49">
        <v>35</v>
      </c>
      <c r="AK16" s="49">
        <v>36</v>
      </c>
      <c r="AL16" s="49">
        <v>37</v>
      </c>
      <c r="AM16" s="49">
        <v>38</v>
      </c>
      <c r="AN16" s="49">
        <v>39</v>
      </c>
      <c r="AO16" s="49">
        <v>40</v>
      </c>
      <c r="AP16" s="49">
        <v>41</v>
      </c>
      <c r="AQ16" s="49">
        <v>42</v>
      </c>
      <c r="AR16" s="49">
        <v>43</v>
      </c>
      <c r="AS16" s="49">
        <v>44</v>
      </c>
      <c r="AT16" s="49">
        <v>45</v>
      </c>
      <c r="AU16" s="49">
        <v>46</v>
      </c>
      <c r="AV16" s="49">
        <v>47</v>
      </c>
      <c r="AW16" s="49">
        <v>48</v>
      </c>
      <c r="AX16" s="49">
        <v>49</v>
      </c>
      <c r="AY16" s="49">
        <v>50</v>
      </c>
      <c r="AZ16" s="49">
        <v>51</v>
      </c>
      <c r="BA16" s="49">
        <v>52</v>
      </c>
      <c r="BB16" s="49">
        <v>53</v>
      </c>
      <c r="BC16" s="49">
        <v>54</v>
      </c>
      <c r="BD16" s="49">
        <v>55</v>
      </c>
      <c r="BE16" s="49">
        <v>56</v>
      </c>
      <c r="BF16" s="49">
        <v>57</v>
      </c>
      <c r="BG16" s="49">
        <v>58</v>
      </c>
      <c r="BH16" s="49">
        <v>59</v>
      </c>
      <c r="BI16" s="49">
        <v>60</v>
      </c>
      <c r="BJ16" s="49">
        <v>61</v>
      </c>
      <c r="BK16" s="49">
        <v>62</v>
      </c>
      <c r="BL16" s="49">
        <v>63</v>
      </c>
      <c r="BM16" s="49">
        <v>64</v>
      </c>
      <c r="BN16" s="49">
        <v>65</v>
      </c>
      <c r="BO16" s="49">
        <v>66</v>
      </c>
      <c r="BP16" s="49">
        <v>67</v>
      </c>
      <c r="BQ16" s="49">
        <v>68</v>
      </c>
      <c r="BR16" s="49">
        <v>69</v>
      </c>
      <c r="BS16" s="49">
        <v>70</v>
      </c>
      <c r="BT16" s="49">
        <v>71</v>
      </c>
      <c r="BU16" s="49">
        <v>72</v>
      </c>
      <c r="BV16" s="49">
        <v>73</v>
      </c>
      <c r="BW16" s="49">
        <v>74</v>
      </c>
      <c r="BX16" s="49">
        <v>75</v>
      </c>
      <c r="BY16" s="49">
        <v>76</v>
      </c>
      <c r="BZ16" s="49">
        <v>77</v>
      </c>
      <c r="CA16" s="49">
        <v>78</v>
      </c>
      <c r="CB16" s="49">
        <v>79</v>
      </c>
      <c r="CC16" s="49">
        <v>80</v>
      </c>
      <c r="CD16" s="49">
        <v>81</v>
      </c>
      <c r="CE16" s="49">
        <v>82</v>
      </c>
      <c r="CF16" s="49">
        <v>83</v>
      </c>
      <c r="CG16" s="49">
        <v>84</v>
      </c>
      <c r="CH16" s="49">
        <v>85</v>
      </c>
      <c r="CI16" s="49">
        <v>86</v>
      </c>
      <c r="CJ16" s="49">
        <v>87</v>
      </c>
      <c r="CK16" s="49">
        <v>88</v>
      </c>
      <c r="CL16" s="49">
        <v>89</v>
      </c>
      <c r="CM16" s="49">
        <v>90</v>
      </c>
      <c r="CN16" s="49">
        <v>91</v>
      </c>
      <c r="CO16" s="49">
        <v>92</v>
      </c>
      <c r="CP16" s="49">
        <v>93</v>
      </c>
      <c r="CQ16" s="49">
        <v>94</v>
      </c>
      <c r="CR16" s="49">
        <v>95</v>
      </c>
      <c r="CS16" s="49">
        <v>96</v>
      </c>
      <c r="CT16" s="49">
        <v>97</v>
      </c>
      <c r="CU16" s="49">
        <v>98</v>
      </c>
      <c r="CV16" s="49">
        <v>99</v>
      </c>
      <c r="CW16" s="49"/>
    </row>
    <row r="17" spans="1:101" x14ac:dyDescent="0.2">
      <c r="A17" s="323" t="s">
        <v>417</v>
      </c>
      <c r="B17" s="325">
        <v>0</v>
      </c>
      <c r="C17" s="325">
        <v>6</v>
      </c>
      <c r="D17" s="325">
        <v>10</v>
      </c>
      <c r="E17" s="325">
        <v>15</v>
      </c>
      <c r="F17" s="325">
        <v>20</v>
      </c>
      <c r="G17" s="325">
        <v>41</v>
      </c>
      <c r="H17" s="325">
        <v>48</v>
      </c>
      <c r="I17" s="325">
        <v>55</v>
      </c>
      <c r="J17" s="325">
        <v>65</v>
      </c>
      <c r="K17" s="325">
        <v>75</v>
      </c>
      <c r="L17" s="325">
        <v>99</v>
      </c>
      <c r="M17" s="325">
        <v>143</v>
      </c>
      <c r="N17" s="325">
        <v>195</v>
      </c>
      <c r="O17" s="325">
        <v>245</v>
      </c>
      <c r="P17" s="325">
        <v>295</v>
      </c>
      <c r="Q17" s="325">
        <v>340</v>
      </c>
      <c r="R17" s="325">
        <v>364</v>
      </c>
      <c r="S17" s="325">
        <v>402</v>
      </c>
      <c r="T17" s="325">
        <v>440</v>
      </c>
      <c r="U17" s="325">
        <v>479</v>
      </c>
      <c r="V17" s="325">
        <v>535</v>
      </c>
      <c r="W17" s="325">
        <v>566</v>
      </c>
      <c r="X17" s="325">
        <v>632</v>
      </c>
      <c r="Y17" s="325">
        <v>710</v>
      </c>
      <c r="Z17" s="325">
        <v>801</v>
      </c>
      <c r="AA17" s="325">
        <v>894</v>
      </c>
      <c r="AB17" s="325">
        <v>992</v>
      </c>
      <c r="AC17" s="325">
        <v>1096</v>
      </c>
      <c r="AD17" s="325">
        <v>1207</v>
      </c>
      <c r="AE17" s="325">
        <v>1326</v>
      </c>
      <c r="AF17" s="325">
        <v>1454</v>
      </c>
      <c r="AG17" s="325">
        <v>1583</v>
      </c>
      <c r="AH17" s="325">
        <v>1714</v>
      </c>
      <c r="AI17" s="325">
        <v>1848</v>
      </c>
      <c r="AJ17" s="325">
        <v>1986</v>
      </c>
      <c r="AK17" s="325">
        <v>2179</v>
      </c>
      <c r="AL17" s="325">
        <v>2328</v>
      </c>
      <c r="AM17" s="325">
        <v>2484</v>
      </c>
      <c r="AN17" s="325">
        <v>2648</v>
      </c>
      <c r="AO17" s="325">
        <v>2821</v>
      </c>
      <c r="AP17" s="325">
        <v>3004</v>
      </c>
      <c r="AQ17" s="325">
        <v>3188</v>
      </c>
      <c r="AR17" s="325">
        <v>3374</v>
      </c>
      <c r="AS17" s="325">
        <v>3563</v>
      </c>
      <c r="AT17" s="325">
        <v>3756</v>
      </c>
      <c r="AU17" s="325">
        <v>3984</v>
      </c>
      <c r="AV17" s="325">
        <v>4138</v>
      </c>
      <c r="AW17" s="325">
        <v>4349</v>
      </c>
      <c r="AX17" s="325">
        <v>4568</v>
      </c>
      <c r="AY17" s="325">
        <v>4796</v>
      </c>
      <c r="AZ17" s="325">
        <v>5054</v>
      </c>
      <c r="BA17" s="325">
        <v>5293</v>
      </c>
      <c r="BB17" s="325">
        <v>5534</v>
      </c>
      <c r="BC17" s="325">
        <v>5778</v>
      </c>
      <c r="BD17" s="325">
        <v>6026</v>
      </c>
      <c r="BE17" s="325">
        <v>6329</v>
      </c>
      <c r="BF17" s="325">
        <v>6588</v>
      </c>
      <c r="BG17" s="325">
        <v>6854</v>
      </c>
      <c r="BH17" s="325">
        <v>7300</v>
      </c>
      <c r="BI17" s="325">
        <v>7801</v>
      </c>
      <c r="BJ17" s="325">
        <v>8337</v>
      </c>
      <c r="BK17" s="325">
        <v>8569</v>
      </c>
      <c r="BL17" s="325">
        <v>9006</v>
      </c>
      <c r="BM17" s="325">
        <v>9907</v>
      </c>
      <c r="BN17" s="325">
        <v>10898</v>
      </c>
      <c r="BO17" s="325">
        <v>11988</v>
      </c>
      <c r="BP17" s="325">
        <v>13187</v>
      </c>
      <c r="BQ17" s="325">
        <v>14506</v>
      </c>
      <c r="BR17" s="325">
        <v>15957</v>
      </c>
      <c r="BS17" s="325">
        <v>17553</v>
      </c>
      <c r="BT17" s="325">
        <v>19308</v>
      </c>
      <c r="BU17" s="325">
        <v>19308</v>
      </c>
      <c r="BV17" s="325">
        <v>21818</v>
      </c>
      <c r="BW17" s="325">
        <v>24654</v>
      </c>
      <c r="BX17" s="325">
        <v>27859</v>
      </c>
      <c r="BY17" s="325">
        <v>31481</v>
      </c>
      <c r="BZ17" s="325">
        <v>35574</v>
      </c>
      <c r="CA17" s="325">
        <v>40199</v>
      </c>
      <c r="CB17" s="325">
        <v>45425</v>
      </c>
      <c r="CC17" s="325">
        <v>51330</v>
      </c>
      <c r="CD17" s="325">
        <v>58003</v>
      </c>
      <c r="CE17" s="325">
        <v>58003</v>
      </c>
      <c r="CF17" s="325">
        <v>67283</v>
      </c>
      <c r="CG17" s="325">
        <v>78048</v>
      </c>
      <c r="CH17" s="325">
        <v>90536</v>
      </c>
      <c r="CI17" s="325">
        <v>105022</v>
      </c>
      <c r="CJ17" s="325">
        <v>121826</v>
      </c>
      <c r="CK17" s="325">
        <v>141318</v>
      </c>
      <c r="CL17" s="325">
        <v>163929</v>
      </c>
      <c r="CM17" s="325">
        <v>190158</v>
      </c>
      <c r="CN17" s="325">
        <v>220583</v>
      </c>
      <c r="CO17" s="325">
        <v>220583</v>
      </c>
      <c r="CP17" s="325">
        <v>264700</v>
      </c>
      <c r="CQ17" s="325">
        <v>317640</v>
      </c>
      <c r="CR17" s="325">
        <v>381168</v>
      </c>
      <c r="CS17" s="325">
        <v>457402</v>
      </c>
      <c r="CT17" s="325">
        <v>548882</v>
      </c>
      <c r="CU17" s="325">
        <v>658658</v>
      </c>
      <c r="CV17" s="325">
        <v>790390</v>
      </c>
      <c r="CW17" s="272"/>
    </row>
    <row r="18" spans="1:101" x14ac:dyDescent="0.2">
      <c r="A18" s="49" t="s">
        <v>418</v>
      </c>
      <c r="B18" s="326">
        <f>B17</f>
        <v>0</v>
      </c>
      <c r="C18" s="326">
        <f t="shared" ref="C18:CV18" si="0">B18+C17</f>
        <v>6</v>
      </c>
      <c r="D18" s="326">
        <f t="shared" si="0"/>
        <v>16</v>
      </c>
      <c r="E18" s="326">
        <f t="shared" si="0"/>
        <v>31</v>
      </c>
      <c r="F18" s="326">
        <f t="shared" si="0"/>
        <v>51</v>
      </c>
      <c r="G18" s="326">
        <f t="shared" si="0"/>
        <v>92</v>
      </c>
      <c r="H18" s="326">
        <f t="shared" si="0"/>
        <v>140</v>
      </c>
      <c r="I18" s="326">
        <f t="shared" si="0"/>
        <v>195</v>
      </c>
      <c r="J18" s="326">
        <f t="shared" si="0"/>
        <v>260</v>
      </c>
      <c r="K18" s="326">
        <f t="shared" si="0"/>
        <v>335</v>
      </c>
      <c r="L18" s="326">
        <f t="shared" si="0"/>
        <v>434</v>
      </c>
      <c r="M18" s="326">
        <f t="shared" si="0"/>
        <v>577</v>
      </c>
      <c r="N18" s="326">
        <f t="shared" si="0"/>
        <v>772</v>
      </c>
      <c r="O18" s="326">
        <f t="shared" si="0"/>
        <v>1017</v>
      </c>
      <c r="P18" s="326">
        <f t="shared" si="0"/>
        <v>1312</v>
      </c>
      <c r="Q18" s="326">
        <f t="shared" si="0"/>
        <v>1652</v>
      </c>
      <c r="R18" s="326">
        <f t="shared" si="0"/>
        <v>2016</v>
      </c>
      <c r="S18" s="326">
        <f t="shared" si="0"/>
        <v>2418</v>
      </c>
      <c r="T18" s="326">
        <f t="shared" si="0"/>
        <v>2858</v>
      </c>
      <c r="U18" s="326">
        <f t="shared" si="0"/>
        <v>3337</v>
      </c>
      <c r="V18" s="326">
        <f t="shared" si="0"/>
        <v>3872</v>
      </c>
      <c r="W18" s="326">
        <f t="shared" si="0"/>
        <v>4438</v>
      </c>
      <c r="X18" s="326">
        <f t="shared" si="0"/>
        <v>5070</v>
      </c>
      <c r="Y18" s="326">
        <f t="shared" si="0"/>
        <v>5780</v>
      </c>
      <c r="Z18" s="326">
        <f t="shared" si="0"/>
        <v>6581</v>
      </c>
      <c r="AA18" s="326">
        <f t="shared" si="0"/>
        <v>7475</v>
      </c>
      <c r="AB18" s="326">
        <f t="shared" si="0"/>
        <v>8467</v>
      </c>
      <c r="AC18" s="326">
        <f t="shared" si="0"/>
        <v>9563</v>
      </c>
      <c r="AD18" s="326">
        <f t="shared" si="0"/>
        <v>10770</v>
      </c>
      <c r="AE18" s="326">
        <f t="shared" si="0"/>
        <v>12096</v>
      </c>
      <c r="AF18" s="326">
        <f t="shared" si="0"/>
        <v>13550</v>
      </c>
      <c r="AG18" s="326">
        <f t="shared" si="0"/>
        <v>15133</v>
      </c>
      <c r="AH18" s="326">
        <f t="shared" si="0"/>
        <v>16847</v>
      </c>
      <c r="AI18" s="326">
        <f t="shared" si="0"/>
        <v>18695</v>
      </c>
      <c r="AJ18" s="326">
        <f t="shared" si="0"/>
        <v>20681</v>
      </c>
      <c r="AK18" s="326">
        <f t="shared" si="0"/>
        <v>22860</v>
      </c>
      <c r="AL18" s="326">
        <f t="shared" si="0"/>
        <v>25188</v>
      </c>
      <c r="AM18" s="326">
        <f t="shared" si="0"/>
        <v>27672</v>
      </c>
      <c r="AN18" s="326">
        <f t="shared" si="0"/>
        <v>30320</v>
      </c>
      <c r="AO18" s="326">
        <f t="shared" si="0"/>
        <v>33141</v>
      </c>
      <c r="AP18" s="326">
        <f t="shared" si="0"/>
        <v>36145</v>
      </c>
      <c r="AQ18" s="326">
        <f t="shared" si="0"/>
        <v>39333</v>
      </c>
      <c r="AR18" s="326">
        <f t="shared" si="0"/>
        <v>42707</v>
      </c>
      <c r="AS18" s="326">
        <f t="shared" si="0"/>
        <v>46270</v>
      </c>
      <c r="AT18" s="326">
        <f t="shared" si="0"/>
        <v>50026</v>
      </c>
      <c r="AU18" s="326">
        <f t="shared" si="0"/>
        <v>54010</v>
      </c>
      <c r="AV18" s="326">
        <f t="shared" si="0"/>
        <v>58148</v>
      </c>
      <c r="AW18" s="326">
        <f t="shared" si="0"/>
        <v>62497</v>
      </c>
      <c r="AX18" s="326">
        <f t="shared" si="0"/>
        <v>67065</v>
      </c>
      <c r="AY18" s="326">
        <f t="shared" si="0"/>
        <v>71861</v>
      </c>
      <c r="AZ18" s="326">
        <f t="shared" si="0"/>
        <v>76915</v>
      </c>
      <c r="BA18" s="326">
        <f t="shared" si="0"/>
        <v>82208</v>
      </c>
      <c r="BB18" s="326">
        <f t="shared" si="0"/>
        <v>87742</v>
      </c>
      <c r="BC18" s="326">
        <f t="shared" si="0"/>
        <v>93520</v>
      </c>
      <c r="BD18" s="326">
        <f t="shared" si="0"/>
        <v>99546</v>
      </c>
      <c r="BE18" s="326">
        <f t="shared" si="0"/>
        <v>105875</v>
      </c>
      <c r="BF18" s="326">
        <f t="shared" si="0"/>
        <v>112463</v>
      </c>
      <c r="BG18" s="326">
        <f t="shared" si="0"/>
        <v>119317</v>
      </c>
      <c r="BH18" s="326">
        <f t="shared" si="0"/>
        <v>126617</v>
      </c>
      <c r="BI18" s="326">
        <f t="shared" si="0"/>
        <v>134418</v>
      </c>
      <c r="BJ18" s="326">
        <f t="shared" si="0"/>
        <v>142755</v>
      </c>
      <c r="BK18" s="326">
        <f t="shared" si="0"/>
        <v>151324</v>
      </c>
      <c r="BL18" s="326">
        <f t="shared" si="0"/>
        <v>160330</v>
      </c>
      <c r="BM18" s="326">
        <f t="shared" si="0"/>
        <v>170237</v>
      </c>
      <c r="BN18" s="326">
        <f t="shared" si="0"/>
        <v>181135</v>
      </c>
      <c r="BO18" s="326">
        <f t="shared" si="0"/>
        <v>193123</v>
      </c>
      <c r="BP18" s="326">
        <f t="shared" si="0"/>
        <v>206310</v>
      </c>
      <c r="BQ18" s="326">
        <f t="shared" si="0"/>
        <v>220816</v>
      </c>
      <c r="BR18" s="326">
        <f t="shared" si="0"/>
        <v>236773</v>
      </c>
      <c r="BS18" s="326">
        <f t="shared" si="0"/>
        <v>254326</v>
      </c>
      <c r="BT18" s="326">
        <f t="shared" si="0"/>
        <v>273634</v>
      </c>
      <c r="BU18" s="326">
        <f t="shared" si="0"/>
        <v>292942</v>
      </c>
      <c r="BV18" s="326">
        <f t="shared" si="0"/>
        <v>314760</v>
      </c>
      <c r="BW18" s="326">
        <f t="shared" si="0"/>
        <v>339414</v>
      </c>
      <c r="BX18" s="326">
        <f t="shared" si="0"/>
        <v>367273</v>
      </c>
      <c r="BY18" s="326">
        <f t="shared" si="0"/>
        <v>398754</v>
      </c>
      <c r="BZ18" s="326">
        <f t="shared" si="0"/>
        <v>434328</v>
      </c>
      <c r="CA18" s="326">
        <f t="shared" si="0"/>
        <v>474527</v>
      </c>
      <c r="CB18" s="326">
        <f t="shared" si="0"/>
        <v>519952</v>
      </c>
      <c r="CC18" s="326">
        <f t="shared" si="0"/>
        <v>571282</v>
      </c>
      <c r="CD18" s="326">
        <f t="shared" si="0"/>
        <v>629285</v>
      </c>
      <c r="CE18" s="326">
        <f t="shared" si="0"/>
        <v>687288</v>
      </c>
      <c r="CF18" s="326">
        <f t="shared" si="0"/>
        <v>754571</v>
      </c>
      <c r="CG18" s="326">
        <f t="shared" si="0"/>
        <v>832619</v>
      </c>
      <c r="CH18" s="326">
        <f t="shared" si="0"/>
        <v>923155</v>
      </c>
      <c r="CI18" s="326">
        <f t="shared" si="0"/>
        <v>1028177</v>
      </c>
      <c r="CJ18" s="326">
        <f t="shared" si="0"/>
        <v>1150003</v>
      </c>
      <c r="CK18" s="326">
        <f t="shared" si="0"/>
        <v>1291321</v>
      </c>
      <c r="CL18" s="326">
        <f t="shared" si="0"/>
        <v>1455250</v>
      </c>
      <c r="CM18" s="326">
        <f t="shared" si="0"/>
        <v>1645408</v>
      </c>
      <c r="CN18" s="326">
        <f t="shared" si="0"/>
        <v>1865991</v>
      </c>
      <c r="CO18" s="326">
        <f t="shared" si="0"/>
        <v>2086574</v>
      </c>
      <c r="CP18" s="326">
        <f t="shared" si="0"/>
        <v>2351274</v>
      </c>
      <c r="CQ18" s="326">
        <f t="shared" si="0"/>
        <v>2668914</v>
      </c>
      <c r="CR18" s="326">
        <f t="shared" si="0"/>
        <v>3050082</v>
      </c>
      <c r="CS18" s="326">
        <f t="shared" si="0"/>
        <v>3507484</v>
      </c>
      <c r="CT18" s="326">
        <f t="shared" si="0"/>
        <v>4056366</v>
      </c>
      <c r="CU18" s="326">
        <f t="shared" si="0"/>
        <v>4715024</v>
      </c>
      <c r="CV18" s="326">
        <f t="shared" si="0"/>
        <v>5505414</v>
      </c>
      <c r="CW18" s="266"/>
    </row>
    <row r="19" spans="1:101" ht="15.75" customHeight="1" x14ac:dyDescent="0.25">
      <c r="A19" s="320"/>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c r="CA19" s="327"/>
      <c r="CB19" s="327"/>
      <c r="CC19" s="327"/>
      <c r="CD19" s="327"/>
      <c r="CE19" s="327"/>
      <c r="CF19" s="327"/>
      <c r="CG19" s="327"/>
      <c r="CH19" s="327"/>
      <c r="CI19" s="327"/>
      <c r="CJ19" s="327"/>
      <c r="CK19" s="327"/>
      <c r="CL19" s="327"/>
      <c r="CM19" s="327"/>
      <c r="CN19" s="327"/>
      <c r="CO19" s="327"/>
      <c r="CP19" s="327"/>
      <c r="CQ19" s="327"/>
      <c r="CR19" s="327"/>
      <c r="CS19" s="327"/>
      <c r="CT19" s="327"/>
      <c r="CU19" s="327"/>
      <c r="CV19" s="327"/>
      <c r="CW19" s="328"/>
    </row>
    <row r="20" spans="1:101" ht="15.75" customHeight="1" x14ac:dyDescent="0.25">
      <c r="A20" s="47" t="str">
        <f ca="1">语言!$A$35</f>
        <v>欧菲莉亚</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c r="CH20" s="327"/>
      <c r="CI20" s="327"/>
      <c r="CJ20" s="327"/>
      <c r="CK20" s="327"/>
      <c r="CL20" s="327"/>
      <c r="CM20" s="327"/>
      <c r="CN20" s="327"/>
      <c r="CO20" s="327"/>
      <c r="CP20" s="327"/>
      <c r="CQ20" s="327"/>
      <c r="CR20" s="327"/>
      <c r="CS20" s="327"/>
      <c r="CT20" s="327"/>
      <c r="CU20" s="327"/>
      <c r="CV20" s="327"/>
      <c r="CW20" s="328"/>
    </row>
    <row r="21" spans="1:101" x14ac:dyDescent="0.2">
      <c r="A21" s="50" t="str">
        <f ca="1">语言!$A$2297</f>
        <v>等级</v>
      </c>
      <c r="B21" s="329">
        <v>1</v>
      </c>
      <c r="C21" s="329">
        <v>2</v>
      </c>
      <c r="D21" s="329">
        <v>3</v>
      </c>
      <c r="E21" s="329">
        <v>4</v>
      </c>
      <c r="F21" s="329">
        <v>5</v>
      </c>
      <c r="G21" s="329">
        <v>6</v>
      </c>
      <c r="H21" s="329">
        <v>7</v>
      </c>
      <c r="I21" s="329">
        <v>8</v>
      </c>
      <c r="J21" s="329">
        <v>9</v>
      </c>
      <c r="K21" s="329">
        <v>10</v>
      </c>
      <c r="L21" s="329">
        <v>11</v>
      </c>
      <c r="M21" s="329">
        <v>12</v>
      </c>
      <c r="N21" s="329">
        <v>13</v>
      </c>
      <c r="O21" s="329">
        <v>14</v>
      </c>
      <c r="P21" s="329">
        <v>15</v>
      </c>
      <c r="Q21" s="329">
        <v>16</v>
      </c>
      <c r="R21" s="329">
        <v>17</v>
      </c>
      <c r="S21" s="329">
        <v>18</v>
      </c>
      <c r="T21" s="329">
        <v>19</v>
      </c>
      <c r="U21" s="329">
        <v>20</v>
      </c>
      <c r="V21" s="329">
        <v>21</v>
      </c>
      <c r="W21" s="329">
        <v>22</v>
      </c>
      <c r="X21" s="329">
        <v>23</v>
      </c>
      <c r="Y21" s="329">
        <v>24</v>
      </c>
      <c r="Z21" s="329">
        <v>25</v>
      </c>
      <c r="AA21" s="329">
        <v>26</v>
      </c>
      <c r="AB21" s="329">
        <v>27</v>
      </c>
      <c r="AC21" s="329">
        <v>28</v>
      </c>
      <c r="AD21" s="329">
        <v>29</v>
      </c>
      <c r="AE21" s="329">
        <v>30</v>
      </c>
      <c r="AF21" s="329">
        <v>31</v>
      </c>
      <c r="AG21" s="329">
        <v>32</v>
      </c>
      <c r="AH21" s="329">
        <v>33</v>
      </c>
      <c r="AI21" s="329">
        <v>34</v>
      </c>
      <c r="AJ21" s="329">
        <v>35</v>
      </c>
      <c r="AK21" s="329">
        <v>36</v>
      </c>
      <c r="AL21" s="329">
        <v>37</v>
      </c>
      <c r="AM21" s="329">
        <v>38</v>
      </c>
      <c r="AN21" s="329">
        <v>39</v>
      </c>
      <c r="AO21" s="329">
        <v>40</v>
      </c>
      <c r="AP21" s="329">
        <v>41</v>
      </c>
      <c r="AQ21" s="329">
        <v>42</v>
      </c>
      <c r="AR21" s="329">
        <v>43</v>
      </c>
      <c r="AS21" s="329">
        <v>44</v>
      </c>
      <c r="AT21" s="329">
        <v>45</v>
      </c>
      <c r="AU21" s="329">
        <v>46</v>
      </c>
      <c r="AV21" s="329">
        <v>47</v>
      </c>
      <c r="AW21" s="329">
        <v>48</v>
      </c>
      <c r="AX21" s="329">
        <v>49</v>
      </c>
      <c r="AY21" s="329">
        <v>50</v>
      </c>
      <c r="AZ21" s="329">
        <v>51</v>
      </c>
      <c r="BA21" s="329">
        <v>52</v>
      </c>
      <c r="BB21" s="329">
        <v>53</v>
      </c>
      <c r="BC21" s="329">
        <v>54</v>
      </c>
      <c r="BD21" s="329">
        <v>55</v>
      </c>
      <c r="BE21" s="329">
        <v>56</v>
      </c>
      <c r="BF21" s="329">
        <v>57</v>
      </c>
      <c r="BG21" s="329">
        <v>58</v>
      </c>
      <c r="BH21" s="329">
        <v>59</v>
      </c>
      <c r="BI21" s="329">
        <v>60</v>
      </c>
      <c r="BJ21" s="329">
        <v>61</v>
      </c>
      <c r="BK21" s="329">
        <v>62</v>
      </c>
      <c r="BL21" s="329">
        <v>63</v>
      </c>
      <c r="BM21" s="329">
        <v>64</v>
      </c>
      <c r="BN21" s="329">
        <v>65</v>
      </c>
      <c r="BO21" s="329">
        <v>66</v>
      </c>
      <c r="BP21" s="329">
        <v>67</v>
      </c>
      <c r="BQ21" s="329">
        <v>68</v>
      </c>
      <c r="BR21" s="329">
        <v>69</v>
      </c>
      <c r="BS21" s="329">
        <v>70</v>
      </c>
      <c r="BT21" s="329">
        <v>71</v>
      </c>
      <c r="BU21" s="329">
        <v>72</v>
      </c>
      <c r="BV21" s="329">
        <v>73</v>
      </c>
      <c r="BW21" s="329">
        <v>74</v>
      </c>
      <c r="BX21" s="329">
        <v>75</v>
      </c>
      <c r="BY21" s="329">
        <v>76</v>
      </c>
      <c r="BZ21" s="329">
        <v>77</v>
      </c>
      <c r="CA21" s="329">
        <v>78</v>
      </c>
      <c r="CB21" s="329">
        <v>79</v>
      </c>
      <c r="CC21" s="329">
        <v>80</v>
      </c>
      <c r="CD21" s="329">
        <v>81</v>
      </c>
      <c r="CE21" s="329">
        <v>82</v>
      </c>
      <c r="CF21" s="329">
        <v>83</v>
      </c>
      <c r="CG21" s="329">
        <v>84</v>
      </c>
      <c r="CH21" s="329">
        <v>85</v>
      </c>
      <c r="CI21" s="329">
        <v>86</v>
      </c>
      <c r="CJ21" s="329">
        <v>87</v>
      </c>
      <c r="CK21" s="329">
        <v>88</v>
      </c>
      <c r="CL21" s="329">
        <v>89</v>
      </c>
      <c r="CM21" s="329">
        <v>90</v>
      </c>
      <c r="CN21" s="329">
        <v>91</v>
      </c>
      <c r="CO21" s="329">
        <v>92</v>
      </c>
      <c r="CP21" s="329">
        <v>93</v>
      </c>
      <c r="CQ21" s="329">
        <v>94</v>
      </c>
      <c r="CR21" s="329">
        <v>95</v>
      </c>
      <c r="CS21" s="329">
        <v>96</v>
      </c>
      <c r="CT21" s="329">
        <v>97</v>
      </c>
      <c r="CU21" s="329">
        <v>98</v>
      </c>
      <c r="CV21" s="329">
        <v>99</v>
      </c>
      <c r="CW21" s="49"/>
    </row>
    <row r="22" spans="1:101" x14ac:dyDescent="0.2">
      <c r="A22" s="323" t="str">
        <f ca="1">语言!$A$2298</f>
        <v>最大ＨＰ</v>
      </c>
      <c r="B22" s="325">
        <v>225</v>
      </c>
      <c r="C22" s="325">
        <v>234</v>
      </c>
      <c r="D22" s="325">
        <v>253</v>
      </c>
      <c r="E22" s="325">
        <v>282</v>
      </c>
      <c r="F22" s="325">
        <v>320</v>
      </c>
      <c r="G22" s="325">
        <v>367</v>
      </c>
      <c r="H22" s="325">
        <v>423</v>
      </c>
      <c r="I22" s="325">
        <v>432</v>
      </c>
      <c r="J22" s="325">
        <v>450</v>
      </c>
      <c r="K22" s="325">
        <v>475</v>
      </c>
      <c r="L22" s="325">
        <v>508</v>
      </c>
      <c r="M22" s="325">
        <v>549</v>
      </c>
      <c r="N22" s="325">
        <v>599</v>
      </c>
      <c r="O22" s="325">
        <v>657</v>
      </c>
      <c r="P22" s="325">
        <v>722</v>
      </c>
      <c r="Q22" s="325">
        <v>796</v>
      </c>
      <c r="R22" s="325">
        <v>878</v>
      </c>
      <c r="S22" s="325">
        <v>969</v>
      </c>
      <c r="T22" s="325">
        <v>1068</v>
      </c>
      <c r="U22" s="325">
        <v>1175</v>
      </c>
      <c r="V22" s="325">
        <v>1184</v>
      </c>
      <c r="W22" s="325">
        <v>1201</v>
      </c>
      <c r="X22" s="325">
        <v>1226</v>
      </c>
      <c r="Y22" s="325">
        <v>1260</v>
      </c>
      <c r="Z22" s="325">
        <v>1301</v>
      </c>
      <c r="AA22" s="325">
        <v>1350</v>
      </c>
      <c r="AB22" s="325">
        <v>1408</v>
      </c>
      <c r="AC22" s="325">
        <v>1474</v>
      </c>
      <c r="AD22" s="325">
        <v>1548</v>
      </c>
      <c r="AE22" s="325">
        <v>1629</v>
      </c>
      <c r="AF22" s="325">
        <v>1637</v>
      </c>
      <c r="AG22" s="325">
        <v>1651</v>
      </c>
      <c r="AH22" s="325">
        <v>1673</v>
      </c>
      <c r="AI22" s="325">
        <v>1701</v>
      </c>
      <c r="AJ22" s="325">
        <v>1737</v>
      </c>
      <c r="AK22" s="325">
        <v>1779</v>
      </c>
      <c r="AL22" s="325">
        <v>1828</v>
      </c>
      <c r="AM22" s="325">
        <v>1885</v>
      </c>
      <c r="AN22" s="325">
        <v>1949</v>
      </c>
      <c r="AO22" s="325">
        <v>2019</v>
      </c>
      <c r="AP22" s="325">
        <v>2023</v>
      </c>
      <c r="AQ22" s="325">
        <v>2030</v>
      </c>
      <c r="AR22" s="325">
        <v>2041</v>
      </c>
      <c r="AS22" s="325">
        <v>2055</v>
      </c>
      <c r="AT22" s="325">
        <v>2073</v>
      </c>
      <c r="AU22" s="325">
        <v>2095</v>
      </c>
      <c r="AV22" s="325">
        <v>2120</v>
      </c>
      <c r="AW22" s="325">
        <v>2149</v>
      </c>
      <c r="AX22" s="325">
        <v>2181</v>
      </c>
      <c r="AY22" s="325">
        <v>2216</v>
      </c>
      <c r="AZ22" s="325">
        <v>2255</v>
      </c>
      <c r="BA22" s="325">
        <v>2297</v>
      </c>
      <c r="BB22" s="325">
        <v>2343</v>
      </c>
      <c r="BC22" s="325">
        <v>2393</v>
      </c>
      <c r="BD22" s="325">
        <v>2446</v>
      </c>
      <c r="BE22" s="325">
        <v>2502</v>
      </c>
      <c r="BF22" s="325">
        <v>2563</v>
      </c>
      <c r="BG22" s="325">
        <v>2627</v>
      </c>
      <c r="BH22" s="325">
        <v>2694</v>
      </c>
      <c r="BI22" s="325">
        <v>2764</v>
      </c>
      <c r="BJ22" s="325">
        <v>2771</v>
      </c>
      <c r="BK22" s="325">
        <v>2782</v>
      </c>
      <c r="BL22" s="325">
        <v>2800</v>
      </c>
      <c r="BM22" s="325">
        <v>2824</v>
      </c>
      <c r="BN22" s="325">
        <v>2853</v>
      </c>
      <c r="BO22" s="325">
        <v>2889</v>
      </c>
      <c r="BP22" s="325">
        <v>2930</v>
      </c>
      <c r="BQ22" s="325">
        <v>2977</v>
      </c>
      <c r="BR22" s="325">
        <v>3030</v>
      </c>
      <c r="BS22" s="325">
        <v>3088</v>
      </c>
      <c r="BT22" s="325">
        <v>3095</v>
      </c>
      <c r="BU22" s="325">
        <v>3106</v>
      </c>
      <c r="BV22" s="325">
        <v>3124</v>
      </c>
      <c r="BW22" s="325">
        <v>3148</v>
      </c>
      <c r="BX22" s="325">
        <v>3177</v>
      </c>
      <c r="BY22" s="325">
        <v>3213</v>
      </c>
      <c r="BZ22" s="325">
        <v>3254</v>
      </c>
      <c r="CA22" s="325">
        <v>3301</v>
      </c>
      <c r="CB22" s="325">
        <v>3354</v>
      </c>
      <c r="CC22" s="325">
        <v>3412</v>
      </c>
      <c r="CD22" s="325">
        <v>3419</v>
      </c>
      <c r="CE22" s="325">
        <v>3430</v>
      </c>
      <c r="CF22" s="325">
        <v>3448</v>
      </c>
      <c r="CG22" s="325">
        <v>3472</v>
      </c>
      <c r="CH22" s="325">
        <v>3501</v>
      </c>
      <c r="CI22" s="325">
        <v>3537</v>
      </c>
      <c r="CJ22" s="325">
        <v>3578</v>
      </c>
      <c r="CK22" s="325">
        <v>3625</v>
      </c>
      <c r="CL22" s="325">
        <v>3678</v>
      </c>
      <c r="CM22" s="325">
        <v>3736</v>
      </c>
      <c r="CN22" s="325">
        <v>3743</v>
      </c>
      <c r="CO22" s="325">
        <v>3754</v>
      </c>
      <c r="CP22" s="325">
        <v>3772</v>
      </c>
      <c r="CQ22" s="325">
        <v>3796</v>
      </c>
      <c r="CR22" s="325">
        <v>3825</v>
      </c>
      <c r="CS22" s="325">
        <v>3861</v>
      </c>
      <c r="CT22" s="325">
        <v>3902</v>
      </c>
      <c r="CU22" s="325">
        <v>3949</v>
      </c>
      <c r="CV22" s="325">
        <v>4002</v>
      </c>
      <c r="CW22" s="272"/>
    </row>
    <row r="23" spans="1:101" x14ac:dyDescent="0.2">
      <c r="A23" s="49" t="str">
        <f ca="1">语言!$A$2299</f>
        <v>最大ＳＰ</v>
      </c>
      <c r="B23" s="326">
        <v>65</v>
      </c>
      <c r="C23" s="326">
        <v>66</v>
      </c>
      <c r="D23" s="326">
        <v>67</v>
      </c>
      <c r="E23" s="326">
        <v>68</v>
      </c>
      <c r="F23" s="326">
        <v>70</v>
      </c>
      <c r="G23" s="326">
        <v>71</v>
      </c>
      <c r="H23" s="326">
        <v>74</v>
      </c>
      <c r="I23" s="326">
        <v>75</v>
      </c>
      <c r="J23" s="326">
        <v>76</v>
      </c>
      <c r="K23" s="326">
        <v>78</v>
      </c>
      <c r="L23" s="326">
        <v>79</v>
      </c>
      <c r="M23" s="326">
        <v>80</v>
      </c>
      <c r="N23" s="326">
        <v>83</v>
      </c>
      <c r="O23" s="326">
        <v>85</v>
      </c>
      <c r="P23" s="326">
        <v>88</v>
      </c>
      <c r="Q23" s="326">
        <v>91</v>
      </c>
      <c r="R23" s="326">
        <v>93</v>
      </c>
      <c r="S23" s="326">
        <v>96</v>
      </c>
      <c r="T23" s="326">
        <v>100</v>
      </c>
      <c r="U23" s="326">
        <v>104</v>
      </c>
      <c r="V23" s="326">
        <v>105</v>
      </c>
      <c r="W23" s="326">
        <v>106</v>
      </c>
      <c r="X23" s="326">
        <v>107</v>
      </c>
      <c r="Y23" s="326">
        <v>109</v>
      </c>
      <c r="Z23" s="326">
        <v>110</v>
      </c>
      <c r="AA23" s="326">
        <v>113</v>
      </c>
      <c r="AB23" s="326">
        <v>115</v>
      </c>
      <c r="AC23" s="326">
        <v>118</v>
      </c>
      <c r="AD23" s="326">
        <v>120</v>
      </c>
      <c r="AE23" s="326">
        <v>123</v>
      </c>
      <c r="AF23" s="326">
        <v>124</v>
      </c>
      <c r="AG23" s="326">
        <v>126</v>
      </c>
      <c r="AH23" s="326">
        <v>127</v>
      </c>
      <c r="AI23" s="326">
        <v>128</v>
      </c>
      <c r="AJ23" s="326">
        <v>130</v>
      </c>
      <c r="AK23" s="326">
        <v>131</v>
      </c>
      <c r="AL23" s="326">
        <v>133</v>
      </c>
      <c r="AM23" s="326">
        <v>136</v>
      </c>
      <c r="AN23" s="326">
        <v>139</v>
      </c>
      <c r="AO23" s="326">
        <v>141</v>
      </c>
      <c r="AP23" s="326">
        <v>143</v>
      </c>
      <c r="AQ23" s="326">
        <v>144</v>
      </c>
      <c r="AR23" s="326">
        <v>145</v>
      </c>
      <c r="AS23" s="326">
        <v>146</v>
      </c>
      <c r="AT23" s="326">
        <v>148</v>
      </c>
      <c r="AU23" s="326">
        <v>149</v>
      </c>
      <c r="AV23" s="326">
        <v>150</v>
      </c>
      <c r="AW23" s="326">
        <v>152</v>
      </c>
      <c r="AX23" s="326">
        <v>153</v>
      </c>
      <c r="AY23" s="326">
        <v>154</v>
      </c>
      <c r="AZ23" s="326">
        <v>156</v>
      </c>
      <c r="BA23" s="326">
        <v>157</v>
      </c>
      <c r="BB23" s="326">
        <v>158</v>
      </c>
      <c r="BC23" s="326">
        <v>161</v>
      </c>
      <c r="BD23" s="326">
        <v>163</v>
      </c>
      <c r="BE23" s="326">
        <v>166</v>
      </c>
      <c r="BF23" s="326">
        <v>169</v>
      </c>
      <c r="BG23" s="326">
        <v>171</v>
      </c>
      <c r="BH23" s="326">
        <v>174</v>
      </c>
      <c r="BI23" s="326">
        <v>176</v>
      </c>
      <c r="BJ23" s="326">
        <v>178</v>
      </c>
      <c r="BK23" s="326">
        <v>179</v>
      </c>
      <c r="BL23" s="326">
        <v>180</v>
      </c>
      <c r="BM23" s="326">
        <v>182</v>
      </c>
      <c r="BN23" s="326">
        <v>183</v>
      </c>
      <c r="BO23" s="326">
        <v>184</v>
      </c>
      <c r="BP23" s="326">
        <v>185</v>
      </c>
      <c r="BQ23" s="326">
        <v>187</v>
      </c>
      <c r="BR23" s="326">
        <v>189</v>
      </c>
      <c r="BS23" s="326">
        <v>192</v>
      </c>
      <c r="BT23" s="326">
        <v>193</v>
      </c>
      <c r="BU23" s="326">
        <v>195</v>
      </c>
      <c r="BV23" s="326">
        <v>196</v>
      </c>
      <c r="BW23" s="326">
        <v>197</v>
      </c>
      <c r="BX23" s="326">
        <v>198</v>
      </c>
      <c r="BY23" s="326">
        <v>200</v>
      </c>
      <c r="BZ23" s="326">
        <v>201</v>
      </c>
      <c r="CA23" s="326">
        <v>202</v>
      </c>
      <c r="CB23" s="326">
        <v>205</v>
      </c>
      <c r="CC23" s="326">
        <v>208</v>
      </c>
      <c r="CD23" s="326">
        <v>209</v>
      </c>
      <c r="CE23" s="326">
        <v>210</v>
      </c>
      <c r="CF23" s="326">
        <v>211</v>
      </c>
      <c r="CG23" s="326">
        <v>213</v>
      </c>
      <c r="CH23" s="326">
        <v>214</v>
      </c>
      <c r="CI23" s="326">
        <v>215</v>
      </c>
      <c r="CJ23" s="326">
        <v>217</v>
      </c>
      <c r="CK23" s="326">
        <v>218</v>
      </c>
      <c r="CL23" s="326">
        <v>221</v>
      </c>
      <c r="CM23" s="326">
        <v>223</v>
      </c>
      <c r="CN23" s="326">
        <v>224</v>
      </c>
      <c r="CO23" s="326">
        <v>226</v>
      </c>
      <c r="CP23" s="326">
        <v>227</v>
      </c>
      <c r="CQ23" s="326">
        <v>228</v>
      </c>
      <c r="CR23" s="326">
        <v>230</v>
      </c>
      <c r="CS23" s="326">
        <v>231</v>
      </c>
      <c r="CT23" s="326">
        <v>232</v>
      </c>
      <c r="CU23" s="326">
        <v>234</v>
      </c>
      <c r="CV23" s="326">
        <v>236</v>
      </c>
      <c r="CW23" s="266"/>
    </row>
    <row r="24" spans="1:101" x14ac:dyDescent="0.2">
      <c r="A24" s="323" t="str">
        <f ca="1">语言!$A$2300</f>
        <v>物理攻击力</v>
      </c>
      <c r="B24" s="325">
        <v>80</v>
      </c>
      <c r="C24" s="325">
        <v>81</v>
      </c>
      <c r="D24" s="325">
        <v>82</v>
      </c>
      <c r="E24" s="325">
        <v>84</v>
      </c>
      <c r="F24" s="325">
        <v>86</v>
      </c>
      <c r="G24" s="325">
        <v>88</v>
      </c>
      <c r="H24" s="325">
        <v>91</v>
      </c>
      <c r="I24" s="325">
        <v>92</v>
      </c>
      <c r="J24" s="325">
        <v>93</v>
      </c>
      <c r="K24" s="325">
        <v>94</v>
      </c>
      <c r="L24" s="325">
        <v>96</v>
      </c>
      <c r="M24" s="325">
        <v>98</v>
      </c>
      <c r="N24" s="325">
        <v>100</v>
      </c>
      <c r="O24" s="325">
        <v>103</v>
      </c>
      <c r="P24" s="325">
        <v>106</v>
      </c>
      <c r="Q24" s="325">
        <v>109</v>
      </c>
      <c r="R24" s="325">
        <v>112</v>
      </c>
      <c r="S24" s="325">
        <v>116</v>
      </c>
      <c r="T24" s="325">
        <v>120</v>
      </c>
      <c r="U24" s="325">
        <v>124</v>
      </c>
      <c r="V24" s="325">
        <v>125</v>
      </c>
      <c r="W24" s="325">
        <v>126</v>
      </c>
      <c r="X24" s="325">
        <v>127</v>
      </c>
      <c r="Y24" s="325">
        <v>129</v>
      </c>
      <c r="Z24" s="325">
        <v>131</v>
      </c>
      <c r="AA24" s="325">
        <v>133</v>
      </c>
      <c r="AB24" s="325">
        <v>136</v>
      </c>
      <c r="AC24" s="325">
        <v>139</v>
      </c>
      <c r="AD24" s="325">
        <v>142</v>
      </c>
      <c r="AE24" s="325">
        <v>145</v>
      </c>
      <c r="AF24" s="325">
        <v>146</v>
      </c>
      <c r="AG24" s="325">
        <v>147</v>
      </c>
      <c r="AH24" s="325">
        <v>148</v>
      </c>
      <c r="AI24" s="325">
        <v>150</v>
      </c>
      <c r="AJ24" s="325">
        <v>152</v>
      </c>
      <c r="AK24" s="325">
        <v>154</v>
      </c>
      <c r="AL24" s="325">
        <v>157</v>
      </c>
      <c r="AM24" s="325">
        <v>160</v>
      </c>
      <c r="AN24" s="325">
        <v>163</v>
      </c>
      <c r="AO24" s="325">
        <v>166</v>
      </c>
      <c r="AP24" s="325">
        <v>167</v>
      </c>
      <c r="AQ24" s="325">
        <v>168</v>
      </c>
      <c r="AR24" s="325">
        <v>169</v>
      </c>
      <c r="AS24" s="325">
        <v>170</v>
      </c>
      <c r="AT24" s="325">
        <v>171</v>
      </c>
      <c r="AU24" s="325">
        <v>173</v>
      </c>
      <c r="AV24" s="325">
        <v>175</v>
      </c>
      <c r="AW24" s="325">
        <v>177</v>
      </c>
      <c r="AX24" s="325">
        <v>179</v>
      </c>
      <c r="AY24" s="325">
        <v>181</v>
      </c>
      <c r="AZ24" s="325">
        <v>184</v>
      </c>
      <c r="BA24" s="325">
        <v>187</v>
      </c>
      <c r="BB24" s="325">
        <v>190</v>
      </c>
      <c r="BC24" s="325">
        <v>193</v>
      </c>
      <c r="BD24" s="325">
        <v>196</v>
      </c>
      <c r="BE24" s="325">
        <v>200</v>
      </c>
      <c r="BF24" s="325">
        <v>204</v>
      </c>
      <c r="BG24" s="325">
        <v>208</v>
      </c>
      <c r="BH24" s="325">
        <v>212</v>
      </c>
      <c r="BI24" s="325">
        <v>216</v>
      </c>
      <c r="BJ24" s="325">
        <v>217</v>
      </c>
      <c r="BK24" s="325">
        <v>218</v>
      </c>
      <c r="BL24" s="325">
        <v>219</v>
      </c>
      <c r="BM24" s="325">
        <v>220</v>
      </c>
      <c r="BN24" s="325">
        <v>222</v>
      </c>
      <c r="BO24" s="325">
        <v>224</v>
      </c>
      <c r="BP24" s="325">
        <v>226</v>
      </c>
      <c r="BQ24" s="325">
        <v>228</v>
      </c>
      <c r="BR24" s="325">
        <v>231</v>
      </c>
      <c r="BS24" s="325">
        <v>234</v>
      </c>
      <c r="BT24" s="325">
        <v>235</v>
      </c>
      <c r="BU24" s="325">
        <v>236</v>
      </c>
      <c r="BV24" s="325">
        <v>237</v>
      </c>
      <c r="BW24" s="325">
        <v>238</v>
      </c>
      <c r="BX24" s="325">
        <v>240</v>
      </c>
      <c r="BY24" s="325">
        <v>242</v>
      </c>
      <c r="BZ24" s="325">
        <v>244</v>
      </c>
      <c r="CA24" s="325">
        <v>246</v>
      </c>
      <c r="CB24" s="325">
        <v>249</v>
      </c>
      <c r="CC24" s="325">
        <v>252</v>
      </c>
      <c r="CD24" s="325">
        <v>253</v>
      </c>
      <c r="CE24" s="325">
        <v>254</v>
      </c>
      <c r="CF24" s="325">
        <v>255</v>
      </c>
      <c r="CG24" s="325">
        <v>256</v>
      </c>
      <c r="CH24" s="325">
        <v>258</v>
      </c>
      <c r="CI24" s="325">
        <v>260</v>
      </c>
      <c r="CJ24" s="325">
        <v>262</v>
      </c>
      <c r="CK24" s="325">
        <v>264</v>
      </c>
      <c r="CL24" s="325">
        <v>267</v>
      </c>
      <c r="CM24" s="325">
        <v>270</v>
      </c>
      <c r="CN24" s="325">
        <v>271</v>
      </c>
      <c r="CO24" s="325">
        <v>272</v>
      </c>
      <c r="CP24" s="325">
        <v>273</v>
      </c>
      <c r="CQ24" s="325">
        <v>274</v>
      </c>
      <c r="CR24" s="325">
        <v>276</v>
      </c>
      <c r="CS24" s="325">
        <v>278</v>
      </c>
      <c r="CT24" s="325">
        <v>280</v>
      </c>
      <c r="CU24" s="325">
        <v>282</v>
      </c>
      <c r="CV24" s="325">
        <v>285</v>
      </c>
      <c r="CW24" s="272"/>
    </row>
    <row r="25" spans="1:101" x14ac:dyDescent="0.2">
      <c r="A25" s="49" t="str">
        <f ca="1">语言!$A$2301</f>
        <v>属性攻击力</v>
      </c>
      <c r="B25" s="326">
        <v>96</v>
      </c>
      <c r="C25" s="326">
        <v>97</v>
      </c>
      <c r="D25" s="326">
        <v>98</v>
      </c>
      <c r="E25" s="326">
        <v>100</v>
      </c>
      <c r="F25" s="326">
        <v>103</v>
      </c>
      <c r="G25" s="326">
        <v>105</v>
      </c>
      <c r="H25" s="326">
        <v>109</v>
      </c>
      <c r="I25" s="326">
        <v>110</v>
      </c>
      <c r="J25" s="326">
        <v>111</v>
      </c>
      <c r="K25" s="326">
        <v>112</v>
      </c>
      <c r="L25" s="326">
        <v>115</v>
      </c>
      <c r="M25" s="326">
        <v>117</v>
      </c>
      <c r="N25" s="326">
        <v>120</v>
      </c>
      <c r="O25" s="326">
        <v>123</v>
      </c>
      <c r="P25" s="326">
        <v>127</v>
      </c>
      <c r="Q25" s="326">
        <v>130</v>
      </c>
      <c r="R25" s="326">
        <v>134</v>
      </c>
      <c r="S25" s="326">
        <v>139</v>
      </c>
      <c r="T25" s="326">
        <v>144</v>
      </c>
      <c r="U25" s="326">
        <v>148</v>
      </c>
      <c r="V25" s="326">
        <v>150</v>
      </c>
      <c r="W25" s="326">
        <v>151</v>
      </c>
      <c r="X25" s="326">
        <v>152</v>
      </c>
      <c r="Y25" s="326">
        <v>154</v>
      </c>
      <c r="Z25" s="326">
        <v>157</v>
      </c>
      <c r="AA25" s="326">
        <v>159</v>
      </c>
      <c r="AB25" s="326">
        <v>163</v>
      </c>
      <c r="AC25" s="326">
        <v>166</v>
      </c>
      <c r="AD25" s="326">
        <v>170</v>
      </c>
      <c r="AE25" s="326">
        <v>174</v>
      </c>
      <c r="AF25" s="326">
        <v>175</v>
      </c>
      <c r="AG25" s="326">
        <v>176</v>
      </c>
      <c r="AH25" s="326">
        <v>177</v>
      </c>
      <c r="AI25" s="326">
        <v>180</v>
      </c>
      <c r="AJ25" s="326">
        <v>182</v>
      </c>
      <c r="AK25" s="326">
        <v>184</v>
      </c>
      <c r="AL25" s="326">
        <v>188</v>
      </c>
      <c r="AM25" s="326">
        <v>192</v>
      </c>
      <c r="AN25" s="326">
        <v>195</v>
      </c>
      <c r="AO25" s="326">
        <v>199</v>
      </c>
      <c r="AP25" s="326">
        <v>200</v>
      </c>
      <c r="AQ25" s="326">
        <v>201</v>
      </c>
      <c r="AR25" s="326">
        <v>202</v>
      </c>
      <c r="AS25" s="326">
        <v>204</v>
      </c>
      <c r="AT25" s="326">
        <v>205</v>
      </c>
      <c r="AU25" s="326">
        <v>207</v>
      </c>
      <c r="AV25" s="326">
        <v>210</v>
      </c>
      <c r="AW25" s="326">
        <v>212</v>
      </c>
      <c r="AX25" s="326">
        <v>214</v>
      </c>
      <c r="AY25" s="326">
        <v>217</v>
      </c>
      <c r="AZ25" s="326">
        <v>220</v>
      </c>
      <c r="BA25" s="326">
        <v>224</v>
      </c>
      <c r="BB25" s="326">
        <v>228</v>
      </c>
      <c r="BC25" s="326">
        <v>231</v>
      </c>
      <c r="BD25" s="326">
        <v>235</v>
      </c>
      <c r="BE25" s="326">
        <v>240</v>
      </c>
      <c r="BF25" s="326">
        <v>244</v>
      </c>
      <c r="BG25" s="326">
        <v>249</v>
      </c>
      <c r="BH25" s="326">
        <v>254</v>
      </c>
      <c r="BI25" s="326">
        <v>259</v>
      </c>
      <c r="BJ25" s="326">
        <v>260</v>
      </c>
      <c r="BK25" s="326">
        <v>261</v>
      </c>
      <c r="BL25" s="326">
        <v>262</v>
      </c>
      <c r="BM25" s="326">
        <v>264</v>
      </c>
      <c r="BN25" s="326">
        <v>266</v>
      </c>
      <c r="BO25" s="326">
        <v>268</v>
      </c>
      <c r="BP25" s="326">
        <v>271</v>
      </c>
      <c r="BQ25" s="326">
        <v>273</v>
      </c>
      <c r="BR25" s="326">
        <v>277</v>
      </c>
      <c r="BS25" s="326">
        <v>280</v>
      </c>
      <c r="BT25" s="326">
        <v>282</v>
      </c>
      <c r="BU25" s="326">
        <v>283</v>
      </c>
      <c r="BV25" s="326">
        <v>284</v>
      </c>
      <c r="BW25" s="326">
        <v>285</v>
      </c>
      <c r="BX25" s="326">
        <v>288</v>
      </c>
      <c r="BY25" s="326">
        <v>290</v>
      </c>
      <c r="BZ25" s="326">
        <v>292</v>
      </c>
      <c r="CA25" s="326">
        <v>295</v>
      </c>
      <c r="CB25" s="326">
        <v>298</v>
      </c>
      <c r="CC25" s="326">
        <v>302</v>
      </c>
      <c r="CD25" s="326">
        <v>303</v>
      </c>
      <c r="CE25" s="326">
        <v>304</v>
      </c>
      <c r="CF25" s="326">
        <v>306</v>
      </c>
      <c r="CG25" s="326">
        <v>307</v>
      </c>
      <c r="CH25" s="326">
        <v>309</v>
      </c>
      <c r="CI25" s="326">
        <v>312</v>
      </c>
      <c r="CJ25" s="326">
        <v>314</v>
      </c>
      <c r="CK25" s="326">
        <v>316</v>
      </c>
      <c r="CL25" s="326">
        <v>320</v>
      </c>
      <c r="CM25" s="326">
        <v>324</v>
      </c>
      <c r="CN25" s="326">
        <v>325</v>
      </c>
      <c r="CO25" s="326">
        <v>326</v>
      </c>
      <c r="CP25" s="326">
        <v>327</v>
      </c>
      <c r="CQ25" s="326">
        <v>328</v>
      </c>
      <c r="CR25" s="326">
        <v>331</v>
      </c>
      <c r="CS25" s="326">
        <v>333</v>
      </c>
      <c r="CT25" s="326">
        <v>336</v>
      </c>
      <c r="CU25" s="326">
        <v>338</v>
      </c>
      <c r="CV25" s="326">
        <v>342</v>
      </c>
      <c r="CW25" s="266"/>
    </row>
    <row r="26" spans="1:101" x14ac:dyDescent="0.2">
      <c r="A26" s="323" t="str">
        <f ca="1">语言!$A$2302</f>
        <v>物理防御力</v>
      </c>
      <c r="B26" s="325">
        <v>80</v>
      </c>
      <c r="C26" s="325">
        <v>81</v>
      </c>
      <c r="D26" s="325">
        <v>82</v>
      </c>
      <c r="E26" s="325">
        <v>84</v>
      </c>
      <c r="F26" s="325">
        <v>86</v>
      </c>
      <c r="G26" s="325">
        <v>88</v>
      </c>
      <c r="H26" s="325">
        <v>91</v>
      </c>
      <c r="I26" s="325">
        <v>92</v>
      </c>
      <c r="J26" s="325">
        <v>93</v>
      </c>
      <c r="K26" s="325">
        <v>94</v>
      </c>
      <c r="L26" s="325">
        <v>96</v>
      </c>
      <c r="M26" s="325">
        <v>98</v>
      </c>
      <c r="N26" s="325">
        <v>100</v>
      </c>
      <c r="O26" s="325">
        <v>103</v>
      </c>
      <c r="P26" s="325">
        <v>106</v>
      </c>
      <c r="Q26" s="325">
        <v>109</v>
      </c>
      <c r="R26" s="325">
        <v>112</v>
      </c>
      <c r="S26" s="325">
        <v>116</v>
      </c>
      <c r="T26" s="325">
        <v>120</v>
      </c>
      <c r="U26" s="325">
        <v>124</v>
      </c>
      <c r="V26" s="325">
        <v>125</v>
      </c>
      <c r="W26" s="325">
        <v>126</v>
      </c>
      <c r="X26" s="325">
        <v>127</v>
      </c>
      <c r="Y26" s="325">
        <v>129</v>
      </c>
      <c r="Z26" s="325">
        <v>131</v>
      </c>
      <c r="AA26" s="325">
        <v>133</v>
      </c>
      <c r="AB26" s="325">
        <v>136</v>
      </c>
      <c r="AC26" s="325">
        <v>139</v>
      </c>
      <c r="AD26" s="325">
        <v>142</v>
      </c>
      <c r="AE26" s="325">
        <v>145</v>
      </c>
      <c r="AF26" s="325">
        <v>146</v>
      </c>
      <c r="AG26" s="325">
        <v>147</v>
      </c>
      <c r="AH26" s="325">
        <v>148</v>
      </c>
      <c r="AI26" s="325">
        <v>150</v>
      </c>
      <c r="AJ26" s="325">
        <v>152</v>
      </c>
      <c r="AK26" s="325">
        <v>154</v>
      </c>
      <c r="AL26" s="325">
        <v>157</v>
      </c>
      <c r="AM26" s="325">
        <v>160</v>
      </c>
      <c r="AN26" s="325">
        <v>163</v>
      </c>
      <c r="AO26" s="325">
        <v>166</v>
      </c>
      <c r="AP26" s="325">
        <v>167</v>
      </c>
      <c r="AQ26" s="325">
        <v>168</v>
      </c>
      <c r="AR26" s="325">
        <v>169</v>
      </c>
      <c r="AS26" s="325">
        <v>170</v>
      </c>
      <c r="AT26" s="325">
        <v>171</v>
      </c>
      <c r="AU26" s="325">
        <v>173</v>
      </c>
      <c r="AV26" s="325">
        <v>175</v>
      </c>
      <c r="AW26" s="325">
        <v>177</v>
      </c>
      <c r="AX26" s="325">
        <v>179</v>
      </c>
      <c r="AY26" s="325">
        <v>181</v>
      </c>
      <c r="AZ26" s="325">
        <v>184</v>
      </c>
      <c r="BA26" s="325">
        <v>187</v>
      </c>
      <c r="BB26" s="325">
        <v>190</v>
      </c>
      <c r="BC26" s="325">
        <v>193</v>
      </c>
      <c r="BD26" s="325">
        <v>196</v>
      </c>
      <c r="BE26" s="325">
        <v>200</v>
      </c>
      <c r="BF26" s="325">
        <v>204</v>
      </c>
      <c r="BG26" s="325">
        <v>208</v>
      </c>
      <c r="BH26" s="325">
        <v>212</v>
      </c>
      <c r="BI26" s="325">
        <v>216</v>
      </c>
      <c r="BJ26" s="325">
        <v>217</v>
      </c>
      <c r="BK26" s="325">
        <v>218</v>
      </c>
      <c r="BL26" s="325">
        <v>219</v>
      </c>
      <c r="BM26" s="325">
        <v>220</v>
      </c>
      <c r="BN26" s="325">
        <v>222</v>
      </c>
      <c r="BO26" s="325">
        <v>224</v>
      </c>
      <c r="BP26" s="325">
        <v>226</v>
      </c>
      <c r="BQ26" s="325">
        <v>228</v>
      </c>
      <c r="BR26" s="325">
        <v>231</v>
      </c>
      <c r="BS26" s="325">
        <v>234</v>
      </c>
      <c r="BT26" s="325">
        <v>235</v>
      </c>
      <c r="BU26" s="325">
        <v>236</v>
      </c>
      <c r="BV26" s="325">
        <v>237</v>
      </c>
      <c r="BW26" s="325">
        <v>238</v>
      </c>
      <c r="BX26" s="325">
        <v>240</v>
      </c>
      <c r="BY26" s="325">
        <v>242</v>
      </c>
      <c r="BZ26" s="325">
        <v>244</v>
      </c>
      <c r="CA26" s="325">
        <v>246</v>
      </c>
      <c r="CB26" s="325">
        <v>249</v>
      </c>
      <c r="CC26" s="325">
        <v>252</v>
      </c>
      <c r="CD26" s="325">
        <v>253</v>
      </c>
      <c r="CE26" s="325">
        <v>254</v>
      </c>
      <c r="CF26" s="325">
        <v>255</v>
      </c>
      <c r="CG26" s="325">
        <v>256</v>
      </c>
      <c r="CH26" s="325">
        <v>258</v>
      </c>
      <c r="CI26" s="325">
        <v>260</v>
      </c>
      <c r="CJ26" s="325">
        <v>262</v>
      </c>
      <c r="CK26" s="325">
        <v>264</v>
      </c>
      <c r="CL26" s="325">
        <v>267</v>
      </c>
      <c r="CM26" s="325">
        <v>270</v>
      </c>
      <c r="CN26" s="325">
        <v>271</v>
      </c>
      <c r="CO26" s="325">
        <v>272</v>
      </c>
      <c r="CP26" s="325">
        <v>273</v>
      </c>
      <c r="CQ26" s="325">
        <v>274</v>
      </c>
      <c r="CR26" s="325">
        <v>276</v>
      </c>
      <c r="CS26" s="325">
        <v>278</v>
      </c>
      <c r="CT26" s="325">
        <v>280</v>
      </c>
      <c r="CU26" s="325">
        <v>282</v>
      </c>
      <c r="CV26" s="325">
        <v>285</v>
      </c>
      <c r="CW26" s="272"/>
    </row>
    <row r="27" spans="1:101" x14ac:dyDescent="0.2">
      <c r="A27" s="49" t="str">
        <f ca="1">语言!$A$2303</f>
        <v>属性防御力</v>
      </c>
      <c r="B27" s="326">
        <v>104</v>
      </c>
      <c r="C27" s="326">
        <v>105</v>
      </c>
      <c r="D27" s="326">
        <v>106</v>
      </c>
      <c r="E27" s="326">
        <v>109</v>
      </c>
      <c r="F27" s="326">
        <v>111</v>
      </c>
      <c r="G27" s="326">
        <v>114</v>
      </c>
      <c r="H27" s="326">
        <v>118</v>
      </c>
      <c r="I27" s="326">
        <v>119</v>
      </c>
      <c r="J27" s="326">
        <v>120</v>
      </c>
      <c r="K27" s="326">
        <v>122</v>
      </c>
      <c r="L27" s="326">
        <v>124</v>
      </c>
      <c r="M27" s="326">
        <v>127</v>
      </c>
      <c r="N27" s="326">
        <v>130</v>
      </c>
      <c r="O27" s="326">
        <v>133</v>
      </c>
      <c r="P27" s="326">
        <v>137</v>
      </c>
      <c r="Q27" s="326">
        <v>141</v>
      </c>
      <c r="R27" s="326">
        <v>145</v>
      </c>
      <c r="S27" s="326">
        <v>150</v>
      </c>
      <c r="T27" s="326">
        <v>156</v>
      </c>
      <c r="U27" s="326">
        <v>161</v>
      </c>
      <c r="V27" s="326">
        <v>162</v>
      </c>
      <c r="W27" s="326">
        <v>163</v>
      </c>
      <c r="X27" s="326">
        <v>165</v>
      </c>
      <c r="Y27" s="326">
        <v>167</v>
      </c>
      <c r="Z27" s="326">
        <v>170</v>
      </c>
      <c r="AA27" s="326">
        <v>172</v>
      </c>
      <c r="AB27" s="326">
        <v>176</v>
      </c>
      <c r="AC27" s="326">
        <v>180</v>
      </c>
      <c r="AD27" s="326">
        <v>184</v>
      </c>
      <c r="AE27" s="326">
        <v>188</v>
      </c>
      <c r="AF27" s="326">
        <v>189</v>
      </c>
      <c r="AG27" s="326">
        <v>191</v>
      </c>
      <c r="AH27" s="326">
        <v>192</v>
      </c>
      <c r="AI27" s="326">
        <v>195</v>
      </c>
      <c r="AJ27" s="326">
        <v>197</v>
      </c>
      <c r="AK27" s="326">
        <v>200</v>
      </c>
      <c r="AL27" s="326">
        <v>204</v>
      </c>
      <c r="AM27" s="326">
        <v>208</v>
      </c>
      <c r="AN27" s="326">
        <v>211</v>
      </c>
      <c r="AO27" s="326">
        <v>215</v>
      </c>
      <c r="AP27" s="326">
        <v>217</v>
      </c>
      <c r="AQ27" s="326">
        <v>218</v>
      </c>
      <c r="AR27" s="326">
        <v>219</v>
      </c>
      <c r="AS27" s="326">
        <v>221</v>
      </c>
      <c r="AT27" s="326">
        <v>222</v>
      </c>
      <c r="AU27" s="326">
        <v>224</v>
      </c>
      <c r="AV27" s="326">
        <v>227</v>
      </c>
      <c r="AW27" s="326">
        <v>230</v>
      </c>
      <c r="AX27" s="326">
        <v>232</v>
      </c>
      <c r="AY27" s="326">
        <v>235</v>
      </c>
      <c r="AZ27" s="326">
        <v>239</v>
      </c>
      <c r="BA27" s="326">
        <v>243</v>
      </c>
      <c r="BB27" s="326">
        <v>247</v>
      </c>
      <c r="BC27" s="326">
        <v>250</v>
      </c>
      <c r="BD27" s="326">
        <v>254</v>
      </c>
      <c r="BE27" s="326">
        <v>260</v>
      </c>
      <c r="BF27" s="326">
        <v>265</v>
      </c>
      <c r="BG27" s="326">
        <v>270</v>
      </c>
      <c r="BH27" s="326">
        <v>275</v>
      </c>
      <c r="BI27" s="326">
        <v>280</v>
      </c>
      <c r="BJ27" s="326">
        <v>282</v>
      </c>
      <c r="BK27" s="326">
        <v>283</v>
      </c>
      <c r="BL27" s="326">
        <v>284</v>
      </c>
      <c r="BM27" s="326">
        <v>286</v>
      </c>
      <c r="BN27" s="326">
        <v>288</v>
      </c>
      <c r="BO27" s="326">
        <v>291</v>
      </c>
      <c r="BP27" s="326">
        <v>293</v>
      </c>
      <c r="BQ27" s="326">
        <v>296</v>
      </c>
      <c r="BR27" s="326">
        <v>300</v>
      </c>
      <c r="BS27" s="326">
        <v>304</v>
      </c>
      <c r="BT27" s="326">
        <v>305</v>
      </c>
      <c r="BU27" s="326">
        <v>306</v>
      </c>
      <c r="BV27" s="326">
        <v>308</v>
      </c>
      <c r="BW27" s="326">
        <v>309</v>
      </c>
      <c r="BX27" s="326">
        <v>312</v>
      </c>
      <c r="BY27" s="326">
        <v>314</v>
      </c>
      <c r="BZ27" s="326">
        <v>317</v>
      </c>
      <c r="CA27" s="326">
        <v>319</v>
      </c>
      <c r="CB27" s="326">
        <v>323</v>
      </c>
      <c r="CC27" s="326">
        <v>327</v>
      </c>
      <c r="CD27" s="326">
        <v>328</v>
      </c>
      <c r="CE27" s="326">
        <v>330</v>
      </c>
      <c r="CF27" s="326">
        <v>331</v>
      </c>
      <c r="CG27" s="326">
        <v>332</v>
      </c>
      <c r="CH27" s="326">
        <v>335</v>
      </c>
      <c r="CI27" s="326">
        <v>338</v>
      </c>
      <c r="CJ27" s="326">
        <v>340</v>
      </c>
      <c r="CK27" s="326">
        <v>343</v>
      </c>
      <c r="CL27" s="326">
        <v>347</v>
      </c>
      <c r="CM27" s="326">
        <v>351</v>
      </c>
      <c r="CN27" s="326">
        <v>352</v>
      </c>
      <c r="CO27" s="326">
        <v>353</v>
      </c>
      <c r="CP27" s="326">
        <v>354</v>
      </c>
      <c r="CQ27" s="326">
        <v>356</v>
      </c>
      <c r="CR27" s="326">
        <v>358</v>
      </c>
      <c r="CS27" s="326">
        <v>361</v>
      </c>
      <c r="CT27" s="326">
        <v>364</v>
      </c>
      <c r="CU27" s="326">
        <v>366</v>
      </c>
      <c r="CV27" s="326">
        <v>370</v>
      </c>
      <c r="CW27" s="266"/>
    </row>
    <row r="28" spans="1:101" x14ac:dyDescent="0.2">
      <c r="A28" s="323" t="str">
        <f ca="1">语言!$A$2304</f>
        <v>命中</v>
      </c>
      <c r="B28" s="325">
        <v>80</v>
      </c>
      <c r="C28" s="325">
        <v>81</v>
      </c>
      <c r="D28" s="325">
        <v>82</v>
      </c>
      <c r="E28" s="325">
        <v>84</v>
      </c>
      <c r="F28" s="325">
        <v>86</v>
      </c>
      <c r="G28" s="325">
        <v>88</v>
      </c>
      <c r="H28" s="325">
        <v>91</v>
      </c>
      <c r="I28" s="325">
        <v>92</v>
      </c>
      <c r="J28" s="325">
        <v>93</v>
      </c>
      <c r="K28" s="325">
        <v>94</v>
      </c>
      <c r="L28" s="325">
        <v>96</v>
      </c>
      <c r="M28" s="325">
        <v>98</v>
      </c>
      <c r="N28" s="325">
        <v>100</v>
      </c>
      <c r="O28" s="325">
        <v>103</v>
      </c>
      <c r="P28" s="325">
        <v>106</v>
      </c>
      <c r="Q28" s="325">
        <v>109</v>
      </c>
      <c r="R28" s="325">
        <v>112</v>
      </c>
      <c r="S28" s="325">
        <v>116</v>
      </c>
      <c r="T28" s="325">
        <v>120</v>
      </c>
      <c r="U28" s="325">
        <v>124</v>
      </c>
      <c r="V28" s="325">
        <v>125</v>
      </c>
      <c r="W28" s="325">
        <v>126</v>
      </c>
      <c r="X28" s="325">
        <v>127</v>
      </c>
      <c r="Y28" s="325">
        <v>129</v>
      </c>
      <c r="Z28" s="325">
        <v>131</v>
      </c>
      <c r="AA28" s="325">
        <v>133</v>
      </c>
      <c r="AB28" s="325">
        <v>136</v>
      </c>
      <c r="AC28" s="325">
        <v>139</v>
      </c>
      <c r="AD28" s="325">
        <v>142</v>
      </c>
      <c r="AE28" s="325">
        <v>145</v>
      </c>
      <c r="AF28" s="325">
        <v>146</v>
      </c>
      <c r="AG28" s="325">
        <v>147</v>
      </c>
      <c r="AH28" s="325">
        <v>148</v>
      </c>
      <c r="AI28" s="325">
        <v>150</v>
      </c>
      <c r="AJ28" s="325">
        <v>152</v>
      </c>
      <c r="AK28" s="325">
        <v>154</v>
      </c>
      <c r="AL28" s="325">
        <v>157</v>
      </c>
      <c r="AM28" s="325">
        <v>160</v>
      </c>
      <c r="AN28" s="325">
        <v>163</v>
      </c>
      <c r="AO28" s="325">
        <v>166</v>
      </c>
      <c r="AP28" s="325">
        <v>167</v>
      </c>
      <c r="AQ28" s="325">
        <v>168</v>
      </c>
      <c r="AR28" s="325">
        <v>169</v>
      </c>
      <c r="AS28" s="325">
        <v>170</v>
      </c>
      <c r="AT28" s="325">
        <v>171</v>
      </c>
      <c r="AU28" s="325">
        <v>173</v>
      </c>
      <c r="AV28" s="325">
        <v>175</v>
      </c>
      <c r="AW28" s="325">
        <v>177</v>
      </c>
      <c r="AX28" s="325">
        <v>179</v>
      </c>
      <c r="AY28" s="325">
        <v>181</v>
      </c>
      <c r="AZ28" s="325">
        <v>184</v>
      </c>
      <c r="BA28" s="325">
        <v>187</v>
      </c>
      <c r="BB28" s="325">
        <v>190</v>
      </c>
      <c r="BC28" s="325">
        <v>193</v>
      </c>
      <c r="BD28" s="325">
        <v>196</v>
      </c>
      <c r="BE28" s="325">
        <v>200</v>
      </c>
      <c r="BF28" s="325">
        <v>204</v>
      </c>
      <c r="BG28" s="325">
        <v>208</v>
      </c>
      <c r="BH28" s="325">
        <v>212</v>
      </c>
      <c r="BI28" s="325">
        <v>216</v>
      </c>
      <c r="BJ28" s="325">
        <v>217</v>
      </c>
      <c r="BK28" s="325">
        <v>218</v>
      </c>
      <c r="BL28" s="325">
        <v>219</v>
      </c>
      <c r="BM28" s="325">
        <v>220</v>
      </c>
      <c r="BN28" s="325">
        <v>222</v>
      </c>
      <c r="BO28" s="325">
        <v>224</v>
      </c>
      <c r="BP28" s="325">
        <v>226</v>
      </c>
      <c r="BQ28" s="325">
        <v>228</v>
      </c>
      <c r="BR28" s="325">
        <v>231</v>
      </c>
      <c r="BS28" s="325">
        <v>234</v>
      </c>
      <c r="BT28" s="325">
        <v>235</v>
      </c>
      <c r="BU28" s="325">
        <v>236</v>
      </c>
      <c r="BV28" s="325">
        <v>237</v>
      </c>
      <c r="BW28" s="325">
        <v>238</v>
      </c>
      <c r="BX28" s="325">
        <v>240</v>
      </c>
      <c r="BY28" s="325">
        <v>242</v>
      </c>
      <c r="BZ28" s="325">
        <v>244</v>
      </c>
      <c r="CA28" s="325">
        <v>246</v>
      </c>
      <c r="CB28" s="325">
        <v>249</v>
      </c>
      <c r="CC28" s="325">
        <v>252</v>
      </c>
      <c r="CD28" s="325">
        <v>253</v>
      </c>
      <c r="CE28" s="325">
        <v>254</v>
      </c>
      <c r="CF28" s="325">
        <v>255</v>
      </c>
      <c r="CG28" s="325">
        <v>256</v>
      </c>
      <c r="CH28" s="325">
        <v>258</v>
      </c>
      <c r="CI28" s="325">
        <v>260</v>
      </c>
      <c r="CJ28" s="325">
        <v>262</v>
      </c>
      <c r="CK28" s="325">
        <v>264</v>
      </c>
      <c r="CL28" s="325">
        <v>267</v>
      </c>
      <c r="CM28" s="325">
        <v>270</v>
      </c>
      <c r="CN28" s="325">
        <v>271</v>
      </c>
      <c r="CO28" s="325">
        <v>272</v>
      </c>
      <c r="CP28" s="325">
        <v>273</v>
      </c>
      <c r="CQ28" s="325">
        <v>274</v>
      </c>
      <c r="CR28" s="325">
        <v>276</v>
      </c>
      <c r="CS28" s="325">
        <v>278</v>
      </c>
      <c r="CT28" s="325">
        <v>280</v>
      </c>
      <c r="CU28" s="325">
        <v>282</v>
      </c>
      <c r="CV28" s="325">
        <v>285</v>
      </c>
      <c r="CW28" s="272"/>
    </row>
    <row r="29" spans="1:101" x14ac:dyDescent="0.2">
      <c r="A29" s="49" t="str">
        <f ca="1">语言!$A$2305</f>
        <v>行动速度</v>
      </c>
      <c r="B29" s="326">
        <v>64</v>
      </c>
      <c r="C29" s="326">
        <v>64</v>
      </c>
      <c r="D29" s="326">
        <v>65</v>
      </c>
      <c r="E29" s="326">
        <v>67</v>
      </c>
      <c r="F29" s="326">
        <v>68</v>
      </c>
      <c r="G29" s="326">
        <v>70</v>
      </c>
      <c r="H29" s="326">
        <v>72</v>
      </c>
      <c r="I29" s="326">
        <v>73</v>
      </c>
      <c r="J29" s="326">
        <v>74</v>
      </c>
      <c r="K29" s="326">
        <v>75</v>
      </c>
      <c r="L29" s="326">
        <v>76</v>
      </c>
      <c r="M29" s="326">
        <v>78</v>
      </c>
      <c r="N29" s="326">
        <v>80</v>
      </c>
      <c r="O29" s="326">
        <v>82</v>
      </c>
      <c r="P29" s="326">
        <v>84</v>
      </c>
      <c r="Q29" s="326">
        <v>87</v>
      </c>
      <c r="R29" s="326">
        <v>89</v>
      </c>
      <c r="S29" s="326">
        <v>92</v>
      </c>
      <c r="T29" s="326">
        <v>96</v>
      </c>
      <c r="U29" s="326">
        <v>99</v>
      </c>
      <c r="V29" s="326">
        <v>100</v>
      </c>
      <c r="W29" s="326">
        <v>100</v>
      </c>
      <c r="X29" s="326">
        <v>101</v>
      </c>
      <c r="Y29" s="326">
        <v>103</v>
      </c>
      <c r="Z29" s="326">
        <v>104</v>
      </c>
      <c r="AA29" s="326">
        <v>106</v>
      </c>
      <c r="AB29" s="326">
        <v>108</v>
      </c>
      <c r="AC29" s="326">
        <v>111</v>
      </c>
      <c r="AD29" s="326">
        <v>113</v>
      </c>
      <c r="AE29" s="326">
        <v>116</v>
      </c>
      <c r="AF29" s="326">
        <v>116</v>
      </c>
      <c r="AG29" s="326">
        <v>117</v>
      </c>
      <c r="AH29" s="326">
        <v>118</v>
      </c>
      <c r="AI29" s="326">
        <v>120</v>
      </c>
      <c r="AJ29" s="326">
        <v>121</v>
      </c>
      <c r="AK29" s="326">
        <v>123</v>
      </c>
      <c r="AL29" s="326">
        <v>125</v>
      </c>
      <c r="AM29" s="326">
        <v>128</v>
      </c>
      <c r="AN29" s="326">
        <v>130</v>
      </c>
      <c r="AO29" s="326">
        <v>132</v>
      </c>
      <c r="AP29" s="326">
        <v>133</v>
      </c>
      <c r="AQ29" s="326">
        <v>134</v>
      </c>
      <c r="AR29" s="326">
        <v>135</v>
      </c>
      <c r="AS29" s="326">
        <v>136</v>
      </c>
      <c r="AT29" s="326">
        <v>136</v>
      </c>
      <c r="AU29" s="326">
        <v>138</v>
      </c>
      <c r="AV29" s="326">
        <v>140</v>
      </c>
      <c r="AW29" s="326">
        <v>141</v>
      </c>
      <c r="AX29" s="326">
        <v>143</v>
      </c>
      <c r="AY29" s="326">
        <v>144</v>
      </c>
      <c r="AZ29" s="326">
        <v>147</v>
      </c>
      <c r="BA29" s="326">
        <v>149</v>
      </c>
      <c r="BB29" s="326">
        <v>152</v>
      </c>
      <c r="BC29" s="326">
        <v>154</v>
      </c>
      <c r="BD29" s="326">
        <v>156</v>
      </c>
      <c r="BE29" s="326">
        <v>160</v>
      </c>
      <c r="BF29" s="326">
        <v>163</v>
      </c>
      <c r="BG29" s="326">
        <v>166</v>
      </c>
      <c r="BH29" s="326">
        <v>169</v>
      </c>
      <c r="BI29" s="326">
        <v>172</v>
      </c>
      <c r="BJ29" s="326">
        <v>173</v>
      </c>
      <c r="BK29" s="326">
        <v>174</v>
      </c>
      <c r="BL29" s="326">
        <v>175</v>
      </c>
      <c r="BM29" s="326">
        <v>176</v>
      </c>
      <c r="BN29" s="326">
        <v>177</v>
      </c>
      <c r="BO29" s="326">
        <v>179</v>
      </c>
      <c r="BP29" s="326">
        <v>180</v>
      </c>
      <c r="BQ29" s="326">
        <v>182</v>
      </c>
      <c r="BR29" s="326">
        <v>184</v>
      </c>
      <c r="BS29" s="326">
        <v>187</v>
      </c>
      <c r="BT29" s="326">
        <v>188</v>
      </c>
      <c r="BU29" s="326">
        <v>188</v>
      </c>
      <c r="BV29" s="326">
        <v>189</v>
      </c>
      <c r="BW29" s="326">
        <v>190</v>
      </c>
      <c r="BX29" s="326">
        <v>192</v>
      </c>
      <c r="BY29" s="326">
        <v>193</v>
      </c>
      <c r="BZ29" s="326">
        <v>195</v>
      </c>
      <c r="CA29" s="326">
        <v>196</v>
      </c>
      <c r="CB29" s="326">
        <v>199</v>
      </c>
      <c r="CC29" s="326">
        <v>201</v>
      </c>
      <c r="CD29" s="326">
        <v>202</v>
      </c>
      <c r="CE29" s="326">
        <v>203</v>
      </c>
      <c r="CF29" s="326">
        <v>204</v>
      </c>
      <c r="CG29" s="326">
        <v>204</v>
      </c>
      <c r="CH29" s="326">
        <v>206</v>
      </c>
      <c r="CI29" s="326">
        <v>208</v>
      </c>
      <c r="CJ29" s="326">
        <v>209</v>
      </c>
      <c r="CK29" s="326">
        <v>211</v>
      </c>
      <c r="CL29" s="326">
        <v>213</v>
      </c>
      <c r="CM29" s="326">
        <v>216</v>
      </c>
      <c r="CN29" s="326">
        <v>216</v>
      </c>
      <c r="CO29" s="326">
        <v>217</v>
      </c>
      <c r="CP29" s="326">
        <v>218</v>
      </c>
      <c r="CQ29" s="326">
        <v>219</v>
      </c>
      <c r="CR29" s="326">
        <v>220</v>
      </c>
      <c r="CS29" s="326">
        <v>222</v>
      </c>
      <c r="CT29" s="326">
        <v>224</v>
      </c>
      <c r="CU29" s="326">
        <v>225</v>
      </c>
      <c r="CV29" s="326">
        <v>228</v>
      </c>
      <c r="CW29" s="266"/>
    </row>
    <row r="30" spans="1:101" x14ac:dyDescent="0.2">
      <c r="A30" s="323" t="str">
        <f ca="1">语言!$A$2306</f>
        <v>暴击</v>
      </c>
      <c r="B30" s="325">
        <v>56</v>
      </c>
      <c r="C30" s="325">
        <v>56</v>
      </c>
      <c r="D30" s="325">
        <v>57</v>
      </c>
      <c r="E30" s="325">
        <v>58</v>
      </c>
      <c r="F30" s="325">
        <v>60</v>
      </c>
      <c r="G30" s="325">
        <v>61</v>
      </c>
      <c r="H30" s="325">
        <v>63</v>
      </c>
      <c r="I30" s="325">
        <v>64</v>
      </c>
      <c r="J30" s="325">
        <v>65</v>
      </c>
      <c r="K30" s="325">
        <v>65</v>
      </c>
      <c r="L30" s="325">
        <v>67</v>
      </c>
      <c r="M30" s="325">
        <v>68</v>
      </c>
      <c r="N30" s="325">
        <v>70</v>
      </c>
      <c r="O30" s="325">
        <v>72</v>
      </c>
      <c r="P30" s="325">
        <v>74</v>
      </c>
      <c r="Q30" s="325">
        <v>76</v>
      </c>
      <c r="R30" s="325">
        <v>78</v>
      </c>
      <c r="S30" s="325">
        <v>81</v>
      </c>
      <c r="T30" s="325">
        <v>84</v>
      </c>
      <c r="U30" s="325">
        <v>86</v>
      </c>
      <c r="V30" s="325">
        <v>87</v>
      </c>
      <c r="W30" s="325">
        <v>88</v>
      </c>
      <c r="X30" s="325">
        <v>88</v>
      </c>
      <c r="Y30" s="325">
        <v>90</v>
      </c>
      <c r="Z30" s="325">
        <v>91</v>
      </c>
      <c r="AA30" s="325">
        <v>93</v>
      </c>
      <c r="AB30" s="325">
        <v>95</v>
      </c>
      <c r="AC30" s="325">
        <v>97</v>
      </c>
      <c r="AD30" s="325">
        <v>99</v>
      </c>
      <c r="AE30" s="325">
        <v>101</v>
      </c>
      <c r="AF30" s="325">
        <v>102</v>
      </c>
      <c r="AG30" s="325">
        <v>102</v>
      </c>
      <c r="AH30" s="325">
        <v>103</v>
      </c>
      <c r="AI30" s="325">
        <v>105</v>
      </c>
      <c r="AJ30" s="325">
        <v>106</v>
      </c>
      <c r="AK30" s="325">
        <v>107</v>
      </c>
      <c r="AL30" s="325">
        <v>109</v>
      </c>
      <c r="AM30" s="325">
        <v>112</v>
      </c>
      <c r="AN30" s="325">
        <v>114</v>
      </c>
      <c r="AO30" s="325">
        <v>116</v>
      </c>
      <c r="AP30" s="325">
        <v>116</v>
      </c>
      <c r="AQ30" s="325">
        <v>117</v>
      </c>
      <c r="AR30" s="325">
        <v>118</v>
      </c>
      <c r="AS30" s="325">
        <v>119</v>
      </c>
      <c r="AT30" s="325">
        <v>119</v>
      </c>
      <c r="AU30" s="325">
        <v>121</v>
      </c>
      <c r="AV30" s="325">
        <v>122</v>
      </c>
      <c r="AW30" s="325">
        <v>123</v>
      </c>
      <c r="AX30" s="325">
        <v>125</v>
      </c>
      <c r="AY30" s="325">
        <v>126</v>
      </c>
      <c r="AZ30" s="325">
        <v>128</v>
      </c>
      <c r="BA30" s="325">
        <v>130</v>
      </c>
      <c r="BB30" s="325">
        <v>133</v>
      </c>
      <c r="BC30" s="325">
        <v>135</v>
      </c>
      <c r="BD30" s="325">
        <v>137</v>
      </c>
      <c r="BE30" s="325">
        <v>140</v>
      </c>
      <c r="BF30" s="325">
        <v>142</v>
      </c>
      <c r="BG30" s="325">
        <v>145</v>
      </c>
      <c r="BH30" s="325">
        <v>148</v>
      </c>
      <c r="BI30" s="325">
        <v>151</v>
      </c>
      <c r="BJ30" s="325">
        <v>151</v>
      </c>
      <c r="BK30" s="325">
        <v>152</v>
      </c>
      <c r="BL30" s="325">
        <v>153</v>
      </c>
      <c r="BM30" s="325">
        <v>154</v>
      </c>
      <c r="BN30" s="325">
        <v>155</v>
      </c>
      <c r="BO30" s="325">
        <v>156</v>
      </c>
      <c r="BP30" s="325">
        <v>158</v>
      </c>
      <c r="BQ30" s="325">
        <v>159</v>
      </c>
      <c r="BR30" s="325">
        <v>161</v>
      </c>
      <c r="BS30" s="325">
        <v>163</v>
      </c>
      <c r="BT30" s="325">
        <v>164</v>
      </c>
      <c r="BU30" s="325">
        <v>165</v>
      </c>
      <c r="BV30" s="325">
        <v>165</v>
      </c>
      <c r="BW30" s="325">
        <v>166</v>
      </c>
      <c r="BX30" s="325">
        <v>168</v>
      </c>
      <c r="BY30" s="325">
        <v>169</v>
      </c>
      <c r="BZ30" s="325">
        <v>170</v>
      </c>
      <c r="CA30" s="325">
        <v>172</v>
      </c>
      <c r="CB30" s="325">
        <v>174</v>
      </c>
      <c r="CC30" s="325">
        <v>176</v>
      </c>
      <c r="CD30" s="325">
        <v>177</v>
      </c>
      <c r="CE30" s="325">
        <v>177</v>
      </c>
      <c r="CF30" s="325">
        <v>178</v>
      </c>
      <c r="CG30" s="325">
        <v>179</v>
      </c>
      <c r="CH30" s="325">
        <v>180</v>
      </c>
      <c r="CI30" s="325">
        <v>182</v>
      </c>
      <c r="CJ30" s="325">
        <v>183</v>
      </c>
      <c r="CK30" s="325">
        <v>184</v>
      </c>
      <c r="CL30" s="325">
        <v>186</v>
      </c>
      <c r="CM30" s="325">
        <v>189</v>
      </c>
      <c r="CN30" s="325">
        <v>189</v>
      </c>
      <c r="CO30" s="325">
        <v>190</v>
      </c>
      <c r="CP30" s="325">
        <v>191</v>
      </c>
      <c r="CQ30" s="325">
        <v>191</v>
      </c>
      <c r="CR30" s="325">
        <v>193</v>
      </c>
      <c r="CS30" s="325">
        <v>194</v>
      </c>
      <c r="CT30" s="325">
        <v>196</v>
      </c>
      <c r="CU30" s="325">
        <v>197</v>
      </c>
      <c r="CV30" s="325">
        <v>199</v>
      </c>
      <c r="CW30" s="272"/>
    </row>
    <row r="31" spans="1:101" x14ac:dyDescent="0.2">
      <c r="A31" s="49" t="str">
        <f ca="1">语言!$A$2307</f>
        <v>回避</v>
      </c>
      <c r="B31" s="326">
        <v>64</v>
      </c>
      <c r="C31" s="326">
        <v>64</v>
      </c>
      <c r="D31" s="326">
        <v>65</v>
      </c>
      <c r="E31" s="326">
        <v>67</v>
      </c>
      <c r="F31" s="326">
        <v>68</v>
      </c>
      <c r="G31" s="326">
        <v>70</v>
      </c>
      <c r="H31" s="326">
        <v>72</v>
      </c>
      <c r="I31" s="326">
        <v>73</v>
      </c>
      <c r="J31" s="326">
        <v>74</v>
      </c>
      <c r="K31" s="326">
        <v>75</v>
      </c>
      <c r="L31" s="326">
        <v>76</v>
      </c>
      <c r="M31" s="326">
        <v>78</v>
      </c>
      <c r="N31" s="326">
        <v>80</v>
      </c>
      <c r="O31" s="326">
        <v>82</v>
      </c>
      <c r="P31" s="326">
        <v>84</v>
      </c>
      <c r="Q31" s="326">
        <v>87</v>
      </c>
      <c r="R31" s="326">
        <v>89</v>
      </c>
      <c r="S31" s="326">
        <v>92</v>
      </c>
      <c r="T31" s="326">
        <v>96</v>
      </c>
      <c r="U31" s="326">
        <v>99</v>
      </c>
      <c r="V31" s="326">
        <v>100</v>
      </c>
      <c r="W31" s="326">
        <v>100</v>
      </c>
      <c r="X31" s="326">
        <v>101</v>
      </c>
      <c r="Y31" s="326">
        <v>103</v>
      </c>
      <c r="Z31" s="326">
        <v>104</v>
      </c>
      <c r="AA31" s="326">
        <v>106</v>
      </c>
      <c r="AB31" s="326">
        <v>108</v>
      </c>
      <c r="AC31" s="326">
        <v>111</v>
      </c>
      <c r="AD31" s="326">
        <v>113</v>
      </c>
      <c r="AE31" s="326">
        <v>116</v>
      </c>
      <c r="AF31" s="326">
        <v>116</v>
      </c>
      <c r="AG31" s="326">
        <v>117</v>
      </c>
      <c r="AH31" s="326">
        <v>118</v>
      </c>
      <c r="AI31" s="326">
        <v>120</v>
      </c>
      <c r="AJ31" s="326">
        <v>121</v>
      </c>
      <c r="AK31" s="326">
        <v>123</v>
      </c>
      <c r="AL31" s="326">
        <v>125</v>
      </c>
      <c r="AM31" s="326">
        <v>128</v>
      </c>
      <c r="AN31" s="326">
        <v>130</v>
      </c>
      <c r="AO31" s="326">
        <v>132</v>
      </c>
      <c r="AP31" s="326">
        <v>133</v>
      </c>
      <c r="AQ31" s="326">
        <v>134</v>
      </c>
      <c r="AR31" s="326">
        <v>135</v>
      </c>
      <c r="AS31" s="326">
        <v>136</v>
      </c>
      <c r="AT31" s="326">
        <v>136</v>
      </c>
      <c r="AU31" s="326">
        <v>138</v>
      </c>
      <c r="AV31" s="326">
        <v>140</v>
      </c>
      <c r="AW31" s="326">
        <v>141</v>
      </c>
      <c r="AX31" s="326">
        <v>143</v>
      </c>
      <c r="AY31" s="326">
        <v>144</v>
      </c>
      <c r="AZ31" s="326">
        <v>147</v>
      </c>
      <c r="BA31" s="326">
        <v>149</v>
      </c>
      <c r="BB31" s="326">
        <v>152</v>
      </c>
      <c r="BC31" s="326">
        <v>154</v>
      </c>
      <c r="BD31" s="326">
        <v>156</v>
      </c>
      <c r="BE31" s="326">
        <v>160</v>
      </c>
      <c r="BF31" s="326">
        <v>163</v>
      </c>
      <c r="BG31" s="326">
        <v>166</v>
      </c>
      <c r="BH31" s="326">
        <v>169</v>
      </c>
      <c r="BI31" s="326">
        <v>172</v>
      </c>
      <c r="BJ31" s="326">
        <v>173</v>
      </c>
      <c r="BK31" s="326">
        <v>174</v>
      </c>
      <c r="BL31" s="326">
        <v>175</v>
      </c>
      <c r="BM31" s="326">
        <v>176</v>
      </c>
      <c r="BN31" s="326">
        <v>177</v>
      </c>
      <c r="BO31" s="326">
        <v>179</v>
      </c>
      <c r="BP31" s="326">
        <v>180</v>
      </c>
      <c r="BQ31" s="326">
        <v>182</v>
      </c>
      <c r="BR31" s="326">
        <v>184</v>
      </c>
      <c r="BS31" s="326">
        <v>187</v>
      </c>
      <c r="BT31" s="326">
        <v>188</v>
      </c>
      <c r="BU31" s="326">
        <v>188</v>
      </c>
      <c r="BV31" s="326">
        <v>189</v>
      </c>
      <c r="BW31" s="326">
        <v>190</v>
      </c>
      <c r="BX31" s="326">
        <v>192</v>
      </c>
      <c r="BY31" s="326">
        <v>193</v>
      </c>
      <c r="BZ31" s="326">
        <v>195</v>
      </c>
      <c r="CA31" s="326">
        <v>196</v>
      </c>
      <c r="CB31" s="326">
        <v>199</v>
      </c>
      <c r="CC31" s="326">
        <v>201</v>
      </c>
      <c r="CD31" s="326">
        <v>202</v>
      </c>
      <c r="CE31" s="326">
        <v>203</v>
      </c>
      <c r="CF31" s="326">
        <v>204</v>
      </c>
      <c r="CG31" s="326">
        <v>204</v>
      </c>
      <c r="CH31" s="326">
        <v>206</v>
      </c>
      <c r="CI31" s="326">
        <v>208</v>
      </c>
      <c r="CJ31" s="326">
        <v>209</v>
      </c>
      <c r="CK31" s="326">
        <v>211</v>
      </c>
      <c r="CL31" s="326">
        <v>213</v>
      </c>
      <c r="CM31" s="326">
        <v>216</v>
      </c>
      <c r="CN31" s="326">
        <v>216</v>
      </c>
      <c r="CO31" s="326">
        <v>217</v>
      </c>
      <c r="CP31" s="326">
        <v>218</v>
      </c>
      <c r="CQ31" s="326">
        <v>219</v>
      </c>
      <c r="CR31" s="326">
        <v>220</v>
      </c>
      <c r="CS31" s="326">
        <v>222</v>
      </c>
      <c r="CT31" s="326">
        <v>224</v>
      </c>
      <c r="CU31" s="326">
        <v>225</v>
      </c>
      <c r="CV31" s="326">
        <v>228</v>
      </c>
      <c r="CW31" s="266"/>
    </row>
    <row r="32" spans="1:101" x14ac:dyDescent="0.2">
      <c r="A32" s="328"/>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c r="CH32" s="327"/>
      <c r="CI32" s="327"/>
      <c r="CJ32" s="327"/>
      <c r="CK32" s="327"/>
      <c r="CL32" s="327"/>
      <c r="CM32" s="327"/>
      <c r="CN32" s="327"/>
      <c r="CO32" s="327"/>
      <c r="CP32" s="327"/>
      <c r="CQ32" s="327"/>
      <c r="CR32" s="327"/>
      <c r="CS32" s="327"/>
      <c r="CT32" s="327"/>
      <c r="CU32" s="327"/>
      <c r="CV32" s="327"/>
      <c r="CW32" s="328"/>
    </row>
    <row r="33" spans="1:101" ht="15.75" customHeight="1" x14ac:dyDescent="0.25">
      <c r="A33" s="47" t="str">
        <f ca="1">语言!$A$36</f>
        <v>赛拉斯</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c r="CH33" s="327"/>
      <c r="CI33" s="327"/>
      <c r="CJ33" s="327"/>
      <c r="CK33" s="327"/>
      <c r="CL33" s="327"/>
      <c r="CM33" s="327"/>
      <c r="CN33" s="327"/>
      <c r="CO33" s="327"/>
      <c r="CP33" s="327"/>
      <c r="CQ33" s="327"/>
      <c r="CR33" s="327"/>
      <c r="CS33" s="327"/>
      <c r="CT33" s="327"/>
      <c r="CU33" s="327"/>
      <c r="CV33" s="327"/>
      <c r="CW33" s="328"/>
    </row>
    <row r="34" spans="1:101" x14ac:dyDescent="0.2">
      <c r="A34" s="50" t="str">
        <f ca="1">语言!$A$2297</f>
        <v>等级</v>
      </c>
      <c r="B34" s="329">
        <v>1</v>
      </c>
      <c r="C34" s="329">
        <v>2</v>
      </c>
      <c r="D34" s="329">
        <v>3</v>
      </c>
      <c r="E34" s="329">
        <v>4</v>
      </c>
      <c r="F34" s="329">
        <v>5</v>
      </c>
      <c r="G34" s="329">
        <v>6</v>
      </c>
      <c r="H34" s="329">
        <v>7</v>
      </c>
      <c r="I34" s="329">
        <v>8</v>
      </c>
      <c r="J34" s="329">
        <v>9</v>
      </c>
      <c r="K34" s="329">
        <v>10</v>
      </c>
      <c r="L34" s="329">
        <v>11</v>
      </c>
      <c r="M34" s="329">
        <v>12</v>
      </c>
      <c r="N34" s="329">
        <v>13</v>
      </c>
      <c r="O34" s="329">
        <v>14</v>
      </c>
      <c r="P34" s="329">
        <v>15</v>
      </c>
      <c r="Q34" s="329">
        <v>16</v>
      </c>
      <c r="R34" s="329">
        <v>17</v>
      </c>
      <c r="S34" s="329">
        <v>18</v>
      </c>
      <c r="T34" s="329">
        <v>19</v>
      </c>
      <c r="U34" s="329">
        <v>20</v>
      </c>
      <c r="V34" s="329">
        <v>21</v>
      </c>
      <c r="W34" s="329">
        <v>22</v>
      </c>
      <c r="X34" s="329">
        <v>23</v>
      </c>
      <c r="Y34" s="329">
        <v>24</v>
      </c>
      <c r="Z34" s="329">
        <v>25</v>
      </c>
      <c r="AA34" s="329">
        <v>26</v>
      </c>
      <c r="AB34" s="329">
        <v>27</v>
      </c>
      <c r="AC34" s="329">
        <v>28</v>
      </c>
      <c r="AD34" s="329">
        <v>29</v>
      </c>
      <c r="AE34" s="329">
        <v>30</v>
      </c>
      <c r="AF34" s="329">
        <v>31</v>
      </c>
      <c r="AG34" s="329">
        <v>32</v>
      </c>
      <c r="AH34" s="329">
        <v>33</v>
      </c>
      <c r="AI34" s="329">
        <v>34</v>
      </c>
      <c r="AJ34" s="329">
        <v>35</v>
      </c>
      <c r="AK34" s="329">
        <v>36</v>
      </c>
      <c r="AL34" s="329">
        <v>37</v>
      </c>
      <c r="AM34" s="329">
        <v>38</v>
      </c>
      <c r="AN34" s="329">
        <v>39</v>
      </c>
      <c r="AO34" s="329">
        <v>40</v>
      </c>
      <c r="AP34" s="329">
        <v>41</v>
      </c>
      <c r="AQ34" s="329">
        <v>42</v>
      </c>
      <c r="AR34" s="329">
        <v>43</v>
      </c>
      <c r="AS34" s="329">
        <v>44</v>
      </c>
      <c r="AT34" s="329">
        <v>45</v>
      </c>
      <c r="AU34" s="329">
        <v>46</v>
      </c>
      <c r="AV34" s="329">
        <v>47</v>
      </c>
      <c r="AW34" s="329">
        <v>48</v>
      </c>
      <c r="AX34" s="329">
        <v>49</v>
      </c>
      <c r="AY34" s="329">
        <v>50</v>
      </c>
      <c r="AZ34" s="329">
        <v>51</v>
      </c>
      <c r="BA34" s="329">
        <v>52</v>
      </c>
      <c r="BB34" s="329">
        <v>53</v>
      </c>
      <c r="BC34" s="329">
        <v>54</v>
      </c>
      <c r="BD34" s="329">
        <v>55</v>
      </c>
      <c r="BE34" s="329">
        <v>56</v>
      </c>
      <c r="BF34" s="329">
        <v>57</v>
      </c>
      <c r="BG34" s="329">
        <v>58</v>
      </c>
      <c r="BH34" s="329">
        <v>59</v>
      </c>
      <c r="BI34" s="329">
        <v>60</v>
      </c>
      <c r="BJ34" s="329">
        <v>61</v>
      </c>
      <c r="BK34" s="329">
        <v>62</v>
      </c>
      <c r="BL34" s="329">
        <v>63</v>
      </c>
      <c r="BM34" s="329">
        <v>64</v>
      </c>
      <c r="BN34" s="329">
        <v>65</v>
      </c>
      <c r="BO34" s="329">
        <v>66</v>
      </c>
      <c r="BP34" s="329">
        <v>67</v>
      </c>
      <c r="BQ34" s="329">
        <v>68</v>
      </c>
      <c r="BR34" s="329">
        <v>69</v>
      </c>
      <c r="BS34" s="329">
        <v>70</v>
      </c>
      <c r="BT34" s="329">
        <v>71</v>
      </c>
      <c r="BU34" s="329">
        <v>72</v>
      </c>
      <c r="BV34" s="329">
        <v>73</v>
      </c>
      <c r="BW34" s="329">
        <v>74</v>
      </c>
      <c r="BX34" s="329">
        <v>75</v>
      </c>
      <c r="BY34" s="329">
        <v>76</v>
      </c>
      <c r="BZ34" s="329">
        <v>77</v>
      </c>
      <c r="CA34" s="329">
        <v>78</v>
      </c>
      <c r="CB34" s="329">
        <v>79</v>
      </c>
      <c r="CC34" s="329">
        <v>80</v>
      </c>
      <c r="CD34" s="329">
        <v>81</v>
      </c>
      <c r="CE34" s="329">
        <v>82</v>
      </c>
      <c r="CF34" s="329">
        <v>83</v>
      </c>
      <c r="CG34" s="329">
        <v>84</v>
      </c>
      <c r="CH34" s="329">
        <v>85</v>
      </c>
      <c r="CI34" s="329">
        <v>86</v>
      </c>
      <c r="CJ34" s="329">
        <v>87</v>
      </c>
      <c r="CK34" s="329">
        <v>88</v>
      </c>
      <c r="CL34" s="329">
        <v>89</v>
      </c>
      <c r="CM34" s="329">
        <v>90</v>
      </c>
      <c r="CN34" s="329">
        <v>91</v>
      </c>
      <c r="CO34" s="329">
        <v>92</v>
      </c>
      <c r="CP34" s="329">
        <v>93</v>
      </c>
      <c r="CQ34" s="329">
        <v>94</v>
      </c>
      <c r="CR34" s="329">
        <v>95</v>
      </c>
      <c r="CS34" s="329">
        <v>96</v>
      </c>
      <c r="CT34" s="329">
        <v>97</v>
      </c>
      <c r="CU34" s="329">
        <v>98</v>
      </c>
      <c r="CV34" s="329">
        <v>99</v>
      </c>
      <c r="CW34" s="49"/>
    </row>
    <row r="35" spans="1:101" x14ac:dyDescent="0.2">
      <c r="A35" s="323" t="str">
        <f ca="1">语言!$A$2298</f>
        <v>最大ＨＰ</v>
      </c>
      <c r="B35" s="325">
        <v>200</v>
      </c>
      <c r="C35" s="325">
        <v>208</v>
      </c>
      <c r="D35" s="325">
        <v>225</v>
      </c>
      <c r="E35" s="325">
        <v>251</v>
      </c>
      <c r="F35" s="325">
        <v>284</v>
      </c>
      <c r="G35" s="325">
        <v>326</v>
      </c>
      <c r="H35" s="325">
        <v>376</v>
      </c>
      <c r="I35" s="325">
        <v>384</v>
      </c>
      <c r="J35" s="325">
        <v>400</v>
      </c>
      <c r="K35" s="325">
        <v>422</v>
      </c>
      <c r="L35" s="325">
        <v>452</v>
      </c>
      <c r="M35" s="325">
        <v>488</v>
      </c>
      <c r="N35" s="325">
        <v>532</v>
      </c>
      <c r="O35" s="325">
        <v>584</v>
      </c>
      <c r="P35" s="325">
        <v>642</v>
      </c>
      <c r="Q35" s="325">
        <v>708</v>
      </c>
      <c r="R35" s="325">
        <v>780</v>
      </c>
      <c r="S35" s="325">
        <v>861</v>
      </c>
      <c r="T35" s="325">
        <v>949</v>
      </c>
      <c r="U35" s="325">
        <v>1044</v>
      </c>
      <c r="V35" s="325">
        <v>1052</v>
      </c>
      <c r="W35" s="325">
        <v>1068</v>
      </c>
      <c r="X35" s="325">
        <v>1090</v>
      </c>
      <c r="Y35" s="325">
        <v>1120</v>
      </c>
      <c r="Z35" s="325">
        <v>1156</v>
      </c>
      <c r="AA35" s="325">
        <v>1200</v>
      </c>
      <c r="AB35" s="325">
        <v>1252</v>
      </c>
      <c r="AC35" s="325">
        <v>1310</v>
      </c>
      <c r="AD35" s="325">
        <v>1376</v>
      </c>
      <c r="AE35" s="325">
        <v>1448</v>
      </c>
      <c r="AF35" s="325">
        <v>1455</v>
      </c>
      <c r="AG35" s="325">
        <v>1468</v>
      </c>
      <c r="AH35" s="325">
        <v>1487</v>
      </c>
      <c r="AI35" s="325">
        <v>1512</v>
      </c>
      <c r="AJ35" s="325">
        <v>1544</v>
      </c>
      <c r="AK35" s="325">
        <v>1581</v>
      </c>
      <c r="AL35" s="325">
        <v>1625</v>
      </c>
      <c r="AM35" s="325">
        <v>1676</v>
      </c>
      <c r="AN35" s="325">
        <v>1732</v>
      </c>
      <c r="AO35" s="325">
        <v>1795</v>
      </c>
      <c r="AP35" s="325">
        <v>1798</v>
      </c>
      <c r="AQ35" s="325">
        <v>1804</v>
      </c>
      <c r="AR35" s="325">
        <v>1814</v>
      </c>
      <c r="AS35" s="325">
        <v>1827</v>
      </c>
      <c r="AT35" s="325">
        <v>1843</v>
      </c>
      <c r="AU35" s="325">
        <v>1862</v>
      </c>
      <c r="AV35" s="325">
        <v>1884</v>
      </c>
      <c r="AW35" s="325">
        <v>1910</v>
      </c>
      <c r="AX35" s="325">
        <v>1939</v>
      </c>
      <c r="AY35" s="325">
        <v>1970</v>
      </c>
      <c r="AZ35" s="325">
        <v>2004</v>
      </c>
      <c r="BA35" s="325">
        <v>2042</v>
      </c>
      <c r="BB35" s="325">
        <v>2083</v>
      </c>
      <c r="BC35" s="325">
        <v>2127</v>
      </c>
      <c r="BD35" s="325">
        <v>2174</v>
      </c>
      <c r="BE35" s="325">
        <v>2224</v>
      </c>
      <c r="BF35" s="325">
        <v>2278</v>
      </c>
      <c r="BG35" s="325">
        <v>2335</v>
      </c>
      <c r="BH35" s="325">
        <v>2395</v>
      </c>
      <c r="BI35" s="325">
        <v>2457</v>
      </c>
      <c r="BJ35" s="325">
        <v>2463</v>
      </c>
      <c r="BK35" s="325">
        <v>2473</v>
      </c>
      <c r="BL35" s="325">
        <v>2489</v>
      </c>
      <c r="BM35" s="325">
        <v>2510</v>
      </c>
      <c r="BN35" s="325">
        <v>2536</v>
      </c>
      <c r="BO35" s="325">
        <v>2568</v>
      </c>
      <c r="BP35" s="325">
        <v>2604</v>
      </c>
      <c r="BQ35" s="325">
        <v>2646</v>
      </c>
      <c r="BR35" s="325">
        <v>2693</v>
      </c>
      <c r="BS35" s="325">
        <v>2745</v>
      </c>
      <c r="BT35" s="325">
        <v>2751</v>
      </c>
      <c r="BU35" s="325">
        <v>2761</v>
      </c>
      <c r="BV35" s="325">
        <v>2777</v>
      </c>
      <c r="BW35" s="325">
        <v>2798</v>
      </c>
      <c r="BX35" s="325">
        <v>2824</v>
      </c>
      <c r="BY35" s="325">
        <v>2856</v>
      </c>
      <c r="BZ35" s="325">
        <v>2892</v>
      </c>
      <c r="CA35" s="325">
        <v>2934</v>
      </c>
      <c r="CB35" s="325">
        <v>2981</v>
      </c>
      <c r="CC35" s="325">
        <v>3033</v>
      </c>
      <c r="CD35" s="325">
        <v>3039</v>
      </c>
      <c r="CE35" s="325">
        <v>3049</v>
      </c>
      <c r="CF35" s="325">
        <v>3065</v>
      </c>
      <c r="CG35" s="325">
        <v>3086</v>
      </c>
      <c r="CH35" s="325">
        <v>3112</v>
      </c>
      <c r="CI35" s="325">
        <v>3144</v>
      </c>
      <c r="CJ35" s="325">
        <v>3180</v>
      </c>
      <c r="CK35" s="325">
        <v>3222</v>
      </c>
      <c r="CL35" s="325">
        <v>3269</v>
      </c>
      <c r="CM35" s="325">
        <v>3321</v>
      </c>
      <c r="CN35" s="325">
        <v>3327</v>
      </c>
      <c r="CO35" s="325">
        <v>3337</v>
      </c>
      <c r="CP35" s="325">
        <v>3353</v>
      </c>
      <c r="CQ35" s="325">
        <v>3374</v>
      </c>
      <c r="CR35" s="325">
        <v>3400</v>
      </c>
      <c r="CS35" s="325">
        <v>3432</v>
      </c>
      <c r="CT35" s="325">
        <v>3468</v>
      </c>
      <c r="CU35" s="325">
        <v>3510</v>
      </c>
      <c r="CV35" s="325">
        <v>3557</v>
      </c>
      <c r="CW35" s="272"/>
    </row>
    <row r="36" spans="1:101" x14ac:dyDescent="0.2">
      <c r="A36" s="49" t="str">
        <f ca="1">语言!$A$2299</f>
        <v>最大ＳＰ</v>
      </c>
      <c r="B36" s="326">
        <v>60</v>
      </c>
      <c r="C36" s="326">
        <v>61</v>
      </c>
      <c r="D36" s="326">
        <v>62</v>
      </c>
      <c r="E36" s="326">
        <v>63</v>
      </c>
      <c r="F36" s="326">
        <v>64</v>
      </c>
      <c r="G36" s="326">
        <v>66</v>
      </c>
      <c r="H36" s="326">
        <v>68</v>
      </c>
      <c r="I36" s="326">
        <v>69</v>
      </c>
      <c r="J36" s="326">
        <v>70</v>
      </c>
      <c r="K36" s="326">
        <v>72</v>
      </c>
      <c r="L36" s="326">
        <v>73</v>
      </c>
      <c r="M36" s="326">
        <v>74</v>
      </c>
      <c r="N36" s="326">
        <v>76</v>
      </c>
      <c r="O36" s="326">
        <v>79</v>
      </c>
      <c r="P36" s="326">
        <v>81</v>
      </c>
      <c r="Q36" s="326">
        <v>84</v>
      </c>
      <c r="R36" s="326">
        <v>86</v>
      </c>
      <c r="S36" s="326">
        <v>88</v>
      </c>
      <c r="T36" s="326">
        <v>92</v>
      </c>
      <c r="U36" s="326">
        <v>96</v>
      </c>
      <c r="V36" s="326">
        <v>97</v>
      </c>
      <c r="W36" s="326">
        <v>98</v>
      </c>
      <c r="X36" s="326">
        <v>99</v>
      </c>
      <c r="Y36" s="326">
        <v>100</v>
      </c>
      <c r="Z36" s="326">
        <v>102</v>
      </c>
      <c r="AA36" s="326">
        <v>104</v>
      </c>
      <c r="AB36" s="326">
        <v>106</v>
      </c>
      <c r="AC36" s="326">
        <v>109</v>
      </c>
      <c r="AD36" s="326">
        <v>111</v>
      </c>
      <c r="AE36" s="326">
        <v>114</v>
      </c>
      <c r="AF36" s="326">
        <v>115</v>
      </c>
      <c r="AG36" s="326">
        <v>116</v>
      </c>
      <c r="AH36" s="326">
        <v>117</v>
      </c>
      <c r="AI36" s="326">
        <v>118</v>
      </c>
      <c r="AJ36" s="326">
        <v>120</v>
      </c>
      <c r="AK36" s="326">
        <v>121</v>
      </c>
      <c r="AL36" s="326">
        <v>123</v>
      </c>
      <c r="AM36" s="326">
        <v>126</v>
      </c>
      <c r="AN36" s="326">
        <v>128</v>
      </c>
      <c r="AO36" s="326">
        <v>130</v>
      </c>
      <c r="AP36" s="326">
        <v>132</v>
      </c>
      <c r="AQ36" s="326">
        <v>133</v>
      </c>
      <c r="AR36" s="326">
        <v>134</v>
      </c>
      <c r="AS36" s="326">
        <v>135</v>
      </c>
      <c r="AT36" s="326">
        <v>136</v>
      </c>
      <c r="AU36" s="326">
        <v>138</v>
      </c>
      <c r="AV36" s="326">
        <v>139</v>
      </c>
      <c r="AW36" s="326">
        <v>140</v>
      </c>
      <c r="AX36" s="326">
        <v>141</v>
      </c>
      <c r="AY36" s="326">
        <v>142</v>
      </c>
      <c r="AZ36" s="326">
        <v>144</v>
      </c>
      <c r="BA36" s="326">
        <v>145</v>
      </c>
      <c r="BB36" s="326">
        <v>146</v>
      </c>
      <c r="BC36" s="326">
        <v>148</v>
      </c>
      <c r="BD36" s="326">
        <v>151</v>
      </c>
      <c r="BE36" s="326">
        <v>153</v>
      </c>
      <c r="BF36" s="326">
        <v>156</v>
      </c>
      <c r="BG36" s="326">
        <v>158</v>
      </c>
      <c r="BH36" s="326">
        <v>160</v>
      </c>
      <c r="BI36" s="326">
        <v>163</v>
      </c>
      <c r="BJ36" s="326">
        <v>164</v>
      </c>
      <c r="BK36" s="326">
        <v>165</v>
      </c>
      <c r="BL36" s="326">
        <v>166</v>
      </c>
      <c r="BM36" s="326">
        <v>168</v>
      </c>
      <c r="BN36" s="326">
        <v>169</v>
      </c>
      <c r="BO36" s="326">
        <v>170</v>
      </c>
      <c r="BP36" s="326">
        <v>171</v>
      </c>
      <c r="BQ36" s="326">
        <v>172</v>
      </c>
      <c r="BR36" s="326">
        <v>175</v>
      </c>
      <c r="BS36" s="326">
        <v>177</v>
      </c>
      <c r="BT36" s="326">
        <v>178</v>
      </c>
      <c r="BU36" s="326">
        <v>180</v>
      </c>
      <c r="BV36" s="326">
        <v>181</v>
      </c>
      <c r="BW36" s="326">
        <v>182</v>
      </c>
      <c r="BX36" s="326">
        <v>183</v>
      </c>
      <c r="BY36" s="326">
        <v>184</v>
      </c>
      <c r="BZ36" s="326">
        <v>186</v>
      </c>
      <c r="CA36" s="326">
        <v>187</v>
      </c>
      <c r="CB36" s="326">
        <v>189</v>
      </c>
      <c r="CC36" s="326">
        <v>192</v>
      </c>
      <c r="CD36" s="326">
        <v>193</v>
      </c>
      <c r="CE36" s="326">
        <v>194</v>
      </c>
      <c r="CF36" s="326">
        <v>195</v>
      </c>
      <c r="CG36" s="326">
        <v>196</v>
      </c>
      <c r="CH36" s="326">
        <v>198</v>
      </c>
      <c r="CI36" s="326">
        <v>199</v>
      </c>
      <c r="CJ36" s="326">
        <v>200</v>
      </c>
      <c r="CK36" s="326">
        <v>201</v>
      </c>
      <c r="CL36" s="326">
        <v>204</v>
      </c>
      <c r="CM36" s="326">
        <v>206</v>
      </c>
      <c r="CN36" s="326">
        <v>207</v>
      </c>
      <c r="CO36" s="326">
        <v>208</v>
      </c>
      <c r="CP36" s="326">
        <v>210</v>
      </c>
      <c r="CQ36" s="326">
        <v>211</v>
      </c>
      <c r="CR36" s="326">
        <v>212</v>
      </c>
      <c r="CS36" s="326">
        <v>213</v>
      </c>
      <c r="CT36" s="326">
        <v>214</v>
      </c>
      <c r="CU36" s="326">
        <v>216</v>
      </c>
      <c r="CV36" s="326">
        <v>218</v>
      </c>
      <c r="CW36" s="266"/>
    </row>
    <row r="37" spans="1:101" ht="12.75" x14ac:dyDescent="0.2">
      <c r="A37" s="323" t="str">
        <f ca="1">语言!$A$2300</f>
        <v>物理攻击力</v>
      </c>
      <c r="B37" s="325">
        <v>72</v>
      </c>
      <c r="C37" s="325">
        <v>72</v>
      </c>
      <c r="D37" s="325">
        <v>73</v>
      </c>
      <c r="E37" s="325">
        <v>75</v>
      </c>
      <c r="F37" s="325">
        <v>77</v>
      </c>
      <c r="G37" s="325">
        <v>79</v>
      </c>
      <c r="H37" s="325">
        <v>81</v>
      </c>
      <c r="I37" s="325">
        <v>82</v>
      </c>
      <c r="J37" s="325">
        <v>83</v>
      </c>
      <c r="K37" s="325">
        <v>84</v>
      </c>
      <c r="L37" s="325">
        <v>86</v>
      </c>
      <c r="M37" s="325">
        <v>88</v>
      </c>
      <c r="N37" s="325">
        <v>90</v>
      </c>
      <c r="O37" s="325">
        <v>92</v>
      </c>
      <c r="P37" s="325">
        <v>95</v>
      </c>
      <c r="Q37" s="325">
        <v>98</v>
      </c>
      <c r="R37" s="325">
        <v>100</v>
      </c>
      <c r="S37" s="325">
        <v>104</v>
      </c>
      <c r="T37" s="325">
        <v>108</v>
      </c>
      <c r="U37" s="325">
        <v>111</v>
      </c>
      <c r="V37" s="325">
        <v>112</v>
      </c>
      <c r="W37" s="325">
        <v>113</v>
      </c>
      <c r="X37" s="325">
        <v>114</v>
      </c>
      <c r="Y37" s="325">
        <v>116</v>
      </c>
      <c r="Z37" s="325">
        <v>117</v>
      </c>
      <c r="AA37" s="325">
        <v>119</v>
      </c>
      <c r="AB37" s="325">
        <v>122</v>
      </c>
      <c r="AC37" s="325">
        <v>125</v>
      </c>
      <c r="AD37" s="325">
        <v>127</v>
      </c>
      <c r="AE37" s="325">
        <v>130</v>
      </c>
      <c r="AF37" s="325">
        <v>131</v>
      </c>
      <c r="AG37" s="325">
        <v>132</v>
      </c>
      <c r="AH37" s="325">
        <v>133</v>
      </c>
      <c r="AI37" s="325">
        <v>135</v>
      </c>
      <c r="AJ37" s="325">
        <v>136</v>
      </c>
      <c r="AK37" s="325">
        <v>138</v>
      </c>
      <c r="AL37" s="325">
        <v>141</v>
      </c>
      <c r="AM37" s="325">
        <v>144</v>
      </c>
      <c r="AN37" s="325">
        <v>146</v>
      </c>
      <c r="AO37" s="325">
        <v>149</v>
      </c>
      <c r="AP37" s="325">
        <v>150</v>
      </c>
      <c r="AQ37" s="325">
        <v>151</v>
      </c>
      <c r="AR37" s="325">
        <v>152</v>
      </c>
      <c r="AS37" s="325">
        <v>153</v>
      </c>
      <c r="AT37" s="325">
        <v>153</v>
      </c>
      <c r="AU37" s="325">
        <v>155</v>
      </c>
      <c r="AV37" s="325">
        <v>157</v>
      </c>
      <c r="AW37" s="325">
        <v>159</v>
      </c>
      <c r="AX37" s="325">
        <v>161</v>
      </c>
      <c r="AY37" s="325">
        <v>162</v>
      </c>
      <c r="AZ37" s="325">
        <v>165</v>
      </c>
      <c r="BA37" s="325">
        <v>168</v>
      </c>
      <c r="BB37" s="325">
        <v>171</v>
      </c>
      <c r="BC37" s="325">
        <v>173</v>
      </c>
      <c r="BD37" s="325">
        <v>176</v>
      </c>
      <c r="BE37" s="325">
        <v>180</v>
      </c>
      <c r="BF37" s="325">
        <v>183</v>
      </c>
      <c r="BG37" s="325">
        <v>187</v>
      </c>
      <c r="BH37" s="325">
        <v>190</v>
      </c>
      <c r="BI37" s="325">
        <v>194</v>
      </c>
      <c r="BJ37" s="325">
        <v>195</v>
      </c>
      <c r="BK37" s="325">
        <v>196</v>
      </c>
      <c r="BL37" s="325">
        <v>197</v>
      </c>
      <c r="BM37" s="325">
        <v>198</v>
      </c>
      <c r="BN37" s="325">
        <v>199</v>
      </c>
      <c r="BO37" s="325">
        <v>201</v>
      </c>
      <c r="BP37" s="325">
        <v>203</v>
      </c>
      <c r="BQ37" s="325">
        <v>205</v>
      </c>
      <c r="BR37" s="325">
        <v>207</v>
      </c>
      <c r="BS37" s="325">
        <v>210</v>
      </c>
      <c r="BT37" s="325">
        <v>211</v>
      </c>
      <c r="BU37" s="325">
        <v>212</v>
      </c>
      <c r="BV37" s="325">
        <v>213</v>
      </c>
      <c r="BW37" s="325">
        <v>214</v>
      </c>
      <c r="BX37" s="325">
        <v>216</v>
      </c>
      <c r="BY37" s="325">
        <v>217</v>
      </c>
      <c r="BZ37" s="325">
        <v>219</v>
      </c>
      <c r="CA37" s="325">
        <v>221</v>
      </c>
      <c r="CB37" s="325">
        <v>224</v>
      </c>
      <c r="CC37" s="325">
        <v>226</v>
      </c>
      <c r="CD37" s="325">
        <v>227</v>
      </c>
      <c r="CE37" s="325">
        <v>228</v>
      </c>
      <c r="CF37" s="325">
        <v>229</v>
      </c>
      <c r="CG37" s="325">
        <v>230</v>
      </c>
      <c r="CH37" s="325">
        <v>232</v>
      </c>
      <c r="CI37" s="325">
        <v>234</v>
      </c>
      <c r="CJ37" s="325">
        <v>235</v>
      </c>
      <c r="CK37" s="325">
        <v>237</v>
      </c>
      <c r="CL37" s="325">
        <v>240</v>
      </c>
      <c r="CM37" s="325">
        <v>243</v>
      </c>
      <c r="CN37" s="325">
        <v>243</v>
      </c>
      <c r="CO37" s="325">
        <v>244</v>
      </c>
      <c r="CP37" s="325">
        <v>245</v>
      </c>
      <c r="CQ37" s="325">
        <v>246</v>
      </c>
      <c r="CR37" s="325">
        <v>248</v>
      </c>
      <c r="CS37" s="325">
        <v>250</v>
      </c>
      <c r="CT37" s="325">
        <v>252</v>
      </c>
      <c r="CU37" s="325">
        <v>253</v>
      </c>
      <c r="CV37" s="325">
        <v>256</v>
      </c>
      <c r="CW37" s="272"/>
    </row>
    <row r="38" spans="1:101" ht="12.75" x14ac:dyDescent="0.2">
      <c r="A38" s="49" t="str">
        <f ca="1">语言!$A$2301</f>
        <v>属性攻击力</v>
      </c>
      <c r="B38" s="326">
        <v>104</v>
      </c>
      <c r="C38" s="326">
        <v>105</v>
      </c>
      <c r="D38" s="326">
        <v>106</v>
      </c>
      <c r="E38" s="326">
        <v>109</v>
      </c>
      <c r="F38" s="326">
        <v>111</v>
      </c>
      <c r="G38" s="326">
        <v>114</v>
      </c>
      <c r="H38" s="326">
        <v>118</v>
      </c>
      <c r="I38" s="326">
        <v>119</v>
      </c>
      <c r="J38" s="326">
        <v>120</v>
      </c>
      <c r="K38" s="326">
        <v>122</v>
      </c>
      <c r="L38" s="326">
        <v>124</v>
      </c>
      <c r="M38" s="326">
        <v>127</v>
      </c>
      <c r="N38" s="326">
        <v>130</v>
      </c>
      <c r="O38" s="326">
        <v>133</v>
      </c>
      <c r="P38" s="326">
        <v>137</v>
      </c>
      <c r="Q38" s="326">
        <v>141</v>
      </c>
      <c r="R38" s="326">
        <v>145</v>
      </c>
      <c r="S38" s="326">
        <v>150</v>
      </c>
      <c r="T38" s="326">
        <v>156</v>
      </c>
      <c r="U38" s="326">
        <v>161</v>
      </c>
      <c r="V38" s="326">
        <v>162</v>
      </c>
      <c r="W38" s="326">
        <v>163</v>
      </c>
      <c r="X38" s="326">
        <v>165</v>
      </c>
      <c r="Y38" s="326">
        <v>167</v>
      </c>
      <c r="Z38" s="326">
        <v>170</v>
      </c>
      <c r="AA38" s="326">
        <v>172</v>
      </c>
      <c r="AB38" s="326">
        <v>176</v>
      </c>
      <c r="AC38" s="326">
        <v>180</v>
      </c>
      <c r="AD38" s="326">
        <v>184</v>
      </c>
      <c r="AE38" s="326">
        <v>188</v>
      </c>
      <c r="AF38" s="326">
        <v>189</v>
      </c>
      <c r="AG38" s="326">
        <v>191</v>
      </c>
      <c r="AH38" s="326">
        <v>192</v>
      </c>
      <c r="AI38" s="326">
        <v>195</v>
      </c>
      <c r="AJ38" s="326">
        <v>197</v>
      </c>
      <c r="AK38" s="326">
        <v>200</v>
      </c>
      <c r="AL38" s="326">
        <v>204</v>
      </c>
      <c r="AM38" s="326">
        <v>208</v>
      </c>
      <c r="AN38" s="326">
        <v>211</v>
      </c>
      <c r="AO38" s="326">
        <v>215</v>
      </c>
      <c r="AP38" s="326">
        <v>217</v>
      </c>
      <c r="AQ38" s="326">
        <v>218</v>
      </c>
      <c r="AR38" s="326">
        <v>219</v>
      </c>
      <c r="AS38" s="326">
        <v>221</v>
      </c>
      <c r="AT38" s="326">
        <v>222</v>
      </c>
      <c r="AU38" s="326">
        <v>224</v>
      </c>
      <c r="AV38" s="326">
        <v>227</v>
      </c>
      <c r="AW38" s="326">
        <v>230</v>
      </c>
      <c r="AX38" s="326">
        <v>232</v>
      </c>
      <c r="AY38" s="326">
        <v>235</v>
      </c>
      <c r="AZ38" s="326">
        <v>239</v>
      </c>
      <c r="BA38" s="326">
        <v>243</v>
      </c>
      <c r="BB38" s="326">
        <v>247</v>
      </c>
      <c r="BC38" s="326">
        <v>250</v>
      </c>
      <c r="BD38" s="326">
        <v>254</v>
      </c>
      <c r="BE38" s="326">
        <v>260</v>
      </c>
      <c r="BF38" s="326">
        <v>265</v>
      </c>
      <c r="BG38" s="326">
        <v>270</v>
      </c>
      <c r="BH38" s="326">
        <v>275</v>
      </c>
      <c r="BI38" s="326">
        <v>280</v>
      </c>
      <c r="BJ38" s="326">
        <v>282</v>
      </c>
      <c r="BK38" s="326">
        <v>283</v>
      </c>
      <c r="BL38" s="326">
        <v>284</v>
      </c>
      <c r="BM38" s="326">
        <v>286</v>
      </c>
      <c r="BN38" s="326">
        <v>288</v>
      </c>
      <c r="BO38" s="326">
        <v>291</v>
      </c>
      <c r="BP38" s="326">
        <v>293</v>
      </c>
      <c r="BQ38" s="326">
        <v>296</v>
      </c>
      <c r="BR38" s="326">
        <v>300</v>
      </c>
      <c r="BS38" s="326">
        <v>304</v>
      </c>
      <c r="BT38" s="326">
        <v>305</v>
      </c>
      <c r="BU38" s="326">
        <v>306</v>
      </c>
      <c r="BV38" s="326">
        <v>308</v>
      </c>
      <c r="BW38" s="326">
        <v>309</v>
      </c>
      <c r="BX38" s="326">
        <v>312</v>
      </c>
      <c r="BY38" s="326">
        <v>314</v>
      </c>
      <c r="BZ38" s="326">
        <v>317</v>
      </c>
      <c r="CA38" s="326">
        <v>319</v>
      </c>
      <c r="CB38" s="326">
        <v>323</v>
      </c>
      <c r="CC38" s="326">
        <v>327</v>
      </c>
      <c r="CD38" s="326">
        <v>328</v>
      </c>
      <c r="CE38" s="326">
        <v>330</v>
      </c>
      <c r="CF38" s="326">
        <v>331</v>
      </c>
      <c r="CG38" s="326">
        <v>332</v>
      </c>
      <c r="CH38" s="326">
        <v>335</v>
      </c>
      <c r="CI38" s="326">
        <v>338</v>
      </c>
      <c r="CJ38" s="326">
        <v>340</v>
      </c>
      <c r="CK38" s="326">
        <v>343</v>
      </c>
      <c r="CL38" s="326">
        <v>347</v>
      </c>
      <c r="CM38" s="326">
        <v>351</v>
      </c>
      <c r="CN38" s="326">
        <v>352</v>
      </c>
      <c r="CO38" s="326">
        <v>353</v>
      </c>
      <c r="CP38" s="326">
        <v>354</v>
      </c>
      <c r="CQ38" s="326">
        <v>356</v>
      </c>
      <c r="CR38" s="326">
        <v>358</v>
      </c>
      <c r="CS38" s="326">
        <v>361</v>
      </c>
      <c r="CT38" s="326">
        <v>364</v>
      </c>
      <c r="CU38" s="326">
        <v>366</v>
      </c>
      <c r="CV38" s="326">
        <v>370</v>
      </c>
      <c r="CW38" s="266"/>
    </row>
    <row r="39" spans="1:101" ht="12.75" x14ac:dyDescent="0.2">
      <c r="A39" s="323" t="str">
        <f ca="1">语言!$A$2302</f>
        <v>物理防御力</v>
      </c>
      <c r="B39" s="325">
        <v>72</v>
      </c>
      <c r="C39" s="325">
        <v>72</v>
      </c>
      <c r="D39" s="325">
        <v>73</v>
      </c>
      <c r="E39" s="325">
        <v>75</v>
      </c>
      <c r="F39" s="325">
        <v>77</v>
      </c>
      <c r="G39" s="325">
        <v>79</v>
      </c>
      <c r="H39" s="325">
        <v>81</v>
      </c>
      <c r="I39" s="325">
        <v>82</v>
      </c>
      <c r="J39" s="325">
        <v>83</v>
      </c>
      <c r="K39" s="325">
        <v>84</v>
      </c>
      <c r="L39" s="325">
        <v>86</v>
      </c>
      <c r="M39" s="325">
        <v>88</v>
      </c>
      <c r="N39" s="325">
        <v>90</v>
      </c>
      <c r="O39" s="325">
        <v>92</v>
      </c>
      <c r="P39" s="325">
        <v>95</v>
      </c>
      <c r="Q39" s="325">
        <v>98</v>
      </c>
      <c r="R39" s="325">
        <v>100</v>
      </c>
      <c r="S39" s="325">
        <v>104</v>
      </c>
      <c r="T39" s="325">
        <v>108</v>
      </c>
      <c r="U39" s="325">
        <v>111</v>
      </c>
      <c r="V39" s="325">
        <v>112</v>
      </c>
      <c r="W39" s="325">
        <v>113</v>
      </c>
      <c r="X39" s="325">
        <v>114</v>
      </c>
      <c r="Y39" s="325">
        <v>116</v>
      </c>
      <c r="Z39" s="325">
        <v>117</v>
      </c>
      <c r="AA39" s="325">
        <v>119</v>
      </c>
      <c r="AB39" s="325">
        <v>122</v>
      </c>
      <c r="AC39" s="325">
        <v>125</v>
      </c>
      <c r="AD39" s="325">
        <v>127</v>
      </c>
      <c r="AE39" s="325">
        <v>130</v>
      </c>
      <c r="AF39" s="325">
        <v>131</v>
      </c>
      <c r="AG39" s="325">
        <v>132</v>
      </c>
      <c r="AH39" s="325">
        <v>133</v>
      </c>
      <c r="AI39" s="325">
        <v>135</v>
      </c>
      <c r="AJ39" s="325">
        <v>136</v>
      </c>
      <c r="AK39" s="325">
        <v>138</v>
      </c>
      <c r="AL39" s="325">
        <v>141</v>
      </c>
      <c r="AM39" s="325">
        <v>144</v>
      </c>
      <c r="AN39" s="325">
        <v>146</v>
      </c>
      <c r="AO39" s="325">
        <v>149</v>
      </c>
      <c r="AP39" s="325">
        <v>150</v>
      </c>
      <c r="AQ39" s="325">
        <v>151</v>
      </c>
      <c r="AR39" s="325">
        <v>152</v>
      </c>
      <c r="AS39" s="325">
        <v>153</v>
      </c>
      <c r="AT39" s="325">
        <v>153</v>
      </c>
      <c r="AU39" s="325">
        <v>155</v>
      </c>
      <c r="AV39" s="325">
        <v>157</v>
      </c>
      <c r="AW39" s="325">
        <v>159</v>
      </c>
      <c r="AX39" s="325">
        <v>161</v>
      </c>
      <c r="AY39" s="325">
        <v>162</v>
      </c>
      <c r="AZ39" s="325">
        <v>165</v>
      </c>
      <c r="BA39" s="325">
        <v>168</v>
      </c>
      <c r="BB39" s="325">
        <v>171</v>
      </c>
      <c r="BC39" s="325">
        <v>173</v>
      </c>
      <c r="BD39" s="325">
        <v>176</v>
      </c>
      <c r="BE39" s="325">
        <v>180</v>
      </c>
      <c r="BF39" s="325">
        <v>183</v>
      </c>
      <c r="BG39" s="325">
        <v>187</v>
      </c>
      <c r="BH39" s="325">
        <v>190</v>
      </c>
      <c r="BI39" s="325">
        <v>194</v>
      </c>
      <c r="BJ39" s="325">
        <v>195</v>
      </c>
      <c r="BK39" s="325">
        <v>196</v>
      </c>
      <c r="BL39" s="325">
        <v>197</v>
      </c>
      <c r="BM39" s="325">
        <v>198</v>
      </c>
      <c r="BN39" s="325">
        <v>199</v>
      </c>
      <c r="BO39" s="325">
        <v>201</v>
      </c>
      <c r="BP39" s="325">
        <v>203</v>
      </c>
      <c r="BQ39" s="325">
        <v>205</v>
      </c>
      <c r="BR39" s="325">
        <v>207</v>
      </c>
      <c r="BS39" s="325">
        <v>210</v>
      </c>
      <c r="BT39" s="325">
        <v>211</v>
      </c>
      <c r="BU39" s="325">
        <v>212</v>
      </c>
      <c r="BV39" s="325">
        <v>213</v>
      </c>
      <c r="BW39" s="325">
        <v>214</v>
      </c>
      <c r="BX39" s="325">
        <v>216</v>
      </c>
      <c r="BY39" s="325">
        <v>217</v>
      </c>
      <c r="BZ39" s="325">
        <v>219</v>
      </c>
      <c r="CA39" s="325">
        <v>221</v>
      </c>
      <c r="CB39" s="325">
        <v>224</v>
      </c>
      <c r="CC39" s="325">
        <v>226</v>
      </c>
      <c r="CD39" s="325">
        <v>227</v>
      </c>
      <c r="CE39" s="325">
        <v>228</v>
      </c>
      <c r="CF39" s="325">
        <v>229</v>
      </c>
      <c r="CG39" s="325">
        <v>230</v>
      </c>
      <c r="CH39" s="325">
        <v>232</v>
      </c>
      <c r="CI39" s="325">
        <v>234</v>
      </c>
      <c r="CJ39" s="325">
        <v>235</v>
      </c>
      <c r="CK39" s="325">
        <v>237</v>
      </c>
      <c r="CL39" s="325">
        <v>240</v>
      </c>
      <c r="CM39" s="325">
        <v>243</v>
      </c>
      <c r="CN39" s="325">
        <v>243</v>
      </c>
      <c r="CO39" s="325">
        <v>244</v>
      </c>
      <c r="CP39" s="325">
        <v>245</v>
      </c>
      <c r="CQ39" s="325">
        <v>246</v>
      </c>
      <c r="CR39" s="325">
        <v>248</v>
      </c>
      <c r="CS39" s="325">
        <v>250</v>
      </c>
      <c r="CT39" s="325">
        <v>252</v>
      </c>
      <c r="CU39" s="325">
        <v>253</v>
      </c>
      <c r="CV39" s="325">
        <v>256</v>
      </c>
      <c r="CW39" s="272"/>
    </row>
    <row r="40" spans="1:101" ht="12.75" x14ac:dyDescent="0.2">
      <c r="A40" s="49" t="str">
        <f ca="1">语言!$A$2303</f>
        <v>属性防御力</v>
      </c>
      <c r="B40" s="326">
        <v>96</v>
      </c>
      <c r="C40" s="326">
        <v>97</v>
      </c>
      <c r="D40" s="326">
        <v>98</v>
      </c>
      <c r="E40" s="326">
        <v>100</v>
      </c>
      <c r="F40" s="326">
        <v>103</v>
      </c>
      <c r="G40" s="326">
        <v>105</v>
      </c>
      <c r="H40" s="326">
        <v>109</v>
      </c>
      <c r="I40" s="326">
        <v>110</v>
      </c>
      <c r="J40" s="326">
        <v>111</v>
      </c>
      <c r="K40" s="326">
        <v>112</v>
      </c>
      <c r="L40" s="326">
        <v>115</v>
      </c>
      <c r="M40" s="326">
        <v>117</v>
      </c>
      <c r="N40" s="326">
        <v>120</v>
      </c>
      <c r="O40" s="326">
        <v>123</v>
      </c>
      <c r="P40" s="326">
        <v>127</v>
      </c>
      <c r="Q40" s="326">
        <v>130</v>
      </c>
      <c r="R40" s="326">
        <v>134</v>
      </c>
      <c r="S40" s="326">
        <v>139</v>
      </c>
      <c r="T40" s="326">
        <v>144</v>
      </c>
      <c r="U40" s="326">
        <v>148</v>
      </c>
      <c r="V40" s="326">
        <v>150</v>
      </c>
      <c r="W40" s="326">
        <v>151</v>
      </c>
      <c r="X40" s="326">
        <v>152</v>
      </c>
      <c r="Y40" s="326">
        <v>154</v>
      </c>
      <c r="Z40" s="326">
        <v>157</v>
      </c>
      <c r="AA40" s="326">
        <v>159</v>
      </c>
      <c r="AB40" s="326">
        <v>163</v>
      </c>
      <c r="AC40" s="326">
        <v>166</v>
      </c>
      <c r="AD40" s="326">
        <v>170</v>
      </c>
      <c r="AE40" s="326">
        <v>174</v>
      </c>
      <c r="AF40" s="326">
        <v>175</v>
      </c>
      <c r="AG40" s="326">
        <v>176</v>
      </c>
      <c r="AH40" s="326">
        <v>177</v>
      </c>
      <c r="AI40" s="326">
        <v>180</v>
      </c>
      <c r="AJ40" s="326">
        <v>182</v>
      </c>
      <c r="AK40" s="326">
        <v>184</v>
      </c>
      <c r="AL40" s="326">
        <v>188</v>
      </c>
      <c r="AM40" s="326">
        <v>192</v>
      </c>
      <c r="AN40" s="326">
        <v>195</v>
      </c>
      <c r="AO40" s="326">
        <v>199</v>
      </c>
      <c r="AP40" s="326">
        <v>200</v>
      </c>
      <c r="AQ40" s="326">
        <v>201</v>
      </c>
      <c r="AR40" s="326">
        <v>202</v>
      </c>
      <c r="AS40" s="326">
        <v>204</v>
      </c>
      <c r="AT40" s="326">
        <v>205</v>
      </c>
      <c r="AU40" s="326">
        <v>207</v>
      </c>
      <c r="AV40" s="326">
        <v>210</v>
      </c>
      <c r="AW40" s="326">
        <v>212</v>
      </c>
      <c r="AX40" s="326">
        <v>214</v>
      </c>
      <c r="AY40" s="326">
        <v>217</v>
      </c>
      <c r="AZ40" s="326">
        <v>220</v>
      </c>
      <c r="BA40" s="326">
        <v>224</v>
      </c>
      <c r="BB40" s="326">
        <v>228</v>
      </c>
      <c r="BC40" s="326">
        <v>231</v>
      </c>
      <c r="BD40" s="326">
        <v>235</v>
      </c>
      <c r="BE40" s="326">
        <v>240</v>
      </c>
      <c r="BF40" s="326">
        <v>244</v>
      </c>
      <c r="BG40" s="326">
        <v>249</v>
      </c>
      <c r="BH40" s="326">
        <v>254</v>
      </c>
      <c r="BI40" s="326">
        <v>259</v>
      </c>
      <c r="BJ40" s="326">
        <v>260</v>
      </c>
      <c r="BK40" s="326">
        <v>261</v>
      </c>
      <c r="BL40" s="326">
        <v>262</v>
      </c>
      <c r="BM40" s="326">
        <v>264</v>
      </c>
      <c r="BN40" s="326">
        <v>266</v>
      </c>
      <c r="BO40" s="326">
        <v>268</v>
      </c>
      <c r="BP40" s="326">
        <v>271</v>
      </c>
      <c r="BQ40" s="326">
        <v>273</v>
      </c>
      <c r="BR40" s="326">
        <v>277</v>
      </c>
      <c r="BS40" s="326">
        <v>280</v>
      </c>
      <c r="BT40" s="326">
        <v>282</v>
      </c>
      <c r="BU40" s="326">
        <v>283</v>
      </c>
      <c r="BV40" s="326">
        <v>284</v>
      </c>
      <c r="BW40" s="326">
        <v>285</v>
      </c>
      <c r="BX40" s="326">
        <v>288</v>
      </c>
      <c r="BY40" s="326">
        <v>290</v>
      </c>
      <c r="BZ40" s="326">
        <v>292</v>
      </c>
      <c r="CA40" s="326">
        <v>295</v>
      </c>
      <c r="CB40" s="326">
        <v>298</v>
      </c>
      <c r="CC40" s="326">
        <v>302</v>
      </c>
      <c r="CD40" s="326">
        <v>303</v>
      </c>
      <c r="CE40" s="326">
        <v>304</v>
      </c>
      <c r="CF40" s="326">
        <v>306</v>
      </c>
      <c r="CG40" s="326">
        <v>307</v>
      </c>
      <c r="CH40" s="326">
        <v>309</v>
      </c>
      <c r="CI40" s="326">
        <v>312</v>
      </c>
      <c r="CJ40" s="326">
        <v>314</v>
      </c>
      <c r="CK40" s="326">
        <v>316</v>
      </c>
      <c r="CL40" s="326">
        <v>320</v>
      </c>
      <c r="CM40" s="326">
        <v>324</v>
      </c>
      <c r="CN40" s="326">
        <v>325</v>
      </c>
      <c r="CO40" s="326">
        <v>326</v>
      </c>
      <c r="CP40" s="326">
        <v>327</v>
      </c>
      <c r="CQ40" s="326">
        <v>328</v>
      </c>
      <c r="CR40" s="326">
        <v>331</v>
      </c>
      <c r="CS40" s="326">
        <v>333</v>
      </c>
      <c r="CT40" s="326">
        <v>336</v>
      </c>
      <c r="CU40" s="326">
        <v>338</v>
      </c>
      <c r="CV40" s="326">
        <v>342</v>
      </c>
      <c r="CW40" s="266"/>
    </row>
    <row r="41" spans="1:101" ht="12.75" x14ac:dyDescent="0.2">
      <c r="A41" s="323" t="str">
        <f ca="1">语言!$A$2304</f>
        <v>命中</v>
      </c>
      <c r="B41" s="325">
        <v>80</v>
      </c>
      <c r="C41" s="325">
        <v>81</v>
      </c>
      <c r="D41" s="325">
        <v>82</v>
      </c>
      <c r="E41" s="325">
        <v>84</v>
      </c>
      <c r="F41" s="325">
        <v>86</v>
      </c>
      <c r="G41" s="325">
        <v>88</v>
      </c>
      <c r="H41" s="325">
        <v>91</v>
      </c>
      <c r="I41" s="325">
        <v>92</v>
      </c>
      <c r="J41" s="325">
        <v>93</v>
      </c>
      <c r="K41" s="325">
        <v>94</v>
      </c>
      <c r="L41" s="325">
        <v>96</v>
      </c>
      <c r="M41" s="325">
        <v>98</v>
      </c>
      <c r="N41" s="325">
        <v>100</v>
      </c>
      <c r="O41" s="325">
        <v>103</v>
      </c>
      <c r="P41" s="325">
        <v>106</v>
      </c>
      <c r="Q41" s="325">
        <v>109</v>
      </c>
      <c r="R41" s="325">
        <v>112</v>
      </c>
      <c r="S41" s="325">
        <v>116</v>
      </c>
      <c r="T41" s="325">
        <v>120</v>
      </c>
      <c r="U41" s="325">
        <v>124</v>
      </c>
      <c r="V41" s="325">
        <v>125</v>
      </c>
      <c r="W41" s="325">
        <v>126</v>
      </c>
      <c r="X41" s="325">
        <v>127</v>
      </c>
      <c r="Y41" s="325">
        <v>129</v>
      </c>
      <c r="Z41" s="325">
        <v>131</v>
      </c>
      <c r="AA41" s="325">
        <v>133</v>
      </c>
      <c r="AB41" s="325">
        <v>136</v>
      </c>
      <c r="AC41" s="325">
        <v>139</v>
      </c>
      <c r="AD41" s="325">
        <v>142</v>
      </c>
      <c r="AE41" s="325">
        <v>145</v>
      </c>
      <c r="AF41" s="325">
        <v>146</v>
      </c>
      <c r="AG41" s="325">
        <v>147</v>
      </c>
      <c r="AH41" s="325">
        <v>148</v>
      </c>
      <c r="AI41" s="325">
        <v>150</v>
      </c>
      <c r="AJ41" s="325">
        <v>152</v>
      </c>
      <c r="AK41" s="325">
        <v>154</v>
      </c>
      <c r="AL41" s="325">
        <v>157</v>
      </c>
      <c r="AM41" s="325">
        <v>160</v>
      </c>
      <c r="AN41" s="325">
        <v>163</v>
      </c>
      <c r="AO41" s="325">
        <v>166</v>
      </c>
      <c r="AP41" s="325">
        <v>167</v>
      </c>
      <c r="AQ41" s="325">
        <v>168</v>
      </c>
      <c r="AR41" s="325">
        <v>169</v>
      </c>
      <c r="AS41" s="325">
        <v>170</v>
      </c>
      <c r="AT41" s="325">
        <v>171</v>
      </c>
      <c r="AU41" s="325">
        <v>173</v>
      </c>
      <c r="AV41" s="325">
        <v>175</v>
      </c>
      <c r="AW41" s="325">
        <v>177</v>
      </c>
      <c r="AX41" s="325">
        <v>179</v>
      </c>
      <c r="AY41" s="325">
        <v>181</v>
      </c>
      <c r="AZ41" s="325">
        <v>184</v>
      </c>
      <c r="BA41" s="325">
        <v>187</v>
      </c>
      <c r="BB41" s="325">
        <v>190</v>
      </c>
      <c r="BC41" s="325">
        <v>193</v>
      </c>
      <c r="BD41" s="325">
        <v>196</v>
      </c>
      <c r="BE41" s="325">
        <v>200</v>
      </c>
      <c r="BF41" s="325">
        <v>204</v>
      </c>
      <c r="BG41" s="325">
        <v>208</v>
      </c>
      <c r="BH41" s="325">
        <v>212</v>
      </c>
      <c r="BI41" s="325">
        <v>216</v>
      </c>
      <c r="BJ41" s="325">
        <v>217</v>
      </c>
      <c r="BK41" s="325">
        <v>218</v>
      </c>
      <c r="BL41" s="325">
        <v>219</v>
      </c>
      <c r="BM41" s="325">
        <v>220</v>
      </c>
      <c r="BN41" s="325">
        <v>222</v>
      </c>
      <c r="BO41" s="325">
        <v>224</v>
      </c>
      <c r="BP41" s="325">
        <v>226</v>
      </c>
      <c r="BQ41" s="325">
        <v>228</v>
      </c>
      <c r="BR41" s="325">
        <v>231</v>
      </c>
      <c r="BS41" s="325">
        <v>234</v>
      </c>
      <c r="BT41" s="325">
        <v>235</v>
      </c>
      <c r="BU41" s="325">
        <v>236</v>
      </c>
      <c r="BV41" s="325">
        <v>237</v>
      </c>
      <c r="BW41" s="325">
        <v>238</v>
      </c>
      <c r="BX41" s="325">
        <v>240</v>
      </c>
      <c r="BY41" s="325">
        <v>242</v>
      </c>
      <c r="BZ41" s="325">
        <v>244</v>
      </c>
      <c r="CA41" s="325">
        <v>246</v>
      </c>
      <c r="CB41" s="325">
        <v>249</v>
      </c>
      <c r="CC41" s="325">
        <v>252</v>
      </c>
      <c r="CD41" s="325">
        <v>253</v>
      </c>
      <c r="CE41" s="325">
        <v>254</v>
      </c>
      <c r="CF41" s="325">
        <v>255</v>
      </c>
      <c r="CG41" s="325">
        <v>256</v>
      </c>
      <c r="CH41" s="325">
        <v>258</v>
      </c>
      <c r="CI41" s="325">
        <v>260</v>
      </c>
      <c r="CJ41" s="325">
        <v>262</v>
      </c>
      <c r="CK41" s="325">
        <v>264</v>
      </c>
      <c r="CL41" s="325">
        <v>267</v>
      </c>
      <c r="CM41" s="325">
        <v>270</v>
      </c>
      <c r="CN41" s="325">
        <v>271</v>
      </c>
      <c r="CO41" s="325">
        <v>272</v>
      </c>
      <c r="CP41" s="325">
        <v>273</v>
      </c>
      <c r="CQ41" s="325">
        <v>274</v>
      </c>
      <c r="CR41" s="325">
        <v>276</v>
      </c>
      <c r="CS41" s="325">
        <v>278</v>
      </c>
      <c r="CT41" s="325">
        <v>280</v>
      </c>
      <c r="CU41" s="325">
        <v>282</v>
      </c>
      <c r="CV41" s="325">
        <v>285</v>
      </c>
      <c r="CW41" s="272"/>
    </row>
    <row r="42" spans="1:101" ht="12.75" x14ac:dyDescent="0.2">
      <c r="A42" s="49" t="str">
        <f ca="1">语言!$A$2305</f>
        <v>行动速度</v>
      </c>
      <c r="B42" s="326">
        <v>72</v>
      </c>
      <c r="C42" s="326">
        <v>72</v>
      </c>
      <c r="D42" s="326">
        <v>73</v>
      </c>
      <c r="E42" s="326">
        <v>75</v>
      </c>
      <c r="F42" s="326">
        <v>77</v>
      </c>
      <c r="G42" s="326">
        <v>79</v>
      </c>
      <c r="H42" s="326">
        <v>81</v>
      </c>
      <c r="I42" s="326">
        <v>82</v>
      </c>
      <c r="J42" s="326">
        <v>83</v>
      </c>
      <c r="K42" s="326">
        <v>84</v>
      </c>
      <c r="L42" s="326">
        <v>86</v>
      </c>
      <c r="M42" s="326">
        <v>88</v>
      </c>
      <c r="N42" s="326">
        <v>90</v>
      </c>
      <c r="O42" s="326">
        <v>92</v>
      </c>
      <c r="P42" s="326">
        <v>95</v>
      </c>
      <c r="Q42" s="326">
        <v>98</v>
      </c>
      <c r="R42" s="326">
        <v>100</v>
      </c>
      <c r="S42" s="326">
        <v>104</v>
      </c>
      <c r="T42" s="326">
        <v>108</v>
      </c>
      <c r="U42" s="326">
        <v>111</v>
      </c>
      <c r="V42" s="326">
        <v>112</v>
      </c>
      <c r="W42" s="326">
        <v>113</v>
      </c>
      <c r="X42" s="326">
        <v>114</v>
      </c>
      <c r="Y42" s="326">
        <v>116</v>
      </c>
      <c r="Z42" s="326">
        <v>117</v>
      </c>
      <c r="AA42" s="326">
        <v>119</v>
      </c>
      <c r="AB42" s="326">
        <v>122</v>
      </c>
      <c r="AC42" s="326">
        <v>125</v>
      </c>
      <c r="AD42" s="326">
        <v>127</v>
      </c>
      <c r="AE42" s="326">
        <v>130</v>
      </c>
      <c r="AF42" s="326">
        <v>131</v>
      </c>
      <c r="AG42" s="326">
        <v>132</v>
      </c>
      <c r="AH42" s="326">
        <v>133</v>
      </c>
      <c r="AI42" s="326">
        <v>135</v>
      </c>
      <c r="AJ42" s="326">
        <v>136</v>
      </c>
      <c r="AK42" s="326">
        <v>138</v>
      </c>
      <c r="AL42" s="326">
        <v>141</v>
      </c>
      <c r="AM42" s="326">
        <v>144</v>
      </c>
      <c r="AN42" s="326">
        <v>146</v>
      </c>
      <c r="AO42" s="326">
        <v>149</v>
      </c>
      <c r="AP42" s="326">
        <v>150</v>
      </c>
      <c r="AQ42" s="326">
        <v>151</v>
      </c>
      <c r="AR42" s="326">
        <v>152</v>
      </c>
      <c r="AS42" s="326">
        <v>153</v>
      </c>
      <c r="AT42" s="326">
        <v>153</v>
      </c>
      <c r="AU42" s="326">
        <v>155</v>
      </c>
      <c r="AV42" s="326">
        <v>157</v>
      </c>
      <c r="AW42" s="326">
        <v>159</v>
      </c>
      <c r="AX42" s="326">
        <v>161</v>
      </c>
      <c r="AY42" s="326">
        <v>162</v>
      </c>
      <c r="AZ42" s="326">
        <v>165</v>
      </c>
      <c r="BA42" s="326">
        <v>168</v>
      </c>
      <c r="BB42" s="326">
        <v>171</v>
      </c>
      <c r="BC42" s="326">
        <v>173</v>
      </c>
      <c r="BD42" s="326">
        <v>176</v>
      </c>
      <c r="BE42" s="326">
        <v>180</v>
      </c>
      <c r="BF42" s="326">
        <v>183</v>
      </c>
      <c r="BG42" s="326">
        <v>187</v>
      </c>
      <c r="BH42" s="326">
        <v>190</v>
      </c>
      <c r="BI42" s="326">
        <v>194</v>
      </c>
      <c r="BJ42" s="326">
        <v>195</v>
      </c>
      <c r="BK42" s="326">
        <v>196</v>
      </c>
      <c r="BL42" s="326">
        <v>197</v>
      </c>
      <c r="BM42" s="326">
        <v>198</v>
      </c>
      <c r="BN42" s="326">
        <v>199</v>
      </c>
      <c r="BO42" s="326">
        <v>201</v>
      </c>
      <c r="BP42" s="326">
        <v>203</v>
      </c>
      <c r="BQ42" s="326">
        <v>205</v>
      </c>
      <c r="BR42" s="326">
        <v>207</v>
      </c>
      <c r="BS42" s="326">
        <v>210</v>
      </c>
      <c r="BT42" s="326">
        <v>211</v>
      </c>
      <c r="BU42" s="326">
        <v>212</v>
      </c>
      <c r="BV42" s="326">
        <v>213</v>
      </c>
      <c r="BW42" s="326">
        <v>214</v>
      </c>
      <c r="BX42" s="326">
        <v>216</v>
      </c>
      <c r="BY42" s="326">
        <v>217</v>
      </c>
      <c r="BZ42" s="326">
        <v>219</v>
      </c>
      <c r="CA42" s="326">
        <v>221</v>
      </c>
      <c r="CB42" s="326">
        <v>224</v>
      </c>
      <c r="CC42" s="326">
        <v>226</v>
      </c>
      <c r="CD42" s="326">
        <v>227</v>
      </c>
      <c r="CE42" s="326">
        <v>228</v>
      </c>
      <c r="CF42" s="326">
        <v>229</v>
      </c>
      <c r="CG42" s="326">
        <v>230</v>
      </c>
      <c r="CH42" s="326">
        <v>232</v>
      </c>
      <c r="CI42" s="326">
        <v>234</v>
      </c>
      <c r="CJ42" s="326">
        <v>235</v>
      </c>
      <c r="CK42" s="326">
        <v>237</v>
      </c>
      <c r="CL42" s="326">
        <v>240</v>
      </c>
      <c r="CM42" s="326">
        <v>243</v>
      </c>
      <c r="CN42" s="326">
        <v>243</v>
      </c>
      <c r="CO42" s="326">
        <v>244</v>
      </c>
      <c r="CP42" s="326">
        <v>245</v>
      </c>
      <c r="CQ42" s="326">
        <v>246</v>
      </c>
      <c r="CR42" s="326">
        <v>248</v>
      </c>
      <c r="CS42" s="326">
        <v>250</v>
      </c>
      <c r="CT42" s="326">
        <v>252</v>
      </c>
      <c r="CU42" s="326">
        <v>253</v>
      </c>
      <c r="CV42" s="326">
        <v>256</v>
      </c>
      <c r="CW42" s="266"/>
    </row>
    <row r="43" spans="1:101" ht="12.75" x14ac:dyDescent="0.2">
      <c r="A43" s="323" t="str">
        <f ca="1">语言!$A$2306</f>
        <v>暴击</v>
      </c>
      <c r="B43" s="325">
        <v>64</v>
      </c>
      <c r="C43" s="325">
        <v>64</v>
      </c>
      <c r="D43" s="325">
        <v>65</v>
      </c>
      <c r="E43" s="325">
        <v>67</v>
      </c>
      <c r="F43" s="325">
        <v>68</v>
      </c>
      <c r="G43" s="325">
        <v>70</v>
      </c>
      <c r="H43" s="325">
        <v>72</v>
      </c>
      <c r="I43" s="325">
        <v>73</v>
      </c>
      <c r="J43" s="325">
        <v>74</v>
      </c>
      <c r="K43" s="325">
        <v>75</v>
      </c>
      <c r="L43" s="325">
        <v>76</v>
      </c>
      <c r="M43" s="325">
        <v>78</v>
      </c>
      <c r="N43" s="325">
        <v>80</v>
      </c>
      <c r="O43" s="325">
        <v>82</v>
      </c>
      <c r="P43" s="325">
        <v>84</v>
      </c>
      <c r="Q43" s="325">
        <v>87</v>
      </c>
      <c r="R43" s="325">
        <v>89</v>
      </c>
      <c r="S43" s="325">
        <v>92</v>
      </c>
      <c r="T43" s="325">
        <v>96</v>
      </c>
      <c r="U43" s="325">
        <v>99</v>
      </c>
      <c r="V43" s="325">
        <v>100</v>
      </c>
      <c r="W43" s="325">
        <v>100</v>
      </c>
      <c r="X43" s="325">
        <v>101</v>
      </c>
      <c r="Y43" s="325">
        <v>103</v>
      </c>
      <c r="Z43" s="325">
        <v>104</v>
      </c>
      <c r="AA43" s="325">
        <v>106</v>
      </c>
      <c r="AB43" s="325">
        <v>108</v>
      </c>
      <c r="AC43" s="325">
        <v>111</v>
      </c>
      <c r="AD43" s="325">
        <v>113</v>
      </c>
      <c r="AE43" s="325">
        <v>116</v>
      </c>
      <c r="AF43" s="325">
        <v>116</v>
      </c>
      <c r="AG43" s="325">
        <v>117</v>
      </c>
      <c r="AH43" s="325">
        <v>118</v>
      </c>
      <c r="AI43" s="325">
        <v>120</v>
      </c>
      <c r="AJ43" s="325">
        <v>121</v>
      </c>
      <c r="AK43" s="325">
        <v>123</v>
      </c>
      <c r="AL43" s="325">
        <v>125</v>
      </c>
      <c r="AM43" s="325">
        <v>128</v>
      </c>
      <c r="AN43" s="325">
        <v>130</v>
      </c>
      <c r="AO43" s="325">
        <v>132</v>
      </c>
      <c r="AP43" s="325">
        <v>133</v>
      </c>
      <c r="AQ43" s="325">
        <v>134</v>
      </c>
      <c r="AR43" s="325">
        <v>135</v>
      </c>
      <c r="AS43" s="325">
        <v>136</v>
      </c>
      <c r="AT43" s="325">
        <v>136</v>
      </c>
      <c r="AU43" s="325">
        <v>138</v>
      </c>
      <c r="AV43" s="325">
        <v>140</v>
      </c>
      <c r="AW43" s="325">
        <v>141</v>
      </c>
      <c r="AX43" s="325">
        <v>143</v>
      </c>
      <c r="AY43" s="325">
        <v>144</v>
      </c>
      <c r="AZ43" s="325">
        <v>147</v>
      </c>
      <c r="BA43" s="325">
        <v>149</v>
      </c>
      <c r="BB43" s="325">
        <v>152</v>
      </c>
      <c r="BC43" s="325">
        <v>154</v>
      </c>
      <c r="BD43" s="325">
        <v>156</v>
      </c>
      <c r="BE43" s="325">
        <v>160</v>
      </c>
      <c r="BF43" s="325">
        <v>163</v>
      </c>
      <c r="BG43" s="325">
        <v>166</v>
      </c>
      <c r="BH43" s="325">
        <v>169</v>
      </c>
      <c r="BI43" s="325">
        <v>172</v>
      </c>
      <c r="BJ43" s="325">
        <v>173</v>
      </c>
      <c r="BK43" s="325">
        <v>174</v>
      </c>
      <c r="BL43" s="325">
        <v>175</v>
      </c>
      <c r="BM43" s="325">
        <v>176</v>
      </c>
      <c r="BN43" s="325">
        <v>177</v>
      </c>
      <c r="BO43" s="325">
        <v>179</v>
      </c>
      <c r="BP43" s="325">
        <v>180</v>
      </c>
      <c r="BQ43" s="325">
        <v>182</v>
      </c>
      <c r="BR43" s="325">
        <v>184</v>
      </c>
      <c r="BS43" s="325">
        <v>187</v>
      </c>
      <c r="BT43" s="325">
        <v>188</v>
      </c>
      <c r="BU43" s="325">
        <v>188</v>
      </c>
      <c r="BV43" s="325">
        <v>189</v>
      </c>
      <c r="BW43" s="325">
        <v>190</v>
      </c>
      <c r="BX43" s="325">
        <v>192</v>
      </c>
      <c r="BY43" s="325">
        <v>193</v>
      </c>
      <c r="BZ43" s="325">
        <v>195</v>
      </c>
      <c r="CA43" s="325">
        <v>196</v>
      </c>
      <c r="CB43" s="325">
        <v>199</v>
      </c>
      <c r="CC43" s="325">
        <v>201</v>
      </c>
      <c r="CD43" s="325">
        <v>202</v>
      </c>
      <c r="CE43" s="325">
        <v>203</v>
      </c>
      <c r="CF43" s="325">
        <v>204</v>
      </c>
      <c r="CG43" s="325">
        <v>204</v>
      </c>
      <c r="CH43" s="325">
        <v>206</v>
      </c>
      <c r="CI43" s="325">
        <v>208</v>
      </c>
      <c r="CJ43" s="325">
        <v>209</v>
      </c>
      <c r="CK43" s="325">
        <v>211</v>
      </c>
      <c r="CL43" s="325">
        <v>213</v>
      </c>
      <c r="CM43" s="325">
        <v>216</v>
      </c>
      <c r="CN43" s="325">
        <v>216</v>
      </c>
      <c r="CO43" s="325">
        <v>217</v>
      </c>
      <c r="CP43" s="325">
        <v>218</v>
      </c>
      <c r="CQ43" s="325">
        <v>219</v>
      </c>
      <c r="CR43" s="325">
        <v>220</v>
      </c>
      <c r="CS43" s="325">
        <v>222</v>
      </c>
      <c r="CT43" s="325">
        <v>224</v>
      </c>
      <c r="CU43" s="325">
        <v>225</v>
      </c>
      <c r="CV43" s="325">
        <v>228</v>
      </c>
      <c r="CW43" s="272"/>
    </row>
    <row r="44" spans="1:101" ht="12.75" x14ac:dyDescent="0.2">
      <c r="A44" s="49" t="str">
        <f ca="1">语言!$A$2307</f>
        <v>回避</v>
      </c>
      <c r="B44" s="326">
        <v>80</v>
      </c>
      <c r="C44" s="326">
        <v>81</v>
      </c>
      <c r="D44" s="326">
        <v>82</v>
      </c>
      <c r="E44" s="326">
        <v>84</v>
      </c>
      <c r="F44" s="326">
        <v>86</v>
      </c>
      <c r="G44" s="326">
        <v>88</v>
      </c>
      <c r="H44" s="326">
        <v>91</v>
      </c>
      <c r="I44" s="326">
        <v>92</v>
      </c>
      <c r="J44" s="326">
        <v>93</v>
      </c>
      <c r="K44" s="326">
        <v>94</v>
      </c>
      <c r="L44" s="326">
        <v>96</v>
      </c>
      <c r="M44" s="326">
        <v>98</v>
      </c>
      <c r="N44" s="326">
        <v>100</v>
      </c>
      <c r="O44" s="326">
        <v>103</v>
      </c>
      <c r="P44" s="326">
        <v>106</v>
      </c>
      <c r="Q44" s="326">
        <v>109</v>
      </c>
      <c r="R44" s="326">
        <v>112</v>
      </c>
      <c r="S44" s="326">
        <v>116</v>
      </c>
      <c r="T44" s="326">
        <v>120</v>
      </c>
      <c r="U44" s="326">
        <v>124</v>
      </c>
      <c r="V44" s="326">
        <v>125</v>
      </c>
      <c r="W44" s="326">
        <v>126</v>
      </c>
      <c r="X44" s="326">
        <v>127</v>
      </c>
      <c r="Y44" s="326">
        <v>129</v>
      </c>
      <c r="Z44" s="326">
        <v>131</v>
      </c>
      <c r="AA44" s="326">
        <v>133</v>
      </c>
      <c r="AB44" s="326">
        <v>136</v>
      </c>
      <c r="AC44" s="326">
        <v>139</v>
      </c>
      <c r="AD44" s="326">
        <v>142</v>
      </c>
      <c r="AE44" s="326">
        <v>145</v>
      </c>
      <c r="AF44" s="326">
        <v>146</v>
      </c>
      <c r="AG44" s="326">
        <v>147</v>
      </c>
      <c r="AH44" s="326">
        <v>148</v>
      </c>
      <c r="AI44" s="326">
        <v>150</v>
      </c>
      <c r="AJ44" s="326">
        <v>152</v>
      </c>
      <c r="AK44" s="326">
        <v>154</v>
      </c>
      <c r="AL44" s="326">
        <v>157</v>
      </c>
      <c r="AM44" s="326">
        <v>160</v>
      </c>
      <c r="AN44" s="326">
        <v>163</v>
      </c>
      <c r="AO44" s="326">
        <v>166</v>
      </c>
      <c r="AP44" s="326">
        <v>167</v>
      </c>
      <c r="AQ44" s="326">
        <v>168</v>
      </c>
      <c r="AR44" s="326">
        <v>169</v>
      </c>
      <c r="AS44" s="326">
        <v>170</v>
      </c>
      <c r="AT44" s="326">
        <v>171</v>
      </c>
      <c r="AU44" s="326">
        <v>173</v>
      </c>
      <c r="AV44" s="326">
        <v>175</v>
      </c>
      <c r="AW44" s="326">
        <v>177</v>
      </c>
      <c r="AX44" s="326">
        <v>179</v>
      </c>
      <c r="AY44" s="326">
        <v>181</v>
      </c>
      <c r="AZ44" s="326">
        <v>184</v>
      </c>
      <c r="BA44" s="326">
        <v>187</v>
      </c>
      <c r="BB44" s="326">
        <v>190</v>
      </c>
      <c r="BC44" s="326">
        <v>193</v>
      </c>
      <c r="BD44" s="326">
        <v>196</v>
      </c>
      <c r="BE44" s="326">
        <v>200</v>
      </c>
      <c r="BF44" s="326">
        <v>204</v>
      </c>
      <c r="BG44" s="326">
        <v>208</v>
      </c>
      <c r="BH44" s="326">
        <v>212</v>
      </c>
      <c r="BI44" s="326">
        <v>216</v>
      </c>
      <c r="BJ44" s="326">
        <v>217</v>
      </c>
      <c r="BK44" s="326">
        <v>218</v>
      </c>
      <c r="BL44" s="326">
        <v>219</v>
      </c>
      <c r="BM44" s="326">
        <v>220</v>
      </c>
      <c r="BN44" s="326">
        <v>222</v>
      </c>
      <c r="BO44" s="326">
        <v>224</v>
      </c>
      <c r="BP44" s="326">
        <v>226</v>
      </c>
      <c r="BQ44" s="326">
        <v>228</v>
      </c>
      <c r="BR44" s="326">
        <v>231</v>
      </c>
      <c r="BS44" s="326">
        <v>234</v>
      </c>
      <c r="BT44" s="326">
        <v>235</v>
      </c>
      <c r="BU44" s="326">
        <v>236</v>
      </c>
      <c r="BV44" s="326">
        <v>237</v>
      </c>
      <c r="BW44" s="326">
        <v>238</v>
      </c>
      <c r="BX44" s="326">
        <v>240</v>
      </c>
      <c r="BY44" s="326">
        <v>242</v>
      </c>
      <c r="BZ44" s="326">
        <v>244</v>
      </c>
      <c r="CA44" s="326">
        <v>246</v>
      </c>
      <c r="CB44" s="326">
        <v>249</v>
      </c>
      <c r="CC44" s="326">
        <v>252</v>
      </c>
      <c r="CD44" s="326">
        <v>253</v>
      </c>
      <c r="CE44" s="326">
        <v>254</v>
      </c>
      <c r="CF44" s="326">
        <v>255</v>
      </c>
      <c r="CG44" s="326">
        <v>256</v>
      </c>
      <c r="CH44" s="326">
        <v>258</v>
      </c>
      <c r="CI44" s="326">
        <v>260</v>
      </c>
      <c r="CJ44" s="326">
        <v>262</v>
      </c>
      <c r="CK44" s="326">
        <v>264</v>
      </c>
      <c r="CL44" s="326">
        <v>267</v>
      </c>
      <c r="CM44" s="326">
        <v>270</v>
      </c>
      <c r="CN44" s="326">
        <v>271</v>
      </c>
      <c r="CO44" s="326">
        <v>272</v>
      </c>
      <c r="CP44" s="326">
        <v>273</v>
      </c>
      <c r="CQ44" s="326">
        <v>274</v>
      </c>
      <c r="CR44" s="326">
        <v>276</v>
      </c>
      <c r="CS44" s="326">
        <v>278</v>
      </c>
      <c r="CT44" s="326">
        <v>280</v>
      </c>
      <c r="CU44" s="326">
        <v>282</v>
      </c>
      <c r="CV44" s="326">
        <v>285</v>
      </c>
      <c r="CW44" s="266"/>
    </row>
    <row r="45" spans="1:101" ht="12.75" x14ac:dyDescent="0.2">
      <c r="A45" s="328"/>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8"/>
    </row>
    <row r="46" spans="1:101" ht="18" x14ac:dyDescent="0.25">
      <c r="A46" s="47" t="str">
        <f ca="1">语言!$A$37</f>
        <v>特蕾莎</v>
      </c>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c r="CH46" s="327"/>
      <c r="CI46" s="327"/>
      <c r="CJ46" s="327"/>
      <c r="CK46" s="327"/>
      <c r="CL46" s="327"/>
      <c r="CM46" s="327"/>
      <c r="CN46" s="327"/>
      <c r="CO46" s="327"/>
      <c r="CP46" s="327"/>
      <c r="CQ46" s="327"/>
      <c r="CR46" s="327"/>
      <c r="CS46" s="327"/>
      <c r="CT46" s="327"/>
      <c r="CU46" s="327"/>
      <c r="CV46" s="327"/>
      <c r="CW46" s="328"/>
    </row>
    <row r="47" spans="1:101" ht="12.75" x14ac:dyDescent="0.2">
      <c r="A47" s="50" t="str">
        <f ca="1">语言!$A$2297</f>
        <v>等级</v>
      </c>
      <c r="B47" s="329">
        <v>1</v>
      </c>
      <c r="C47" s="329">
        <v>2</v>
      </c>
      <c r="D47" s="329">
        <v>3</v>
      </c>
      <c r="E47" s="329">
        <v>4</v>
      </c>
      <c r="F47" s="329">
        <v>5</v>
      </c>
      <c r="G47" s="329">
        <v>6</v>
      </c>
      <c r="H47" s="329">
        <v>7</v>
      </c>
      <c r="I47" s="329">
        <v>8</v>
      </c>
      <c r="J47" s="329">
        <v>9</v>
      </c>
      <c r="K47" s="329">
        <v>10</v>
      </c>
      <c r="L47" s="329">
        <v>11</v>
      </c>
      <c r="M47" s="329">
        <v>12</v>
      </c>
      <c r="N47" s="329">
        <v>13</v>
      </c>
      <c r="O47" s="329">
        <v>14</v>
      </c>
      <c r="P47" s="329">
        <v>15</v>
      </c>
      <c r="Q47" s="329">
        <v>16</v>
      </c>
      <c r="R47" s="329">
        <v>17</v>
      </c>
      <c r="S47" s="329">
        <v>18</v>
      </c>
      <c r="T47" s="329">
        <v>19</v>
      </c>
      <c r="U47" s="329">
        <v>20</v>
      </c>
      <c r="V47" s="329">
        <v>21</v>
      </c>
      <c r="W47" s="329">
        <v>22</v>
      </c>
      <c r="X47" s="329">
        <v>23</v>
      </c>
      <c r="Y47" s="329">
        <v>24</v>
      </c>
      <c r="Z47" s="329">
        <v>25</v>
      </c>
      <c r="AA47" s="329">
        <v>26</v>
      </c>
      <c r="AB47" s="329">
        <v>27</v>
      </c>
      <c r="AC47" s="329">
        <v>28</v>
      </c>
      <c r="AD47" s="329">
        <v>29</v>
      </c>
      <c r="AE47" s="329">
        <v>30</v>
      </c>
      <c r="AF47" s="329">
        <v>31</v>
      </c>
      <c r="AG47" s="329">
        <v>32</v>
      </c>
      <c r="AH47" s="329">
        <v>33</v>
      </c>
      <c r="AI47" s="329">
        <v>34</v>
      </c>
      <c r="AJ47" s="329">
        <v>35</v>
      </c>
      <c r="AK47" s="329">
        <v>36</v>
      </c>
      <c r="AL47" s="329">
        <v>37</v>
      </c>
      <c r="AM47" s="329">
        <v>38</v>
      </c>
      <c r="AN47" s="329">
        <v>39</v>
      </c>
      <c r="AO47" s="329">
        <v>40</v>
      </c>
      <c r="AP47" s="329">
        <v>41</v>
      </c>
      <c r="AQ47" s="329">
        <v>42</v>
      </c>
      <c r="AR47" s="329">
        <v>43</v>
      </c>
      <c r="AS47" s="329">
        <v>44</v>
      </c>
      <c r="AT47" s="329">
        <v>45</v>
      </c>
      <c r="AU47" s="329">
        <v>46</v>
      </c>
      <c r="AV47" s="329">
        <v>47</v>
      </c>
      <c r="AW47" s="329">
        <v>48</v>
      </c>
      <c r="AX47" s="329">
        <v>49</v>
      </c>
      <c r="AY47" s="329">
        <v>50</v>
      </c>
      <c r="AZ47" s="329">
        <v>51</v>
      </c>
      <c r="BA47" s="329">
        <v>52</v>
      </c>
      <c r="BB47" s="329">
        <v>53</v>
      </c>
      <c r="BC47" s="329">
        <v>54</v>
      </c>
      <c r="BD47" s="329">
        <v>55</v>
      </c>
      <c r="BE47" s="329">
        <v>56</v>
      </c>
      <c r="BF47" s="329">
        <v>57</v>
      </c>
      <c r="BG47" s="329">
        <v>58</v>
      </c>
      <c r="BH47" s="329">
        <v>59</v>
      </c>
      <c r="BI47" s="329">
        <v>60</v>
      </c>
      <c r="BJ47" s="329">
        <v>61</v>
      </c>
      <c r="BK47" s="329">
        <v>62</v>
      </c>
      <c r="BL47" s="329">
        <v>63</v>
      </c>
      <c r="BM47" s="329">
        <v>64</v>
      </c>
      <c r="BN47" s="329">
        <v>65</v>
      </c>
      <c r="BO47" s="329">
        <v>66</v>
      </c>
      <c r="BP47" s="329">
        <v>67</v>
      </c>
      <c r="BQ47" s="329">
        <v>68</v>
      </c>
      <c r="BR47" s="329">
        <v>69</v>
      </c>
      <c r="BS47" s="329">
        <v>70</v>
      </c>
      <c r="BT47" s="329">
        <v>71</v>
      </c>
      <c r="BU47" s="329">
        <v>72</v>
      </c>
      <c r="BV47" s="329">
        <v>73</v>
      </c>
      <c r="BW47" s="329">
        <v>74</v>
      </c>
      <c r="BX47" s="329">
        <v>75</v>
      </c>
      <c r="BY47" s="329">
        <v>76</v>
      </c>
      <c r="BZ47" s="329">
        <v>77</v>
      </c>
      <c r="CA47" s="329">
        <v>78</v>
      </c>
      <c r="CB47" s="329">
        <v>79</v>
      </c>
      <c r="CC47" s="329">
        <v>80</v>
      </c>
      <c r="CD47" s="329">
        <v>81</v>
      </c>
      <c r="CE47" s="329">
        <v>82</v>
      </c>
      <c r="CF47" s="329">
        <v>83</v>
      </c>
      <c r="CG47" s="329">
        <v>84</v>
      </c>
      <c r="CH47" s="329">
        <v>85</v>
      </c>
      <c r="CI47" s="329">
        <v>86</v>
      </c>
      <c r="CJ47" s="329">
        <v>87</v>
      </c>
      <c r="CK47" s="329">
        <v>88</v>
      </c>
      <c r="CL47" s="329">
        <v>89</v>
      </c>
      <c r="CM47" s="329">
        <v>90</v>
      </c>
      <c r="CN47" s="329">
        <v>91</v>
      </c>
      <c r="CO47" s="329">
        <v>92</v>
      </c>
      <c r="CP47" s="329">
        <v>93</v>
      </c>
      <c r="CQ47" s="329">
        <v>94</v>
      </c>
      <c r="CR47" s="329">
        <v>95</v>
      </c>
      <c r="CS47" s="329">
        <v>96</v>
      </c>
      <c r="CT47" s="329">
        <v>97</v>
      </c>
      <c r="CU47" s="329">
        <v>98</v>
      </c>
      <c r="CV47" s="329">
        <v>99</v>
      </c>
      <c r="CW47" s="49"/>
    </row>
    <row r="48" spans="1:101" ht="12.75" x14ac:dyDescent="0.2">
      <c r="A48" s="323" t="str">
        <f ca="1">语言!$A$2298</f>
        <v>最大ＨＰ</v>
      </c>
      <c r="B48" s="325">
        <v>275</v>
      </c>
      <c r="C48" s="325">
        <v>287</v>
      </c>
      <c r="D48" s="325">
        <v>310</v>
      </c>
      <c r="E48" s="325">
        <v>345</v>
      </c>
      <c r="F48" s="325">
        <v>391</v>
      </c>
      <c r="G48" s="325">
        <v>448</v>
      </c>
      <c r="H48" s="325">
        <v>518</v>
      </c>
      <c r="I48" s="325">
        <v>529</v>
      </c>
      <c r="J48" s="325">
        <v>550</v>
      </c>
      <c r="K48" s="325">
        <v>580</v>
      </c>
      <c r="L48" s="325">
        <v>621</v>
      </c>
      <c r="M48" s="325">
        <v>672</v>
      </c>
      <c r="N48" s="325">
        <v>732</v>
      </c>
      <c r="O48" s="325">
        <v>803</v>
      </c>
      <c r="P48" s="325">
        <v>883</v>
      </c>
      <c r="Q48" s="325">
        <v>973</v>
      </c>
      <c r="R48" s="325">
        <v>1073</v>
      </c>
      <c r="S48" s="325">
        <v>1184</v>
      </c>
      <c r="T48" s="325">
        <v>1305</v>
      </c>
      <c r="U48" s="325">
        <v>1436</v>
      </c>
      <c r="V48" s="325">
        <v>1447</v>
      </c>
      <c r="W48" s="325">
        <v>1468</v>
      </c>
      <c r="X48" s="325">
        <v>1499</v>
      </c>
      <c r="Y48" s="325">
        <v>1540</v>
      </c>
      <c r="Z48" s="325">
        <v>1590</v>
      </c>
      <c r="AA48" s="325">
        <v>1651</v>
      </c>
      <c r="AB48" s="325">
        <v>1721</v>
      </c>
      <c r="AC48" s="325">
        <v>1801</v>
      </c>
      <c r="AD48" s="325">
        <v>1892</v>
      </c>
      <c r="AE48" s="325">
        <v>1992</v>
      </c>
      <c r="AF48" s="325">
        <v>2000</v>
      </c>
      <c r="AG48" s="325">
        <v>2018</v>
      </c>
      <c r="AH48" s="325">
        <v>2044</v>
      </c>
      <c r="AI48" s="325">
        <v>2080</v>
      </c>
      <c r="AJ48" s="325">
        <v>2123</v>
      </c>
      <c r="AK48" s="325">
        <v>2174</v>
      </c>
      <c r="AL48" s="325">
        <v>2235</v>
      </c>
      <c r="AM48" s="325">
        <v>2304</v>
      </c>
      <c r="AN48" s="325">
        <v>2382</v>
      </c>
      <c r="AO48" s="325">
        <v>2468</v>
      </c>
      <c r="AP48" s="325">
        <v>2472</v>
      </c>
      <c r="AQ48" s="325">
        <v>2481</v>
      </c>
      <c r="AR48" s="325">
        <v>2494</v>
      </c>
      <c r="AS48" s="325">
        <v>2512</v>
      </c>
      <c r="AT48" s="325">
        <v>2534</v>
      </c>
      <c r="AU48" s="325">
        <v>2560</v>
      </c>
      <c r="AV48" s="325">
        <v>2591</v>
      </c>
      <c r="AW48" s="325">
        <v>2626</v>
      </c>
      <c r="AX48" s="325">
        <v>2666</v>
      </c>
      <c r="AY48" s="325">
        <v>2709</v>
      </c>
      <c r="AZ48" s="325">
        <v>2756</v>
      </c>
      <c r="BA48" s="325">
        <v>2808</v>
      </c>
      <c r="BB48" s="325">
        <v>2864</v>
      </c>
      <c r="BC48" s="325">
        <v>2924</v>
      </c>
      <c r="BD48" s="325">
        <v>2989</v>
      </c>
      <c r="BE48" s="325">
        <v>3059</v>
      </c>
      <c r="BF48" s="325">
        <v>3132</v>
      </c>
      <c r="BG48" s="325">
        <v>3210</v>
      </c>
      <c r="BH48" s="325">
        <v>3293</v>
      </c>
      <c r="BI48" s="325">
        <v>3379</v>
      </c>
      <c r="BJ48" s="325">
        <v>3386</v>
      </c>
      <c r="BK48" s="325">
        <v>3401</v>
      </c>
      <c r="BL48" s="325">
        <v>3423</v>
      </c>
      <c r="BM48" s="325">
        <v>3451</v>
      </c>
      <c r="BN48" s="325">
        <v>3488</v>
      </c>
      <c r="BO48" s="325">
        <v>3531</v>
      </c>
      <c r="BP48" s="325">
        <v>3581</v>
      </c>
      <c r="BQ48" s="325">
        <v>3638</v>
      </c>
      <c r="BR48" s="325">
        <v>3703</v>
      </c>
      <c r="BS48" s="325">
        <v>3775</v>
      </c>
      <c r="BT48" s="325">
        <v>3782</v>
      </c>
      <c r="BU48" s="325">
        <v>3797</v>
      </c>
      <c r="BV48" s="325">
        <v>3819</v>
      </c>
      <c r="BW48" s="325">
        <v>3847</v>
      </c>
      <c r="BX48" s="325">
        <v>3884</v>
      </c>
      <c r="BY48" s="325">
        <v>3927</v>
      </c>
      <c r="BZ48" s="325">
        <v>3977</v>
      </c>
      <c r="CA48" s="325">
        <v>4034</v>
      </c>
      <c r="CB48" s="325">
        <v>4099</v>
      </c>
      <c r="CC48" s="325">
        <v>4171</v>
      </c>
      <c r="CD48" s="325">
        <v>4178</v>
      </c>
      <c r="CE48" s="325">
        <v>4193</v>
      </c>
      <c r="CF48" s="325">
        <v>4215</v>
      </c>
      <c r="CG48" s="325">
        <v>4243</v>
      </c>
      <c r="CH48" s="325">
        <v>4280</v>
      </c>
      <c r="CI48" s="325">
        <v>4323</v>
      </c>
      <c r="CJ48" s="325">
        <v>4373</v>
      </c>
      <c r="CK48" s="325">
        <v>4430</v>
      </c>
      <c r="CL48" s="325">
        <v>4495</v>
      </c>
      <c r="CM48" s="325">
        <v>4567</v>
      </c>
      <c r="CN48" s="325">
        <v>4574</v>
      </c>
      <c r="CO48" s="325">
        <v>4589</v>
      </c>
      <c r="CP48" s="325">
        <v>4611</v>
      </c>
      <c r="CQ48" s="325">
        <v>4639</v>
      </c>
      <c r="CR48" s="325">
        <v>4676</v>
      </c>
      <c r="CS48" s="325">
        <v>4719</v>
      </c>
      <c r="CT48" s="325">
        <v>4769</v>
      </c>
      <c r="CU48" s="325">
        <v>4826</v>
      </c>
      <c r="CV48" s="325">
        <v>4891</v>
      </c>
      <c r="CW48" s="272"/>
    </row>
    <row r="49" spans="1:101" ht="12.75" x14ac:dyDescent="0.2">
      <c r="A49" s="49" t="str">
        <f ca="1">语言!$A$2299</f>
        <v>最大ＳＰ</v>
      </c>
      <c r="B49" s="326">
        <v>50</v>
      </c>
      <c r="C49" s="326">
        <v>51</v>
      </c>
      <c r="D49" s="326">
        <v>52</v>
      </c>
      <c r="E49" s="326">
        <v>53</v>
      </c>
      <c r="F49" s="326">
        <v>54</v>
      </c>
      <c r="G49" s="326">
        <v>55</v>
      </c>
      <c r="H49" s="326">
        <v>57</v>
      </c>
      <c r="I49" s="326">
        <v>58</v>
      </c>
      <c r="J49" s="326">
        <v>59</v>
      </c>
      <c r="K49" s="326">
        <v>60</v>
      </c>
      <c r="L49" s="326">
        <v>61</v>
      </c>
      <c r="M49" s="326">
        <v>62</v>
      </c>
      <c r="N49" s="326">
        <v>64</v>
      </c>
      <c r="O49" s="326">
        <v>66</v>
      </c>
      <c r="P49" s="326">
        <v>68</v>
      </c>
      <c r="Q49" s="326">
        <v>70</v>
      </c>
      <c r="R49" s="326">
        <v>72</v>
      </c>
      <c r="S49" s="326">
        <v>74</v>
      </c>
      <c r="T49" s="326">
        <v>77</v>
      </c>
      <c r="U49" s="326">
        <v>80</v>
      </c>
      <c r="V49" s="326">
        <v>81</v>
      </c>
      <c r="W49" s="326">
        <v>82</v>
      </c>
      <c r="X49" s="326">
        <v>83</v>
      </c>
      <c r="Y49" s="326">
        <v>84</v>
      </c>
      <c r="Z49" s="326">
        <v>85</v>
      </c>
      <c r="AA49" s="326">
        <v>87</v>
      </c>
      <c r="AB49" s="326">
        <v>89</v>
      </c>
      <c r="AC49" s="326">
        <v>91</v>
      </c>
      <c r="AD49" s="326">
        <v>93</v>
      </c>
      <c r="AE49" s="326">
        <v>95</v>
      </c>
      <c r="AF49" s="326">
        <v>96</v>
      </c>
      <c r="AG49" s="326">
        <v>97</v>
      </c>
      <c r="AH49" s="326">
        <v>98</v>
      </c>
      <c r="AI49" s="326">
        <v>99</v>
      </c>
      <c r="AJ49" s="326">
        <v>100</v>
      </c>
      <c r="AK49" s="326">
        <v>101</v>
      </c>
      <c r="AL49" s="326">
        <v>103</v>
      </c>
      <c r="AM49" s="326">
        <v>105</v>
      </c>
      <c r="AN49" s="326">
        <v>107</v>
      </c>
      <c r="AO49" s="326">
        <v>109</v>
      </c>
      <c r="AP49" s="326">
        <v>110</v>
      </c>
      <c r="AQ49" s="326">
        <v>111</v>
      </c>
      <c r="AR49" s="326">
        <v>112</v>
      </c>
      <c r="AS49" s="326">
        <v>113</v>
      </c>
      <c r="AT49" s="326">
        <v>114</v>
      </c>
      <c r="AU49" s="326">
        <v>115</v>
      </c>
      <c r="AV49" s="326">
        <v>116</v>
      </c>
      <c r="AW49" s="326">
        <v>117</v>
      </c>
      <c r="AX49" s="326">
        <v>118</v>
      </c>
      <c r="AY49" s="326">
        <v>119</v>
      </c>
      <c r="AZ49" s="326">
        <v>120</v>
      </c>
      <c r="BA49" s="326">
        <v>121</v>
      </c>
      <c r="BB49" s="326">
        <v>122</v>
      </c>
      <c r="BC49" s="326">
        <v>124</v>
      </c>
      <c r="BD49" s="326">
        <v>126</v>
      </c>
      <c r="BE49" s="326">
        <v>128</v>
      </c>
      <c r="BF49" s="326">
        <v>130</v>
      </c>
      <c r="BG49" s="326">
        <v>132</v>
      </c>
      <c r="BH49" s="326">
        <v>134</v>
      </c>
      <c r="BI49" s="326">
        <v>136</v>
      </c>
      <c r="BJ49" s="326">
        <v>137</v>
      </c>
      <c r="BK49" s="326">
        <v>138</v>
      </c>
      <c r="BL49" s="326">
        <v>139</v>
      </c>
      <c r="BM49" s="326">
        <v>140</v>
      </c>
      <c r="BN49" s="326">
        <v>141</v>
      </c>
      <c r="BO49" s="326">
        <v>142</v>
      </c>
      <c r="BP49" s="326">
        <v>143</v>
      </c>
      <c r="BQ49" s="326">
        <v>144</v>
      </c>
      <c r="BR49" s="326">
        <v>146</v>
      </c>
      <c r="BS49" s="326">
        <v>148</v>
      </c>
      <c r="BT49" s="326">
        <v>149</v>
      </c>
      <c r="BU49" s="326">
        <v>150</v>
      </c>
      <c r="BV49" s="326">
        <v>151</v>
      </c>
      <c r="BW49" s="326">
        <v>152</v>
      </c>
      <c r="BX49" s="326">
        <v>153</v>
      </c>
      <c r="BY49" s="326">
        <v>154</v>
      </c>
      <c r="BZ49" s="326">
        <v>155</v>
      </c>
      <c r="CA49" s="326">
        <v>156</v>
      </c>
      <c r="CB49" s="326">
        <v>158</v>
      </c>
      <c r="CC49" s="326">
        <v>160</v>
      </c>
      <c r="CD49" s="326">
        <v>161</v>
      </c>
      <c r="CE49" s="326">
        <v>162</v>
      </c>
      <c r="CF49" s="326">
        <v>163</v>
      </c>
      <c r="CG49" s="326">
        <v>164</v>
      </c>
      <c r="CH49" s="326">
        <v>165</v>
      </c>
      <c r="CI49" s="326">
        <v>166</v>
      </c>
      <c r="CJ49" s="326">
        <v>167</v>
      </c>
      <c r="CK49" s="326">
        <v>168</v>
      </c>
      <c r="CL49" s="326">
        <v>170</v>
      </c>
      <c r="CM49" s="326">
        <v>172</v>
      </c>
      <c r="CN49" s="326">
        <v>173</v>
      </c>
      <c r="CO49" s="326">
        <v>174</v>
      </c>
      <c r="CP49" s="326">
        <v>175</v>
      </c>
      <c r="CQ49" s="326">
        <v>176</v>
      </c>
      <c r="CR49" s="326">
        <v>177</v>
      </c>
      <c r="CS49" s="326">
        <v>178</v>
      </c>
      <c r="CT49" s="326">
        <v>179</v>
      </c>
      <c r="CU49" s="326">
        <v>180</v>
      </c>
      <c r="CV49" s="326">
        <v>182</v>
      </c>
      <c r="CW49" s="266"/>
    </row>
    <row r="50" spans="1:101" ht="12.75" x14ac:dyDescent="0.2">
      <c r="A50" s="323" t="str">
        <f ca="1">语言!$A$2300</f>
        <v>物理攻击力</v>
      </c>
      <c r="B50" s="325">
        <v>88</v>
      </c>
      <c r="C50" s="325">
        <v>89</v>
      </c>
      <c r="D50" s="325">
        <v>90</v>
      </c>
      <c r="E50" s="325">
        <v>92</v>
      </c>
      <c r="F50" s="325">
        <v>94</v>
      </c>
      <c r="G50" s="325">
        <v>96</v>
      </c>
      <c r="H50" s="325">
        <v>100</v>
      </c>
      <c r="I50" s="325">
        <v>101</v>
      </c>
      <c r="J50" s="325">
        <v>102</v>
      </c>
      <c r="K50" s="325">
        <v>103</v>
      </c>
      <c r="L50" s="325">
        <v>105</v>
      </c>
      <c r="M50" s="325">
        <v>107</v>
      </c>
      <c r="N50" s="325">
        <v>110</v>
      </c>
      <c r="O50" s="325">
        <v>113</v>
      </c>
      <c r="P50" s="325">
        <v>116</v>
      </c>
      <c r="Q50" s="325">
        <v>119</v>
      </c>
      <c r="R50" s="325">
        <v>123</v>
      </c>
      <c r="S50" s="325">
        <v>127</v>
      </c>
      <c r="T50" s="325">
        <v>132</v>
      </c>
      <c r="U50" s="325">
        <v>136</v>
      </c>
      <c r="V50" s="325">
        <v>137</v>
      </c>
      <c r="W50" s="325">
        <v>138</v>
      </c>
      <c r="X50" s="325">
        <v>139</v>
      </c>
      <c r="Y50" s="325">
        <v>141</v>
      </c>
      <c r="Z50" s="325">
        <v>144</v>
      </c>
      <c r="AA50" s="325">
        <v>146</v>
      </c>
      <c r="AB50" s="325">
        <v>149</v>
      </c>
      <c r="AC50" s="325">
        <v>152</v>
      </c>
      <c r="AD50" s="325">
        <v>156</v>
      </c>
      <c r="AE50" s="325">
        <v>159</v>
      </c>
      <c r="AF50" s="325">
        <v>160</v>
      </c>
      <c r="AG50" s="325">
        <v>161</v>
      </c>
      <c r="AH50" s="325">
        <v>162</v>
      </c>
      <c r="AI50" s="325">
        <v>165</v>
      </c>
      <c r="AJ50" s="325">
        <v>167</v>
      </c>
      <c r="AK50" s="325">
        <v>169</v>
      </c>
      <c r="AL50" s="325">
        <v>172</v>
      </c>
      <c r="AM50" s="325">
        <v>176</v>
      </c>
      <c r="AN50" s="325">
        <v>179</v>
      </c>
      <c r="AO50" s="325">
        <v>182</v>
      </c>
      <c r="AP50" s="325">
        <v>183</v>
      </c>
      <c r="AQ50" s="325">
        <v>184</v>
      </c>
      <c r="AR50" s="325">
        <v>185</v>
      </c>
      <c r="AS50" s="325">
        <v>187</v>
      </c>
      <c r="AT50" s="325">
        <v>188</v>
      </c>
      <c r="AU50" s="325">
        <v>190</v>
      </c>
      <c r="AV50" s="325">
        <v>192</v>
      </c>
      <c r="AW50" s="325">
        <v>194</v>
      </c>
      <c r="AX50" s="325">
        <v>196</v>
      </c>
      <c r="AY50" s="325">
        <v>199</v>
      </c>
      <c r="AZ50" s="325">
        <v>202</v>
      </c>
      <c r="BA50" s="325">
        <v>205</v>
      </c>
      <c r="BB50" s="325">
        <v>209</v>
      </c>
      <c r="BC50" s="325">
        <v>212</v>
      </c>
      <c r="BD50" s="325">
        <v>215</v>
      </c>
      <c r="BE50" s="325">
        <v>220</v>
      </c>
      <c r="BF50" s="325">
        <v>224</v>
      </c>
      <c r="BG50" s="325">
        <v>228</v>
      </c>
      <c r="BH50" s="325">
        <v>233</v>
      </c>
      <c r="BI50" s="325">
        <v>237</v>
      </c>
      <c r="BJ50" s="325">
        <v>238</v>
      </c>
      <c r="BK50" s="325">
        <v>239</v>
      </c>
      <c r="BL50" s="325">
        <v>240</v>
      </c>
      <c r="BM50" s="325">
        <v>242</v>
      </c>
      <c r="BN50" s="325">
        <v>244</v>
      </c>
      <c r="BO50" s="325">
        <v>246</v>
      </c>
      <c r="BP50" s="325">
        <v>248</v>
      </c>
      <c r="BQ50" s="325">
        <v>250</v>
      </c>
      <c r="BR50" s="325">
        <v>254</v>
      </c>
      <c r="BS50" s="325">
        <v>257</v>
      </c>
      <c r="BT50" s="325">
        <v>258</v>
      </c>
      <c r="BU50" s="325">
        <v>259</v>
      </c>
      <c r="BV50" s="325">
        <v>260</v>
      </c>
      <c r="BW50" s="325">
        <v>261</v>
      </c>
      <c r="BX50" s="325">
        <v>264</v>
      </c>
      <c r="BY50" s="325">
        <v>266</v>
      </c>
      <c r="BZ50" s="325">
        <v>268</v>
      </c>
      <c r="CA50" s="325">
        <v>270</v>
      </c>
      <c r="CB50" s="325">
        <v>273</v>
      </c>
      <c r="CC50" s="325">
        <v>277</v>
      </c>
      <c r="CD50" s="325">
        <v>278</v>
      </c>
      <c r="CE50" s="325">
        <v>279</v>
      </c>
      <c r="CF50" s="325">
        <v>280</v>
      </c>
      <c r="CG50" s="325">
        <v>281</v>
      </c>
      <c r="CH50" s="325">
        <v>283</v>
      </c>
      <c r="CI50" s="325">
        <v>286</v>
      </c>
      <c r="CJ50" s="325">
        <v>288</v>
      </c>
      <c r="CK50" s="325">
        <v>290</v>
      </c>
      <c r="CL50" s="325">
        <v>293</v>
      </c>
      <c r="CM50" s="325">
        <v>297</v>
      </c>
      <c r="CN50" s="325">
        <v>298</v>
      </c>
      <c r="CO50" s="325">
        <v>299</v>
      </c>
      <c r="CP50" s="325">
        <v>300</v>
      </c>
      <c r="CQ50" s="325">
        <v>301</v>
      </c>
      <c r="CR50" s="325">
        <v>303</v>
      </c>
      <c r="CS50" s="325">
        <v>305</v>
      </c>
      <c r="CT50" s="325">
        <v>308</v>
      </c>
      <c r="CU50" s="325">
        <v>310</v>
      </c>
      <c r="CV50" s="325">
        <v>313</v>
      </c>
      <c r="CW50" s="272"/>
    </row>
    <row r="51" spans="1:101" ht="12.75" x14ac:dyDescent="0.2">
      <c r="A51" s="49" t="str">
        <f ca="1">语言!$A$2301</f>
        <v>属性攻击力</v>
      </c>
      <c r="B51" s="326">
        <v>88</v>
      </c>
      <c r="C51" s="326">
        <v>89</v>
      </c>
      <c r="D51" s="326">
        <v>90</v>
      </c>
      <c r="E51" s="326">
        <v>92</v>
      </c>
      <c r="F51" s="326">
        <v>94</v>
      </c>
      <c r="G51" s="326">
        <v>96</v>
      </c>
      <c r="H51" s="326">
        <v>100</v>
      </c>
      <c r="I51" s="326">
        <v>101</v>
      </c>
      <c r="J51" s="326">
        <v>102</v>
      </c>
      <c r="K51" s="326">
        <v>103</v>
      </c>
      <c r="L51" s="326">
        <v>105</v>
      </c>
      <c r="M51" s="326">
        <v>107</v>
      </c>
      <c r="N51" s="326">
        <v>110</v>
      </c>
      <c r="O51" s="326">
        <v>113</v>
      </c>
      <c r="P51" s="326">
        <v>116</v>
      </c>
      <c r="Q51" s="326">
        <v>119</v>
      </c>
      <c r="R51" s="326">
        <v>123</v>
      </c>
      <c r="S51" s="326">
        <v>127</v>
      </c>
      <c r="T51" s="326">
        <v>132</v>
      </c>
      <c r="U51" s="326">
        <v>136</v>
      </c>
      <c r="V51" s="326">
        <v>137</v>
      </c>
      <c r="W51" s="326">
        <v>138</v>
      </c>
      <c r="X51" s="326">
        <v>139</v>
      </c>
      <c r="Y51" s="326">
        <v>141</v>
      </c>
      <c r="Z51" s="326">
        <v>144</v>
      </c>
      <c r="AA51" s="326">
        <v>146</v>
      </c>
      <c r="AB51" s="326">
        <v>149</v>
      </c>
      <c r="AC51" s="326">
        <v>152</v>
      </c>
      <c r="AD51" s="326">
        <v>156</v>
      </c>
      <c r="AE51" s="326">
        <v>159</v>
      </c>
      <c r="AF51" s="326">
        <v>160</v>
      </c>
      <c r="AG51" s="326">
        <v>161</v>
      </c>
      <c r="AH51" s="326">
        <v>162</v>
      </c>
      <c r="AI51" s="326">
        <v>165</v>
      </c>
      <c r="AJ51" s="326">
        <v>167</v>
      </c>
      <c r="AK51" s="326">
        <v>169</v>
      </c>
      <c r="AL51" s="326">
        <v>172</v>
      </c>
      <c r="AM51" s="326">
        <v>176</v>
      </c>
      <c r="AN51" s="326">
        <v>179</v>
      </c>
      <c r="AO51" s="326">
        <v>182</v>
      </c>
      <c r="AP51" s="326">
        <v>183</v>
      </c>
      <c r="AQ51" s="326">
        <v>184</v>
      </c>
      <c r="AR51" s="326">
        <v>185</v>
      </c>
      <c r="AS51" s="326">
        <v>187</v>
      </c>
      <c r="AT51" s="326">
        <v>188</v>
      </c>
      <c r="AU51" s="326">
        <v>190</v>
      </c>
      <c r="AV51" s="326">
        <v>192</v>
      </c>
      <c r="AW51" s="326">
        <v>194</v>
      </c>
      <c r="AX51" s="326">
        <v>196</v>
      </c>
      <c r="AY51" s="326">
        <v>199</v>
      </c>
      <c r="AZ51" s="326">
        <v>202</v>
      </c>
      <c r="BA51" s="326">
        <v>205</v>
      </c>
      <c r="BB51" s="326">
        <v>209</v>
      </c>
      <c r="BC51" s="326">
        <v>212</v>
      </c>
      <c r="BD51" s="326">
        <v>215</v>
      </c>
      <c r="BE51" s="326">
        <v>220</v>
      </c>
      <c r="BF51" s="326">
        <v>224</v>
      </c>
      <c r="BG51" s="326">
        <v>228</v>
      </c>
      <c r="BH51" s="326">
        <v>233</v>
      </c>
      <c r="BI51" s="326">
        <v>237</v>
      </c>
      <c r="BJ51" s="326">
        <v>238</v>
      </c>
      <c r="BK51" s="326">
        <v>239</v>
      </c>
      <c r="BL51" s="326">
        <v>240</v>
      </c>
      <c r="BM51" s="326">
        <v>242</v>
      </c>
      <c r="BN51" s="326">
        <v>244</v>
      </c>
      <c r="BO51" s="326">
        <v>246</v>
      </c>
      <c r="BP51" s="326">
        <v>248</v>
      </c>
      <c r="BQ51" s="326">
        <v>250</v>
      </c>
      <c r="BR51" s="326">
        <v>254</v>
      </c>
      <c r="BS51" s="326">
        <v>257</v>
      </c>
      <c r="BT51" s="326">
        <v>258</v>
      </c>
      <c r="BU51" s="326">
        <v>259</v>
      </c>
      <c r="BV51" s="326">
        <v>260</v>
      </c>
      <c r="BW51" s="326">
        <v>261</v>
      </c>
      <c r="BX51" s="326">
        <v>264</v>
      </c>
      <c r="BY51" s="326">
        <v>266</v>
      </c>
      <c r="BZ51" s="326">
        <v>268</v>
      </c>
      <c r="CA51" s="326">
        <v>270</v>
      </c>
      <c r="CB51" s="326">
        <v>273</v>
      </c>
      <c r="CC51" s="326">
        <v>277</v>
      </c>
      <c r="CD51" s="326">
        <v>278</v>
      </c>
      <c r="CE51" s="326">
        <v>279</v>
      </c>
      <c r="CF51" s="326">
        <v>280</v>
      </c>
      <c r="CG51" s="326">
        <v>281</v>
      </c>
      <c r="CH51" s="326">
        <v>283</v>
      </c>
      <c r="CI51" s="326">
        <v>286</v>
      </c>
      <c r="CJ51" s="326">
        <v>288</v>
      </c>
      <c r="CK51" s="326">
        <v>290</v>
      </c>
      <c r="CL51" s="326">
        <v>293</v>
      </c>
      <c r="CM51" s="326">
        <v>297</v>
      </c>
      <c r="CN51" s="326">
        <v>298</v>
      </c>
      <c r="CO51" s="326">
        <v>299</v>
      </c>
      <c r="CP51" s="326">
        <v>300</v>
      </c>
      <c r="CQ51" s="326">
        <v>301</v>
      </c>
      <c r="CR51" s="326">
        <v>303</v>
      </c>
      <c r="CS51" s="326">
        <v>305</v>
      </c>
      <c r="CT51" s="326">
        <v>308</v>
      </c>
      <c r="CU51" s="326">
        <v>310</v>
      </c>
      <c r="CV51" s="326">
        <v>313</v>
      </c>
      <c r="CW51" s="266"/>
    </row>
    <row r="52" spans="1:101" ht="12.75" x14ac:dyDescent="0.2">
      <c r="A52" s="323" t="str">
        <f ca="1">语言!$A$2302</f>
        <v>物理防御力</v>
      </c>
      <c r="B52" s="325">
        <v>80</v>
      </c>
      <c r="C52" s="325">
        <v>81</v>
      </c>
      <c r="D52" s="325">
        <v>82</v>
      </c>
      <c r="E52" s="325">
        <v>84</v>
      </c>
      <c r="F52" s="325">
        <v>86</v>
      </c>
      <c r="G52" s="325">
        <v>88</v>
      </c>
      <c r="H52" s="325">
        <v>91</v>
      </c>
      <c r="I52" s="325">
        <v>92</v>
      </c>
      <c r="J52" s="325">
        <v>93</v>
      </c>
      <c r="K52" s="325">
        <v>94</v>
      </c>
      <c r="L52" s="325">
        <v>96</v>
      </c>
      <c r="M52" s="325">
        <v>98</v>
      </c>
      <c r="N52" s="325">
        <v>100</v>
      </c>
      <c r="O52" s="325">
        <v>103</v>
      </c>
      <c r="P52" s="325">
        <v>106</v>
      </c>
      <c r="Q52" s="325">
        <v>109</v>
      </c>
      <c r="R52" s="325">
        <v>112</v>
      </c>
      <c r="S52" s="325">
        <v>116</v>
      </c>
      <c r="T52" s="325">
        <v>120</v>
      </c>
      <c r="U52" s="325">
        <v>124</v>
      </c>
      <c r="V52" s="325">
        <v>125</v>
      </c>
      <c r="W52" s="325">
        <v>126</v>
      </c>
      <c r="X52" s="325">
        <v>127</v>
      </c>
      <c r="Y52" s="325">
        <v>129</v>
      </c>
      <c r="Z52" s="325">
        <v>131</v>
      </c>
      <c r="AA52" s="325">
        <v>133</v>
      </c>
      <c r="AB52" s="325">
        <v>136</v>
      </c>
      <c r="AC52" s="325">
        <v>139</v>
      </c>
      <c r="AD52" s="325">
        <v>142</v>
      </c>
      <c r="AE52" s="325">
        <v>145</v>
      </c>
      <c r="AF52" s="325">
        <v>146</v>
      </c>
      <c r="AG52" s="325">
        <v>147</v>
      </c>
      <c r="AH52" s="325">
        <v>148</v>
      </c>
      <c r="AI52" s="325">
        <v>150</v>
      </c>
      <c r="AJ52" s="325">
        <v>152</v>
      </c>
      <c r="AK52" s="325">
        <v>154</v>
      </c>
      <c r="AL52" s="325">
        <v>157</v>
      </c>
      <c r="AM52" s="325">
        <v>160</v>
      </c>
      <c r="AN52" s="325">
        <v>163</v>
      </c>
      <c r="AO52" s="325">
        <v>166</v>
      </c>
      <c r="AP52" s="325">
        <v>167</v>
      </c>
      <c r="AQ52" s="325">
        <v>168</v>
      </c>
      <c r="AR52" s="325">
        <v>169</v>
      </c>
      <c r="AS52" s="325">
        <v>170</v>
      </c>
      <c r="AT52" s="325">
        <v>171</v>
      </c>
      <c r="AU52" s="325">
        <v>173</v>
      </c>
      <c r="AV52" s="325">
        <v>175</v>
      </c>
      <c r="AW52" s="325">
        <v>177</v>
      </c>
      <c r="AX52" s="325">
        <v>179</v>
      </c>
      <c r="AY52" s="325">
        <v>181</v>
      </c>
      <c r="AZ52" s="325">
        <v>184</v>
      </c>
      <c r="BA52" s="325">
        <v>187</v>
      </c>
      <c r="BB52" s="325">
        <v>190</v>
      </c>
      <c r="BC52" s="325">
        <v>193</v>
      </c>
      <c r="BD52" s="325">
        <v>196</v>
      </c>
      <c r="BE52" s="325">
        <v>200</v>
      </c>
      <c r="BF52" s="325">
        <v>204</v>
      </c>
      <c r="BG52" s="325">
        <v>208</v>
      </c>
      <c r="BH52" s="325">
        <v>212</v>
      </c>
      <c r="BI52" s="325">
        <v>216</v>
      </c>
      <c r="BJ52" s="325">
        <v>217</v>
      </c>
      <c r="BK52" s="325">
        <v>218</v>
      </c>
      <c r="BL52" s="325">
        <v>219</v>
      </c>
      <c r="BM52" s="325">
        <v>220</v>
      </c>
      <c r="BN52" s="325">
        <v>222</v>
      </c>
      <c r="BO52" s="325">
        <v>224</v>
      </c>
      <c r="BP52" s="325">
        <v>226</v>
      </c>
      <c r="BQ52" s="325">
        <v>228</v>
      </c>
      <c r="BR52" s="325">
        <v>231</v>
      </c>
      <c r="BS52" s="325">
        <v>234</v>
      </c>
      <c r="BT52" s="325">
        <v>235</v>
      </c>
      <c r="BU52" s="325">
        <v>236</v>
      </c>
      <c r="BV52" s="325">
        <v>237</v>
      </c>
      <c r="BW52" s="325">
        <v>238</v>
      </c>
      <c r="BX52" s="325">
        <v>240</v>
      </c>
      <c r="BY52" s="325">
        <v>242</v>
      </c>
      <c r="BZ52" s="325">
        <v>244</v>
      </c>
      <c r="CA52" s="325">
        <v>246</v>
      </c>
      <c r="CB52" s="325">
        <v>249</v>
      </c>
      <c r="CC52" s="325">
        <v>252</v>
      </c>
      <c r="CD52" s="325">
        <v>253</v>
      </c>
      <c r="CE52" s="325">
        <v>254</v>
      </c>
      <c r="CF52" s="325">
        <v>255</v>
      </c>
      <c r="CG52" s="325">
        <v>256</v>
      </c>
      <c r="CH52" s="325">
        <v>258</v>
      </c>
      <c r="CI52" s="325">
        <v>260</v>
      </c>
      <c r="CJ52" s="325">
        <v>262</v>
      </c>
      <c r="CK52" s="325">
        <v>264</v>
      </c>
      <c r="CL52" s="325">
        <v>267</v>
      </c>
      <c r="CM52" s="325">
        <v>270</v>
      </c>
      <c r="CN52" s="325">
        <v>271</v>
      </c>
      <c r="CO52" s="325">
        <v>272</v>
      </c>
      <c r="CP52" s="325">
        <v>273</v>
      </c>
      <c r="CQ52" s="325">
        <v>274</v>
      </c>
      <c r="CR52" s="325">
        <v>276</v>
      </c>
      <c r="CS52" s="325">
        <v>278</v>
      </c>
      <c r="CT52" s="325">
        <v>280</v>
      </c>
      <c r="CU52" s="325">
        <v>282</v>
      </c>
      <c r="CV52" s="325">
        <v>285</v>
      </c>
      <c r="CW52" s="272"/>
    </row>
    <row r="53" spans="1:101" ht="12.75" x14ac:dyDescent="0.2">
      <c r="A53" s="49" t="str">
        <f ca="1">语言!$A$2303</f>
        <v>属性防御力</v>
      </c>
      <c r="B53" s="326">
        <v>80</v>
      </c>
      <c r="C53" s="326">
        <v>81</v>
      </c>
      <c r="D53" s="326">
        <v>82</v>
      </c>
      <c r="E53" s="326">
        <v>84</v>
      </c>
      <c r="F53" s="326">
        <v>86</v>
      </c>
      <c r="G53" s="326">
        <v>88</v>
      </c>
      <c r="H53" s="326">
        <v>91</v>
      </c>
      <c r="I53" s="326">
        <v>92</v>
      </c>
      <c r="J53" s="326">
        <v>93</v>
      </c>
      <c r="K53" s="326">
        <v>94</v>
      </c>
      <c r="L53" s="326">
        <v>96</v>
      </c>
      <c r="M53" s="326">
        <v>98</v>
      </c>
      <c r="N53" s="326">
        <v>100</v>
      </c>
      <c r="O53" s="326">
        <v>103</v>
      </c>
      <c r="P53" s="326">
        <v>106</v>
      </c>
      <c r="Q53" s="326">
        <v>109</v>
      </c>
      <c r="R53" s="326">
        <v>112</v>
      </c>
      <c r="S53" s="326">
        <v>116</v>
      </c>
      <c r="T53" s="326">
        <v>120</v>
      </c>
      <c r="U53" s="326">
        <v>124</v>
      </c>
      <c r="V53" s="326">
        <v>125</v>
      </c>
      <c r="W53" s="326">
        <v>126</v>
      </c>
      <c r="X53" s="326">
        <v>127</v>
      </c>
      <c r="Y53" s="326">
        <v>129</v>
      </c>
      <c r="Z53" s="326">
        <v>131</v>
      </c>
      <c r="AA53" s="326">
        <v>133</v>
      </c>
      <c r="AB53" s="326">
        <v>136</v>
      </c>
      <c r="AC53" s="326">
        <v>139</v>
      </c>
      <c r="AD53" s="326">
        <v>142</v>
      </c>
      <c r="AE53" s="326">
        <v>145</v>
      </c>
      <c r="AF53" s="326">
        <v>146</v>
      </c>
      <c r="AG53" s="326">
        <v>147</v>
      </c>
      <c r="AH53" s="326">
        <v>148</v>
      </c>
      <c r="AI53" s="326">
        <v>150</v>
      </c>
      <c r="AJ53" s="326">
        <v>152</v>
      </c>
      <c r="AK53" s="326">
        <v>154</v>
      </c>
      <c r="AL53" s="326">
        <v>157</v>
      </c>
      <c r="AM53" s="326">
        <v>160</v>
      </c>
      <c r="AN53" s="326">
        <v>163</v>
      </c>
      <c r="AO53" s="326">
        <v>166</v>
      </c>
      <c r="AP53" s="326">
        <v>167</v>
      </c>
      <c r="AQ53" s="326">
        <v>168</v>
      </c>
      <c r="AR53" s="326">
        <v>169</v>
      </c>
      <c r="AS53" s="326">
        <v>170</v>
      </c>
      <c r="AT53" s="326">
        <v>171</v>
      </c>
      <c r="AU53" s="326">
        <v>173</v>
      </c>
      <c r="AV53" s="326">
        <v>175</v>
      </c>
      <c r="AW53" s="326">
        <v>177</v>
      </c>
      <c r="AX53" s="326">
        <v>179</v>
      </c>
      <c r="AY53" s="326">
        <v>181</v>
      </c>
      <c r="AZ53" s="326">
        <v>184</v>
      </c>
      <c r="BA53" s="326">
        <v>187</v>
      </c>
      <c r="BB53" s="326">
        <v>190</v>
      </c>
      <c r="BC53" s="326">
        <v>193</v>
      </c>
      <c r="BD53" s="326">
        <v>196</v>
      </c>
      <c r="BE53" s="326">
        <v>200</v>
      </c>
      <c r="BF53" s="326">
        <v>204</v>
      </c>
      <c r="BG53" s="326">
        <v>208</v>
      </c>
      <c r="BH53" s="326">
        <v>212</v>
      </c>
      <c r="BI53" s="326">
        <v>216</v>
      </c>
      <c r="BJ53" s="326">
        <v>217</v>
      </c>
      <c r="BK53" s="326">
        <v>218</v>
      </c>
      <c r="BL53" s="326">
        <v>219</v>
      </c>
      <c r="BM53" s="326">
        <v>220</v>
      </c>
      <c r="BN53" s="326">
        <v>222</v>
      </c>
      <c r="BO53" s="326">
        <v>224</v>
      </c>
      <c r="BP53" s="326">
        <v>226</v>
      </c>
      <c r="BQ53" s="326">
        <v>228</v>
      </c>
      <c r="BR53" s="326">
        <v>231</v>
      </c>
      <c r="BS53" s="326">
        <v>234</v>
      </c>
      <c r="BT53" s="326">
        <v>235</v>
      </c>
      <c r="BU53" s="326">
        <v>236</v>
      </c>
      <c r="BV53" s="326">
        <v>237</v>
      </c>
      <c r="BW53" s="326">
        <v>238</v>
      </c>
      <c r="BX53" s="326">
        <v>240</v>
      </c>
      <c r="BY53" s="326">
        <v>242</v>
      </c>
      <c r="BZ53" s="326">
        <v>244</v>
      </c>
      <c r="CA53" s="326">
        <v>246</v>
      </c>
      <c r="CB53" s="326">
        <v>249</v>
      </c>
      <c r="CC53" s="326">
        <v>252</v>
      </c>
      <c r="CD53" s="326">
        <v>253</v>
      </c>
      <c r="CE53" s="326">
        <v>254</v>
      </c>
      <c r="CF53" s="326">
        <v>255</v>
      </c>
      <c r="CG53" s="326">
        <v>256</v>
      </c>
      <c r="CH53" s="326">
        <v>258</v>
      </c>
      <c r="CI53" s="326">
        <v>260</v>
      </c>
      <c r="CJ53" s="326">
        <v>262</v>
      </c>
      <c r="CK53" s="326">
        <v>264</v>
      </c>
      <c r="CL53" s="326">
        <v>267</v>
      </c>
      <c r="CM53" s="326">
        <v>270</v>
      </c>
      <c r="CN53" s="326">
        <v>271</v>
      </c>
      <c r="CO53" s="326">
        <v>272</v>
      </c>
      <c r="CP53" s="326">
        <v>273</v>
      </c>
      <c r="CQ53" s="326">
        <v>274</v>
      </c>
      <c r="CR53" s="326">
        <v>276</v>
      </c>
      <c r="CS53" s="326">
        <v>278</v>
      </c>
      <c r="CT53" s="326">
        <v>280</v>
      </c>
      <c r="CU53" s="326">
        <v>282</v>
      </c>
      <c r="CV53" s="326">
        <v>285</v>
      </c>
      <c r="CW53" s="266"/>
    </row>
    <row r="54" spans="1:101" ht="12.75" x14ac:dyDescent="0.2">
      <c r="A54" s="323" t="str">
        <f ca="1">语言!$A$2304</f>
        <v>命中</v>
      </c>
      <c r="B54" s="325">
        <v>80</v>
      </c>
      <c r="C54" s="325">
        <v>81</v>
      </c>
      <c r="D54" s="325">
        <v>82</v>
      </c>
      <c r="E54" s="325">
        <v>84</v>
      </c>
      <c r="F54" s="325">
        <v>86</v>
      </c>
      <c r="G54" s="325">
        <v>88</v>
      </c>
      <c r="H54" s="325">
        <v>91</v>
      </c>
      <c r="I54" s="325">
        <v>92</v>
      </c>
      <c r="J54" s="325">
        <v>93</v>
      </c>
      <c r="K54" s="325">
        <v>94</v>
      </c>
      <c r="L54" s="325">
        <v>96</v>
      </c>
      <c r="M54" s="325">
        <v>98</v>
      </c>
      <c r="N54" s="325">
        <v>100</v>
      </c>
      <c r="O54" s="325">
        <v>103</v>
      </c>
      <c r="P54" s="325">
        <v>106</v>
      </c>
      <c r="Q54" s="325">
        <v>109</v>
      </c>
      <c r="R54" s="325">
        <v>112</v>
      </c>
      <c r="S54" s="325">
        <v>116</v>
      </c>
      <c r="T54" s="325">
        <v>120</v>
      </c>
      <c r="U54" s="325">
        <v>124</v>
      </c>
      <c r="V54" s="325">
        <v>125</v>
      </c>
      <c r="W54" s="325">
        <v>126</v>
      </c>
      <c r="X54" s="325">
        <v>127</v>
      </c>
      <c r="Y54" s="325">
        <v>129</v>
      </c>
      <c r="Z54" s="325">
        <v>131</v>
      </c>
      <c r="AA54" s="325">
        <v>133</v>
      </c>
      <c r="AB54" s="325">
        <v>136</v>
      </c>
      <c r="AC54" s="325">
        <v>139</v>
      </c>
      <c r="AD54" s="325">
        <v>142</v>
      </c>
      <c r="AE54" s="325">
        <v>145</v>
      </c>
      <c r="AF54" s="325">
        <v>146</v>
      </c>
      <c r="AG54" s="325">
        <v>147</v>
      </c>
      <c r="AH54" s="325">
        <v>148</v>
      </c>
      <c r="AI54" s="325">
        <v>150</v>
      </c>
      <c r="AJ54" s="325">
        <v>152</v>
      </c>
      <c r="AK54" s="325">
        <v>154</v>
      </c>
      <c r="AL54" s="325">
        <v>157</v>
      </c>
      <c r="AM54" s="325">
        <v>160</v>
      </c>
      <c r="AN54" s="325">
        <v>163</v>
      </c>
      <c r="AO54" s="325">
        <v>166</v>
      </c>
      <c r="AP54" s="325">
        <v>167</v>
      </c>
      <c r="AQ54" s="325">
        <v>168</v>
      </c>
      <c r="AR54" s="325">
        <v>169</v>
      </c>
      <c r="AS54" s="325">
        <v>170</v>
      </c>
      <c r="AT54" s="325">
        <v>171</v>
      </c>
      <c r="AU54" s="325">
        <v>173</v>
      </c>
      <c r="AV54" s="325">
        <v>175</v>
      </c>
      <c r="AW54" s="325">
        <v>177</v>
      </c>
      <c r="AX54" s="325">
        <v>179</v>
      </c>
      <c r="AY54" s="325">
        <v>181</v>
      </c>
      <c r="AZ54" s="325">
        <v>184</v>
      </c>
      <c r="BA54" s="325">
        <v>187</v>
      </c>
      <c r="BB54" s="325">
        <v>190</v>
      </c>
      <c r="BC54" s="325">
        <v>193</v>
      </c>
      <c r="BD54" s="325">
        <v>196</v>
      </c>
      <c r="BE54" s="325">
        <v>200</v>
      </c>
      <c r="BF54" s="325">
        <v>204</v>
      </c>
      <c r="BG54" s="325">
        <v>208</v>
      </c>
      <c r="BH54" s="325">
        <v>212</v>
      </c>
      <c r="BI54" s="325">
        <v>216</v>
      </c>
      <c r="BJ54" s="325">
        <v>217</v>
      </c>
      <c r="BK54" s="325">
        <v>218</v>
      </c>
      <c r="BL54" s="325">
        <v>219</v>
      </c>
      <c r="BM54" s="325">
        <v>220</v>
      </c>
      <c r="BN54" s="325">
        <v>222</v>
      </c>
      <c r="BO54" s="325">
        <v>224</v>
      </c>
      <c r="BP54" s="325">
        <v>226</v>
      </c>
      <c r="BQ54" s="325">
        <v>228</v>
      </c>
      <c r="BR54" s="325">
        <v>231</v>
      </c>
      <c r="BS54" s="325">
        <v>234</v>
      </c>
      <c r="BT54" s="325">
        <v>235</v>
      </c>
      <c r="BU54" s="325">
        <v>236</v>
      </c>
      <c r="BV54" s="325">
        <v>237</v>
      </c>
      <c r="BW54" s="325">
        <v>238</v>
      </c>
      <c r="BX54" s="325">
        <v>240</v>
      </c>
      <c r="BY54" s="325">
        <v>242</v>
      </c>
      <c r="BZ54" s="325">
        <v>244</v>
      </c>
      <c r="CA54" s="325">
        <v>246</v>
      </c>
      <c r="CB54" s="325">
        <v>249</v>
      </c>
      <c r="CC54" s="325">
        <v>252</v>
      </c>
      <c r="CD54" s="325">
        <v>253</v>
      </c>
      <c r="CE54" s="325">
        <v>254</v>
      </c>
      <c r="CF54" s="325">
        <v>255</v>
      </c>
      <c r="CG54" s="325">
        <v>256</v>
      </c>
      <c r="CH54" s="325">
        <v>258</v>
      </c>
      <c r="CI54" s="325">
        <v>260</v>
      </c>
      <c r="CJ54" s="325">
        <v>262</v>
      </c>
      <c r="CK54" s="325">
        <v>264</v>
      </c>
      <c r="CL54" s="325">
        <v>267</v>
      </c>
      <c r="CM54" s="325">
        <v>270</v>
      </c>
      <c r="CN54" s="325">
        <v>271</v>
      </c>
      <c r="CO54" s="325">
        <v>272</v>
      </c>
      <c r="CP54" s="325">
        <v>273</v>
      </c>
      <c r="CQ54" s="325">
        <v>274</v>
      </c>
      <c r="CR54" s="325">
        <v>276</v>
      </c>
      <c r="CS54" s="325">
        <v>278</v>
      </c>
      <c r="CT54" s="325">
        <v>280</v>
      </c>
      <c r="CU54" s="325">
        <v>282</v>
      </c>
      <c r="CV54" s="325">
        <v>285</v>
      </c>
      <c r="CW54" s="272"/>
    </row>
    <row r="55" spans="1:101" ht="12.75" x14ac:dyDescent="0.2">
      <c r="A55" s="49" t="str">
        <f ca="1">语言!$A$2305</f>
        <v>行动速度</v>
      </c>
      <c r="B55" s="326">
        <v>72</v>
      </c>
      <c r="C55" s="326">
        <v>72</v>
      </c>
      <c r="D55" s="326">
        <v>73</v>
      </c>
      <c r="E55" s="326">
        <v>75</v>
      </c>
      <c r="F55" s="326">
        <v>77</v>
      </c>
      <c r="G55" s="326">
        <v>79</v>
      </c>
      <c r="H55" s="326">
        <v>81</v>
      </c>
      <c r="I55" s="326">
        <v>82</v>
      </c>
      <c r="J55" s="326">
        <v>83</v>
      </c>
      <c r="K55" s="326">
        <v>84</v>
      </c>
      <c r="L55" s="326">
        <v>86</v>
      </c>
      <c r="M55" s="326">
        <v>88</v>
      </c>
      <c r="N55" s="326">
        <v>90</v>
      </c>
      <c r="O55" s="326">
        <v>92</v>
      </c>
      <c r="P55" s="326">
        <v>95</v>
      </c>
      <c r="Q55" s="326">
        <v>98</v>
      </c>
      <c r="R55" s="326">
        <v>100</v>
      </c>
      <c r="S55" s="326">
        <v>104</v>
      </c>
      <c r="T55" s="326">
        <v>108</v>
      </c>
      <c r="U55" s="326">
        <v>111</v>
      </c>
      <c r="V55" s="326">
        <v>112</v>
      </c>
      <c r="W55" s="326">
        <v>113</v>
      </c>
      <c r="X55" s="326">
        <v>114</v>
      </c>
      <c r="Y55" s="326">
        <v>116</v>
      </c>
      <c r="Z55" s="326">
        <v>117</v>
      </c>
      <c r="AA55" s="326">
        <v>119</v>
      </c>
      <c r="AB55" s="326">
        <v>122</v>
      </c>
      <c r="AC55" s="326">
        <v>125</v>
      </c>
      <c r="AD55" s="326">
        <v>127</v>
      </c>
      <c r="AE55" s="326">
        <v>130</v>
      </c>
      <c r="AF55" s="326">
        <v>131</v>
      </c>
      <c r="AG55" s="326">
        <v>132</v>
      </c>
      <c r="AH55" s="326">
        <v>133</v>
      </c>
      <c r="AI55" s="326">
        <v>135</v>
      </c>
      <c r="AJ55" s="326">
        <v>136</v>
      </c>
      <c r="AK55" s="326">
        <v>138</v>
      </c>
      <c r="AL55" s="326">
        <v>141</v>
      </c>
      <c r="AM55" s="326">
        <v>144</v>
      </c>
      <c r="AN55" s="326">
        <v>146</v>
      </c>
      <c r="AO55" s="326">
        <v>149</v>
      </c>
      <c r="AP55" s="326">
        <v>150</v>
      </c>
      <c r="AQ55" s="326">
        <v>151</v>
      </c>
      <c r="AR55" s="326">
        <v>152</v>
      </c>
      <c r="AS55" s="326">
        <v>153</v>
      </c>
      <c r="AT55" s="326">
        <v>153</v>
      </c>
      <c r="AU55" s="326">
        <v>155</v>
      </c>
      <c r="AV55" s="326">
        <v>157</v>
      </c>
      <c r="AW55" s="326">
        <v>159</v>
      </c>
      <c r="AX55" s="326">
        <v>161</v>
      </c>
      <c r="AY55" s="326">
        <v>162</v>
      </c>
      <c r="AZ55" s="326">
        <v>165</v>
      </c>
      <c r="BA55" s="326">
        <v>168</v>
      </c>
      <c r="BB55" s="326">
        <v>171</v>
      </c>
      <c r="BC55" s="326">
        <v>173</v>
      </c>
      <c r="BD55" s="326">
        <v>176</v>
      </c>
      <c r="BE55" s="326">
        <v>180</v>
      </c>
      <c r="BF55" s="326">
        <v>183</v>
      </c>
      <c r="BG55" s="326">
        <v>187</v>
      </c>
      <c r="BH55" s="326">
        <v>190</v>
      </c>
      <c r="BI55" s="326">
        <v>194</v>
      </c>
      <c r="BJ55" s="326">
        <v>195</v>
      </c>
      <c r="BK55" s="326">
        <v>196</v>
      </c>
      <c r="BL55" s="326">
        <v>197</v>
      </c>
      <c r="BM55" s="326">
        <v>198</v>
      </c>
      <c r="BN55" s="326">
        <v>199</v>
      </c>
      <c r="BO55" s="326">
        <v>201</v>
      </c>
      <c r="BP55" s="326">
        <v>203</v>
      </c>
      <c r="BQ55" s="326">
        <v>205</v>
      </c>
      <c r="BR55" s="326">
        <v>207</v>
      </c>
      <c r="BS55" s="326">
        <v>210</v>
      </c>
      <c r="BT55" s="326">
        <v>211</v>
      </c>
      <c r="BU55" s="326">
        <v>212</v>
      </c>
      <c r="BV55" s="326">
        <v>213</v>
      </c>
      <c r="BW55" s="326">
        <v>214</v>
      </c>
      <c r="BX55" s="326">
        <v>216</v>
      </c>
      <c r="BY55" s="326">
        <v>217</v>
      </c>
      <c r="BZ55" s="326">
        <v>219</v>
      </c>
      <c r="CA55" s="326">
        <v>221</v>
      </c>
      <c r="CB55" s="326">
        <v>224</v>
      </c>
      <c r="CC55" s="326">
        <v>226</v>
      </c>
      <c r="CD55" s="326">
        <v>227</v>
      </c>
      <c r="CE55" s="326">
        <v>228</v>
      </c>
      <c r="CF55" s="326">
        <v>229</v>
      </c>
      <c r="CG55" s="326">
        <v>230</v>
      </c>
      <c r="CH55" s="326">
        <v>232</v>
      </c>
      <c r="CI55" s="326">
        <v>234</v>
      </c>
      <c r="CJ55" s="326">
        <v>235</v>
      </c>
      <c r="CK55" s="326">
        <v>237</v>
      </c>
      <c r="CL55" s="326">
        <v>240</v>
      </c>
      <c r="CM55" s="326">
        <v>243</v>
      </c>
      <c r="CN55" s="326">
        <v>243</v>
      </c>
      <c r="CO55" s="326">
        <v>244</v>
      </c>
      <c r="CP55" s="326">
        <v>245</v>
      </c>
      <c r="CQ55" s="326">
        <v>246</v>
      </c>
      <c r="CR55" s="326">
        <v>248</v>
      </c>
      <c r="CS55" s="326">
        <v>250</v>
      </c>
      <c r="CT55" s="326">
        <v>252</v>
      </c>
      <c r="CU55" s="326">
        <v>253</v>
      </c>
      <c r="CV55" s="326">
        <v>256</v>
      </c>
      <c r="CW55" s="266"/>
    </row>
    <row r="56" spans="1:101" ht="12.75" x14ac:dyDescent="0.2">
      <c r="A56" s="323" t="str">
        <f ca="1">语言!$A$2306</f>
        <v>暴击</v>
      </c>
      <c r="B56" s="325">
        <v>72</v>
      </c>
      <c r="C56" s="325">
        <v>72</v>
      </c>
      <c r="D56" s="325">
        <v>73</v>
      </c>
      <c r="E56" s="325">
        <v>75</v>
      </c>
      <c r="F56" s="325">
        <v>77</v>
      </c>
      <c r="G56" s="325">
        <v>79</v>
      </c>
      <c r="H56" s="325">
        <v>81</v>
      </c>
      <c r="I56" s="325">
        <v>82</v>
      </c>
      <c r="J56" s="325">
        <v>83</v>
      </c>
      <c r="K56" s="325">
        <v>84</v>
      </c>
      <c r="L56" s="325">
        <v>86</v>
      </c>
      <c r="M56" s="325">
        <v>88</v>
      </c>
      <c r="N56" s="325">
        <v>90</v>
      </c>
      <c r="O56" s="325">
        <v>92</v>
      </c>
      <c r="P56" s="325">
        <v>95</v>
      </c>
      <c r="Q56" s="325">
        <v>98</v>
      </c>
      <c r="R56" s="325">
        <v>100</v>
      </c>
      <c r="S56" s="325">
        <v>104</v>
      </c>
      <c r="T56" s="325">
        <v>108</v>
      </c>
      <c r="U56" s="325">
        <v>111</v>
      </c>
      <c r="V56" s="325">
        <v>112</v>
      </c>
      <c r="W56" s="325">
        <v>113</v>
      </c>
      <c r="X56" s="325">
        <v>114</v>
      </c>
      <c r="Y56" s="325">
        <v>116</v>
      </c>
      <c r="Z56" s="325">
        <v>117</v>
      </c>
      <c r="AA56" s="325">
        <v>119</v>
      </c>
      <c r="AB56" s="325">
        <v>122</v>
      </c>
      <c r="AC56" s="325">
        <v>125</v>
      </c>
      <c r="AD56" s="325">
        <v>127</v>
      </c>
      <c r="AE56" s="325">
        <v>130</v>
      </c>
      <c r="AF56" s="325">
        <v>131</v>
      </c>
      <c r="AG56" s="325">
        <v>132</v>
      </c>
      <c r="AH56" s="325">
        <v>133</v>
      </c>
      <c r="AI56" s="325">
        <v>135</v>
      </c>
      <c r="AJ56" s="325">
        <v>136</v>
      </c>
      <c r="AK56" s="325">
        <v>138</v>
      </c>
      <c r="AL56" s="325">
        <v>141</v>
      </c>
      <c r="AM56" s="325">
        <v>144</v>
      </c>
      <c r="AN56" s="325">
        <v>146</v>
      </c>
      <c r="AO56" s="325">
        <v>149</v>
      </c>
      <c r="AP56" s="325">
        <v>150</v>
      </c>
      <c r="AQ56" s="325">
        <v>151</v>
      </c>
      <c r="AR56" s="325">
        <v>152</v>
      </c>
      <c r="AS56" s="325">
        <v>153</v>
      </c>
      <c r="AT56" s="325">
        <v>153</v>
      </c>
      <c r="AU56" s="325">
        <v>155</v>
      </c>
      <c r="AV56" s="325">
        <v>157</v>
      </c>
      <c r="AW56" s="325">
        <v>159</v>
      </c>
      <c r="AX56" s="325">
        <v>161</v>
      </c>
      <c r="AY56" s="325">
        <v>162</v>
      </c>
      <c r="AZ56" s="325">
        <v>165</v>
      </c>
      <c r="BA56" s="325">
        <v>168</v>
      </c>
      <c r="BB56" s="325">
        <v>171</v>
      </c>
      <c r="BC56" s="325">
        <v>173</v>
      </c>
      <c r="BD56" s="325">
        <v>176</v>
      </c>
      <c r="BE56" s="325">
        <v>180</v>
      </c>
      <c r="BF56" s="325">
        <v>183</v>
      </c>
      <c r="BG56" s="325">
        <v>187</v>
      </c>
      <c r="BH56" s="325">
        <v>190</v>
      </c>
      <c r="BI56" s="325">
        <v>194</v>
      </c>
      <c r="BJ56" s="325">
        <v>195</v>
      </c>
      <c r="BK56" s="325">
        <v>196</v>
      </c>
      <c r="BL56" s="325">
        <v>197</v>
      </c>
      <c r="BM56" s="325">
        <v>198</v>
      </c>
      <c r="BN56" s="325">
        <v>199</v>
      </c>
      <c r="BO56" s="325">
        <v>201</v>
      </c>
      <c r="BP56" s="325">
        <v>203</v>
      </c>
      <c r="BQ56" s="325">
        <v>205</v>
      </c>
      <c r="BR56" s="325">
        <v>207</v>
      </c>
      <c r="BS56" s="325">
        <v>210</v>
      </c>
      <c r="BT56" s="325">
        <v>211</v>
      </c>
      <c r="BU56" s="325">
        <v>212</v>
      </c>
      <c r="BV56" s="325">
        <v>213</v>
      </c>
      <c r="BW56" s="325">
        <v>214</v>
      </c>
      <c r="BX56" s="325">
        <v>216</v>
      </c>
      <c r="BY56" s="325">
        <v>217</v>
      </c>
      <c r="BZ56" s="325">
        <v>219</v>
      </c>
      <c r="CA56" s="325">
        <v>221</v>
      </c>
      <c r="CB56" s="325">
        <v>224</v>
      </c>
      <c r="CC56" s="325">
        <v>226</v>
      </c>
      <c r="CD56" s="325">
        <v>227</v>
      </c>
      <c r="CE56" s="325">
        <v>228</v>
      </c>
      <c r="CF56" s="325">
        <v>229</v>
      </c>
      <c r="CG56" s="325">
        <v>230</v>
      </c>
      <c r="CH56" s="325">
        <v>232</v>
      </c>
      <c r="CI56" s="325">
        <v>234</v>
      </c>
      <c r="CJ56" s="325">
        <v>235</v>
      </c>
      <c r="CK56" s="325">
        <v>237</v>
      </c>
      <c r="CL56" s="325">
        <v>240</v>
      </c>
      <c r="CM56" s="325">
        <v>243</v>
      </c>
      <c r="CN56" s="325">
        <v>243</v>
      </c>
      <c r="CO56" s="325">
        <v>244</v>
      </c>
      <c r="CP56" s="325">
        <v>245</v>
      </c>
      <c r="CQ56" s="325">
        <v>246</v>
      </c>
      <c r="CR56" s="325">
        <v>248</v>
      </c>
      <c r="CS56" s="325">
        <v>250</v>
      </c>
      <c r="CT56" s="325">
        <v>252</v>
      </c>
      <c r="CU56" s="325">
        <v>253</v>
      </c>
      <c r="CV56" s="325">
        <v>256</v>
      </c>
      <c r="CW56" s="272"/>
    </row>
    <row r="57" spans="1:101" ht="12.75" x14ac:dyDescent="0.2">
      <c r="A57" s="49" t="str">
        <f ca="1">语言!$A$2307</f>
        <v>回避</v>
      </c>
      <c r="B57" s="326">
        <v>72</v>
      </c>
      <c r="C57" s="326">
        <v>72</v>
      </c>
      <c r="D57" s="326">
        <v>73</v>
      </c>
      <c r="E57" s="326">
        <v>75</v>
      </c>
      <c r="F57" s="326">
        <v>77</v>
      </c>
      <c r="G57" s="326">
        <v>79</v>
      </c>
      <c r="H57" s="326">
        <v>81</v>
      </c>
      <c r="I57" s="326">
        <v>82</v>
      </c>
      <c r="J57" s="326">
        <v>83</v>
      </c>
      <c r="K57" s="326">
        <v>84</v>
      </c>
      <c r="L57" s="326">
        <v>86</v>
      </c>
      <c r="M57" s="326">
        <v>88</v>
      </c>
      <c r="N57" s="326">
        <v>90</v>
      </c>
      <c r="O57" s="326">
        <v>92</v>
      </c>
      <c r="P57" s="326">
        <v>95</v>
      </c>
      <c r="Q57" s="326">
        <v>98</v>
      </c>
      <c r="R57" s="326">
        <v>100</v>
      </c>
      <c r="S57" s="326">
        <v>104</v>
      </c>
      <c r="T57" s="326">
        <v>108</v>
      </c>
      <c r="U57" s="326">
        <v>111</v>
      </c>
      <c r="V57" s="326">
        <v>112</v>
      </c>
      <c r="W57" s="326">
        <v>113</v>
      </c>
      <c r="X57" s="326">
        <v>114</v>
      </c>
      <c r="Y57" s="326">
        <v>116</v>
      </c>
      <c r="Z57" s="326">
        <v>117</v>
      </c>
      <c r="AA57" s="326">
        <v>119</v>
      </c>
      <c r="AB57" s="326">
        <v>122</v>
      </c>
      <c r="AC57" s="326">
        <v>125</v>
      </c>
      <c r="AD57" s="326">
        <v>127</v>
      </c>
      <c r="AE57" s="326">
        <v>130</v>
      </c>
      <c r="AF57" s="326">
        <v>131</v>
      </c>
      <c r="AG57" s="326">
        <v>132</v>
      </c>
      <c r="AH57" s="326">
        <v>133</v>
      </c>
      <c r="AI57" s="326">
        <v>135</v>
      </c>
      <c r="AJ57" s="326">
        <v>136</v>
      </c>
      <c r="AK57" s="326">
        <v>138</v>
      </c>
      <c r="AL57" s="326">
        <v>141</v>
      </c>
      <c r="AM57" s="326">
        <v>144</v>
      </c>
      <c r="AN57" s="326">
        <v>146</v>
      </c>
      <c r="AO57" s="326">
        <v>149</v>
      </c>
      <c r="AP57" s="326">
        <v>150</v>
      </c>
      <c r="AQ57" s="326">
        <v>151</v>
      </c>
      <c r="AR57" s="326">
        <v>152</v>
      </c>
      <c r="AS57" s="326">
        <v>153</v>
      </c>
      <c r="AT57" s="326">
        <v>153</v>
      </c>
      <c r="AU57" s="326">
        <v>155</v>
      </c>
      <c r="AV57" s="326">
        <v>157</v>
      </c>
      <c r="AW57" s="326">
        <v>159</v>
      </c>
      <c r="AX57" s="326">
        <v>161</v>
      </c>
      <c r="AY57" s="326">
        <v>162</v>
      </c>
      <c r="AZ57" s="326">
        <v>165</v>
      </c>
      <c r="BA57" s="326">
        <v>168</v>
      </c>
      <c r="BB57" s="326">
        <v>171</v>
      </c>
      <c r="BC57" s="326">
        <v>173</v>
      </c>
      <c r="BD57" s="326">
        <v>176</v>
      </c>
      <c r="BE57" s="326">
        <v>180</v>
      </c>
      <c r="BF57" s="326">
        <v>183</v>
      </c>
      <c r="BG57" s="326">
        <v>187</v>
      </c>
      <c r="BH57" s="326">
        <v>190</v>
      </c>
      <c r="BI57" s="326">
        <v>194</v>
      </c>
      <c r="BJ57" s="326">
        <v>195</v>
      </c>
      <c r="BK57" s="326">
        <v>196</v>
      </c>
      <c r="BL57" s="326">
        <v>197</v>
      </c>
      <c r="BM57" s="326">
        <v>198</v>
      </c>
      <c r="BN57" s="326">
        <v>199</v>
      </c>
      <c r="BO57" s="326">
        <v>201</v>
      </c>
      <c r="BP57" s="326">
        <v>203</v>
      </c>
      <c r="BQ57" s="326">
        <v>205</v>
      </c>
      <c r="BR57" s="326">
        <v>207</v>
      </c>
      <c r="BS57" s="326">
        <v>210</v>
      </c>
      <c r="BT57" s="326">
        <v>211</v>
      </c>
      <c r="BU57" s="326">
        <v>212</v>
      </c>
      <c r="BV57" s="326">
        <v>213</v>
      </c>
      <c r="BW57" s="326">
        <v>214</v>
      </c>
      <c r="BX57" s="326">
        <v>216</v>
      </c>
      <c r="BY57" s="326">
        <v>217</v>
      </c>
      <c r="BZ57" s="326">
        <v>219</v>
      </c>
      <c r="CA57" s="326">
        <v>221</v>
      </c>
      <c r="CB57" s="326">
        <v>224</v>
      </c>
      <c r="CC57" s="326">
        <v>226</v>
      </c>
      <c r="CD57" s="326">
        <v>227</v>
      </c>
      <c r="CE57" s="326">
        <v>228</v>
      </c>
      <c r="CF57" s="326">
        <v>229</v>
      </c>
      <c r="CG57" s="326">
        <v>230</v>
      </c>
      <c r="CH57" s="326">
        <v>232</v>
      </c>
      <c r="CI57" s="326">
        <v>234</v>
      </c>
      <c r="CJ57" s="326">
        <v>235</v>
      </c>
      <c r="CK57" s="326">
        <v>237</v>
      </c>
      <c r="CL57" s="326">
        <v>240</v>
      </c>
      <c r="CM57" s="326">
        <v>243</v>
      </c>
      <c r="CN57" s="326">
        <v>243</v>
      </c>
      <c r="CO57" s="326">
        <v>244</v>
      </c>
      <c r="CP57" s="326">
        <v>245</v>
      </c>
      <c r="CQ57" s="326">
        <v>246</v>
      </c>
      <c r="CR57" s="326">
        <v>248</v>
      </c>
      <c r="CS57" s="326">
        <v>250</v>
      </c>
      <c r="CT57" s="326">
        <v>252</v>
      </c>
      <c r="CU57" s="326">
        <v>253</v>
      </c>
      <c r="CV57" s="326">
        <v>256</v>
      </c>
      <c r="CW57" s="266"/>
    </row>
    <row r="58" spans="1:101" ht="12.75" x14ac:dyDescent="0.2">
      <c r="A58" s="328"/>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c r="CH58" s="327"/>
      <c r="CI58" s="327"/>
      <c r="CJ58" s="327"/>
      <c r="CK58" s="327"/>
      <c r="CL58" s="327"/>
      <c r="CM58" s="327"/>
      <c r="CN58" s="327"/>
      <c r="CO58" s="327"/>
      <c r="CP58" s="327"/>
      <c r="CQ58" s="327"/>
      <c r="CR58" s="327"/>
      <c r="CS58" s="327"/>
      <c r="CT58" s="327"/>
      <c r="CU58" s="327"/>
      <c r="CV58" s="327"/>
      <c r="CW58" s="328"/>
    </row>
    <row r="59" spans="1:101" ht="18" x14ac:dyDescent="0.25">
      <c r="A59" s="47" t="str">
        <f ca="1">语言!$A$38</f>
        <v>欧尔贝克</v>
      </c>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7"/>
      <c r="BZ59" s="327"/>
      <c r="CA59" s="327"/>
      <c r="CB59" s="327"/>
      <c r="CC59" s="327"/>
      <c r="CD59" s="327"/>
      <c r="CE59" s="327"/>
      <c r="CF59" s="327"/>
      <c r="CG59" s="327"/>
      <c r="CH59" s="327"/>
      <c r="CI59" s="327"/>
      <c r="CJ59" s="327"/>
      <c r="CK59" s="327"/>
      <c r="CL59" s="327"/>
      <c r="CM59" s="327"/>
      <c r="CN59" s="327"/>
      <c r="CO59" s="327"/>
      <c r="CP59" s="327"/>
      <c r="CQ59" s="327"/>
      <c r="CR59" s="327"/>
      <c r="CS59" s="327"/>
      <c r="CT59" s="327"/>
      <c r="CU59" s="327"/>
      <c r="CV59" s="327"/>
      <c r="CW59" s="328"/>
    </row>
    <row r="60" spans="1:101" ht="12.75" x14ac:dyDescent="0.2">
      <c r="A60" s="50" t="str">
        <f ca="1">语言!$A$2297</f>
        <v>等级</v>
      </c>
      <c r="B60" s="329">
        <v>1</v>
      </c>
      <c r="C60" s="329">
        <v>2</v>
      </c>
      <c r="D60" s="329">
        <v>3</v>
      </c>
      <c r="E60" s="329">
        <v>4</v>
      </c>
      <c r="F60" s="329">
        <v>5</v>
      </c>
      <c r="G60" s="329">
        <v>6</v>
      </c>
      <c r="H60" s="329">
        <v>7</v>
      </c>
      <c r="I60" s="329">
        <v>8</v>
      </c>
      <c r="J60" s="329">
        <v>9</v>
      </c>
      <c r="K60" s="329">
        <v>10</v>
      </c>
      <c r="L60" s="329">
        <v>11</v>
      </c>
      <c r="M60" s="329">
        <v>12</v>
      </c>
      <c r="N60" s="329">
        <v>13</v>
      </c>
      <c r="O60" s="329">
        <v>14</v>
      </c>
      <c r="P60" s="329">
        <v>15</v>
      </c>
      <c r="Q60" s="329">
        <v>16</v>
      </c>
      <c r="R60" s="329">
        <v>17</v>
      </c>
      <c r="S60" s="329">
        <v>18</v>
      </c>
      <c r="T60" s="329">
        <v>19</v>
      </c>
      <c r="U60" s="329">
        <v>20</v>
      </c>
      <c r="V60" s="329">
        <v>21</v>
      </c>
      <c r="W60" s="329">
        <v>22</v>
      </c>
      <c r="X60" s="329">
        <v>23</v>
      </c>
      <c r="Y60" s="329">
        <v>24</v>
      </c>
      <c r="Z60" s="329">
        <v>25</v>
      </c>
      <c r="AA60" s="329">
        <v>26</v>
      </c>
      <c r="AB60" s="329">
        <v>27</v>
      </c>
      <c r="AC60" s="329">
        <v>28</v>
      </c>
      <c r="AD60" s="329">
        <v>29</v>
      </c>
      <c r="AE60" s="329">
        <v>30</v>
      </c>
      <c r="AF60" s="329">
        <v>31</v>
      </c>
      <c r="AG60" s="329">
        <v>32</v>
      </c>
      <c r="AH60" s="329">
        <v>33</v>
      </c>
      <c r="AI60" s="329">
        <v>34</v>
      </c>
      <c r="AJ60" s="329">
        <v>35</v>
      </c>
      <c r="AK60" s="329">
        <v>36</v>
      </c>
      <c r="AL60" s="329">
        <v>37</v>
      </c>
      <c r="AM60" s="329">
        <v>38</v>
      </c>
      <c r="AN60" s="329">
        <v>39</v>
      </c>
      <c r="AO60" s="329">
        <v>40</v>
      </c>
      <c r="AP60" s="329">
        <v>41</v>
      </c>
      <c r="AQ60" s="329">
        <v>42</v>
      </c>
      <c r="AR60" s="329">
        <v>43</v>
      </c>
      <c r="AS60" s="329">
        <v>44</v>
      </c>
      <c r="AT60" s="329">
        <v>45</v>
      </c>
      <c r="AU60" s="329">
        <v>46</v>
      </c>
      <c r="AV60" s="329">
        <v>47</v>
      </c>
      <c r="AW60" s="329">
        <v>48</v>
      </c>
      <c r="AX60" s="329">
        <v>49</v>
      </c>
      <c r="AY60" s="329">
        <v>50</v>
      </c>
      <c r="AZ60" s="329">
        <v>51</v>
      </c>
      <c r="BA60" s="329">
        <v>52</v>
      </c>
      <c r="BB60" s="329">
        <v>53</v>
      </c>
      <c r="BC60" s="329">
        <v>54</v>
      </c>
      <c r="BD60" s="329">
        <v>55</v>
      </c>
      <c r="BE60" s="329">
        <v>56</v>
      </c>
      <c r="BF60" s="329">
        <v>57</v>
      </c>
      <c r="BG60" s="329">
        <v>58</v>
      </c>
      <c r="BH60" s="329">
        <v>59</v>
      </c>
      <c r="BI60" s="329">
        <v>60</v>
      </c>
      <c r="BJ60" s="329">
        <v>61</v>
      </c>
      <c r="BK60" s="329">
        <v>62</v>
      </c>
      <c r="BL60" s="329">
        <v>63</v>
      </c>
      <c r="BM60" s="329">
        <v>64</v>
      </c>
      <c r="BN60" s="329">
        <v>65</v>
      </c>
      <c r="BO60" s="329">
        <v>66</v>
      </c>
      <c r="BP60" s="329">
        <v>67</v>
      </c>
      <c r="BQ60" s="329">
        <v>68</v>
      </c>
      <c r="BR60" s="329">
        <v>69</v>
      </c>
      <c r="BS60" s="329">
        <v>70</v>
      </c>
      <c r="BT60" s="329">
        <v>71</v>
      </c>
      <c r="BU60" s="329">
        <v>72</v>
      </c>
      <c r="BV60" s="329">
        <v>73</v>
      </c>
      <c r="BW60" s="329">
        <v>74</v>
      </c>
      <c r="BX60" s="329">
        <v>75</v>
      </c>
      <c r="BY60" s="329">
        <v>76</v>
      </c>
      <c r="BZ60" s="329">
        <v>77</v>
      </c>
      <c r="CA60" s="329">
        <v>78</v>
      </c>
      <c r="CB60" s="329">
        <v>79</v>
      </c>
      <c r="CC60" s="329">
        <v>80</v>
      </c>
      <c r="CD60" s="329">
        <v>81</v>
      </c>
      <c r="CE60" s="329">
        <v>82</v>
      </c>
      <c r="CF60" s="329">
        <v>83</v>
      </c>
      <c r="CG60" s="329">
        <v>84</v>
      </c>
      <c r="CH60" s="329">
        <v>85</v>
      </c>
      <c r="CI60" s="329">
        <v>86</v>
      </c>
      <c r="CJ60" s="329">
        <v>87</v>
      </c>
      <c r="CK60" s="329">
        <v>88</v>
      </c>
      <c r="CL60" s="329">
        <v>89</v>
      </c>
      <c r="CM60" s="329">
        <v>90</v>
      </c>
      <c r="CN60" s="329">
        <v>91</v>
      </c>
      <c r="CO60" s="329">
        <v>92</v>
      </c>
      <c r="CP60" s="329">
        <v>93</v>
      </c>
      <c r="CQ60" s="329">
        <v>94</v>
      </c>
      <c r="CR60" s="329">
        <v>95</v>
      </c>
      <c r="CS60" s="329">
        <v>96</v>
      </c>
      <c r="CT60" s="329">
        <v>97</v>
      </c>
      <c r="CU60" s="329">
        <v>98</v>
      </c>
      <c r="CV60" s="329">
        <v>99</v>
      </c>
      <c r="CW60" s="49"/>
    </row>
    <row r="61" spans="1:101" ht="12.75" x14ac:dyDescent="0.2">
      <c r="A61" s="323" t="str">
        <f ca="1">语言!$A$2298</f>
        <v>最大ＨＰ</v>
      </c>
      <c r="B61" s="325">
        <v>325</v>
      </c>
      <c r="C61" s="325">
        <v>339</v>
      </c>
      <c r="D61" s="325">
        <v>366</v>
      </c>
      <c r="E61" s="325">
        <v>408</v>
      </c>
      <c r="F61" s="325">
        <v>462</v>
      </c>
      <c r="G61" s="325">
        <v>530</v>
      </c>
      <c r="H61" s="325">
        <v>612</v>
      </c>
      <c r="I61" s="325">
        <v>625</v>
      </c>
      <c r="J61" s="325">
        <v>650</v>
      </c>
      <c r="K61" s="325">
        <v>686</v>
      </c>
      <c r="L61" s="325">
        <v>734</v>
      </c>
      <c r="M61" s="325">
        <v>794</v>
      </c>
      <c r="N61" s="325">
        <v>865</v>
      </c>
      <c r="O61" s="325">
        <v>949</v>
      </c>
      <c r="P61" s="325">
        <v>1043</v>
      </c>
      <c r="Q61" s="325">
        <v>1150</v>
      </c>
      <c r="R61" s="325">
        <v>1268</v>
      </c>
      <c r="S61" s="325">
        <v>1400</v>
      </c>
      <c r="T61" s="325">
        <v>1543</v>
      </c>
      <c r="U61" s="325">
        <v>1697</v>
      </c>
      <c r="V61" s="325">
        <v>1710</v>
      </c>
      <c r="W61" s="325">
        <v>1735</v>
      </c>
      <c r="X61" s="325">
        <v>1771</v>
      </c>
      <c r="Y61" s="325">
        <v>1820</v>
      </c>
      <c r="Z61" s="325">
        <v>1879</v>
      </c>
      <c r="AA61" s="325">
        <v>1951</v>
      </c>
      <c r="AB61" s="325">
        <v>2034</v>
      </c>
      <c r="AC61" s="325">
        <v>2129</v>
      </c>
      <c r="AD61" s="325">
        <v>2235</v>
      </c>
      <c r="AE61" s="325">
        <v>2354</v>
      </c>
      <c r="AF61" s="325">
        <v>2364</v>
      </c>
      <c r="AG61" s="325">
        <v>2385</v>
      </c>
      <c r="AH61" s="325">
        <v>2416</v>
      </c>
      <c r="AI61" s="325">
        <v>2458</v>
      </c>
      <c r="AJ61" s="325">
        <v>2509</v>
      </c>
      <c r="AK61" s="325">
        <v>2570</v>
      </c>
      <c r="AL61" s="325">
        <v>2641</v>
      </c>
      <c r="AM61" s="325">
        <v>2723</v>
      </c>
      <c r="AN61" s="325">
        <v>2815</v>
      </c>
      <c r="AO61" s="325">
        <v>2917</v>
      </c>
      <c r="AP61" s="325">
        <v>2922</v>
      </c>
      <c r="AQ61" s="325">
        <v>2932</v>
      </c>
      <c r="AR61" s="325">
        <v>2948</v>
      </c>
      <c r="AS61" s="325">
        <v>2969</v>
      </c>
      <c r="AT61" s="325">
        <v>2995</v>
      </c>
      <c r="AU61" s="325">
        <v>3026</v>
      </c>
      <c r="AV61" s="325">
        <v>3062</v>
      </c>
      <c r="AW61" s="325">
        <v>3104</v>
      </c>
      <c r="AX61" s="325">
        <v>3151</v>
      </c>
      <c r="AY61" s="325">
        <v>3201</v>
      </c>
      <c r="AZ61" s="325">
        <v>3257</v>
      </c>
      <c r="BA61" s="325">
        <v>3318</v>
      </c>
      <c r="BB61" s="325">
        <v>3385</v>
      </c>
      <c r="BC61" s="325">
        <v>3456</v>
      </c>
      <c r="BD61" s="325">
        <v>3533</v>
      </c>
      <c r="BE61" s="325">
        <v>3615</v>
      </c>
      <c r="BF61" s="325">
        <v>3702</v>
      </c>
      <c r="BG61" s="325">
        <v>3794</v>
      </c>
      <c r="BH61" s="325">
        <v>3892</v>
      </c>
      <c r="BI61" s="325">
        <v>3993</v>
      </c>
      <c r="BJ61" s="325">
        <v>4002</v>
      </c>
      <c r="BK61" s="325">
        <v>4019</v>
      </c>
      <c r="BL61" s="325">
        <v>4045</v>
      </c>
      <c r="BM61" s="325">
        <v>4079</v>
      </c>
      <c r="BN61" s="325">
        <v>4122</v>
      </c>
      <c r="BO61" s="325">
        <v>4173</v>
      </c>
      <c r="BP61" s="325">
        <v>4232</v>
      </c>
      <c r="BQ61" s="325">
        <v>4300</v>
      </c>
      <c r="BR61" s="325">
        <v>4377</v>
      </c>
      <c r="BS61" s="325">
        <v>4461</v>
      </c>
      <c r="BT61" s="325">
        <v>4470</v>
      </c>
      <c r="BU61" s="325">
        <v>4487</v>
      </c>
      <c r="BV61" s="325">
        <v>4513</v>
      </c>
      <c r="BW61" s="325">
        <v>4547</v>
      </c>
      <c r="BX61" s="325">
        <v>4590</v>
      </c>
      <c r="BY61" s="325">
        <v>4641</v>
      </c>
      <c r="BZ61" s="325">
        <v>4700</v>
      </c>
      <c r="CA61" s="325">
        <v>4768</v>
      </c>
      <c r="CB61" s="325">
        <v>4845</v>
      </c>
      <c r="CC61" s="325">
        <v>4929</v>
      </c>
      <c r="CD61" s="325">
        <v>4938</v>
      </c>
      <c r="CE61" s="325">
        <v>4955</v>
      </c>
      <c r="CF61" s="325">
        <v>4981</v>
      </c>
      <c r="CG61" s="325">
        <v>5015</v>
      </c>
      <c r="CH61" s="325">
        <v>5058</v>
      </c>
      <c r="CI61" s="325">
        <v>5109</v>
      </c>
      <c r="CJ61" s="325">
        <v>5168</v>
      </c>
      <c r="CK61" s="325">
        <v>5236</v>
      </c>
      <c r="CL61" s="325">
        <v>5313</v>
      </c>
      <c r="CM61" s="325">
        <v>5397</v>
      </c>
      <c r="CN61" s="325">
        <v>5406</v>
      </c>
      <c r="CO61" s="325">
        <v>5423</v>
      </c>
      <c r="CP61" s="325">
        <v>5449</v>
      </c>
      <c r="CQ61" s="325">
        <v>5483</v>
      </c>
      <c r="CR61" s="325">
        <v>5526</v>
      </c>
      <c r="CS61" s="325">
        <v>5577</v>
      </c>
      <c r="CT61" s="325">
        <v>5636</v>
      </c>
      <c r="CU61" s="325">
        <v>5704</v>
      </c>
      <c r="CV61" s="325">
        <v>5781</v>
      </c>
      <c r="CW61" s="272"/>
    </row>
    <row r="62" spans="1:101" ht="12.75" x14ac:dyDescent="0.2">
      <c r="A62" s="49" t="str">
        <f ca="1">语言!$A$2299</f>
        <v>最大ＳＰ</v>
      </c>
      <c r="B62" s="326">
        <v>40</v>
      </c>
      <c r="C62" s="326">
        <v>40</v>
      </c>
      <c r="D62" s="326">
        <v>41</v>
      </c>
      <c r="E62" s="326">
        <v>42</v>
      </c>
      <c r="F62" s="326">
        <v>43</v>
      </c>
      <c r="G62" s="326">
        <v>44</v>
      </c>
      <c r="H62" s="326">
        <v>45</v>
      </c>
      <c r="I62" s="326">
        <v>46</v>
      </c>
      <c r="J62" s="326">
        <v>47</v>
      </c>
      <c r="K62" s="326">
        <v>48</v>
      </c>
      <c r="L62" s="326">
        <v>48</v>
      </c>
      <c r="M62" s="326">
        <v>49</v>
      </c>
      <c r="N62" s="326">
        <v>51</v>
      </c>
      <c r="O62" s="326">
        <v>52</v>
      </c>
      <c r="P62" s="326">
        <v>54</v>
      </c>
      <c r="Q62" s="326">
        <v>56</v>
      </c>
      <c r="R62" s="326">
        <v>57</v>
      </c>
      <c r="S62" s="326">
        <v>59</v>
      </c>
      <c r="T62" s="326">
        <v>61</v>
      </c>
      <c r="U62" s="326">
        <v>64</v>
      </c>
      <c r="V62" s="326">
        <v>64</v>
      </c>
      <c r="W62" s="326">
        <v>65</v>
      </c>
      <c r="X62" s="326">
        <v>66</v>
      </c>
      <c r="Y62" s="326">
        <v>67</v>
      </c>
      <c r="Z62" s="326">
        <v>68</v>
      </c>
      <c r="AA62" s="326">
        <v>69</v>
      </c>
      <c r="AB62" s="326">
        <v>71</v>
      </c>
      <c r="AC62" s="326">
        <v>72</v>
      </c>
      <c r="AD62" s="326">
        <v>74</v>
      </c>
      <c r="AE62" s="326">
        <v>76</v>
      </c>
      <c r="AF62" s="326">
        <v>76</v>
      </c>
      <c r="AG62" s="326">
        <v>77</v>
      </c>
      <c r="AH62" s="326">
        <v>78</v>
      </c>
      <c r="AI62" s="326">
        <v>79</v>
      </c>
      <c r="AJ62" s="326">
        <v>80</v>
      </c>
      <c r="AK62" s="326">
        <v>80</v>
      </c>
      <c r="AL62" s="326">
        <v>82</v>
      </c>
      <c r="AM62" s="326">
        <v>84</v>
      </c>
      <c r="AN62" s="326">
        <v>85</v>
      </c>
      <c r="AO62" s="326">
        <v>87</v>
      </c>
      <c r="AP62" s="326">
        <v>88</v>
      </c>
      <c r="AQ62" s="326">
        <v>88</v>
      </c>
      <c r="AR62" s="326">
        <v>89</v>
      </c>
      <c r="AS62" s="326">
        <v>90</v>
      </c>
      <c r="AT62" s="326">
        <v>91</v>
      </c>
      <c r="AU62" s="326">
        <v>92</v>
      </c>
      <c r="AV62" s="326">
        <v>92</v>
      </c>
      <c r="AW62" s="326">
        <v>93</v>
      </c>
      <c r="AX62" s="326">
        <v>94</v>
      </c>
      <c r="AY62" s="326">
        <v>95</v>
      </c>
      <c r="AZ62" s="326">
        <v>96</v>
      </c>
      <c r="BA62" s="326">
        <v>96</v>
      </c>
      <c r="BB62" s="326">
        <v>97</v>
      </c>
      <c r="BC62" s="326">
        <v>99</v>
      </c>
      <c r="BD62" s="326">
        <v>100</v>
      </c>
      <c r="BE62" s="326">
        <v>102</v>
      </c>
      <c r="BF62" s="326">
        <v>104</v>
      </c>
      <c r="BG62" s="326">
        <v>105</v>
      </c>
      <c r="BH62" s="326">
        <v>107</v>
      </c>
      <c r="BI62" s="326">
        <v>108</v>
      </c>
      <c r="BJ62" s="326">
        <v>109</v>
      </c>
      <c r="BK62" s="326">
        <v>110</v>
      </c>
      <c r="BL62" s="326">
        <v>111</v>
      </c>
      <c r="BM62" s="326">
        <v>112</v>
      </c>
      <c r="BN62" s="326">
        <v>112</v>
      </c>
      <c r="BO62" s="326">
        <v>113</v>
      </c>
      <c r="BP62" s="326">
        <v>114</v>
      </c>
      <c r="BQ62" s="326">
        <v>115</v>
      </c>
      <c r="BR62" s="326">
        <v>116</v>
      </c>
      <c r="BS62" s="326">
        <v>118</v>
      </c>
      <c r="BT62" s="326">
        <v>119</v>
      </c>
      <c r="BU62" s="326">
        <v>120</v>
      </c>
      <c r="BV62" s="326">
        <v>120</v>
      </c>
      <c r="BW62" s="326">
        <v>121</v>
      </c>
      <c r="BX62" s="326">
        <v>122</v>
      </c>
      <c r="BY62" s="326">
        <v>123</v>
      </c>
      <c r="BZ62" s="326">
        <v>124</v>
      </c>
      <c r="CA62" s="326">
        <v>124</v>
      </c>
      <c r="CB62" s="326">
        <v>126</v>
      </c>
      <c r="CC62" s="326">
        <v>128</v>
      </c>
      <c r="CD62" s="326">
        <v>128</v>
      </c>
      <c r="CE62" s="326">
        <v>129</v>
      </c>
      <c r="CF62" s="326">
        <v>130</v>
      </c>
      <c r="CG62" s="326">
        <v>131</v>
      </c>
      <c r="CH62" s="326">
        <v>132</v>
      </c>
      <c r="CI62" s="326">
        <v>132</v>
      </c>
      <c r="CJ62" s="326">
        <v>133</v>
      </c>
      <c r="CK62" s="326">
        <v>134</v>
      </c>
      <c r="CL62" s="326">
        <v>136</v>
      </c>
      <c r="CM62" s="326">
        <v>137</v>
      </c>
      <c r="CN62" s="326">
        <v>138</v>
      </c>
      <c r="CO62" s="326">
        <v>139</v>
      </c>
      <c r="CP62" s="326">
        <v>140</v>
      </c>
      <c r="CQ62" s="326">
        <v>140</v>
      </c>
      <c r="CR62" s="326">
        <v>141</v>
      </c>
      <c r="CS62" s="326">
        <v>142</v>
      </c>
      <c r="CT62" s="326">
        <v>143</v>
      </c>
      <c r="CU62" s="326">
        <v>144</v>
      </c>
      <c r="CV62" s="326">
        <v>145</v>
      </c>
      <c r="CW62" s="266"/>
    </row>
    <row r="63" spans="1:101" ht="12.75" x14ac:dyDescent="0.2">
      <c r="A63" s="323" t="str">
        <f ca="1">语言!$A$2300</f>
        <v>物理攻击力</v>
      </c>
      <c r="B63" s="325">
        <v>96</v>
      </c>
      <c r="C63" s="325">
        <v>97</v>
      </c>
      <c r="D63" s="325">
        <v>98</v>
      </c>
      <c r="E63" s="325">
        <v>100</v>
      </c>
      <c r="F63" s="325">
        <v>103</v>
      </c>
      <c r="G63" s="325">
        <v>105</v>
      </c>
      <c r="H63" s="325">
        <v>109</v>
      </c>
      <c r="I63" s="325">
        <v>110</v>
      </c>
      <c r="J63" s="325">
        <v>111</v>
      </c>
      <c r="K63" s="325">
        <v>112</v>
      </c>
      <c r="L63" s="325">
        <v>115</v>
      </c>
      <c r="M63" s="325">
        <v>117</v>
      </c>
      <c r="N63" s="325">
        <v>120</v>
      </c>
      <c r="O63" s="325">
        <v>123</v>
      </c>
      <c r="P63" s="325">
        <v>127</v>
      </c>
      <c r="Q63" s="325">
        <v>130</v>
      </c>
      <c r="R63" s="325">
        <v>134</v>
      </c>
      <c r="S63" s="325">
        <v>139</v>
      </c>
      <c r="T63" s="325">
        <v>144</v>
      </c>
      <c r="U63" s="325">
        <v>148</v>
      </c>
      <c r="V63" s="325">
        <v>150</v>
      </c>
      <c r="W63" s="325">
        <v>151</v>
      </c>
      <c r="X63" s="325">
        <v>152</v>
      </c>
      <c r="Y63" s="325">
        <v>154</v>
      </c>
      <c r="Z63" s="325">
        <v>157</v>
      </c>
      <c r="AA63" s="325">
        <v>159</v>
      </c>
      <c r="AB63" s="325">
        <v>163</v>
      </c>
      <c r="AC63" s="325">
        <v>166</v>
      </c>
      <c r="AD63" s="325">
        <v>170</v>
      </c>
      <c r="AE63" s="325">
        <v>174</v>
      </c>
      <c r="AF63" s="325">
        <v>175</v>
      </c>
      <c r="AG63" s="325">
        <v>176</v>
      </c>
      <c r="AH63" s="325">
        <v>177</v>
      </c>
      <c r="AI63" s="325">
        <v>180</v>
      </c>
      <c r="AJ63" s="325">
        <v>182</v>
      </c>
      <c r="AK63" s="325">
        <v>184</v>
      </c>
      <c r="AL63" s="325">
        <v>188</v>
      </c>
      <c r="AM63" s="325">
        <v>192</v>
      </c>
      <c r="AN63" s="325">
        <v>195</v>
      </c>
      <c r="AO63" s="325">
        <v>199</v>
      </c>
      <c r="AP63" s="325">
        <v>200</v>
      </c>
      <c r="AQ63" s="325">
        <v>201</v>
      </c>
      <c r="AR63" s="325">
        <v>202</v>
      </c>
      <c r="AS63" s="325">
        <v>204</v>
      </c>
      <c r="AT63" s="325">
        <v>205</v>
      </c>
      <c r="AU63" s="325">
        <v>207</v>
      </c>
      <c r="AV63" s="325">
        <v>210</v>
      </c>
      <c r="AW63" s="325">
        <v>212</v>
      </c>
      <c r="AX63" s="325">
        <v>214</v>
      </c>
      <c r="AY63" s="325">
        <v>217</v>
      </c>
      <c r="AZ63" s="325">
        <v>220</v>
      </c>
      <c r="BA63" s="325">
        <v>224</v>
      </c>
      <c r="BB63" s="325">
        <v>228</v>
      </c>
      <c r="BC63" s="325">
        <v>231</v>
      </c>
      <c r="BD63" s="325">
        <v>235</v>
      </c>
      <c r="BE63" s="325">
        <v>240</v>
      </c>
      <c r="BF63" s="325">
        <v>244</v>
      </c>
      <c r="BG63" s="325">
        <v>249</v>
      </c>
      <c r="BH63" s="325">
        <v>254</v>
      </c>
      <c r="BI63" s="325">
        <v>259</v>
      </c>
      <c r="BJ63" s="325">
        <v>260</v>
      </c>
      <c r="BK63" s="325">
        <v>261</v>
      </c>
      <c r="BL63" s="325">
        <v>262</v>
      </c>
      <c r="BM63" s="325">
        <v>264</v>
      </c>
      <c r="BN63" s="325">
        <v>266</v>
      </c>
      <c r="BO63" s="325">
        <v>268</v>
      </c>
      <c r="BP63" s="325">
        <v>271</v>
      </c>
      <c r="BQ63" s="325">
        <v>273</v>
      </c>
      <c r="BR63" s="325">
        <v>277</v>
      </c>
      <c r="BS63" s="325">
        <v>280</v>
      </c>
      <c r="BT63" s="325">
        <v>282</v>
      </c>
      <c r="BU63" s="325">
        <v>283</v>
      </c>
      <c r="BV63" s="325">
        <v>284</v>
      </c>
      <c r="BW63" s="325">
        <v>285</v>
      </c>
      <c r="BX63" s="325">
        <v>288</v>
      </c>
      <c r="BY63" s="325">
        <v>290</v>
      </c>
      <c r="BZ63" s="325">
        <v>292</v>
      </c>
      <c r="CA63" s="325">
        <v>295</v>
      </c>
      <c r="CB63" s="325">
        <v>298</v>
      </c>
      <c r="CC63" s="325">
        <v>302</v>
      </c>
      <c r="CD63" s="325">
        <v>303</v>
      </c>
      <c r="CE63" s="325">
        <v>304</v>
      </c>
      <c r="CF63" s="325">
        <v>306</v>
      </c>
      <c r="CG63" s="325">
        <v>307</v>
      </c>
      <c r="CH63" s="325">
        <v>309</v>
      </c>
      <c r="CI63" s="325">
        <v>312</v>
      </c>
      <c r="CJ63" s="325">
        <v>314</v>
      </c>
      <c r="CK63" s="325">
        <v>316</v>
      </c>
      <c r="CL63" s="325">
        <v>320</v>
      </c>
      <c r="CM63" s="325">
        <v>324</v>
      </c>
      <c r="CN63" s="325">
        <v>325</v>
      </c>
      <c r="CO63" s="325">
        <v>326</v>
      </c>
      <c r="CP63" s="325">
        <v>327</v>
      </c>
      <c r="CQ63" s="325">
        <v>328</v>
      </c>
      <c r="CR63" s="325">
        <v>331</v>
      </c>
      <c r="CS63" s="325">
        <v>333</v>
      </c>
      <c r="CT63" s="325">
        <v>336</v>
      </c>
      <c r="CU63" s="325">
        <v>338</v>
      </c>
      <c r="CV63" s="325">
        <v>342</v>
      </c>
      <c r="CW63" s="272"/>
    </row>
    <row r="64" spans="1:101" ht="12.75" x14ac:dyDescent="0.2">
      <c r="A64" s="49" t="str">
        <f ca="1">语言!$A$2301</f>
        <v>属性攻击力</v>
      </c>
      <c r="B64" s="326">
        <v>72</v>
      </c>
      <c r="C64" s="326">
        <v>72</v>
      </c>
      <c r="D64" s="326">
        <v>73</v>
      </c>
      <c r="E64" s="326">
        <v>75</v>
      </c>
      <c r="F64" s="326">
        <v>77</v>
      </c>
      <c r="G64" s="326">
        <v>79</v>
      </c>
      <c r="H64" s="326">
        <v>81</v>
      </c>
      <c r="I64" s="326">
        <v>82</v>
      </c>
      <c r="J64" s="326">
        <v>83</v>
      </c>
      <c r="K64" s="326">
        <v>84</v>
      </c>
      <c r="L64" s="326">
        <v>86</v>
      </c>
      <c r="M64" s="326">
        <v>88</v>
      </c>
      <c r="N64" s="326">
        <v>90</v>
      </c>
      <c r="O64" s="326">
        <v>92</v>
      </c>
      <c r="P64" s="326">
        <v>95</v>
      </c>
      <c r="Q64" s="326">
        <v>98</v>
      </c>
      <c r="R64" s="326">
        <v>100</v>
      </c>
      <c r="S64" s="326">
        <v>104</v>
      </c>
      <c r="T64" s="326">
        <v>108</v>
      </c>
      <c r="U64" s="326">
        <v>111</v>
      </c>
      <c r="V64" s="326">
        <v>112</v>
      </c>
      <c r="W64" s="326">
        <v>113</v>
      </c>
      <c r="X64" s="326">
        <v>114</v>
      </c>
      <c r="Y64" s="326">
        <v>116</v>
      </c>
      <c r="Z64" s="326">
        <v>117</v>
      </c>
      <c r="AA64" s="326">
        <v>119</v>
      </c>
      <c r="AB64" s="326">
        <v>122</v>
      </c>
      <c r="AC64" s="326">
        <v>125</v>
      </c>
      <c r="AD64" s="326">
        <v>127</v>
      </c>
      <c r="AE64" s="326">
        <v>130</v>
      </c>
      <c r="AF64" s="326">
        <v>131</v>
      </c>
      <c r="AG64" s="326">
        <v>132</v>
      </c>
      <c r="AH64" s="326">
        <v>133</v>
      </c>
      <c r="AI64" s="326">
        <v>135</v>
      </c>
      <c r="AJ64" s="326">
        <v>136</v>
      </c>
      <c r="AK64" s="326">
        <v>138</v>
      </c>
      <c r="AL64" s="326">
        <v>141</v>
      </c>
      <c r="AM64" s="326">
        <v>144</v>
      </c>
      <c r="AN64" s="326">
        <v>146</v>
      </c>
      <c r="AO64" s="326">
        <v>149</v>
      </c>
      <c r="AP64" s="326">
        <v>150</v>
      </c>
      <c r="AQ64" s="326">
        <v>151</v>
      </c>
      <c r="AR64" s="326">
        <v>152</v>
      </c>
      <c r="AS64" s="326">
        <v>153</v>
      </c>
      <c r="AT64" s="326">
        <v>153</v>
      </c>
      <c r="AU64" s="326">
        <v>155</v>
      </c>
      <c r="AV64" s="326">
        <v>157</v>
      </c>
      <c r="AW64" s="326">
        <v>159</v>
      </c>
      <c r="AX64" s="326">
        <v>161</v>
      </c>
      <c r="AY64" s="326">
        <v>162</v>
      </c>
      <c r="AZ64" s="326">
        <v>165</v>
      </c>
      <c r="BA64" s="326">
        <v>168</v>
      </c>
      <c r="BB64" s="326">
        <v>171</v>
      </c>
      <c r="BC64" s="326">
        <v>173</v>
      </c>
      <c r="BD64" s="326">
        <v>176</v>
      </c>
      <c r="BE64" s="326">
        <v>180</v>
      </c>
      <c r="BF64" s="326">
        <v>183</v>
      </c>
      <c r="BG64" s="326">
        <v>187</v>
      </c>
      <c r="BH64" s="326">
        <v>190</v>
      </c>
      <c r="BI64" s="326">
        <v>194</v>
      </c>
      <c r="BJ64" s="326">
        <v>195</v>
      </c>
      <c r="BK64" s="326">
        <v>196</v>
      </c>
      <c r="BL64" s="326">
        <v>197</v>
      </c>
      <c r="BM64" s="326">
        <v>198</v>
      </c>
      <c r="BN64" s="326">
        <v>199</v>
      </c>
      <c r="BO64" s="326">
        <v>201</v>
      </c>
      <c r="BP64" s="326">
        <v>203</v>
      </c>
      <c r="BQ64" s="326">
        <v>205</v>
      </c>
      <c r="BR64" s="326">
        <v>207</v>
      </c>
      <c r="BS64" s="326">
        <v>210</v>
      </c>
      <c r="BT64" s="326">
        <v>211</v>
      </c>
      <c r="BU64" s="326">
        <v>212</v>
      </c>
      <c r="BV64" s="326">
        <v>213</v>
      </c>
      <c r="BW64" s="326">
        <v>214</v>
      </c>
      <c r="BX64" s="326">
        <v>216</v>
      </c>
      <c r="BY64" s="326">
        <v>217</v>
      </c>
      <c r="BZ64" s="326">
        <v>219</v>
      </c>
      <c r="CA64" s="326">
        <v>221</v>
      </c>
      <c r="CB64" s="326">
        <v>224</v>
      </c>
      <c r="CC64" s="326">
        <v>226</v>
      </c>
      <c r="CD64" s="326">
        <v>227</v>
      </c>
      <c r="CE64" s="326">
        <v>228</v>
      </c>
      <c r="CF64" s="326">
        <v>229</v>
      </c>
      <c r="CG64" s="326">
        <v>230</v>
      </c>
      <c r="CH64" s="326">
        <v>232</v>
      </c>
      <c r="CI64" s="326">
        <v>234</v>
      </c>
      <c r="CJ64" s="326">
        <v>235</v>
      </c>
      <c r="CK64" s="326">
        <v>237</v>
      </c>
      <c r="CL64" s="326">
        <v>240</v>
      </c>
      <c r="CM64" s="326">
        <v>243</v>
      </c>
      <c r="CN64" s="326">
        <v>243</v>
      </c>
      <c r="CO64" s="326">
        <v>244</v>
      </c>
      <c r="CP64" s="326">
        <v>245</v>
      </c>
      <c r="CQ64" s="326">
        <v>246</v>
      </c>
      <c r="CR64" s="326">
        <v>248</v>
      </c>
      <c r="CS64" s="326">
        <v>250</v>
      </c>
      <c r="CT64" s="326">
        <v>252</v>
      </c>
      <c r="CU64" s="326">
        <v>253</v>
      </c>
      <c r="CV64" s="326">
        <v>256</v>
      </c>
      <c r="CW64" s="266"/>
    </row>
    <row r="65" spans="1:101" ht="12.75" x14ac:dyDescent="0.2">
      <c r="A65" s="323" t="str">
        <f ca="1">语言!$A$2302</f>
        <v>物理防御力</v>
      </c>
      <c r="B65" s="325">
        <v>88</v>
      </c>
      <c r="C65" s="325">
        <v>89</v>
      </c>
      <c r="D65" s="325">
        <v>90</v>
      </c>
      <c r="E65" s="325">
        <v>92</v>
      </c>
      <c r="F65" s="325">
        <v>94</v>
      </c>
      <c r="G65" s="325">
        <v>96</v>
      </c>
      <c r="H65" s="325">
        <v>100</v>
      </c>
      <c r="I65" s="325">
        <v>101</v>
      </c>
      <c r="J65" s="325">
        <v>102</v>
      </c>
      <c r="K65" s="325">
        <v>103</v>
      </c>
      <c r="L65" s="325">
        <v>105</v>
      </c>
      <c r="M65" s="325">
        <v>107</v>
      </c>
      <c r="N65" s="325">
        <v>110</v>
      </c>
      <c r="O65" s="325">
        <v>113</v>
      </c>
      <c r="P65" s="325">
        <v>116</v>
      </c>
      <c r="Q65" s="325">
        <v>119</v>
      </c>
      <c r="R65" s="325">
        <v>123</v>
      </c>
      <c r="S65" s="325">
        <v>127</v>
      </c>
      <c r="T65" s="325">
        <v>132</v>
      </c>
      <c r="U65" s="325">
        <v>136</v>
      </c>
      <c r="V65" s="325">
        <v>137</v>
      </c>
      <c r="W65" s="325">
        <v>138</v>
      </c>
      <c r="X65" s="325">
        <v>139</v>
      </c>
      <c r="Y65" s="325">
        <v>141</v>
      </c>
      <c r="Z65" s="325">
        <v>144</v>
      </c>
      <c r="AA65" s="325">
        <v>146</v>
      </c>
      <c r="AB65" s="325">
        <v>149</v>
      </c>
      <c r="AC65" s="325">
        <v>152</v>
      </c>
      <c r="AD65" s="325">
        <v>156</v>
      </c>
      <c r="AE65" s="325">
        <v>159</v>
      </c>
      <c r="AF65" s="325">
        <v>160</v>
      </c>
      <c r="AG65" s="325">
        <v>161</v>
      </c>
      <c r="AH65" s="325">
        <v>162</v>
      </c>
      <c r="AI65" s="325">
        <v>165</v>
      </c>
      <c r="AJ65" s="325">
        <v>167</v>
      </c>
      <c r="AK65" s="325">
        <v>169</v>
      </c>
      <c r="AL65" s="325">
        <v>172</v>
      </c>
      <c r="AM65" s="325">
        <v>176</v>
      </c>
      <c r="AN65" s="325">
        <v>179</v>
      </c>
      <c r="AO65" s="325">
        <v>182</v>
      </c>
      <c r="AP65" s="325">
        <v>183</v>
      </c>
      <c r="AQ65" s="325">
        <v>184</v>
      </c>
      <c r="AR65" s="325">
        <v>185</v>
      </c>
      <c r="AS65" s="325">
        <v>187</v>
      </c>
      <c r="AT65" s="325">
        <v>188</v>
      </c>
      <c r="AU65" s="325">
        <v>190</v>
      </c>
      <c r="AV65" s="325">
        <v>192</v>
      </c>
      <c r="AW65" s="325">
        <v>194</v>
      </c>
      <c r="AX65" s="325">
        <v>196</v>
      </c>
      <c r="AY65" s="325">
        <v>199</v>
      </c>
      <c r="AZ65" s="325">
        <v>202</v>
      </c>
      <c r="BA65" s="325">
        <v>205</v>
      </c>
      <c r="BB65" s="325">
        <v>209</v>
      </c>
      <c r="BC65" s="325">
        <v>212</v>
      </c>
      <c r="BD65" s="325">
        <v>215</v>
      </c>
      <c r="BE65" s="325">
        <v>220</v>
      </c>
      <c r="BF65" s="325">
        <v>224</v>
      </c>
      <c r="BG65" s="325">
        <v>228</v>
      </c>
      <c r="BH65" s="325">
        <v>233</v>
      </c>
      <c r="BI65" s="325">
        <v>237</v>
      </c>
      <c r="BJ65" s="325">
        <v>238</v>
      </c>
      <c r="BK65" s="325">
        <v>239</v>
      </c>
      <c r="BL65" s="325">
        <v>240</v>
      </c>
      <c r="BM65" s="325">
        <v>242</v>
      </c>
      <c r="BN65" s="325">
        <v>244</v>
      </c>
      <c r="BO65" s="325">
        <v>246</v>
      </c>
      <c r="BP65" s="325">
        <v>248</v>
      </c>
      <c r="BQ65" s="325">
        <v>250</v>
      </c>
      <c r="BR65" s="325">
        <v>254</v>
      </c>
      <c r="BS65" s="325">
        <v>257</v>
      </c>
      <c r="BT65" s="325">
        <v>258</v>
      </c>
      <c r="BU65" s="325">
        <v>259</v>
      </c>
      <c r="BV65" s="325">
        <v>260</v>
      </c>
      <c r="BW65" s="325">
        <v>261</v>
      </c>
      <c r="BX65" s="325">
        <v>264</v>
      </c>
      <c r="BY65" s="325">
        <v>266</v>
      </c>
      <c r="BZ65" s="325">
        <v>268</v>
      </c>
      <c r="CA65" s="325">
        <v>270</v>
      </c>
      <c r="CB65" s="325">
        <v>273</v>
      </c>
      <c r="CC65" s="325">
        <v>277</v>
      </c>
      <c r="CD65" s="325">
        <v>278</v>
      </c>
      <c r="CE65" s="325">
        <v>279</v>
      </c>
      <c r="CF65" s="325">
        <v>280</v>
      </c>
      <c r="CG65" s="325">
        <v>281</v>
      </c>
      <c r="CH65" s="325">
        <v>283</v>
      </c>
      <c r="CI65" s="325">
        <v>286</v>
      </c>
      <c r="CJ65" s="325">
        <v>288</v>
      </c>
      <c r="CK65" s="325">
        <v>290</v>
      </c>
      <c r="CL65" s="325">
        <v>293</v>
      </c>
      <c r="CM65" s="325">
        <v>297</v>
      </c>
      <c r="CN65" s="325">
        <v>298</v>
      </c>
      <c r="CO65" s="325">
        <v>299</v>
      </c>
      <c r="CP65" s="325">
        <v>300</v>
      </c>
      <c r="CQ65" s="325">
        <v>301</v>
      </c>
      <c r="CR65" s="325">
        <v>303</v>
      </c>
      <c r="CS65" s="325">
        <v>305</v>
      </c>
      <c r="CT65" s="325">
        <v>308</v>
      </c>
      <c r="CU65" s="325">
        <v>310</v>
      </c>
      <c r="CV65" s="325">
        <v>313</v>
      </c>
      <c r="CW65" s="272"/>
    </row>
    <row r="66" spans="1:101" ht="12.75" x14ac:dyDescent="0.2">
      <c r="A66" s="49" t="str">
        <f ca="1">语言!$A$2303</f>
        <v>属性防御力</v>
      </c>
      <c r="B66" s="326">
        <v>64</v>
      </c>
      <c r="C66" s="326">
        <v>64</v>
      </c>
      <c r="D66" s="326">
        <v>65</v>
      </c>
      <c r="E66" s="326">
        <v>67</v>
      </c>
      <c r="F66" s="326">
        <v>68</v>
      </c>
      <c r="G66" s="326">
        <v>70</v>
      </c>
      <c r="H66" s="326">
        <v>72</v>
      </c>
      <c r="I66" s="326">
        <v>73</v>
      </c>
      <c r="J66" s="326">
        <v>74</v>
      </c>
      <c r="K66" s="326">
        <v>75</v>
      </c>
      <c r="L66" s="326">
        <v>76</v>
      </c>
      <c r="M66" s="326">
        <v>78</v>
      </c>
      <c r="N66" s="326">
        <v>80</v>
      </c>
      <c r="O66" s="326">
        <v>82</v>
      </c>
      <c r="P66" s="326">
        <v>84</v>
      </c>
      <c r="Q66" s="326">
        <v>87</v>
      </c>
      <c r="R66" s="326">
        <v>89</v>
      </c>
      <c r="S66" s="326">
        <v>92</v>
      </c>
      <c r="T66" s="326">
        <v>96</v>
      </c>
      <c r="U66" s="326">
        <v>99</v>
      </c>
      <c r="V66" s="326">
        <v>100</v>
      </c>
      <c r="W66" s="326">
        <v>100</v>
      </c>
      <c r="X66" s="326">
        <v>101</v>
      </c>
      <c r="Y66" s="326">
        <v>103</v>
      </c>
      <c r="Z66" s="326">
        <v>104</v>
      </c>
      <c r="AA66" s="326">
        <v>106</v>
      </c>
      <c r="AB66" s="326">
        <v>108</v>
      </c>
      <c r="AC66" s="326">
        <v>111</v>
      </c>
      <c r="AD66" s="326">
        <v>113</v>
      </c>
      <c r="AE66" s="326">
        <v>116</v>
      </c>
      <c r="AF66" s="326">
        <v>116</v>
      </c>
      <c r="AG66" s="326">
        <v>117</v>
      </c>
      <c r="AH66" s="326">
        <v>118</v>
      </c>
      <c r="AI66" s="326">
        <v>120</v>
      </c>
      <c r="AJ66" s="326">
        <v>121</v>
      </c>
      <c r="AK66" s="326">
        <v>123</v>
      </c>
      <c r="AL66" s="326">
        <v>125</v>
      </c>
      <c r="AM66" s="326">
        <v>128</v>
      </c>
      <c r="AN66" s="326">
        <v>130</v>
      </c>
      <c r="AO66" s="326">
        <v>132</v>
      </c>
      <c r="AP66" s="326">
        <v>133</v>
      </c>
      <c r="AQ66" s="326">
        <v>134</v>
      </c>
      <c r="AR66" s="326">
        <v>135</v>
      </c>
      <c r="AS66" s="326">
        <v>136</v>
      </c>
      <c r="AT66" s="326">
        <v>136</v>
      </c>
      <c r="AU66" s="326">
        <v>138</v>
      </c>
      <c r="AV66" s="326">
        <v>140</v>
      </c>
      <c r="AW66" s="326">
        <v>141</v>
      </c>
      <c r="AX66" s="326">
        <v>143</v>
      </c>
      <c r="AY66" s="326">
        <v>144</v>
      </c>
      <c r="AZ66" s="326">
        <v>147</v>
      </c>
      <c r="BA66" s="326">
        <v>149</v>
      </c>
      <c r="BB66" s="326">
        <v>152</v>
      </c>
      <c r="BC66" s="326">
        <v>154</v>
      </c>
      <c r="BD66" s="326">
        <v>156</v>
      </c>
      <c r="BE66" s="326">
        <v>160</v>
      </c>
      <c r="BF66" s="326">
        <v>163</v>
      </c>
      <c r="BG66" s="326">
        <v>166</v>
      </c>
      <c r="BH66" s="326">
        <v>169</v>
      </c>
      <c r="BI66" s="326">
        <v>172</v>
      </c>
      <c r="BJ66" s="326">
        <v>173</v>
      </c>
      <c r="BK66" s="326">
        <v>174</v>
      </c>
      <c r="BL66" s="326">
        <v>175</v>
      </c>
      <c r="BM66" s="326">
        <v>176</v>
      </c>
      <c r="BN66" s="326">
        <v>177</v>
      </c>
      <c r="BO66" s="326">
        <v>179</v>
      </c>
      <c r="BP66" s="326">
        <v>180</v>
      </c>
      <c r="BQ66" s="326">
        <v>182</v>
      </c>
      <c r="BR66" s="326">
        <v>184</v>
      </c>
      <c r="BS66" s="326">
        <v>187</v>
      </c>
      <c r="BT66" s="326">
        <v>188</v>
      </c>
      <c r="BU66" s="326">
        <v>188</v>
      </c>
      <c r="BV66" s="326">
        <v>189</v>
      </c>
      <c r="BW66" s="326">
        <v>190</v>
      </c>
      <c r="BX66" s="326">
        <v>192</v>
      </c>
      <c r="BY66" s="326">
        <v>193</v>
      </c>
      <c r="BZ66" s="326">
        <v>195</v>
      </c>
      <c r="CA66" s="326">
        <v>196</v>
      </c>
      <c r="CB66" s="326">
        <v>199</v>
      </c>
      <c r="CC66" s="326">
        <v>201</v>
      </c>
      <c r="CD66" s="326">
        <v>202</v>
      </c>
      <c r="CE66" s="326">
        <v>203</v>
      </c>
      <c r="CF66" s="326">
        <v>204</v>
      </c>
      <c r="CG66" s="326">
        <v>204</v>
      </c>
      <c r="CH66" s="326">
        <v>206</v>
      </c>
      <c r="CI66" s="326">
        <v>208</v>
      </c>
      <c r="CJ66" s="326">
        <v>209</v>
      </c>
      <c r="CK66" s="326">
        <v>211</v>
      </c>
      <c r="CL66" s="326">
        <v>213</v>
      </c>
      <c r="CM66" s="326">
        <v>216</v>
      </c>
      <c r="CN66" s="326">
        <v>216</v>
      </c>
      <c r="CO66" s="326">
        <v>217</v>
      </c>
      <c r="CP66" s="326">
        <v>218</v>
      </c>
      <c r="CQ66" s="326">
        <v>219</v>
      </c>
      <c r="CR66" s="326">
        <v>220</v>
      </c>
      <c r="CS66" s="326">
        <v>222</v>
      </c>
      <c r="CT66" s="326">
        <v>224</v>
      </c>
      <c r="CU66" s="326">
        <v>225</v>
      </c>
      <c r="CV66" s="326">
        <v>228</v>
      </c>
      <c r="CW66" s="266"/>
    </row>
    <row r="67" spans="1:101" ht="12.75" x14ac:dyDescent="0.2">
      <c r="A67" s="323" t="str">
        <f ca="1">语言!$A$2304</f>
        <v>命中</v>
      </c>
      <c r="B67" s="325">
        <v>88</v>
      </c>
      <c r="C67" s="325">
        <v>89</v>
      </c>
      <c r="D67" s="325">
        <v>90</v>
      </c>
      <c r="E67" s="325">
        <v>92</v>
      </c>
      <c r="F67" s="325">
        <v>94</v>
      </c>
      <c r="G67" s="325">
        <v>96</v>
      </c>
      <c r="H67" s="325">
        <v>100</v>
      </c>
      <c r="I67" s="325">
        <v>101</v>
      </c>
      <c r="J67" s="325">
        <v>102</v>
      </c>
      <c r="K67" s="325">
        <v>103</v>
      </c>
      <c r="L67" s="325">
        <v>105</v>
      </c>
      <c r="M67" s="325">
        <v>107</v>
      </c>
      <c r="N67" s="325">
        <v>110</v>
      </c>
      <c r="O67" s="325">
        <v>113</v>
      </c>
      <c r="P67" s="325">
        <v>116</v>
      </c>
      <c r="Q67" s="325">
        <v>119</v>
      </c>
      <c r="R67" s="325">
        <v>123</v>
      </c>
      <c r="S67" s="325">
        <v>127</v>
      </c>
      <c r="T67" s="325">
        <v>132</v>
      </c>
      <c r="U67" s="325">
        <v>136</v>
      </c>
      <c r="V67" s="325">
        <v>137</v>
      </c>
      <c r="W67" s="325">
        <v>138</v>
      </c>
      <c r="X67" s="325">
        <v>139</v>
      </c>
      <c r="Y67" s="325">
        <v>141</v>
      </c>
      <c r="Z67" s="325">
        <v>144</v>
      </c>
      <c r="AA67" s="325">
        <v>146</v>
      </c>
      <c r="AB67" s="325">
        <v>149</v>
      </c>
      <c r="AC67" s="325">
        <v>152</v>
      </c>
      <c r="AD67" s="325">
        <v>156</v>
      </c>
      <c r="AE67" s="325">
        <v>159</v>
      </c>
      <c r="AF67" s="325">
        <v>160</v>
      </c>
      <c r="AG67" s="325">
        <v>161</v>
      </c>
      <c r="AH67" s="325">
        <v>162</v>
      </c>
      <c r="AI67" s="325">
        <v>165</v>
      </c>
      <c r="AJ67" s="325">
        <v>167</v>
      </c>
      <c r="AK67" s="325">
        <v>169</v>
      </c>
      <c r="AL67" s="325">
        <v>172</v>
      </c>
      <c r="AM67" s="325">
        <v>176</v>
      </c>
      <c r="AN67" s="325">
        <v>179</v>
      </c>
      <c r="AO67" s="325">
        <v>182</v>
      </c>
      <c r="AP67" s="325">
        <v>183</v>
      </c>
      <c r="AQ67" s="325">
        <v>184</v>
      </c>
      <c r="AR67" s="325">
        <v>185</v>
      </c>
      <c r="AS67" s="325">
        <v>187</v>
      </c>
      <c r="AT67" s="325">
        <v>188</v>
      </c>
      <c r="AU67" s="325">
        <v>190</v>
      </c>
      <c r="AV67" s="325">
        <v>192</v>
      </c>
      <c r="AW67" s="325">
        <v>194</v>
      </c>
      <c r="AX67" s="325">
        <v>196</v>
      </c>
      <c r="AY67" s="325">
        <v>199</v>
      </c>
      <c r="AZ67" s="325">
        <v>202</v>
      </c>
      <c r="BA67" s="325">
        <v>205</v>
      </c>
      <c r="BB67" s="325">
        <v>209</v>
      </c>
      <c r="BC67" s="325">
        <v>212</v>
      </c>
      <c r="BD67" s="325">
        <v>215</v>
      </c>
      <c r="BE67" s="325">
        <v>220</v>
      </c>
      <c r="BF67" s="325">
        <v>224</v>
      </c>
      <c r="BG67" s="325">
        <v>228</v>
      </c>
      <c r="BH67" s="325">
        <v>233</v>
      </c>
      <c r="BI67" s="325">
        <v>237</v>
      </c>
      <c r="BJ67" s="325">
        <v>238</v>
      </c>
      <c r="BK67" s="325">
        <v>239</v>
      </c>
      <c r="BL67" s="325">
        <v>240</v>
      </c>
      <c r="BM67" s="325">
        <v>242</v>
      </c>
      <c r="BN67" s="325">
        <v>244</v>
      </c>
      <c r="BO67" s="325">
        <v>246</v>
      </c>
      <c r="BP67" s="325">
        <v>248</v>
      </c>
      <c r="BQ67" s="325">
        <v>250</v>
      </c>
      <c r="BR67" s="325">
        <v>254</v>
      </c>
      <c r="BS67" s="325">
        <v>257</v>
      </c>
      <c r="BT67" s="325">
        <v>258</v>
      </c>
      <c r="BU67" s="325">
        <v>259</v>
      </c>
      <c r="BV67" s="325">
        <v>260</v>
      </c>
      <c r="BW67" s="325">
        <v>261</v>
      </c>
      <c r="BX67" s="325">
        <v>264</v>
      </c>
      <c r="BY67" s="325">
        <v>266</v>
      </c>
      <c r="BZ67" s="325">
        <v>268</v>
      </c>
      <c r="CA67" s="325">
        <v>270</v>
      </c>
      <c r="CB67" s="325">
        <v>273</v>
      </c>
      <c r="CC67" s="325">
        <v>277</v>
      </c>
      <c r="CD67" s="325">
        <v>278</v>
      </c>
      <c r="CE67" s="325">
        <v>279</v>
      </c>
      <c r="CF67" s="325">
        <v>280</v>
      </c>
      <c r="CG67" s="325">
        <v>281</v>
      </c>
      <c r="CH67" s="325">
        <v>283</v>
      </c>
      <c r="CI67" s="325">
        <v>286</v>
      </c>
      <c r="CJ67" s="325">
        <v>288</v>
      </c>
      <c r="CK67" s="325">
        <v>290</v>
      </c>
      <c r="CL67" s="325">
        <v>293</v>
      </c>
      <c r="CM67" s="325">
        <v>297</v>
      </c>
      <c r="CN67" s="325">
        <v>298</v>
      </c>
      <c r="CO67" s="325">
        <v>299</v>
      </c>
      <c r="CP67" s="325">
        <v>300</v>
      </c>
      <c r="CQ67" s="325">
        <v>301</v>
      </c>
      <c r="CR67" s="325">
        <v>303</v>
      </c>
      <c r="CS67" s="325">
        <v>305</v>
      </c>
      <c r="CT67" s="325">
        <v>308</v>
      </c>
      <c r="CU67" s="325">
        <v>310</v>
      </c>
      <c r="CV67" s="325">
        <v>313</v>
      </c>
      <c r="CW67" s="272"/>
    </row>
    <row r="68" spans="1:101" ht="12.75" x14ac:dyDescent="0.2">
      <c r="A68" s="49" t="str">
        <f ca="1">语言!$A$2305</f>
        <v>行动速度</v>
      </c>
      <c r="B68" s="326">
        <v>80</v>
      </c>
      <c r="C68" s="326">
        <v>81</v>
      </c>
      <c r="D68" s="326">
        <v>82</v>
      </c>
      <c r="E68" s="326">
        <v>84</v>
      </c>
      <c r="F68" s="326">
        <v>86</v>
      </c>
      <c r="G68" s="326">
        <v>88</v>
      </c>
      <c r="H68" s="326">
        <v>91</v>
      </c>
      <c r="I68" s="326">
        <v>92</v>
      </c>
      <c r="J68" s="326">
        <v>93</v>
      </c>
      <c r="K68" s="326">
        <v>94</v>
      </c>
      <c r="L68" s="326">
        <v>96</v>
      </c>
      <c r="M68" s="326">
        <v>98</v>
      </c>
      <c r="N68" s="326">
        <v>100</v>
      </c>
      <c r="O68" s="326">
        <v>103</v>
      </c>
      <c r="P68" s="326">
        <v>106</v>
      </c>
      <c r="Q68" s="326">
        <v>109</v>
      </c>
      <c r="R68" s="326">
        <v>112</v>
      </c>
      <c r="S68" s="326">
        <v>116</v>
      </c>
      <c r="T68" s="326">
        <v>120</v>
      </c>
      <c r="U68" s="326">
        <v>124</v>
      </c>
      <c r="V68" s="326">
        <v>125</v>
      </c>
      <c r="W68" s="326">
        <v>126</v>
      </c>
      <c r="X68" s="326">
        <v>127</v>
      </c>
      <c r="Y68" s="326">
        <v>129</v>
      </c>
      <c r="Z68" s="326">
        <v>131</v>
      </c>
      <c r="AA68" s="326">
        <v>133</v>
      </c>
      <c r="AB68" s="326">
        <v>136</v>
      </c>
      <c r="AC68" s="326">
        <v>139</v>
      </c>
      <c r="AD68" s="326">
        <v>142</v>
      </c>
      <c r="AE68" s="326">
        <v>145</v>
      </c>
      <c r="AF68" s="326">
        <v>146</v>
      </c>
      <c r="AG68" s="326">
        <v>147</v>
      </c>
      <c r="AH68" s="326">
        <v>148</v>
      </c>
      <c r="AI68" s="326">
        <v>150</v>
      </c>
      <c r="AJ68" s="326">
        <v>152</v>
      </c>
      <c r="AK68" s="326">
        <v>154</v>
      </c>
      <c r="AL68" s="326">
        <v>157</v>
      </c>
      <c r="AM68" s="326">
        <v>160</v>
      </c>
      <c r="AN68" s="326">
        <v>163</v>
      </c>
      <c r="AO68" s="326">
        <v>166</v>
      </c>
      <c r="AP68" s="326">
        <v>167</v>
      </c>
      <c r="AQ68" s="326">
        <v>168</v>
      </c>
      <c r="AR68" s="326">
        <v>169</v>
      </c>
      <c r="AS68" s="326">
        <v>170</v>
      </c>
      <c r="AT68" s="326">
        <v>171</v>
      </c>
      <c r="AU68" s="326">
        <v>173</v>
      </c>
      <c r="AV68" s="326">
        <v>175</v>
      </c>
      <c r="AW68" s="326">
        <v>177</v>
      </c>
      <c r="AX68" s="326">
        <v>179</v>
      </c>
      <c r="AY68" s="326">
        <v>181</v>
      </c>
      <c r="AZ68" s="326">
        <v>184</v>
      </c>
      <c r="BA68" s="326">
        <v>187</v>
      </c>
      <c r="BB68" s="326">
        <v>190</v>
      </c>
      <c r="BC68" s="326">
        <v>193</v>
      </c>
      <c r="BD68" s="326">
        <v>196</v>
      </c>
      <c r="BE68" s="326">
        <v>200</v>
      </c>
      <c r="BF68" s="326">
        <v>204</v>
      </c>
      <c r="BG68" s="326">
        <v>208</v>
      </c>
      <c r="BH68" s="326">
        <v>212</v>
      </c>
      <c r="BI68" s="326">
        <v>216</v>
      </c>
      <c r="BJ68" s="326">
        <v>217</v>
      </c>
      <c r="BK68" s="326">
        <v>218</v>
      </c>
      <c r="BL68" s="326">
        <v>219</v>
      </c>
      <c r="BM68" s="326">
        <v>220</v>
      </c>
      <c r="BN68" s="326">
        <v>222</v>
      </c>
      <c r="BO68" s="326">
        <v>224</v>
      </c>
      <c r="BP68" s="326">
        <v>226</v>
      </c>
      <c r="BQ68" s="326">
        <v>228</v>
      </c>
      <c r="BR68" s="326">
        <v>231</v>
      </c>
      <c r="BS68" s="326">
        <v>234</v>
      </c>
      <c r="BT68" s="326">
        <v>235</v>
      </c>
      <c r="BU68" s="326">
        <v>236</v>
      </c>
      <c r="BV68" s="326">
        <v>237</v>
      </c>
      <c r="BW68" s="326">
        <v>238</v>
      </c>
      <c r="BX68" s="326">
        <v>240</v>
      </c>
      <c r="BY68" s="326">
        <v>242</v>
      </c>
      <c r="BZ68" s="326">
        <v>244</v>
      </c>
      <c r="CA68" s="326">
        <v>246</v>
      </c>
      <c r="CB68" s="326">
        <v>249</v>
      </c>
      <c r="CC68" s="326">
        <v>252</v>
      </c>
      <c r="CD68" s="326">
        <v>253</v>
      </c>
      <c r="CE68" s="326">
        <v>254</v>
      </c>
      <c r="CF68" s="326">
        <v>255</v>
      </c>
      <c r="CG68" s="326">
        <v>256</v>
      </c>
      <c r="CH68" s="326">
        <v>258</v>
      </c>
      <c r="CI68" s="326">
        <v>260</v>
      </c>
      <c r="CJ68" s="326">
        <v>262</v>
      </c>
      <c r="CK68" s="326">
        <v>264</v>
      </c>
      <c r="CL68" s="326">
        <v>267</v>
      </c>
      <c r="CM68" s="326">
        <v>270</v>
      </c>
      <c r="CN68" s="326">
        <v>271</v>
      </c>
      <c r="CO68" s="326">
        <v>272</v>
      </c>
      <c r="CP68" s="326">
        <v>273</v>
      </c>
      <c r="CQ68" s="326">
        <v>274</v>
      </c>
      <c r="CR68" s="326">
        <v>276</v>
      </c>
      <c r="CS68" s="326">
        <v>278</v>
      </c>
      <c r="CT68" s="326">
        <v>280</v>
      </c>
      <c r="CU68" s="326">
        <v>282</v>
      </c>
      <c r="CV68" s="326">
        <v>285</v>
      </c>
      <c r="CW68" s="266"/>
    </row>
    <row r="69" spans="1:101" ht="12.75" x14ac:dyDescent="0.2">
      <c r="A69" s="323" t="str">
        <f ca="1">语言!$A$2306</f>
        <v>暴击</v>
      </c>
      <c r="B69" s="325">
        <v>80</v>
      </c>
      <c r="C69" s="325">
        <v>81</v>
      </c>
      <c r="D69" s="325">
        <v>82</v>
      </c>
      <c r="E69" s="325">
        <v>84</v>
      </c>
      <c r="F69" s="325">
        <v>86</v>
      </c>
      <c r="G69" s="325">
        <v>88</v>
      </c>
      <c r="H69" s="325">
        <v>91</v>
      </c>
      <c r="I69" s="325">
        <v>92</v>
      </c>
      <c r="J69" s="325">
        <v>93</v>
      </c>
      <c r="K69" s="325">
        <v>94</v>
      </c>
      <c r="L69" s="325">
        <v>96</v>
      </c>
      <c r="M69" s="325">
        <v>98</v>
      </c>
      <c r="N69" s="325">
        <v>100</v>
      </c>
      <c r="O69" s="325">
        <v>103</v>
      </c>
      <c r="P69" s="325">
        <v>106</v>
      </c>
      <c r="Q69" s="325">
        <v>109</v>
      </c>
      <c r="R69" s="325">
        <v>112</v>
      </c>
      <c r="S69" s="325">
        <v>116</v>
      </c>
      <c r="T69" s="325">
        <v>120</v>
      </c>
      <c r="U69" s="325">
        <v>124</v>
      </c>
      <c r="V69" s="325">
        <v>125</v>
      </c>
      <c r="W69" s="325">
        <v>126</v>
      </c>
      <c r="X69" s="325">
        <v>127</v>
      </c>
      <c r="Y69" s="325">
        <v>129</v>
      </c>
      <c r="Z69" s="325">
        <v>131</v>
      </c>
      <c r="AA69" s="325">
        <v>133</v>
      </c>
      <c r="AB69" s="325">
        <v>136</v>
      </c>
      <c r="AC69" s="325">
        <v>139</v>
      </c>
      <c r="AD69" s="325">
        <v>142</v>
      </c>
      <c r="AE69" s="325">
        <v>145</v>
      </c>
      <c r="AF69" s="325">
        <v>146</v>
      </c>
      <c r="AG69" s="325">
        <v>147</v>
      </c>
      <c r="AH69" s="325">
        <v>148</v>
      </c>
      <c r="AI69" s="325">
        <v>150</v>
      </c>
      <c r="AJ69" s="325">
        <v>152</v>
      </c>
      <c r="AK69" s="325">
        <v>154</v>
      </c>
      <c r="AL69" s="325">
        <v>157</v>
      </c>
      <c r="AM69" s="325">
        <v>160</v>
      </c>
      <c r="AN69" s="325">
        <v>163</v>
      </c>
      <c r="AO69" s="325">
        <v>166</v>
      </c>
      <c r="AP69" s="325">
        <v>167</v>
      </c>
      <c r="AQ69" s="325">
        <v>168</v>
      </c>
      <c r="AR69" s="325">
        <v>169</v>
      </c>
      <c r="AS69" s="325">
        <v>170</v>
      </c>
      <c r="AT69" s="325">
        <v>171</v>
      </c>
      <c r="AU69" s="325">
        <v>173</v>
      </c>
      <c r="AV69" s="325">
        <v>175</v>
      </c>
      <c r="AW69" s="325">
        <v>177</v>
      </c>
      <c r="AX69" s="325">
        <v>179</v>
      </c>
      <c r="AY69" s="325">
        <v>181</v>
      </c>
      <c r="AZ69" s="325">
        <v>184</v>
      </c>
      <c r="BA69" s="325">
        <v>187</v>
      </c>
      <c r="BB69" s="325">
        <v>190</v>
      </c>
      <c r="BC69" s="325">
        <v>193</v>
      </c>
      <c r="BD69" s="325">
        <v>196</v>
      </c>
      <c r="BE69" s="325">
        <v>200</v>
      </c>
      <c r="BF69" s="325">
        <v>204</v>
      </c>
      <c r="BG69" s="325">
        <v>208</v>
      </c>
      <c r="BH69" s="325">
        <v>212</v>
      </c>
      <c r="BI69" s="325">
        <v>216</v>
      </c>
      <c r="BJ69" s="325">
        <v>217</v>
      </c>
      <c r="BK69" s="325">
        <v>218</v>
      </c>
      <c r="BL69" s="325">
        <v>219</v>
      </c>
      <c r="BM69" s="325">
        <v>220</v>
      </c>
      <c r="BN69" s="325">
        <v>222</v>
      </c>
      <c r="BO69" s="325">
        <v>224</v>
      </c>
      <c r="BP69" s="325">
        <v>226</v>
      </c>
      <c r="BQ69" s="325">
        <v>228</v>
      </c>
      <c r="BR69" s="325">
        <v>231</v>
      </c>
      <c r="BS69" s="325">
        <v>234</v>
      </c>
      <c r="BT69" s="325">
        <v>235</v>
      </c>
      <c r="BU69" s="325">
        <v>236</v>
      </c>
      <c r="BV69" s="325">
        <v>237</v>
      </c>
      <c r="BW69" s="325">
        <v>238</v>
      </c>
      <c r="BX69" s="325">
        <v>240</v>
      </c>
      <c r="BY69" s="325">
        <v>242</v>
      </c>
      <c r="BZ69" s="325">
        <v>244</v>
      </c>
      <c r="CA69" s="325">
        <v>246</v>
      </c>
      <c r="CB69" s="325">
        <v>249</v>
      </c>
      <c r="CC69" s="325">
        <v>252</v>
      </c>
      <c r="CD69" s="325">
        <v>253</v>
      </c>
      <c r="CE69" s="325">
        <v>254</v>
      </c>
      <c r="CF69" s="325">
        <v>255</v>
      </c>
      <c r="CG69" s="325">
        <v>256</v>
      </c>
      <c r="CH69" s="325">
        <v>258</v>
      </c>
      <c r="CI69" s="325">
        <v>260</v>
      </c>
      <c r="CJ69" s="325">
        <v>262</v>
      </c>
      <c r="CK69" s="325">
        <v>264</v>
      </c>
      <c r="CL69" s="325">
        <v>267</v>
      </c>
      <c r="CM69" s="325">
        <v>270</v>
      </c>
      <c r="CN69" s="325">
        <v>271</v>
      </c>
      <c r="CO69" s="325">
        <v>272</v>
      </c>
      <c r="CP69" s="325">
        <v>273</v>
      </c>
      <c r="CQ69" s="325">
        <v>274</v>
      </c>
      <c r="CR69" s="325">
        <v>276</v>
      </c>
      <c r="CS69" s="325">
        <v>278</v>
      </c>
      <c r="CT69" s="325">
        <v>280</v>
      </c>
      <c r="CU69" s="325">
        <v>282</v>
      </c>
      <c r="CV69" s="325">
        <v>285</v>
      </c>
      <c r="CW69" s="272"/>
    </row>
    <row r="70" spans="1:101" ht="12.75" x14ac:dyDescent="0.2">
      <c r="A70" s="49" t="str">
        <f ca="1">语言!$A$2307</f>
        <v>回避</v>
      </c>
      <c r="B70" s="326">
        <v>64</v>
      </c>
      <c r="C70" s="326">
        <v>64</v>
      </c>
      <c r="D70" s="326">
        <v>65</v>
      </c>
      <c r="E70" s="326">
        <v>67</v>
      </c>
      <c r="F70" s="326">
        <v>68</v>
      </c>
      <c r="G70" s="326">
        <v>70</v>
      </c>
      <c r="H70" s="326">
        <v>72</v>
      </c>
      <c r="I70" s="326">
        <v>73</v>
      </c>
      <c r="J70" s="326">
        <v>74</v>
      </c>
      <c r="K70" s="326">
        <v>75</v>
      </c>
      <c r="L70" s="326">
        <v>76</v>
      </c>
      <c r="M70" s="326">
        <v>78</v>
      </c>
      <c r="N70" s="326">
        <v>80</v>
      </c>
      <c r="O70" s="326">
        <v>82</v>
      </c>
      <c r="P70" s="326">
        <v>84</v>
      </c>
      <c r="Q70" s="326">
        <v>87</v>
      </c>
      <c r="R70" s="326">
        <v>89</v>
      </c>
      <c r="S70" s="326">
        <v>92</v>
      </c>
      <c r="T70" s="326">
        <v>96</v>
      </c>
      <c r="U70" s="326">
        <v>99</v>
      </c>
      <c r="V70" s="326">
        <v>100</v>
      </c>
      <c r="W70" s="326">
        <v>100</v>
      </c>
      <c r="X70" s="326">
        <v>101</v>
      </c>
      <c r="Y70" s="326">
        <v>103</v>
      </c>
      <c r="Z70" s="326">
        <v>104</v>
      </c>
      <c r="AA70" s="326">
        <v>106</v>
      </c>
      <c r="AB70" s="326">
        <v>108</v>
      </c>
      <c r="AC70" s="326">
        <v>111</v>
      </c>
      <c r="AD70" s="326">
        <v>113</v>
      </c>
      <c r="AE70" s="326">
        <v>116</v>
      </c>
      <c r="AF70" s="326">
        <v>116</v>
      </c>
      <c r="AG70" s="326">
        <v>117</v>
      </c>
      <c r="AH70" s="326">
        <v>118</v>
      </c>
      <c r="AI70" s="326">
        <v>120</v>
      </c>
      <c r="AJ70" s="326">
        <v>121</v>
      </c>
      <c r="AK70" s="326">
        <v>123</v>
      </c>
      <c r="AL70" s="326">
        <v>125</v>
      </c>
      <c r="AM70" s="326">
        <v>128</v>
      </c>
      <c r="AN70" s="326">
        <v>130</v>
      </c>
      <c r="AO70" s="326">
        <v>132</v>
      </c>
      <c r="AP70" s="326">
        <v>133</v>
      </c>
      <c r="AQ70" s="326">
        <v>134</v>
      </c>
      <c r="AR70" s="326">
        <v>135</v>
      </c>
      <c r="AS70" s="326">
        <v>136</v>
      </c>
      <c r="AT70" s="326">
        <v>136</v>
      </c>
      <c r="AU70" s="326">
        <v>138</v>
      </c>
      <c r="AV70" s="326">
        <v>140</v>
      </c>
      <c r="AW70" s="326">
        <v>141</v>
      </c>
      <c r="AX70" s="326">
        <v>143</v>
      </c>
      <c r="AY70" s="326">
        <v>144</v>
      </c>
      <c r="AZ70" s="326">
        <v>147</v>
      </c>
      <c r="BA70" s="326">
        <v>149</v>
      </c>
      <c r="BB70" s="326">
        <v>152</v>
      </c>
      <c r="BC70" s="326">
        <v>154</v>
      </c>
      <c r="BD70" s="326">
        <v>156</v>
      </c>
      <c r="BE70" s="326">
        <v>160</v>
      </c>
      <c r="BF70" s="326">
        <v>163</v>
      </c>
      <c r="BG70" s="326">
        <v>166</v>
      </c>
      <c r="BH70" s="326">
        <v>169</v>
      </c>
      <c r="BI70" s="326">
        <v>172</v>
      </c>
      <c r="BJ70" s="326">
        <v>173</v>
      </c>
      <c r="BK70" s="326">
        <v>174</v>
      </c>
      <c r="BL70" s="326">
        <v>175</v>
      </c>
      <c r="BM70" s="326">
        <v>176</v>
      </c>
      <c r="BN70" s="326">
        <v>177</v>
      </c>
      <c r="BO70" s="326">
        <v>179</v>
      </c>
      <c r="BP70" s="326">
        <v>180</v>
      </c>
      <c r="BQ70" s="326">
        <v>182</v>
      </c>
      <c r="BR70" s="326">
        <v>184</v>
      </c>
      <c r="BS70" s="326">
        <v>187</v>
      </c>
      <c r="BT70" s="326">
        <v>188</v>
      </c>
      <c r="BU70" s="326">
        <v>188</v>
      </c>
      <c r="BV70" s="326">
        <v>189</v>
      </c>
      <c r="BW70" s="326">
        <v>190</v>
      </c>
      <c r="BX70" s="326">
        <v>192</v>
      </c>
      <c r="BY70" s="326">
        <v>193</v>
      </c>
      <c r="BZ70" s="326">
        <v>195</v>
      </c>
      <c r="CA70" s="326">
        <v>196</v>
      </c>
      <c r="CB70" s="326">
        <v>199</v>
      </c>
      <c r="CC70" s="326">
        <v>201</v>
      </c>
      <c r="CD70" s="326">
        <v>202</v>
      </c>
      <c r="CE70" s="326">
        <v>203</v>
      </c>
      <c r="CF70" s="326">
        <v>204</v>
      </c>
      <c r="CG70" s="326">
        <v>204</v>
      </c>
      <c r="CH70" s="326">
        <v>206</v>
      </c>
      <c r="CI70" s="326">
        <v>208</v>
      </c>
      <c r="CJ70" s="326">
        <v>209</v>
      </c>
      <c r="CK70" s="326">
        <v>211</v>
      </c>
      <c r="CL70" s="326">
        <v>213</v>
      </c>
      <c r="CM70" s="326">
        <v>216</v>
      </c>
      <c r="CN70" s="326">
        <v>216</v>
      </c>
      <c r="CO70" s="326">
        <v>217</v>
      </c>
      <c r="CP70" s="326">
        <v>218</v>
      </c>
      <c r="CQ70" s="326">
        <v>219</v>
      </c>
      <c r="CR70" s="326">
        <v>220</v>
      </c>
      <c r="CS70" s="326">
        <v>222</v>
      </c>
      <c r="CT70" s="326">
        <v>224</v>
      </c>
      <c r="CU70" s="326">
        <v>225</v>
      </c>
      <c r="CV70" s="326">
        <v>228</v>
      </c>
      <c r="CW70" s="266"/>
    </row>
    <row r="71" spans="1:101" ht="12.75" x14ac:dyDescent="0.2">
      <c r="A71" s="328"/>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7"/>
      <c r="BS71" s="327"/>
      <c r="BT71" s="327"/>
      <c r="BU71" s="327"/>
      <c r="BV71" s="327"/>
      <c r="BW71" s="327"/>
      <c r="BX71" s="327"/>
      <c r="BY71" s="327"/>
      <c r="BZ71" s="327"/>
      <c r="CA71" s="327"/>
      <c r="CB71" s="327"/>
      <c r="CC71" s="327"/>
      <c r="CD71" s="327"/>
      <c r="CE71" s="327"/>
      <c r="CF71" s="327"/>
      <c r="CG71" s="327"/>
      <c r="CH71" s="327"/>
      <c r="CI71" s="327"/>
      <c r="CJ71" s="327"/>
      <c r="CK71" s="327"/>
      <c r="CL71" s="327"/>
      <c r="CM71" s="327"/>
      <c r="CN71" s="327"/>
      <c r="CO71" s="327"/>
      <c r="CP71" s="327"/>
      <c r="CQ71" s="327"/>
      <c r="CR71" s="327"/>
      <c r="CS71" s="327"/>
      <c r="CT71" s="327"/>
      <c r="CU71" s="327"/>
      <c r="CV71" s="327"/>
      <c r="CW71" s="328"/>
    </row>
    <row r="72" spans="1:101" ht="18" x14ac:dyDescent="0.25">
      <c r="A72" s="47" t="str">
        <f ca="1">语言!$A$39</f>
        <v>普里姆萝洁</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7"/>
      <c r="CP72" s="327"/>
      <c r="CQ72" s="327"/>
      <c r="CR72" s="327"/>
      <c r="CS72" s="327"/>
      <c r="CT72" s="327"/>
      <c r="CU72" s="327"/>
      <c r="CV72" s="327"/>
      <c r="CW72" s="328"/>
    </row>
    <row r="73" spans="1:101" ht="12.75" x14ac:dyDescent="0.2">
      <c r="A73" s="50" t="str">
        <f ca="1">语言!$A$2297</f>
        <v>等级</v>
      </c>
      <c r="B73" s="329">
        <v>1</v>
      </c>
      <c r="C73" s="329">
        <v>2</v>
      </c>
      <c r="D73" s="329">
        <v>3</v>
      </c>
      <c r="E73" s="329">
        <v>4</v>
      </c>
      <c r="F73" s="329">
        <v>5</v>
      </c>
      <c r="G73" s="329">
        <v>6</v>
      </c>
      <c r="H73" s="329">
        <v>7</v>
      </c>
      <c r="I73" s="329">
        <v>8</v>
      </c>
      <c r="J73" s="329">
        <v>9</v>
      </c>
      <c r="K73" s="329">
        <v>10</v>
      </c>
      <c r="L73" s="329">
        <v>11</v>
      </c>
      <c r="M73" s="329">
        <v>12</v>
      </c>
      <c r="N73" s="329">
        <v>13</v>
      </c>
      <c r="O73" s="329">
        <v>14</v>
      </c>
      <c r="P73" s="329">
        <v>15</v>
      </c>
      <c r="Q73" s="329">
        <v>16</v>
      </c>
      <c r="R73" s="329">
        <v>17</v>
      </c>
      <c r="S73" s="329">
        <v>18</v>
      </c>
      <c r="T73" s="329">
        <v>19</v>
      </c>
      <c r="U73" s="329">
        <v>20</v>
      </c>
      <c r="V73" s="329">
        <v>21</v>
      </c>
      <c r="W73" s="329">
        <v>22</v>
      </c>
      <c r="X73" s="329">
        <v>23</v>
      </c>
      <c r="Y73" s="329">
        <v>24</v>
      </c>
      <c r="Z73" s="329">
        <v>25</v>
      </c>
      <c r="AA73" s="329">
        <v>26</v>
      </c>
      <c r="AB73" s="329">
        <v>27</v>
      </c>
      <c r="AC73" s="329">
        <v>28</v>
      </c>
      <c r="AD73" s="329">
        <v>29</v>
      </c>
      <c r="AE73" s="329">
        <v>30</v>
      </c>
      <c r="AF73" s="329">
        <v>31</v>
      </c>
      <c r="AG73" s="329">
        <v>32</v>
      </c>
      <c r="AH73" s="329">
        <v>33</v>
      </c>
      <c r="AI73" s="329">
        <v>34</v>
      </c>
      <c r="AJ73" s="329">
        <v>35</v>
      </c>
      <c r="AK73" s="329">
        <v>36</v>
      </c>
      <c r="AL73" s="329">
        <v>37</v>
      </c>
      <c r="AM73" s="329">
        <v>38</v>
      </c>
      <c r="AN73" s="329">
        <v>39</v>
      </c>
      <c r="AO73" s="329">
        <v>40</v>
      </c>
      <c r="AP73" s="329">
        <v>41</v>
      </c>
      <c r="AQ73" s="329">
        <v>42</v>
      </c>
      <c r="AR73" s="329">
        <v>43</v>
      </c>
      <c r="AS73" s="329">
        <v>44</v>
      </c>
      <c r="AT73" s="329">
        <v>45</v>
      </c>
      <c r="AU73" s="329">
        <v>46</v>
      </c>
      <c r="AV73" s="329">
        <v>47</v>
      </c>
      <c r="AW73" s="329">
        <v>48</v>
      </c>
      <c r="AX73" s="329">
        <v>49</v>
      </c>
      <c r="AY73" s="329">
        <v>50</v>
      </c>
      <c r="AZ73" s="329">
        <v>51</v>
      </c>
      <c r="BA73" s="329">
        <v>52</v>
      </c>
      <c r="BB73" s="329">
        <v>53</v>
      </c>
      <c r="BC73" s="329">
        <v>54</v>
      </c>
      <c r="BD73" s="329">
        <v>55</v>
      </c>
      <c r="BE73" s="329">
        <v>56</v>
      </c>
      <c r="BF73" s="329">
        <v>57</v>
      </c>
      <c r="BG73" s="329">
        <v>58</v>
      </c>
      <c r="BH73" s="329">
        <v>59</v>
      </c>
      <c r="BI73" s="329">
        <v>60</v>
      </c>
      <c r="BJ73" s="329">
        <v>61</v>
      </c>
      <c r="BK73" s="329">
        <v>62</v>
      </c>
      <c r="BL73" s="329">
        <v>63</v>
      </c>
      <c r="BM73" s="329">
        <v>64</v>
      </c>
      <c r="BN73" s="329">
        <v>65</v>
      </c>
      <c r="BO73" s="329">
        <v>66</v>
      </c>
      <c r="BP73" s="329">
        <v>67</v>
      </c>
      <c r="BQ73" s="329">
        <v>68</v>
      </c>
      <c r="BR73" s="329">
        <v>69</v>
      </c>
      <c r="BS73" s="329">
        <v>70</v>
      </c>
      <c r="BT73" s="329">
        <v>71</v>
      </c>
      <c r="BU73" s="329">
        <v>72</v>
      </c>
      <c r="BV73" s="329">
        <v>73</v>
      </c>
      <c r="BW73" s="329">
        <v>74</v>
      </c>
      <c r="BX73" s="329">
        <v>75</v>
      </c>
      <c r="BY73" s="329">
        <v>76</v>
      </c>
      <c r="BZ73" s="329">
        <v>77</v>
      </c>
      <c r="CA73" s="329">
        <v>78</v>
      </c>
      <c r="CB73" s="329">
        <v>79</v>
      </c>
      <c r="CC73" s="329">
        <v>80</v>
      </c>
      <c r="CD73" s="329">
        <v>81</v>
      </c>
      <c r="CE73" s="329">
        <v>82</v>
      </c>
      <c r="CF73" s="329">
        <v>83</v>
      </c>
      <c r="CG73" s="329">
        <v>84</v>
      </c>
      <c r="CH73" s="329">
        <v>85</v>
      </c>
      <c r="CI73" s="329">
        <v>86</v>
      </c>
      <c r="CJ73" s="329">
        <v>87</v>
      </c>
      <c r="CK73" s="329">
        <v>88</v>
      </c>
      <c r="CL73" s="329">
        <v>89</v>
      </c>
      <c r="CM73" s="329">
        <v>90</v>
      </c>
      <c r="CN73" s="329">
        <v>91</v>
      </c>
      <c r="CO73" s="329">
        <v>92</v>
      </c>
      <c r="CP73" s="329">
        <v>93</v>
      </c>
      <c r="CQ73" s="329">
        <v>94</v>
      </c>
      <c r="CR73" s="329">
        <v>95</v>
      </c>
      <c r="CS73" s="329">
        <v>96</v>
      </c>
      <c r="CT73" s="329">
        <v>97</v>
      </c>
      <c r="CU73" s="329">
        <v>98</v>
      </c>
      <c r="CV73" s="329">
        <v>99</v>
      </c>
      <c r="CW73" s="49"/>
    </row>
    <row r="74" spans="1:101" ht="12.75" x14ac:dyDescent="0.2">
      <c r="A74" s="323" t="str">
        <f ca="1">语言!$A$2298</f>
        <v>最大ＨＰ</v>
      </c>
      <c r="B74" s="325">
        <v>225</v>
      </c>
      <c r="C74" s="325">
        <v>234</v>
      </c>
      <c r="D74" s="325">
        <v>253</v>
      </c>
      <c r="E74" s="325">
        <v>282</v>
      </c>
      <c r="F74" s="325">
        <v>320</v>
      </c>
      <c r="G74" s="325">
        <v>367</v>
      </c>
      <c r="H74" s="325">
        <v>423</v>
      </c>
      <c r="I74" s="325">
        <v>432</v>
      </c>
      <c r="J74" s="325">
        <v>450</v>
      </c>
      <c r="K74" s="325">
        <v>475</v>
      </c>
      <c r="L74" s="325">
        <v>508</v>
      </c>
      <c r="M74" s="325">
        <v>549</v>
      </c>
      <c r="N74" s="325">
        <v>599</v>
      </c>
      <c r="O74" s="325">
        <v>657</v>
      </c>
      <c r="P74" s="325">
        <v>722</v>
      </c>
      <c r="Q74" s="325">
        <v>796</v>
      </c>
      <c r="R74" s="325">
        <v>878</v>
      </c>
      <c r="S74" s="325">
        <v>969</v>
      </c>
      <c r="T74" s="325">
        <v>1068</v>
      </c>
      <c r="U74" s="325">
        <v>1175</v>
      </c>
      <c r="V74" s="325">
        <v>1184</v>
      </c>
      <c r="W74" s="325">
        <v>1201</v>
      </c>
      <c r="X74" s="325">
        <v>1226</v>
      </c>
      <c r="Y74" s="325">
        <v>1260</v>
      </c>
      <c r="Z74" s="325">
        <v>1301</v>
      </c>
      <c r="AA74" s="325">
        <v>1350</v>
      </c>
      <c r="AB74" s="325">
        <v>1408</v>
      </c>
      <c r="AC74" s="325">
        <v>1474</v>
      </c>
      <c r="AD74" s="325">
        <v>1548</v>
      </c>
      <c r="AE74" s="325">
        <v>1629</v>
      </c>
      <c r="AF74" s="325">
        <v>1637</v>
      </c>
      <c r="AG74" s="325">
        <v>1651</v>
      </c>
      <c r="AH74" s="325">
        <v>1673</v>
      </c>
      <c r="AI74" s="325">
        <v>1701</v>
      </c>
      <c r="AJ74" s="325">
        <v>1737</v>
      </c>
      <c r="AK74" s="325">
        <v>1779</v>
      </c>
      <c r="AL74" s="325">
        <v>1828</v>
      </c>
      <c r="AM74" s="325">
        <v>1885</v>
      </c>
      <c r="AN74" s="325">
        <v>1949</v>
      </c>
      <c r="AO74" s="325">
        <v>2019</v>
      </c>
      <c r="AP74" s="325">
        <v>2023</v>
      </c>
      <c r="AQ74" s="325">
        <v>2030</v>
      </c>
      <c r="AR74" s="325">
        <v>2041</v>
      </c>
      <c r="AS74" s="325">
        <v>2055</v>
      </c>
      <c r="AT74" s="325">
        <v>2073</v>
      </c>
      <c r="AU74" s="325">
        <v>2095</v>
      </c>
      <c r="AV74" s="325">
        <v>2120</v>
      </c>
      <c r="AW74" s="325">
        <v>2149</v>
      </c>
      <c r="AX74" s="325">
        <v>2181</v>
      </c>
      <c r="AY74" s="325">
        <v>2216</v>
      </c>
      <c r="AZ74" s="325">
        <v>2255</v>
      </c>
      <c r="BA74" s="325">
        <v>2297</v>
      </c>
      <c r="BB74" s="325">
        <v>2343</v>
      </c>
      <c r="BC74" s="325">
        <v>2393</v>
      </c>
      <c r="BD74" s="325">
        <v>2446</v>
      </c>
      <c r="BE74" s="325">
        <v>2502</v>
      </c>
      <c r="BF74" s="325">
        <v>2563</v>
      </c>
      <c r="BG74" s="325">
        <v>2627</v>
      </c>
      <c r="BH74" s="325">
        <v>2694</v>
      </c>
      <c r="BI74" s="325">
        <v>2764</v>
      </c>
      <c r="BJ74" s="325">
        <v>2771</v>
      </c>
      <c r="BK74" s="325">
        <v>2782</v>
      </c>
      <c r="BL74" s="325">
        <v>2800</v>
      </c>
      <c r="BM74" s="325">
        <v>2824</v>
      </c>
      <c r="BN74" s="325">
        <v>2853</v>
      </c>
      <c r="BO74" s="325">
        <v>2889</v>
      </c>
      <c r="BP74" s="325">
        <v>2930</v>
      </c>
      <c r="BQ74" s="325">
        <v>2977</v>
      </c>
      <c r="BR74" s="325">
        <v>3030</v>
      </c>
      <c r="BS74" s="325">
        <v>3088</v>
      </c>
      <c r="BT74" s="325">
        <v>3095</v>
      </c>
      <c r="BU74" s="325">
        <v>3106</v>
      </c>
      <c r="BV74" s="325">
        <v>3124</v>
      </c>
      <c r="BW74" s="325">
        <v>3148</v>
      </c>
      <c r="BX74" s="325">
        <v>3177</v>
      </c>
      <c r="BY74" s="325">
        <v>3213</v>
      </c>
      <c r="BZ74" s="325">
        <v>3254</v>
      </c>
      <c r="CA74" s="325">
        <v>3301</v>
      </c>
      <c r="CB74" s="325">
        <v>3354</v>
      </c>
      <c r="CC74" s="325">
        <v>3412</v>
      </c>
      <c r="CD74" s="325">
        <v>3419</v>
      </c>
      <c r="CE74" s="325">
        <v>3430</v>
      </c>
      <c r="CF74" s="325">
        <v>3448</v>
      </c>
      <c r="CG74" s="325">
        <v>3472</v>
      </c>
      <c r="CH74" s="325">
        <v>3501</v>
      </c>
      <c r="CI74" s="325">
        <v>3537</v>
      </c>
      <c r="CJ74" s="325">
        <v>3578</v>
      </c>
      <c r="CK74" s="325">
        <v>3625</v>
      </c>
      <c r="CL74" s="325">
        <v>3678</v>
      </c>
      <c r="CM74" s="325">
        <v>3736</v>
      </c>
      <c r="CN74" s="325">
        <v>3743</v>
      </c>
      <c r="CO74" s="325">
        <v>3754</v>
      </c>
      <c r="CP74" s="325">
        <v>3772</v>
      </c>
      <c r="CQ74" s="325">
        <v>3796</v>
      </c>
      <c r="CR74" s="325">
        <v>3825</v>
      </c>
      <c r="CS74" s="325">
        <v>3861</v>
      </c>
      <c r="CT74" s="325">
        <v>3902</v>
      </c>
      <c r="CU74" s="325">
        <v>3949</v>
      </c>
      <c r="CV74" s="325">
        <v>4002</v>
      </c>
      <c r="CW74" s="272"/>
    </row>
    <row r="75" spans="1:101" ht="12.75" x14ac:dyDescent="0.2">
      <c r="A75" s="49" t="str">
        <f ca="1">语言!$A$2299</f>
        <v>最大ＳＰ</v>
      </c>
      <c r="B75" s="326">
        <v>50</v>
      </c>
      <c r="C75" s="326">
        <v>51</v>
      </c>
      <c r="D75" s="326">
        <v>52</v>
      </c>
      <c r="E75" s="326">
        <v>53</v>
      </c>
      <c r="F75" s="326">
        <v>54</v>
      </c>
      <c r="G75" s="326">
        <v>55</v>
      </c>
      <c r="H75" s="326">
        <v>57</v>
      </c>
      <c r="I75" s="326">
        <v>58</v>
      </c>
      <c r="J75" s="326">
        <v>59</v>
      </c>
      <c r="K75" s="326">
        <v>60</v>
      </c>
      <c r="L75" s="326">
        <v>61</v>
      </c>
      <c r="M75" s="326">
        <v>62</v>
      </c>
      <c r="N75" s="326">
        <v>64</v>
      </c>
      <c r="O75" s="326">
        <v>66</v>
      </c>
      <c r="P75" s="326">
        <v>68</v>
      </c>
      <c r="Q75" s="326">
        <v>70</v>
      </c>
      <c r="R75" s="326">
        <v>72</v>
      </c>
      <c r="S75" s="326">
        <v>74</v>
      </c>
      <c r="T75" s="326">
        <v>77</v>
      </c>
      <c r="U75" s="326">
        <v>80</v>
      </c>
      <c r="V75" s="326">
        <v>81</v>
      </c>
      <c r="W75" s="326">
        <v>82</v>
      </c>
      <c r="X75" s="326">
        <v>83</v>
      </c>
      <c r="Y75" s="326">
        <v>84</v>
      </c>
      <c r="Z75" s="326">
        <v>85</v>
      </c>
      <c r="AA75" s="326">
        <v>87</v>
      </c>
      <c r="AB75" s="326">
        <v>89</v>
      </c>
      <c r="AC75" s="326">
        <v>91</v>
      </c>
      <c r="AD75" s="326">
        <v>93</v>
      </c>
      <c r="AE75" s="326">
        <v>95</v>
      </c>
      <c r="AF75" s="326">
        <v>96</v>
      </c>
      <c r="AG75" s="326">
        <v>97</v>
      </c>
      <c r="AH75" s="326">
        <v>98</v>
      </c>
      <c r="AI75" s="326">
        <v>99</v>
      </c>
      <c r="AJ75" s="326">
        <v>100</v>
      </c>
      <c r="AK75" s="326">
        <v>101</v>
      </c>
      <c r="AL75" s="326">
        <v>103</v>
      </c>
      <c r="AM75" s="326">
        <v>105</v>
      </c>
      <c r="AN75" s="326">
        <v>107</v>
      </c>
      <c r="AO75" s="326">
        <v>109</v>
      </c>
      <c r="AP75" s="326">
        <v>110</v>
      </c>
      <c r="AQ75" s="326">
        <v>111</v>
      </c>
      <c r="AR75" s="326">
        <v>112</v>
      </c>
      <c r="AS75" s="326">
        <v>113</v>
      </c>
      <c r="AT75" s="326">
        <v>114</v>
      </c>
      <c r="AU75" s="326">
        <v>115</v>
      </c>
      <c r="AV75" s="326">
        <v>116</v>
      </c>
      <c r="AW75" s="326">
        <v>117</v>
      </c>
      <c r="AX75" s="326">
        <v>118</v>
      </c>
      <c r="AY75" s="326">
        <v>119</v>
      </c>
      <c r="AZ75" s="326">
        <v>120</v>
      </c>
      <c r="BA75" s="326">
        <v>121</v>
      </c>
      <c r="BB75" s="326">
        <v>122</v>
      </c>
      <c r="BC75" s="326">
        <v>124</v>
      </c>
      <c r="BD75" s="326">
        <v>126</v>
      </c>
      <c r="BE75" s="326">
        <v>128</v>
      </c>
      <c r="BF75" s="326">
        <v>130</v>
      </c>
      <c r="BG75" s="326">
        <v>132</v>
      </c>
      <c r="BH75" s="326">
        <v>134</v>
      </c>
      <c r="BI75" s="326">
        <v>136</v>
      </c>
      <c r="BJ75" s="326">
        <v>137</v>
      </c>
      <c r="BK75" s="326">
        <v>138</v>
      </c>
      <c r="BL75" s="326">
        <v>139</v>
      </c>
      <c r="BM75" s="326">
        <v>140</v>
      </c>
      <c r="BN75" s="326">
        <v>141</v>
      </c>
      <c r="BO75" s="326">
        <v>142</v>
      </c>
      <c r="BP75" s="326">
        <v>143</v>
      </c>
      <c r="BQ75" s="326">
        <v>144</v>
      </c>
      <c r="BR75" s="326">
        <v>146</v>
      </c>
      <c r="BS75" s="326">
        <v>148</v>
      </c>
      <c r="BT75" s="326">
        <v>149</v>
      </c>
      <c r="BU75" s="326">
        <v>150</v>
      </c>
      <c r="BV75" s="326">
        <v>151</v>
      </c>
      <c r="BW75" s="326">
        <v>152</v>
      </c>
      <c r="BX75" s="326">
        <v>153</v>
      </c>
      <c r="BY75" s="326">
        <v>154</v>
      </c>
      <c r="BZ75" s="326">
        <v>155</v>
      </c>
      <c r="CA75" s="326">
        <v>156</v>
      </c>
      <c r="CB75" s="326">
        <v>158</v>
      </c>
      <c r="CC75" s="326">
        <v>160</v>
      </c>
      <c r="CD75" s="326">
        <v>161</v>
      </c>
      <c r="CE75" s="326">
        <v>162</v>
      </c>
      <c r="CF75" s="326">
        <v>163</v>
      </c>
      <c r="CG75" s="326">
        <v>164</v>
      </c>
      <c r="CH75" s="326">
        <v>165</v>
      </c>
      <c r="CI75" s="326">
        <v>166</v>
      </c>
      <c r="CJ75" s="326">
        <v>167</v>
      </c>
      <c r="CK75" s="326">
        <v>168</v>
      </c>
      <c r="CL75" s="326">
        <v>170</v>
      </c>
      <c r="CM75" s="326">
        <v>172</v>
      </c>
      <c r="CN75" s="326">
        <v>173</v>
      </c>
      <c r="CO75" s="326">
        <v>174</v>
      </c>
      <c r="CP75" s="326">
        <v>175</v>
      </c>
      <c r="CQ75" s="326">
        <v>176</v>
      </c>
      <c r="CR75" s="326">
        <v>177</v>
      </c>
      <c r="CS75" s="326">
        <v>178</v>
      </c>
      <c r="CT75" s="326">
        <v>179</v>
      </c>
      <c r="CU75" s="326">
        <v>180</v>
      </c>
      <c r="CV75" s="326">
        <v>182</v>
      </c>
      <c r="CW75" s="266"/>
    </row>
    <row r="76" spans="1:101" ht="12.75" x14ac:dyDescent="0.2">
      <c r="A76" s="323" t="str">
        <f ca="1">语言!$A$2300</f>
        <v>物理攻击力</v>
      </c>
      <c r="B76" s="325">
        <v>80</v>
      </c>
      <c r="C76" s="325">
        <v>81</v>
      </c>
      <c r="D76" s="325">
        <v>82</v>
      </c>
      <c r="E76" s="325">
        <v>84</v>
      </c>
      <c r="F76" s="325">
        <v>86</v>
      </c>
      <c r="G76" s="325">
        <v>88</v>
      </c>
      <c r="H76" s="325">
        <v>91</v>
      </c>
      <c r="I76" s="325">
        <v>92</v>
      </c>
      <c r="J76" s="325">
        <v>93</v>
      </c>
      <c r="K76" s="325">
        <v>94</v>
      </c>
      <c r="L76" s="325">
        <v>96</v>
      </c>
      <c r="M76" s="325">
        <v>98</v>
      </c>
      <c r="N76" s="325">
        <v>100</v>
      </c>
      <c r="O76" s="325">
        <v>103</v>
      </c>
      <c r="P76" s="325">
        <v>106</v>
      </c>
      <c r="Q76" s="325">
        <v>109</v>
      </c>
      <c r="R76" s="325">
        <v>112</v>
      </c>
      <c r="S76" s="325">
        <v>116</v>
      </c>
      <c r="T76" s="325">
        <v>120</v>
      </c>
      <c r="U76" s="325">
        <v>124</v>
      </c>
      <c r="V76" s="325">
        <v>125</v>
      </c>
      <c r="W76" s="325">
        <v>126</v>
      </c>
      <c r="X76" s="325">
        <v>127</v>
      </c>
      <c r="Y76" s="325">
        <v>129</v>
      </c>
      <c r="Z76" s="325">
        <v>131</v>
      </c>
      <c r="AA76" s="325">
        <v>133</v>
      </c>
      <c r="AB76" s="325">
        <v>136</v>
      </c>
      <c r="AC76" s="325">
        <v>139</v>
      </c>
      <c r="AD76" s="325">
        <v>142</v>
      </c>
      <c r="AE76" s="325">
        <v>145</v>
      </c>
      <c r="AF76" s="325">
        <v>146</v>
      </c>
      <c r="AG76" s="325">
        <v>147</v>
      </c>
      <c r="AH76" s="325">
        <v>148</v>
      </c>
      <c r="AI76" s="325">
        <v>150</v>
      </c>
      <c r="AJ76" s="325">
        <v>152</v>
      </c>
      <c r="AK76" s="325">
        <v>154</v>
      </c>
      <c r="AL76" s="325">
        <v>157</v>
      </c>
      <c r="AM76" s="325">
        <v>160</v>
      </c>
      <c r="AN76" s="325">
        <v>163</v>
      </c>
      <c r="AO76" s="325">
        <v>166</v>
      </c>
      <c r="AP76" s="325">
        <v>167</v>
      </c>
      <c r="AQ76" s="325">
        <v>168</v>
      </c>
      <c r="AR76" s="325">
        <v>169</v>
      </c>
      <c r="AS76" s="325">
        <v>170</v>
      </c>
      <c r="AT76" s="325">
        <v>171</v>
      </c>
      <c r="AU76" s="325">
        <v>173</v>
      </c>
      <c r="AV76" s="325">
        <v>175</v>
      </c>
      <c r="AW76" s="325">
        <v>177</v>
      </c>
      <c r="AX76" s="325">
        <v>179</v>
      </c>
      <c r="AY76" s="325">
        <v>181</v>
      </c>
      <c r="AZ76" s="325">
        <v>184</v>
      </c>
      <c r="BA76" s="325">
        <v>187</v>
      </c>
      <c r="BB76" s="325">
        <v>190</v>
      </c>
      <c r="BC76" s="325">
        <v>193</v>
      </c>
      <c r="BD76" s="325">
        <v>196</v>
      </c>
      <c r="BE76" s="325">
        <v>200</v>
      </c>
      <c r="BF76" s="325">
        <v>204</v>
      </c>
      <c r="BG76" s="325">
        <v>208</v>
      </c>
      <c r="BH76" s="325">
        <v>212</v>
      </c>
      <c r="BI76" s="325">
        <v>216</v>
      </c>
      <c r="BJ76" s="325">
        <v>217</v>
      </c>
      <c r="BK76" s="325">
        <v>218</v>
      </c>
      <c r="BL76" s="325">
        <v>219</v>
      </c>
      <c r="BM76" s="325">
        <v>220</v>
      </c>
      <c r="BN76" s="325">
        <v>222</v>
      </c>
      <c r="BO76" s="325">
        <v>224</v>
      </c>
      <c r="BP76" s="325">
        <v>226</v>
      </c>
      <c r="BQ76" s="325">
        <v>228</v>
      </c>
      <c r="BR76" s="325">
        <v>231</v>
      </c>
      <c r="BS76" s="325">
        <v>234</v>
      </c>
      <c r="BT76" s="325">
        <v>235</v>
      </c>
      <c r="BU76" s="325">
        <v>236</v>
      </c>
      <c r="BV76" s="325">
        <v>237</v>
      </c>
      <c r="BW76" s="325">
        <v>238</v>
      </c>
      <c r="BX76" s="325">
        <v>240</v>
      </c>
      <c r="BY76" s="325">
        <v>242</v>
      </c>
      <c r="BZ76" s="325">
        <v>244</v>
      </c>
      <c r="CA76" s="325">
        <v>246</v>
      </c>
      <c r="CB76" s="325">
        <v>249</v>
      </c>
      <c r="CC76" s="325">
        <v>252</v>
      </c>
      <c r="CD76" s="325">
        <v>253</v>
      </c>
      <c r="CE76" s="325">
        <v>254</v>
      </c>
      <c r="CF76" s="325">
        <v>255</v>
      </c>
      <c r="CG76" s="325">
        <v>256</v>
      </c>
      <c r="CH76" s="325">
        <v>258</v>
      </c>
      <c r="CI76" s="325">
        <v>260</v>
      </c>
      <c r="CJ76" s="325">
        <v>262</v>
      </c>
      <c r="CK76" s="325">
        <v>264</v>
      </c>
      <c r="CL76" s="325">
        <v>267</v>
      </c>
      <c r="CM76" s="325">
        <v>270</v>
      </c>
      <c r="CN76" s="325">
        <v>271</v>
      </c>
      <c r="CO76" s="325">
        <v>272</v>
      </c>
      <c r="CP76" s="325">
        <v>273</v>
      </c>
      <c r="CQ76" s="325">
        <v>274</v>
      </c>
      <c r="CR76" s="325">
        <v>276</v>
      </c>
      <c r="CS76" s="325">
        <v>278</v>
      </c>
      <c r="CT76" s="325">
        <v>280</v>
      </c>
      <c r="CU76" s="325">
        <v>282</v>
      </c>
      <c r="CV76" s="325">
        <v>285</v>
      </c>
      <c r="CW76" s="272"/>
    </row>
    <row r="77" spans="1:101" ht="12.75" x14ac:dyDescent="0.2">
      <c r="A77" s="49" t="str">
        <f ca="1">语言!$A$2301</f>
        <v>属性攻击力</v>
      </c>
      <c r="B77" s="326">
        <v>96</v>
      </c>
      <c r="C77" s="326">
        <v>97</v>
      </c>
      <c r="D77" s="326">
        <v>98</v>
      </c>
      <c r="E77" s="326">
        <v>100</v>
      </c>
      <c r="F77" s="326">
        <v>103</v>
      </c>
      <c r="G77" s="326">
        <v>105</v>
      </c>
      <c r="H77" s="326">
        <v>109</v>
      </c>
      <c r="I77" s="326">
        <v>110</v>
      </c>
      <c r="J77" s="326">
        <v>111</v>
      </c>
      <c r="K77" s="326">
        <v>112</v>
      </c>
      <c r="L77" s="326">
        <v>115</v>
      </c>
      <c r="M77" s="326">
        <v>117</v>
      </c>
      <c r="N77" s="326">
        <v>120</v>
      </c>
      <c r="O77" s="326">
        <v>123</v>
      </c>
      <c r="P77" s="326">
        <v>127</v>
      </c>
      <c r="Q77" s="326">
        <v>130</v>
      </c>
      <c r="R77" s="326">
        <v>134</v>
      </c>
      <c r="S77" s="326">
        <v>139</v>
      </c>
      <c r="T77" s="326">
        <v>144</v>
      </c>
      <c r="U77" s="326">
        <v>148</v>
      </c>
      <c r="V77" s="326">
        <v>150</v>
      </c>
      <c r="W77" s="326">
        <v>151</v>
      </c>
      <c r="X77" s="326">
        <v>152</v>
      </c>
      <c r="Y77" s="326">
        <v>154</v>
      </c>
      <c r="Z77" s="326">
        <v>157</v>
      </c>
      <c r="AA77" s="326">
        <v>159</v>
      </c>
      <c r="AB77" s="326">
        <v>163</v>
      </c>
      <c r="AC77" s="326">
        <v>166</v>
      </c>
      <c r="AD77" s="326">
        <v>170</v>
      </c>
      <c r="AE77" s="326">
        <v>174</v>
      </c>
      <c r="AF77" s="326">
        <v>175</v>
      </c>
      <c r="AG77" s="326">
        <v>176</v>
      </c>
      <c r="AH77" s="326">
        <v>177</v>
      </c>
      <c r="AI77" s="326">
        <v>180</v>
      </c>
      <c r="AJ77" s="326">
        <v>182</v>
      </c>
      <c r="AK77" s="326">
        <v>184</v>
      </c>
      <c r="AL77" s="326">
        <v>188</v>
      </c>
      <c r="AM77" s="326">
        <v>192</v>
      </c>
      <c r="AN77" s="326">
        <v>195</v>
      </c>
      <c r="AO77" s="326">
        <v>199</v>
      </c>
      <c r="AP77" s="326">
        <v>200</v>
      </c>
      <c r="AQ77" s="326">
        <v>201</v>
      </c>
      <c r="AR77" s="326">
        <v>202</v>
      </c>
      <c r="AS77" s="326">
        <v>204</v>
      </c>
      <c r="AT77" s="326">
        <v>205</v>
      </c>
      <c r="AU77" s="326">
        <v>207</v>
      </c>
      <c r="AV77" s="326">
        <v>210</v>
      </c>
      <c r="AW77" s="326">
        <v>212</v>
      </c>
      <c r="AX77" s="326">
        <v>214</v>
      </c>
      <c r="AY77" s="326">
        <v>217</v>
      </c>
      <c r="AZ77" s="326">
        <v>220</v>
      </c>
      <c r="BA77" s="326">
        <v>224</v>
      </c>
      <c r="BB77" s="326">
        <v>228</v>
      </c>
      <c r="BC77" s="326">
        <v>231</v>
      </c>
      <c r="BD77" s="326">
        <v>235</v>
      </c>
      <c r="BE77" s="326">
        <v>240</v>
      </c>
      <c r="BF77" s="326">
        <v>244</v>
      </c>
      <c r="BG77" s="326">
        <v>249</v>
      </c>
      <c r="BH77" s="326">
        <v>254</v>
      </c>
      <c r="BI77" s="326">
        <v>259</v>
      </c>
      <c r="BJ77" s="326">
        <v>260</v>
      </c>
      <c r="BK77" s="326">
        <v>261</v>
      </c>
      <c r="BL77" s="326">
        <v>262</v>
      </c>
      <c r="BM77" s="326">
        <v>264</v>
      </c>
      <c r="BN77" s="326">
        <v>266</v>
      </c>
      <c r="BO77" s="326">
        <v>268</v>
      </c>
      <c r="BP77" s="326">
        <v>271</v>
      </c>
      <c r="BQ77" s="326">
        <v>273</v>
      </c>
      <c r="BR77" s="326">
        <v>277</v>
      </c>
      <c r="BS77" s="326">
        <v>280</v>
      </c>
      <c r="BT77" s="326">
        <v>282</v>
      </c>
      <c r="BU77" s="326">
        <v>283</v>
      </c>
      <c r="BV77" s="326">
        <v>284</v>
      </c>
      <c r="BW77" s="326">
        <v>285</v>
      </c>
      <c r="BX77" s="326">
        <v>288</v>
      </c>
      <c r="BY77" s="326">
        <v>290</v>
      </c>
      <c r="BZ77" s="326">
        <v>292</v>
      </c>
      <c r="CA77" s="326">
        <v>295</v>
      </c>
      <c r="CB77" s="326">
        <v>298</v>
      </c>
      <c r="CC77" s="326">
        <v>302</v>
      </c>
      <c r="CD77" s="326">
        <v>303</v>
      </c>
      <c r="CE77" s="326">
        <v>304</v>
      </c>
      <c r="CF77" s="326">
        <v>306</v>
      </c>
      <c r="CG77" s="326">
        <v>307</v>
      </c>
      <c r="CH77" s="326">
        <v>309</v>
      </c>
      <c r="CI77" s="326">
        <v>312</v>
      </c>
      <c r="CJ77" s="326">
        <v>314</v>
      </c>
      <c r="CK77" s="326">
        <v>316</v>
      </c>
      <c r="CL77" s="326">
        <v>320</v>
      </c>
      <c r="CM77" s="326">
        <v>324</v>
      </c>
      <c r="CN77" s="326">
        <v>325</v>
      </c>
      <c r="CO77" s="326">
        <v>326</v>
      </c>
      <c r="CP77" s="326">
        <v>327</v>
      </c>
      <c r="CQ77" s="326">
        <v>328</v>
      </c>
      <c r="CR77" s="326">
        <v>331</v>
      </c>
      <c r="CS77" s="326">
        <v>333</v>
      </c>
      <c r="CT77" s="326">
        <v>336</v>
      </c>
      <c r="CU77" s="326">
        <v>338</v>
      </c>
      <c r="CV77" s="326">
        <v>342</v>
      </c>
      <c r="CW77" s="266"/>
    </row>
    <row r="78" spans="1:101" ht="12.75" x14ac:dyDescent="0.2">
      <c r="A78" s="323" t="str">
        <f ca="1">语言!$A$2302</f>
        <v>物理防御力</v>
      </c>
      <c r="B78" s="325">
        <v>56</v>
      </c>
      <c r="C78" s="325">
        <v>56</v>
      </c>
      <c r="D78" s="325">
        <v>57</v>
      </c>
      <c r="E78" s="325">
        <v>58</v>
      </c>
      <c r="F78" s="325">
        <v>60</v>
      </c>
      <c r="G78" s="325">
        <v>61</v>
      </c>
      <c r="H78" s="325">
        <v>63</v>
      </c>
      <c r="I78" s="325">
        <v>64</v>
      </c>
      <c r="J78" s="325">
        <v>65</v>
      </c>
      <c r="K78" s="325">
        <v>65</v>
      </c>
      <c r="L78" s="325">
        <v>67</v>
      </c>
      <c r="M78" s="325">
        <v>68</v>
      </c>
      <c r="N78" s="325">
        <v>70</v>
      </c>
      <c r="O78" s="325">
        <v>72</v>
      </c>
      <c r="P78" s="325">
        <v>74</v>
      </c>
      <c r="Q78" s="325">
        <v>76</v>
      </c>
      <c r="R78" s="325">
        <v>78</v>
      </c>
      <c r="S78" s="325">
        <v>81</v>
      </c>
      <c r="T78" s="325">
        <v>84</v>
      </c>
      <c r="U78" s="325">
        <v>86</v>
      </c>
      <c r="V78" s="325">
        <v>87</v>
      </c>
      <c r="W78" s="325">
        <v>88</v>
      </c>
      <c r="X78" s="325">
        <v>88</v>
      </c>
      <c r="Y78" s="325">
        <v>90</v>
      </c>
      <c r="Z78" s="325">
        <v>91</v>
      </c>
      <c r="AA78" s="325">
        <v>93</v>
      </c>
      <c r="AB78" s="325">
        <v>95</v>
      </c>
      <c r="AC78" s="325">
        <v>97</v>
      </c>
      <c r="AD78" s="325">
        <v>99</v>
      </c>
      <c r="AE78" s="325">
        <v>101</v>
      </c>
      <c r="AF78" s="325">
        <v>102</v>
      </c>
      <c r="AG78" s="325">
        <v>102</v>
      </c>
      <c r="AH78" s="325">
        <v>103</v>
      </c>
      <c r="AI78" s="325">
        <v>105</v>
      </c>
      <c r="AJ78" s="325">
        <v>106</v>
      </c>
      <c r="AK78" s="325">
        <v>107</v>
      </c>
      <c r="AL78" s="325">
        <v>109</v>
      </c>
      <c r="AM78" s="325">
        <v>112</v>
      </c>
      <c r="AN78" s="325">
        <v>114</v>
      </c>
      <c r="AO78" s="325">
        <v>116</v>
      </c>
      <c r="AP78" s="325">
        <v>116</v>
      </c>
      <c r="AQ78" s="325">
        <v>117</v>
      </c>
      <c r="AR78" s="325">
        <v>118</v>
      </c>
      <c r="AS78" s="325">
        <v>119</v>
      </c>
      <c r="AT78" s="325">
        <v>119</v>
      </c>
      <c r="AU78" s="325">
        <v>121</v>
      </c>
      <c r="AV78" s="325">
        <v>122</v>
      </c>
      <c r="AW78" s="325">
        <v>123</v>
      </c>
      <c r="AX78" s="325">
        <v>125</v>
      </c>
      <c r="AY78" s="325">
        <v>126</v>
      </c>
      <c r="AZ78" s="325">
        <v>128</v>
      </c>
      <c r="BA78" s="325">
        <v>130</v>
      </c>
      <c r="BB78" s="325">
        <v>133</v>
      </c>
      <c r="BC78" s="325">
        <v>135</v>
      </c>
      <c r="BD78" s="325">
        <v>137</v>
      </c>
      <c r="BE78" s="325">
        <v>140</v>
      </c>
      <c r="BF78" s="325">
        <v>142</v>
      </c>
      <c r="BG78" s="325">
        <v>145</v>
      </c>
      <c r="BH78" s="325">
        <v>148</v>
      </c>
      <c r="BI78" s="325">
        <v>151</v>
      </c>
      <c r="BJ78" s="325">
        <v>151</v>
      </c>
      <c r="BK78" s="325">
        <v>152</v>
      </c>
      <c r="BL78" s="325">
        <v>153</v>
      </c>
      <c r="BM78" s="325">
        <v>154</v>
      </c>
      <c r="BN78" s="325">
        <v>155</v>
      </c>
      <c r="BO78" s="325">
        <v>156</v>
      </c>
      <c r="BP78" s="325">
        <v>158</v>
      </c>
      <c r="BQ78" s="325">
        <v>159</v>
      </c>
      <c r="BR78" s="325">
        <v>161</v>
      </c>
      <c r="BS78" s="325">
        <v>163</v>
      </c>
      <c r="BT78" s="325">
        <v>164</v>
      </c>
      <c r="BU78" s="325">
        <v>165</v>
      </c>
      <c r="BV78" s="325">
        <v>165</v>
      </c>
      <c r="BW78" s="325">
        <v>166</v>
      </c>
      <c r="BX78" s="325">
        <v>168</v>
      </c>
      <c r="BY78" s="325">
        <v>169</v>
      </c>
      <c r="BZ78" s="325">
        <v>170</v>
      </c>
      <c r="CA78" s="325">
        <v>172</v>
      </c>
      <c r="CB78" s="325">
        <v>174</v>
      </c>
      <c r="CC78" s="325">
        <v>176</v>
      </c>
      <c r="CD78" s="325">
        <v>177</v>
      </c>
      <c r="CE78" s="325">
        <v>177</v>
      </c>
      <c r="CF78" s="325">
        <v>178</v>
      </c>
      <c r="CG78" s="325">
        <v>179</v>
      </c>
      <c r="CH78" s="325">
        <v>180</v>
      </c>
      <c r="CI78" s="325">
        <v>182</v>
      </c>
      <c r="CJ78" s="325">
        <v>183</v>
      </c>
      <c r="CK78" s="325">
        <v>184</v>
      </c>
      <c r="CL78" s="325">
        <v>186</v>
      </c>
      <c r="CM78" s="325">
        <v>189</v>
      </c>
      <c r="CN78" s="325">
        <v>189</v>
      </c>
      <c r="CO78" s="325">
        <v>190</v>
      </c>
      <c r="CP78" s="325">
        <v>191</v>
      </c>
      <c r="CQ78" s="325">
        <v>191</v>
      </c>
      <c r="CR78" s="325">
        <v>193</v>
      </c>
      <c r="CS78" s="325">
        <v>194</v>
      </c>
      <c r="CT78" s="325">
        <v>196</v>
      </c>
      <c r="CU78" s="325">
        <v>197</v>
      </c>
      <c r="CV78" s="325">
        <v>199</v>
      </c>
      <c r="CW78" s="272"/>
    </row>
    <row r="79" spans="1:101" ht="12.75" x14ac:dyDescent="0.2">
      <c r="A79" s="49" t="str">
        <f ca="1">语言!$A$2303</f>
        <v>属性防御力</v>
      </c>
      <c r="B79" s="326">
        <v>64</v>
      </c>
      <c r="C79" s="326">
        <v>64</v>
      </c>
      <c r="D79" s="326">
        <v>65</v>
      </c>
      <c r="E79" s="326">
        <v>67</v>
      </c>
      <c r="F79" s="326">
        <v>68</v>
      </c>
      <c r="G79" s="326">
        <v>70</v>
      </c>
      <c r="H79" s="326">
        <v>72</v>
      </c>
      <c r="I79" s="326">
        <v>73</v>
      </c>
      <c r="J79" s="326">
        <v>74</v>
      </c>
      <c r="K79" s="326">
        <v>75</v>
      </c>
      <c r="L79" s="326">
        <v>76</v>
      </c>
      <c r="M79" s="326">
        <v>78</v>
      </c>
      <c r="N79" s="326">
        <v>80</v>
      </c>
      <c r="O79" s="326">
        <v>82</v>
      </c>
      <c r="P79" s="326">
        <v>84</v>
      </c>
      <c r="Q79" s="326">
        <v>87</v>
      </c>
      <c r="R79" s="326">
        <v>89</v>
      </c>
      <c r="S79" s="326">
        <v>92</v>
      </c>
      <c r="T79" s="326">
        <v>96</v>
      </c>
      <c r="U79" s="326">
        <v>99</v>
      </c>
      <c r="V79" s="326">
        <v>100</v>
      </c>
      <c r="W79" s="326">
        <v>100</v>
      </c>
      <c r="X79" s="326">
        <v>101</v>
      </c>
      <c r="Y79" s="326">
        <v>103</v>
      </c>
      <c r="Z79" s="326">
        <v>104</v>
      </c>
      <c r="AA79" s="326">
        <v>106</v>
      </c>
      <c r="AB79" s="326">
        <v>108</v>
      </c>
      <c r="AC79" s="326">
        <v>111</v>
      </c>
      <c r="AD79" s="326">
        <v>113</v>
      </c>
      <c r="AE79" s="326">
        <v>116</v>
      </c>
      <c r="AF79" s="326">
        <v>116</v>
      </c>
      <c r="AG79" s="326">
        <v>117</v>
      </c>
      <c r="AH79" s="326">
        <v>118</v>
      </c>
      <c r="AI79" s="326">
        <v>120</v>
      </c>
      <c r="AJ79" s="326">
        <v>121</v>
      </c>
      <c r="AK79" s="326">
        <v>123</v>
      </c>
      <c r="AL79" s="326">
        <v>125</v>
      </c>
      <c r="AM79" s="326">
        <v>128</v>
      </c>
      <c r="AN79" s="326">
        <v>130</v>
      </c>
      <c r="AO79" s="326">
        <v>132</v>
      </c>
      <c r="AP79" s="326">
        <v>133</v>
      </c>
      <c r="AQ79" s="326">
        <v>134</v>
      </c>
      <c r="AR79" s="326">
        <v>135</v>
      </c>
      <c r="AS79" s="326">
        <v>136</v>
      </c>
      <c r="AT79" s="326">
        <v>136</v>
      </c>
      <c r="AU79" s="326">
        <v>138</v>
      </c>
      <c r="AV79" s="326">
        <v>140</v>
      </c>
      <c r="AW79" s="326">
        <v>141</v>
      </c>
      <c r="AX79" s="326">
        <v>143</v>
      </c>
      <c r="AY79" s="326">
        <v>144</v>
      </c>
      <c r="AZ79" s="326">
        <v>147</v>
      </c>
      <c r="BA79" s="326">
        <v>149</v>
      </c>
      <c r="BB79" s="326">
        <v>152</v>
      </c>
      <c r="BC79" s="326">
        <v>154</v>
      </c>
      <c r="BD79" s="326">
        <v>156</v>
      </c>
      <c r="BE79" s="326">
        <v>160</v>
      </c>
      <c r="BF79" s="326">
        <v>163</v>
      </c>
      <c r="BG79" s="326">
        <v>166</v>
      </c>
      <c r="BH79" s="326">
        <v>169</v>
      </c>
      <c r="BI79" s="326">
        <v>172</v>
      </c>
      <c r="BJ79" s="326">
        <v>173</v>
      </c>
      <c r="BK79" s="326">
        <v>174</v>
      </c>
      <c r="BL79" s="326">
        <v>175</v>
      </c>
      <c r="BM79" s="326">
        <v>176</v>
      </c>
      <c r="BN79" s="326">
        <v>177</v>
      </c>
      <c r="BO79" s="326">
        <v>179</v>
      </c>
      <c r="BP79" s="326">
        <v>180</v>
      </c>
      <c r="BQ79" s="326">
        <v>182</v>
      </c>
      <c r="BR79" s="326">
        <v>184</v>
      </c>
      <c r="BS79" s="326">
        <v>187</v>
      </c>
      <c r="BT79" s="326">
        <v>188</v>
      </c>
      <c r="BU79" s="326">
        <v>188</v>
      </c>
      <c r="BV79" s="326">
        <v>189</v>
      </c>
      <c r="BW79" s="326">
        <v>190</v>
      </c>
      <c r="BX79" s="326">
        <v>192</v>
      </c>
      <c r="BY79" s="326">
        <v>193</v>
      </c>
      <c r="BZ79" s="326">
        <v>195</v>
      </c>
      <c r="CA79" s="326">
        <v>196</v>
      </c>
      <c r="CB79" s="326">
        <v>199</v>
      </c>
      <c r="CC79" s="326">
        <v>201</v>
      </c>
      <c r="CD79" s="326">
        <v>202</v>
      </c>
      <c r="CE79" s="326">
        <v>203</v>
      </c>
      <c r="CF79" s="326">
        <v>204</v>
      </c>
      <c r="CG79" s="326">
        <v>204</v>
      </c>
      <c r="CH79" s="326">
        <v>206</v>
      </c>
      <c r="CI79" s="326">
        <v>208</v>
      </c>
      <c r="CJ79" s="326">
        <v>209</v>
      </c>
      <c r="CK79" s="326">
        <v>211</v>
      </c>
      <c r="CL79" s="326">
        <v>213</v>
      </c>
      <c r="CM79" s="326">
        <v>216</v>
      </c>
      <c r="CN79" s="326">
        <v>216</v>
      </c>
      <c r="CO79" s="326">
        <v>217</v>
      </c>
      <c r="CP79" s="326">
        <v>218</v>
      </c>
      <c r="CQ79" s="326">
        <v>219</v>
      </c>
      <c r="CR79" s="326">
        <v>220</v>
      </c>
      <c r="CS79" s="326">
        <v>222</v>
      </c>
      <c r="CT79" s="326">
        <v>224</v>
      </c>
      <c r="CU79" s="326">
        <v>225</v>
      </c>
      <c r="CV79" s="326">
        <v>228</v>
      </c>
      <c r="CW79" s="266"/>
    </row>
    <row r="80" spans="1:101" ht="12.75" x14ac:dyDescent="0.2">
      <c r="A80" s="323" t="str">
        <f ca="1">语言!$A$2304</f>
        <v>命中</v>
      </c>
      <c r="B80" s="325">
        <v>80</v>
      </c>
      <c r="C80" s="325">
        <v>81</v>
      </c>
      <c r="D80" s="325">
        <v>82</v>
      </c>
      <c r="E80" s="325">
        <v>84</v>
      </c>
      <c r="F80" s="325">
        <v>86</v>
      </c>
      <c r="G80" s="325">
        <v>88</v>
      </c>
      <c r="H80" s="325">
        <v>91</v>
      </c>
      <c r="I80" s="325">
        <v>92</v>
      </c>
      <c r="J80" s="325">
        <v>93</v>
      </c>
      <c r="K80" s="325">
        <v>94</v>
      </c>
      <c r="L80" s="325">
        <v>96</v>
      </c>
      <c r="M80" s="325">
        <v>98</v>
      </c>
      <c r="N80" s="325">
        <v>100</v>
      </c>
      <c r="O80" s="325">
        <v>103</v>
      </c>
      <c r="P80" s="325">
        <v>106</v>
      </c>
      <c r="Q80" s="325">
        <v>109</v>
      </c>
      <c r="R80" s="325">
        <v>112</v>
      </c>
      <c r="S80" s="325">
        <v>116</v>
      </c>
      <c r="T80" s="325">
        <v>120</v>
      </c>
      <c r="U80" s="325">
        <v>124</v>
      </c>
      <c r="V80" s="325">
        <v>125</v>
      </c>
      <c r="W80" s="325">
        <v>126</v>
      </c>
      <c r="X80" s="325">
        <v>127</v>
      </c>
      <c r="Y80" s="325">
        <v>129</v>
      </c>
      <c r="Z80" s="325">
        <v>131</v>
      </c>
      <c r="AA80" s="325">
        <v>133</v>
      </c>
      <c r="AB80" s="325">
        <v>136</v>
      </c>
      <c r="AC80" s="325">
        <v>139</v>
      </c>
      <c r="AD80" s="325">
        <v>142</v>
      </c>
      <c r="AE80" s="325">
        <v>145</v>
      </c>
      <c r="AF80" s="325">
        <v>146</v>
      </c>
      <c r="AG80" s="325">
        <v>147</v>
      </c>
      <c r="AH80" s="325">
        <v>148</v>
      </c>
      <c r="AI80" s="325">
        <v>150</v>
      </c>
      <c r="AJ80" s="325">
        <v>152</v>
      </c>
      <c r="AK80" s="325">
        <v>154</v>
      </c>
      <c r="AL80" s="325">
        <v>157</v>
      </c>
      <c r="AM80" s="325">
        <v>160</v>
      </c>
      <c r="AN80" s="325">
        <v>163</v>
      </c>
      <c r="AO80" s="325">
        <v>166</v>
      </c>
      <c r="AP80" s="325">
        <v>167</v>
      </c>
      <c r="AQ80" s="325">
        <v>168</v>
      </c>
      <c r="AR80" s="325">
        <v>169</v>
      </c>
      <c r="AS80" s="325">
        <v>170</v>
      </c>
      <c r="AT80" s="325">
        <v>171</v>
      </c>
      <c r="AU80" s="325">
        <v>173</v>
      </c>
      <c r="AV80" s="325">
        <v>175</v>
      </c>
      <c r="AW80" s="325">
        <v>177</v>
      </c>
      <c r="AX80" s="325">
        <v>179</v>
      </c>
      <c r="AY80" s="325">
        <v>181</v>
      </c>
      <c r="AZ80" s="325">
        <v>184</v>
      </c>
      <c r="BA80" s="325">
        <v>187</v>
      </c>
      <c r="BB80" s="325">
        <v>190</v>
      </c>
      <c r="BC80" s="325">
        <v>193</v>
      </c>
      <c r="BD80" s="325">
        <v>196</v>
      </c>
      <c r="BE80" s="325">
        <v>200</v>
      </c>
      <c r="BF80" s="325">
        <v>204</v>
      </c>
      <c r="BG80" s="325">
        <v>208</v>
      </c>
      <c r="BH80" s="325">
        <v>212</v>
      </c>
      <c r="BI80" s="325">
        <v>216</v>
      </c>
      <c r="BJ80" s="325">
        <v>217</v>
      </c>
      <c r="BK80" s="325">
        <v>218</v>
      </c>
      <c r="BL80" s="325">
        <v>219</v>
      </c>
      <c r="BM80" s="325">
        <v>220</v>
      </c>
      <c r="BN80" s="325">
        <v>222</v>
      </c>
      <c r="BO80" s="325">
        <v>224</v>
      </c>
      <c r="BP80" s="325">
        <v>226</v>
      </c>
      <c r="BQ80" s="325">
        <v>228</v>
      </c>
      <c r="BR80" s="325">
        <v>231</v>
      </c>
      <c r="BS80" s="325">
        <v>234</v>
      </c>
      <c r="BT80" s="325">
        <v>235</v>
      </c>
      <c r="BU80" s="325">
        <v>236</v>
      </c>
      <c r="BV80" s="325">
        <v>237</v>
      </c>
      <c r="BW80" s="325">
        <v>238</v>
      </c>
      <c r="BX80" s="325">
        <v>240</v>
      </c>
      <c r="BY80" s="325">
        <v>242</v>
      </c>
      <c r="BZ80" s="325">
        <v>244</v>
      </c>
      <c r="CA80" s="325">
        <v>246</v>
      </c>
      <c r="CB80" s="325">
        <v>249</v>
      </c>
      <c r="CC80" s="325">
        <v>252</v>
      </c>
      <c r="CD80" s="325">
        <v>253</v>
      </c>
      <c r="CE80" s="325">
        <v>254</v>
      </c>
      <c r="CF80" s="325">
        <v>255</v>
      </c>
      <c r="CG80" s="325">
        <v>256</v>
      </c>
      <c r="CH80" s="325">
        <v>258</v>
      </c>
      <c r="CI80" s="325">
        <v>260</v>
      </c>
      <c r="CJ80" s="325">
        <v>262</v>
      </c>
      <c r="CK80" s="325">
        <v>264</v>
      </c>
      <c r="CL80" s="325">
        <v>267</v>
      </c>
      <c r="CM80" s="325">
        <v>270</v>
      </c>
      <c r="CN80" s="325">
        <v>271</v>
      </c>
      <c r="CO80" s="325">
        <v>272</v>
      </c>
      <c r="CP80" s="325">
        <v>273</v>
      </c>
      <c r="CQ80" s="325">
        <v>274</v>
      </c>
      <c r="CR80" s="325">
        <v>276</v>
      </c>
      <c r="CS80" s="325">
        <v>278</v>
      </c>
      <c r="CT80" s="325">
        <v>280</v>
      </c>
      <c r="CU80" s="325">
        <v>282</v>
      </c>
      <c r="CV80" s="325">
        <v>285</v>
      </c>
      <c r="CW80" s="272"/>
    </row>
    <row r="81" spans="1:101" ht="12.75" x14ac:dyDescent="0.2">
      <c r="A81" s="49" t="str">
        <f ca="1">语言!$A$2305</f>
        <v>行动速度</v>
      </c>
      <c r="B81" s="326">
        <v>104</v>
      </c>
      <c r="C81" s="326">
        <v>105</v>
      </c>
      <c r="D81" s="326">
        <v>106</v>
      </c>
      <c r="E81" s="326">
        <v>109</v>
      </c>
      <c r="F81" s="326">
        <v>111</v>
      </c>
      <c r="G81" s="326">
        <v>114</v>
      </c>
      <c r="H81" s="326">
        <v>118</v>
      </c>
      <c r="I81" s="326">
        <v>119</v>
      </c>
      <c r="J81" s="326">
        <v>120</v>
      </c>
      <c r="K81" s="326">
        <v>122</v>
      </c>
      <c r="L81" s="326">
        <v>124</v>
      </c>
      <c r="M81" s="326">
        <v>127</v>
      </c>
      <c r="N81" s="326">
        <v>130</v>
      </c>
      <c r="O81" s="326">
        <v>133</v>
      </c>
      <c r="P81" s="326">
        <v>137</v>
      </c>
      <c r="Q81" s="326">
        <v>141</v>
      </c>
      <c r="R81" s="326">
        <v>145</v>
      </c>
      <c r="S81" s="326">
        <v>150</v>
      </c>
      <c r="T81" s="326">
        <v>156</v>
      </c>
      <c r="U81" s="326">
        <v>161</v>
      </c>
      <c r="V81" s="326">
        <v>162</v>
      </c>
      <c r="W81" s="326">
        <v>163</v>
      </c>
      <c r="X81" s="326">
        <v>165</v>
      </c>
      <c r="Y81" s="326">
        <v>167</v>
      </c>
      <c r="Z81" s="326">
        <v>170</v>
      </c>
      <c r="AA81" s="326">
        <v>172</v>
      </c>
      <c r="AB81" s="326">
        <v>176</v>
      </c>
      <c r="AC81" s="326">
        <v>180</v>
      </c>
      <c r="AD81" s="326">
        <v>184</v>
      </c>
      <c r="AE81" s="326">
        <v>188</v>
      </c>
      <c r="AF81" s="326">
        <v>189</v>
      </c>
      <c r="AG81" s="326">
        <v>191</v>
      </c>
      <c r="AH81" s="326">
        <v>192</v>
      </c>
      <c r="AI81" s="326">
        <v>195</v>
      </c>
      <c r="AJ81" s="326">
        <v>197</v>
      </c>
      <c r="AK81" s="326">
        <v>200</v>
      </c>
      <c r="AL81" s="326">
        <v>204</v>
      </c>
      <c r="AM81" s="326">
        <v>208</v>
      </c>
      <c r="AN81" s="326">
        <v>211</v>
      </c>
      <c r="AO81" s="326">
        <v>215</v>
      </c>
      <c r="AP81" s="326">
        <v>217</v>
      </c>
      <c r="AQ81" s="326">
        <v>218</v>
      </c>
      <c r="AR81" s="326">
        <v>219</v>
      </c>
      <c r="AS81" s="326">
        <v>221</v>
      </c>
      <c r="AT81" s="326">
        <v>222</v>
      </c>
      <c r="AU81" s="326">
        <v>224</v>
      </c>
      <c r="AV81" s="326">
        <v>227</v>
      </c>
      <c r="AW81" s="326">
        <v>230</v>
      </c>
      <c r="AX81" s="326">
        <v>232</v>
      </c>
      <c r="AY81" s="326">
        <v>235</v>
      </c>
      <c r="AZ81" s="326">
        <v>239</v>
      </c>
      <c r="BA81" s="326">
        <v>243</v>
      </c>
      <c r="BB81" s="326">
        <v>247</v>
      </c>
      <c r="BC81" s="326">
        <v>250</v>
      </c>
      <c r="BD81" s="326">
        <v>254</v>
      </c>
      <c r="BE81" s="326">
        <v>260</v>
      </c>
      <c r="BF81" s="326">
        <v>265</v>
      </c>
      <c r="BG81" s="326">
        <v>270</v>
      </c>
      <c r="BH81" s="326">
        <v>275</v>
      </c>
      <c r="BI81" s="326">
        <v>280</v>
      </c>
      <c r="BJ81" s="326">
        <v>282</v>
      </c>
      <c r="BK81" s="326">
        <v>283</v>
      </c>
      <c r="BL81" s="326">
        <v>284</v>
      </c>
      <c r="BM81" s="326">
        <v>286</v>
      </c>
      <c r="BN81" s="326">
        <v>288</v>
      </c>
      <c r="BO81" s="326">
        <v>291</v>
      </c>
      <c r="BP81" s="326">
        <v>293</v>
      </c>
      <c r="BQ81" s="326">
        <v>296</v>
      </c>
      <c r="BR81" s="326">
        <v>300</v>
      </c>
      <c r="BS81" s="326">
        <v>304</v>
      </c>
      <c r="BT81" s="326">
        <v>305</v>
      </c>
      <c r="BU81" s="326">
        <v>306</v>
      </c>
      <c r="BV81" s="326">
        <v>308</v>
      </c>
      <c r="BW81" s="326">
        <v>309</v>
      </c>
      <c r="BX81" s="326">
        <v>312</v>
      </c>
      <c r="BY81" s="326">
        <v>314</v>
      </c>
      <c r="BZ81" s="326">
        <v>317</v>
      </c>
      <c r="CA81" s="326">
        <v>319</v>
      </c>
      <c r="CB81" s="326">
        <v>323</v>
      </c>
      <c r="CC81" s="326">
        <v>327</v>
      </c>
      <c r="CD81" s="326">
        <v>328</v>
      </c>
      <c r="CE81" s="326">
        <v>330</v>
      </c>
      <c r="CF81" s="326">
        <v>331</v>
      </c>
      <c r="CG81" s="326">
        <v>332</v>
      </c>
      <c r="CH81" s="326">
        <v>335</v>
      </c>
      <c r="CI81" s="326">
        <v>338</v>
      </c>
      <c r="CJ81" s="326">
        <v>340</v>
      </c>
      <c r="CK81" s="326">
        <v>343</v>
      </c>
      <c r="CL81" s="326">
        <v>347</v>
      </c>
      <c r="CM81" s="326">
        <v>351</v>
      </c>
      <c r="CN81" s="326">
        <v>352</v>
      </c>
      <c r="CO81" s="326">
        <v>353</v>
      </c>
      <c r="CP81" s="326">
        <v>354</v>
      </c>
      <c r="CQ81" s="326">
        <v>356</v>
      </c>
      <c r="CR81" s="326">
        <v>358</v>
      </c>
      <c r="CS81" s="326">
        <v>361</v>
      </c>
      <c r="CT81" s="326">
        <v>364</v>
      </c>
      <c r="CU81" s="326">
        <v>366</v>
      </c>
      <c r="CV81" s="326">
        <v>370</v>
      </c>
      <c r="CW81" s="266"/>
    </row>
    <row r="82" spans="1:101" ht="12.75" x14ac:dyDescent="0.2">
      <c r="A82" s="323" t="str">
        <f ca="1">语言!$A$2306</f>
        <v>暴击</v>
      </c>
      <c r="B82" s="325">
        <v>80</v>
      </c>
      <c r="C82" s="325">
        <v>81</v>
      </c>
      <c r="D82" s="325">
        <v>82</v>
      </c>
      <c r="E82" s="325">
        <v>84</v>
      </c>
      <c r="F82" s="325">
        <v>86</v>
      </c>
      <c r="G82" s="325">
        <v>88</v>
      </c>
      <c r="H82" s="325">
        <v>91</v>
      </c>
      <c r="I82" s="325">
        <v>92</v>
      </c>
      <c r="J82" s="325">
        <v>93</v>
      </c>
      <c r="K82" s="325">
        <v>94</v>
      </c>
      <c r="L82" s="325">
        <v>96</v>
      </c>
      <c r="M82" s="325">
        <v>98</v>
      </c>
      <c r="N82" s="325">
        <v>100</v>
      </c>
      <c r="O82" s="325">
        <v>103</v>
      </c>
      <c r="P82" s="325">
        <v>106</v>
      </c>
      <c r="Q82" s="325">
        <v>109</v>
      </c>
      <c r="R82" s="325">
        <v>112</v>
      </c>
      <c r="S82" s="325">
        <v>116</v>
      </c>
      <c r="T82" s="325">
        <v>120</v>
      </c>
      <c r="U82" s="325">
        <v>124</v>
      </c>
      <c r="V82" s="325">
        <v>125</v>
      </c>
      <c r="W82" s="325">
        <v>126</v>
      </c>
      <c r="X82" s="325">
        <v>127</v>
      </c>
      <c r="Y82" s="325">
        <v>129</v>
      </c>
      <c r="Z82" s="325">
        <v>131</v>
      </c>
      <c r="AA82" s="325">
        <v>133</v>
      </c>
      <c r="AB82" s="325">
        <v>136</v>
      </c>
      <c r="AC82" s="325">
        <v>139</v>
      </c>
      <c r="AD82" s="325">
        <v>142</v>
      </c>
      <c r="AE82" s="325">
        <v>145</v>
      </c>
      <c r="AF82" s="325">
        <v>146</v>
      </c>
      <c r="AG82" s="325">
        <v>147</v>
      </c>
      <c r="AH82" s="325">
        <v>148</v>
      </c>
      <c r="AI82" s="325">
        <v>150</v>
      </c>
      <c r="AJ82" s="325">
        <v>152</v>
      </c>
      <c r="AK82" s="325">
        <v>154</v>
      </c>
      <c r="AL82" s="325">
        <v>157</v>
      </c>
      <c r="AM82" s="325">
        <v>160</v>
      </c>
      <c r="AN82" s="325">
        <v>163</v>
      </c>
      <c r="AO82" s="325">
        <v>166</v>
      </c>
      <c r="AP82" s="325">
        <v>167</v>
      </c>
      <c r="AQ82" s="325">
        <v>168</v>
      </c>
      <c r="AR82" s="325">
        <v>169</v>
      </c>
      <c r="AS82" s="325">
        <v>170</v>
      </c>
      <c r="AT82" s="325">
        <v>171</v>
      </c>
      <c r="AU82" s="325">
        <v>173</v>
      </c>
      <c r="AV82" s="325">
        <v>175</v>
      </c>
      <c r="AW82" s="325">
        <v>177</v>
      </c>
      <c r="AX82" s="325">
        <v>179</v>
      </c>
      <c r="AY82" s="325">
        <v>181</v>
      </c>
      <c r="AZ82" s="325">
        <v>184</v>
      </c>
      <c r="BA82" s="325">
        <v>187</v>
      </c>
      <c r="BB82" s="325">
        <v>190</v>
      </c>
      <c r="BC82" s="325">
        <v>193</v>
      </c>
      <c r="BD82" s="325">
        <v>196</v>
      </c>
      <c r="BE82" s="325">
        <v>200</v>
      </c>
      <c r="BF82" s="325">
        <v>204</v>
      </c>
      <c r="BG82" s="325">
        <v>208</v>
      </c>
      <c r="BH82" s="325">
        <v>212</v>
      </c>
      <c r="BI82" s="325">
        <v>216</v>
      </c>
      <c r="BJ82" s="325">
        <v>217</v>
      </c>
      <c r="BK82" s="325">
        <v>218</v>
      </c>
      <c r="BL82" s="325">
        <v>219</v>
      </c>
      <c r="BM82" s="325">
        <v>220</v>
      </c>
      <c r="BN82" s="325">
        <v>222</v>
      </c>
      <c r="BO82" s="325">
        <v>224</v>
      </c>
      <c r="BP82" s="325">
        <v>226</v>
      </c>
      <c r="BQ82" s="325">
        <v>228</v>
      </c>
      <c r="BR82" s="325">
        <v>231</v>
      </c>
      <c r="BS82" s="325">
        <v>234</v>
      </c>
      <c r="BT82" s="325">
        <v>235</v>
      </c>
      <c r="BU82" s="325">
        <v>236</v>
      </c>
      <c r="BV82" s="325">
        <v>237</v>
      </c>
      <c r="BW82" s="325">
        <v>238</v>
      </c>
      <c r="BX82" s="325">
        <v>240</v>
      </c>
      <c r="BY82" s="325">
        <v>242</v>
      </c>
      <c r="BZ82" s="325">
        <v>244</v>
      </c>
      <c r="CA82" s="325">
        <v>246</v>
      </c>
      <c r="CB82" s="325">
        <v>249</v>
      </c>
      <c r="CC82" s="325">
        <v>252</v>
      </c>
      <c r="CD82" s="325">
        <v>253</v>
      </c>
      <c r="CE82" s="325">
        <v>254</v>
      </c>
      <c r="CF82" s="325">
        <v>255</v>
      </c>
      <c r="CG82" s="325">
        <v>256</v>
      </c>
      <c r="CH82" s="325">
        <v>258</v>
      </c>
      <c r="CI82" s="325">
        <v>260</v>
      </c>
      <c r="CJ82" s="325">
        <v>262</v>
      </c>
      <c r="CK82" s="325">
        <v>264</v>
      </c>
      <c r="CL82" s="325">
        <v>267</v>
      </c>
      <c r="CM82" s="325">
        <v>270</v>
      </c>
      <c r="CN82" s="325">
        <v>271</v>
      </c>
      <c r="CO82" s="325">
        <v>272</v>
      </c>
      <c r="CP82" s="325">
        <v>273</v>
      </c>
      <c r="CQ82" s="325">
        <v>274</v>
      </c>
      <c r="CR82" s="325">
        <v>276</v>
      </c>
      <c r="CS82" s="325">
        <v>278</v>
      </c>
      <c r="CT82" s="325">
        <v>280</v>
      </c>
      <c r="CU82" s="325">
        <v>282</v>
      </c>
      <c r="CV82" s="325">
        <v>285</v>
      </c>
      <c r="CW82" s="272"/>
    </row>
    <row r="83" spans="1:101" ht="12.75" x14ac:dyDescent="0.2">
      <c r="A83" s="49" t="str">
        <f ca="1">语言!$A$2307</f>
        <v>回避</v>
      </c>
      <c r="B83" s="326">
        <v>88</v>
      </c>
      <c r="C83" s="326">
        <v>89</v>
      </c>
      <c r="D83" s="326">
        <v>90</v>
      </c>
      <c r="E83" s="326">
        <v>92</v>
      </c>
      <c r="F83" s="326">
        <v>94</v>
      </c>
      <c r="G83" s="326">
        <v>96</v>
      </c>
      <c r="H83" s="326">
        <v>100</v>
      </c>
      <c r="I83" s="326">
        <v>101</v>
      </c>
      <c r="J83" s="326">
        <v>102</v>
      </c>
      <c r="K83" s="326">
        <v>103</v>
      </c>
      <c r="L83" s="326">
        <v>105</v>
      </c>
      <c r="M83" s="326">
        <v>107</v>
      </c>
      <c r="N83" s="326">
        <v>110</v>
      </c>
      <c r="O83" s="326">
        <v>113</v>
      </c>
      <c r="P83" s="326">
        <v>116</v>
      </c>
      <c r="Q83" s="326">
        <v>119</v>
      </c>
      <c r="R83" s="326">
        <v>123</v>
      </c>
      <c r="S83" s="326">
        <v>127</v>
      </c>
      <c r="T83" s="326">
        <v>132</v>
      </c>
      <c r="U83" s="326">
        <v>136</v>
      </c>
      <c r="V83" s="326">
        <v>137</v>
      </c>
      <c r="W83" s="326">
        <v>138</v>
      </c>
      <c r="X83" s="326">
        <v>139</v>
      </c>
      <c r="Y83" s="326">
        <v>141</v>
      </c>
      <c r="Z83" s="326">
        <v>144</v>
      </c>
      <c r="AA83" s="326">
        <v>146</v>
      </c>
      <c r="AB83" s="326">
        <v>149</v>
      </c>
      <c r="AC83" s="326">
        <v>152</v>
      </c>
      <c r="AD83" s="326">
        <v>156</v>
      </c>
      <c r="AE83" s="326">
        <v>159</v>
      </c>
      <c r="AF83" s="326">
        <v>160</v>
      </c>
      <c r="AG83" s="326">
        <v>161</v>
      </c>
      <c r="AH83" s="326">
        <v>162</v>
      </c>
      <c r="AI83" s="326">
        <v>165</v>
      </c>
      <c r="AJ83" s="326">
        <v>167</v>
      </c>
      <c r="AK83" s="326">
        <v>169</v>
      </c>
      <c r="AL83" s="326">
        <v>172</v>
      </c>
      <c r="AM83" s="326">
        <v>176</v>
      </c>
      <c r="AN83" s="326">
        <v>179</v>
      </c>
      <c r="AO83" s="326">
        <v>182</v>
      </c>
      <c r="AP83" s="326">
        <v>183</v>
      </c>
      <c r="AQ83" s="326">
        <v>184</v>
      </c>
      <c r="AR83" s="326">
        <v>185</v>
      </c>
      <c r="AS83" s="326">
        <v>187</v>
      </c>
      <c r="AT83" s="326">
        <v>188</v>
      </c>
      <c r="AU83" s="326">
        <v>190</v>
      </c>
      <c r="AV83" s="326">
        <v>192</v>
      </c>
      <c r="AW83" s="326">
        <v>194</v>
      </c>
      <c r="AX83" s="326">
        <v>196</v>
      </c>
      <c r="AY83" s="326">
        <v>199</v>
      </c>
      <c r="AZ83" s="326">
        <v>202</v>
      </c>
      <c r="BA83" s="326">
        <v>205</v>
      </c>
      <c r="BB83" s="326">
        <v>209</v>
      </c>
      <c r="BC83" s="326">
        <v>212</v>
      </c>
      <c r="BD83" s="326">
        <v>215</v>
      </c>
      <c r="BE83" s="326">
        <v>220</v>
      </c>
      <c r="BF83" s="326">
        <v>224</v>
      </c>
      <c r="BG83" s="326">
        <v>228</v>
      </c>
      <c r="BH83" s="326">
        <v>233</v>
      </c>
      <c r="BI83" s="326">
        <v>237</v>
      </c>
      <c r="BJ83" s="326">
        <v>238</v>
      </c>
      <c r="BK83" s="326">
        <v>239</v>
      </c>
      <c r="BL83" s="326">
        <v>240</v>
      </c>
      <c r="BM83" s="326">
        <v>242</v>
      </c>
      <c r="BN83" s="326">
        <v>244</v>
      </c>
      <c r="BO83" s="326">
        <v>246</v>
      </c>
      <c r="BP83" s="326">
        <v>248</v>
      </c>
      <c r="BQ83" s="326">
        <v>250</v>
      </c>
      <c r="BR83" s="326">
        <v>254</v>
      </c>
      <c r="BS83" s="326">
        <v>257</v>
      </c>
      <c r="BT83" s="326">
        <v>258</v>
      </c>
      <c r="BU83" s="326">
        <v>259</v>
      </c>
      <c r="BV83" s="326">
        <v>260</v>
      </c>
      <c r="BW83" s="326">
        <v>261</v>
      </c>
      <c r="BX83" s="326">
        <v>264</v>
      </c>
      <c r="BY83" s="326">
        <v>266</v>
      </c>
      <c r="BZ83" s="326">
        <v>268</v>
      </c>
      <c r="CA83" s="326">
        <v>270</v>
      </c>
      <c r="CB83" s="326">
        <v>273</v>
      </c>
      <c r="CC83" s="326">
        <v>277</v>
      </c>
      <c r="CD83" s="326">
        <v>278</v>
      </c>
      <c r="CE83" s="326">
        <v>279</v>
      </c>
      <c r="CF83" s="326">
        <v>280</v>
      </c>
      <c r="CG83" s="326">
        <v>281</v>
      </c>
      <c r="CH83" s="326">
        <v>283</v>
      </c>
      <c r="CI83" s="326">
        <v>286</v>
      </c>
      <c r="CJ83" s="326">
        <v>288</v>
      </c>
      <c r="CK83" s="326">
        <v>290</v>
      </c>
      <c r="CL83" s="326">
        <v>293</v>
      </c>
      <c r="CM83" s="326">
        <v>297</v>
      </c>
      <c r="CN83" s="326">
        <v>298</v>
      </c>
      <c r="CO83" s="326">
        <v>299</v>
      </c>
      <c r="CP83" s="326">
        <v>300</v>
      </c>
      <c r="CQ83" s="326">
        <v>301</v>
      </c>
      <c r="CR83" s="326">
        <v>303</v>
      </c>
      <c r="CS83" s="326">
        <v>305</v>
      </c>
      <c r="CT83" s="326">
        <v>308</v>
      </c>
      <c r="CU83" s="326">
        <v>310</v>
      </c>
      <c r="CV83" s="326">
        <v>313</v>
      </c>
      <c r="CW83" s="266"/>
    </row>
    <row r="84" spans="1:101" ht="12.75" x14ac:dyDescent="0.2">
      <c r="A84" s="328"/>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7"/>
      <c r="BN84" s="327"/>
      <c r="BO84" s="327"/>
      <c r="BP84" s="327"/>
      <c r="BQ84" s="327"/>
      <c r="BR84" s="327"/>
      <c r="BS84" s="327"/>
      <c r="BT84" s="327"/>
      <c r="BU84" s="327"/>
      <c r="BV84" s="327"/>
      <c r="BW84" s="327"/>
      <c r="BX84" s="327"/>
      <c r="BY84" s="327"/>
      <c r="BZ84" s="327"/>
      <c r="CA84" s="327"/>
      <c r="CB84" s="327"/>
      <c r="CC84" s="327"/>
      <c r="CD84" s="327"/>
      <c r="CE84" s="327"/>
      <c r="CF84" s="327"/>
      <c r="CG84" s="327"/>
      <c r="CH84" s="327"/>
      <c r="CI84" s="327"/>
      <c r="CJ84" s="327"/>
      <c r="CK84" s="327"/>
      <c r="CL84" s="327"/>
      <c r="CM84" s="327"/>
      <c r="CN84" s="327"/>
      <c r="CO84" s="327"/>
      <c r="CP84" s="327"/>
      <c r="CQ84" s="327"/>
      <c r="CR84" s="327"/>
      <c r="CS84" s="327"/>
      <c r="CT84" s="327"/>
      <c r="CU84" s="327"/>
      <c r="CV84" s="327"/>
      <c r="CW84" s="328"/>
    </row>
    <row r="85" spans="1:101" ht="18" x14ac:dyDescent="0.25">
      <c r="A85" s="47" t="str">
        <f ca="1">语言!$A$40</f>
        <v>亚芬</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8"/>
    </row>
    <row r="86" spans="1:101" ht="12.75" x14ac:dyDescent="0.2">
      <c r="A86" s="50" t="str">
        <f ca="1">语言!$A$2297</f>
        <v>等级</v>
      </c>
      <c r="B86" s="329">
        <v>1</v>
      </c>
      <c r="C86" s="329">
        <v>2</v>
      </c>
      <c r="D86" s="329">
        <v>3</v>
      </c>
      <c r="E86" s="329">
        <v>4</v>
      </c>
      <c r="F86" s="329">
        <v>5</v>
      </c>
      <c r="G86" s="329">
        <v>6</v>
      </c>
      <c r="H86" s="329">
        <v>7</v>
      </c>
      <c r="I86" s="329">
        <v>8</v>
      </c>
      <c r="J86" s="329">
        <v>9</v>
      </c>
      <c r="K86" s="329">
        <v>10</v>
      </c>
      <c r="L86" s="329">
        <v>11</v>
      </c>
      <c r="M86" s="329">
        <v>12</v>
      </c>
      <c r="N86" s="329">
        <v>13</v>
      </c>
      <c r="O86" s="329">
        <v>14</v>
      </c>
      <c r="P86" s="329">
        <v>15</v>
      </c>
      <c r="Q86" s="329">
        <v>16</v>
      </c>
      <c r="R86" s="329">
        <v>17</v>
      </c>
      <c r="S86" s="329">
        <v>18</v>
      </c>
      <c r="T86" s="329">
        <v>19</v>
      </c>
      <c r="U86" s="329">
        <v>20</v>
      </c>
      <c r="V86" s="329">
        <v>21</v>
      </c>
      <c r="W86" s="329">
        <v>22</v>
      </c>
      <c r="X86" s="329">
        <v>23</v>
      </c>
      <c r="Y86" s="329">
        <v>24</v>
      </c>
      <c r="Z86" s="329">
        <v>25</v>
      </c>
      <c r="AA86" s="329">
        <v>26</v>
      </c>
      <c r="AB86" s="329">
        <v>27</v>
      </c>
      <c r="AC86" s="329">
        <v>28</v>
      </c>
      <c r="AD86" s="329">
        <v>29</v>
      </c>
      <c r="AE86" s="329">
        <v>30</v>
      </c>
      <c r="AF86" s="329">
        <v>31</v>
      </c>
      <c r="AG86" s="329">
        <v>32</v>
      </c>
      <c r="AH86" s="329">
        <v>33</v>
      </c>
      <c r="AI86" s="329">
        <v>34</v>
      </c>
      <c r="AJ86" s="329">
        <v>35</v>
      </c>
      <c r="AK86" s="329">
        <v>36</v>
      </c>
      <c r="AL86" s="329">
        <v>37</v>
      </c>
      <c r="AM86" s="329">
        <v>38</v>
      </c>
      <c r="AN86" s="329">
        <v>39</v>
      </c>
      <c r="AO86" s="329">
        <v>40</v>
      </c>
      <c r="AP86" s="329">
        <v>41</v>
      </c>
      <c r="AQ86" s="329">
        <v>42</v>
      </c>
      <c r="AR86" s="329">
        <v>43</v>
      </c>
      <c r="AS86" s="329">
        <v>44</v>
      </c>
      <c r="AT86" s="329">
        <v>45</v>
      </c>
      <c r="AU86" s="329">
        <v>46</v>
      </c>
      <c r="AV86" s="329">
        <v>47</v>
      </c>
      <c r="AW86" s="329">
        <v>48</v>
      </c>
      <c r="AX86" s="329">
        <v>49</v>
      </c>
      <c r="AY86" s="329">
        <v>50</v>
      </c>
      <c r="AZ86" s="329">
        <v>51</v>
      </c>
      <c r="BA86" s="329">
        <v>52</v>
      </c>
      <c r="BB86" s="329">
        <v>53</v>
      </c>
      <c r="BC86" s="329">
        <v>54</v>
      </c>
      <c r="BD86" s="329">
        <v>55</v>
      </c>
      <c r="BE86" s="329">
        <v>56</v>
      </c>
      <c r="BF86" s="329">
        <v>57</v>
      </c>
      <c r="BG86" s="329">
        <v>58</v>
      </c>
      <c r="BH86" s="329">
        <v>59</v>
      </c>
      <c r="BI86" s="329">
        <v>60</v>
      </c>
      <c r="BJ86" s="329">
        <v>61</v>
      </c>
      <c r="BK86" s="329">
        <v>62</v>
      </c>
      <c r="BL86" s="329">
        <v>63</v>
      </c>
      <c r="BM86" s="329">
        <v>64</v>
      </c>
      <c r="BN86" s="329">
        <v>65</v>
      </c>
      <c r="BO86" s="329">
        <v>66</v>
      </c>
      <c r="BP86" s="329">
        <v>67</v>
      </c>
      <c r="BQ86" s="329">
        <v>68</v>
      </c>
      <c r="BR86" s="329">
        <v>69</v>
      </c>
      <c r="BS86" s="329">
        <v>70</v>
      </c>
      <c r="BT86" s="329">
        <v>71</v>
      </c>
      <c r="BU86" s="329">
        <v>72</v>
      </c>
      <c r="BV86" s="329">
        <v>73</v>
      </c>
      <c r="BW86" s="329">
        <v>74</v>
      </c>
      <c r="BX86" s="329">
        <v>75</v>
      </c>
      <c r="BY86" s="329">
        <v>76</v>
      </c>
      <c r="BZ86" s="329">
        <v>77</v>
      </c>
      <c r="CA86" s="329">
        <v>78</v>
      </c>
      <c r="CB86" s="329">
        <v>79</v>
      </c>
      <c r="CC86" s="329">
        <v>80</v>
      </c>
      <c r="CD86" s="329">
        <v>81</v>
      </c>
      <c r="CE86" s="329">
        <v>82</v>
      </c>
      <c r="CF86" s="329">
        <v>83</v>
      </c>
      <c r="CG86" s="329">
        <v>84</v>
      </c>
      <c r="CH86" s="329">
        <v>85</v>
      </c>
      <c r="CI86" s="329">
        <v>86</v>
      </c>
      <c r="CJ86" s="329">
        <v>87</v>
      </c>
      <c r="CK86" s="329">
        <v>88</v>
      </c>
      <c r="CL86" s="329">
        <v>89</v>
      </c>
      <c r="CM86" s="329">
        <v>90</v>
      </c>
      <c r="CN86" s="329">
        <v>91</v>
      </c>
      <c r="CO86" s="329">
        <v>92</v>
      </c>
      <c r="CP86" s="329">
        <v>93</v>
      </c>
      <c r="CQ86" s="329">
        <v>94</v>
      </c>
      <c r="CR86" s="329">
        <v>95</v>
      </c>
      <c r="CS86" s="329">
        <v>96</v>
      </c>
      <c r="CT86" s="329">
        <v>97</v>
      </c>
      <c r="CU86" s="329">
        <v>98</v>
      </c>
      <c r="CV86" s="329">
        <v>99</v>
      </c>
      <c r="CW86" s="49"/>
    </row>
    <row r="87" spans="1:101" ht="12.75" x14ac:dyDescent="0.2">
      <c r="A87" s="323" t="str">
        <f ca="1">语言!$A$2298</f>
        <v>最大ＨＰ</v>
      </c>
      <c r="B87" s="325">
        <v>300</v>
      </c>
      <c r="C87" s="325">
        <v>313</v>
      </c>
      <c r="D87" s="325">
        <v>338</v>
      </c>
      <c r="E87" s="325">
        <v>376</v>
      </c>
      <c r="F87" s="325">
        <v>427</v>
      </c>
      <c r="G87" s="325">
        <v>489</v>
      </c>
      <c r="H87" s="325">
        <v>565</v>
      </c>
      <c r="I87" s="325">
        <v>577</v>
      </c>
      <c r="J87" s="325">
        <v>600</v>
      </c>
      <c r="K87" s="325">
        <v>633</v>
      </c>
      <c r="L87" s="325">
        <v>678</v>
      </c>
      <c r="M87" s="325">
        <v>733</v>
      </c>
      <c r="N87" s="325">
        <v>799</v>
      </c>
      <c r="O87" s="325">
        <v>876</v>
      </c>
      <c r="P87" s="325">
        <v>963</v>
      </c>
      <c r="Q87" s="325">
        <v>1062</v>
      </c>
      <c r="R87" s="325">
        <v>1171</v>
      </c>
      <c r="S87" s="325">
        <v>1292</v>
      </c>
      <c r="T87" s="325">
        <v>1424</v>
      </c>
      <c r="U87" s="325">
        <v>1567</v>
      </c>
      <c r="V87" s="325">
        <v>1579</v>
      </c>
      <c r="W87" s="325">
        <v>1602</v>
      </c>
      <c r="X87" s="325">
        <v>1635</v>
      </c>
      <c r="Y87" s="325">
        <v>1680</v>
      </c>
      <c r="Z87" s="325">
        <v>1735</v>
      </c>
      <c r="AA87" s="325">
        <v>1801</v>
      </c>
      <c r="AB87" s="325">
        <v>1878</v>
      </c>
      <c r="AC87" s="325">
        <v>1965</v>
      </c>
      <c r="AD87" s="325">
        <v>2064</v>
      </c>
      <c r="AE87" s="325">
        <v>2173</v>
      </c>
      <c r="AF87" s="325">
        <v>2182</v>
      </c>
      <c r="AG87" s="325">
        <v>2202</v>
      </c>
      <c r="AH87" s="325">
        <v>2230</v>
      </c>
      <c r="AI87" s="325">
        <v>2269</v>
      </c>
      <c r="AJ87" s="325">
        <v>2316</v>
      </c>
      <c r="AK87" s="325">
        <v>2372</v>
      </c>
      <c r="AL87" s="325">
        <v>2438</v>
      </c>
      <c r="AM87" s="325">
        <v>2514</v>
      </c>
      <c r="AN87" s="325">
        <v>2599</v>
      </c>
      <c r="AO87" s="325">
        <v>2692</v>
      </c>
      <c r="AP87" s="325">
        <v>2697</v>
      </c>
      <c r="AQ87" s="325">
        <v>2707</v>
      </c>
      <c r="AR87" s="325">
        <v>2721</v>
      </c>
      <c r="AS87" s="325">
        <v>2740</v>
      </c>
      <c r="AT87" s="325">
        <v>2764</v>
      </c>
      <c r="AU87" s="325">
        <v>2793</v>
      </c>
      <c r="AV87" s="325">
        <v>2827</v>
      </c>
      <c r="AW87" s="325">
        <v>2865</v>
      </c>
      <c r="AX87" s="325">
        <v>2908</v>
      </c>
      <c r="AY87" s="325">
        <v>2955</v>
      </c>
      <c r="AZ87" s="325">
        <v>3007</v>
      </c>
      <c r="BA87" s="325">
        <v>3063</v>
      </c>
      <c r="BB87" s="325">
        <v>3124</v>
      </c>
      <c r="BC87" s="325">
        <v>3190</v>
      </c>
      <c r="BD87" s="325">
        <v>3261</v>
      </c>
      <c r="BE87" s="325">
        <v>3337</v>
      </c>
      <c r="BF87" s="325">
        <v>3417</v>
      </c>
      <c r="BG87" s="325">
        <v>3502</v>
      </c>
      <c r="BH87" s="325">
        <v>3592</v>
      </c>
      <c r="BI87" s="325">
        <v>3686</v>
      </c>
      <c r="BJ87" s="325">
        <v>3694</v>
      </c>
      <c r="BK87" s="325">
        <v>3710</v>
      </c>
      <c r="BL87" s="325">
        <v>3734</v>
      </c>
      <c r="BM87" s="325">
        <v>3765</v>
      </c>
      <c r="BN87" s="325">
        <v>3805</v>
      </c>
      <c r="BO87" s="325">
        <v>3852</v>
      </c>
      <c r="BP87" s="325">
        <v>3907</v>
      </c>
      <c r="BQ87" s="325">
        <v>3969</v>
      </c>
      <c r="BR87" s="325">
        <v>4040</v>
      </c>
      <c r="BS87" s="325">
        <v>4118</v>
      </c>
      <c r="BT87" s="325">
        <v>4126</v>
      </c>
      <c r="BU87" s="325">
        <v>4142</v>
      </c>
      <c r="BV87" s="325">
        <v>4166</v>
      </c>
      <c r="BW87" s="325">
        <v>4197</v>
      </c>
      <c r="BX87" s="325">
        <v>4237</v>
      </c>
      <c r="BY87" s="325">
        <v>4284</v>
      </c>
      <c r="BZ87" s="325">
        <v>4339</v>
      </c>
      <c r="CA87" s="325">
        <v>4401</v>
      </c>
      <c r="CB87" s="325">
        <v>4472</v>
      </c>
      <c r="CC87" s="325">
        <v>4550</v>
      </c>
      <c r="CD87" s="325">
        <v>4558</v>
      </c>
      <c r="CE87" s="325">
        <v>4574</v>
      </c>
      <c r="CF87" s="325">
        <v>4598</v>
      </c>
      <c r="CG87" s="325">
        <v>4629</v>
      </c>
      <c r="CH87" s="325">
        <v>4669</v>
      </c>
      <c r="CI87" s="325">
        <v>4716</v>
      </c>
      <c r="CJ87" s="325">
        <v>4771</v>
      </c>
      <c r="CK87" s="325">
        <v>4833</v>
      </c>
      <c r="CL87" s="325">
        <v>4904</v>
      </c>
      <c r="CM87" s="325">
        <v>4982</v>
      </c>
      <c r="CN87" s="325">
        <v>4990</v>
      </c>
      <c r="CO87" s="325">
        <v>5006</v>
      </c>
      <c r="CP87" s="325">
        <v>5030</v>
      </c>
      <c r="CQ87" s="325">
        <v>5061</v>
      </c>
      <c r="CR87" s="325">
        <v>5101</v>
      </c>
      <c r="CS87" s="325">
        <v>5148</v>
      </c>
      <c r="CT87" s="325">
        <v>5203</v>
      </c>
      <c r="CU87" s="325">
        <v>5265</v>
      </c>
      <c r="CV87" s="325">
        <v>5336</v>
      </c>
      <c r="CW87" s="272"/>
    </row>
    <row r="88" spans="1:101" ht="12.75" x14ac:dyDescent="0.2">
      <c r="A88" s="49" t="str">
        <f ca="1">语言!$A$2299</f>
        <v>最大ＳＰ</v>
      </c>
      <c r="B88" s="326">
        <v>50</v>
      </c>
      <c r="C88" s="326">
        <v>51</v>
      </c>
      <c r="D88" s="326">
        <v>52</v>
      </c>
      <c r="E88" s="326">
        <v>53</v>
      </c>
      <c r="F88" s="326">
        <v>54</v>
      </c>
      <c r="G88" s="326">
        <v>55</v>
      </c>
      <c r="H88" s="326">
        <v>57</v>
      </c>
      <c r="I88" s="326">
        <v>58</v>
      </c>
      <c r="J88" s="326">
        <v>59</v>
      </c>
      <c r="K88" s="326">
        <v>60</v>
      </c>
      <c r="L88" s="326">
        <v>61</v>
      </c>
      <c r="M88" s="326">
        <v>62</v>
      </c>
      <c r="N88" s="326">
        <v>64</v>
      </c>
      <c r="O88" s="326">
        <v>66</v>
      </c>
      <c r="P88" s="326">
        <v>68</v>
      </c>
      <c r="Q88" s="326">
        <v>70</v>
      </c>
      <c r="R88" s="326">
        <v>72</v>
      </c>
      <c r="S88" s="326">
        <v>74</v>
      </c>
      <c r="T88" s="326">
        <v>77</v>
      </c>
      <c r="U88" s="326">
        <v>80</v>
      </c>
      <c r="V88" s="326">
        <v>81</v>
      </c>
      <c r="W88" s="326">
        <v>82</v>
      </c>
      <c r="X88" s="326">
        <v>83</v>
      </c>
      <c r="Y88" s="326">
        <v>84</v>
      </c>
      <c r="Z88" s="326">
        <v>85</v>
      </c>
      <c r="AA88" s="326">
        <v>87</v>
      </c>
      <c r="AB88" s="326">
        <v>89</v>
      </c>
      <c r="AC88" s="326">
        <v>91</v>
      </c>
      <c r="AD88" s="326">
        <v>93</v>
      </c>
      <c r="AE88" s="326">
        <v>95</v>
      </c>
      <c r="AF88" s="326">
        <v>96</v>
      </c>
      <c r="AG88" s="326">
        <v>97</v>
      </c>
      <c r="AH88" s="326">
        <v>98</v>
      </c>
      <c r="AI88" s="326">
        <v>99</v>
      </c>
      <c r="AJ88" s="326">
        <v>100</v>
      </c>
      <c r="AK88" s="326">
        <v>101</v>
      </c>
      <c r="AL88" s="326">
        <v>103</v>
      </c>
      <c r="AM88" s="326">
        <v>105</v>
      </c>
      <c r="AN88" s="326">
        <v>107</v>
      </c>
      <c r="AO88" s="326">
        <v>109</v>
      </c>
      <c r="AP88" s="326">
        <v>110</v>
      </c>
      <c r="AQ88" s="326">
        <v>111</v>
      </c>
      <c r="AR88" s="326">
        <v>112</v>
      </c>
      <c r="AS88" s="326">
        <v>113</v>
      </c>
      <c r="AT88" s="326">
        <v>114</v>
      </c>
      <c r="AU88" s="326">
        <v>115</v>
      </c>
      <c r="AV88" s="326">
        <v>116</v>
      </c>
      <c r="AW88" s="326">
        <v>117</v>
      </c>
      <c r="AX88" s="326">
        <v>118</v>
      </c>
      <c r="AY88" s="326">
        <v>119</v>
      </c>
      <c r="AZ88" s="326">
        <v>120</v>
      </c>
      <c r="BA88" s="326">
        <v>121</v>
      </c>
      <c r="BB88" s="326">
        <v>122</v>
      </c>
      <c r="BC88" s="326">
        <v>124</v>
      </c>
      <c r="BD88" s="326">
        <v>126</v>
      </c>
      <c r="BE88" s="326">
        <v>128</v>
      </c>
      <c r="BF88" s="326">
        <v>130</v>
      </c>
      <c r="BG88" s="326">
        <v>132</v>
      </c>
      <c r="BH88" s="326">
        <v>134</v>
      </c>
      <c r="BI88" s="326">
        <v>136</v>
      </c>
      <c r="BJ88" s="326">
        <v>137</v>
      </c>
      <c r="BK88" s="326">
        <v>138</v>
      </c>
      <c r="BL88" s="326">
        <v>139</v>
      </c>
      <c r="BM88" s="326">
        <v>140</v>
      </c>
      <c r="BN88" s="326">
        <v>141</v>
      </c>
      <c r="BO88" s="326">
        <v>142</v>
      </c>
      <c r="BP88" s="326">
        <v>143</v>
      </c>
      <c r="BQ88" s="326">
        <v>144</v>
      </c>
      <c r="BR88" s="326">
        <v>146</v>
      </c>
      <c r="BS88" s="326">
        <v>148</v>
      </c>
      <c r="BT88" s="326">
        <v>149</v>
      </c>
      <c r="BU88" s="326">
        <v>150</v>
      </c>
      <c r="BV88" s="326">
        <v>151</v>
      </c>
      <c r="BW88" s="326">
        <v>152</v>
      </c>
      <c r="BX88" s="326">
        <v>153</v>
      </c>
      <c r="BY88" s="326">
        <v>154</v>
      </c>
      <c r="BZ88" s="326">
        <v>155</v>
      </c>
      <c r="CA88" s="326">
        <v>156</v>
      </c>
      <c r="CB88" s="326">
        <v>158</v>
      </c>
      <c r="CC88" s="326">
        <v>160</v>
      </c>
      <c r="CD88" s="326">
        <v>161</v>
      </c>
      <c r="CE88" s="326">
        <v>162</v>
      </c>
      <c r="CF88" s="326">
        <v>163</v>
      </c>
      <c r="CG88" s="326">
        <v>164</v>
      </c>
      <c r="CH88" s="326">
        <v>165</v>
      </c>
      <c r="CI88" s="326">
        <v>166</v>
      </c>
      <c r="CJ88" s="326">
        <v>167</v>
      </c>
      <c r="CK88" s="326">
        <v>168</v>
      </c>
      <c r="CL88" s="326">
        <v>170</v>
      </c>
      <c r="CM88" s="326">
        <v>172</v>
      </c>
      <c r="CN88" s="326">
        <v>173</v>
      </c>
      <c r="CO88" s="326">
        <v>174</v>
      </c>
      <c r="CP88" s="326">
        <v>175</v>
      </c>
      <c r="CQ88" s="326">
        <v>176</v>
      </c>
      <c r="CR88" s="326">
        <v>177</v>
      </c>
      <c r="CS88" s="326">
        <v>178</v>
      </c>
      <c r="CT88" s="326">
        <v>179</v>
      </c>
      <c r="CU88" s="326">
        <v>180</v>
      </c>
      <c r="CV88" s="326">
        <v>182</v>
      </c>
      <c r="CW88" s="266"/>
    </row>
    <row r="89" spans="1:101" ht="12.75" x14ac:dyDescent="0.2">
      <c r="A89" s="323" t="str">
        <f ca="1">语言!$A$2300</f>
        <v>物理攻击力</v>
      </c>
      <c r="B89" s="325">
        <v>88</v>
      </c>
      <c r="C89" s="325">
        <v>89</v>
      </c>
      <c r="D89" s="325">
        <v>90</v>
      </c>
      <c r="E89" s="325">
        <v>92</v>
      </c>
      <c r="F89" s="325">
        <v>94</v>
      </c>
      <c r="G89" s="325">
        <v>96</v>
      </c>
      <c r="H89" s="325">
        <v>100</v>
      </c>
      <c r="I89" s="325">
        <v>101</v>
      </c>
      <c r="J89" s="325">
        <v>102</v>
      </c>
      <c r="K89" s="325">
        <v>103</v>
      </c>
      <c r="L89" s="325">
        <v>105</v>
      </c>
      <c r="M89" s="325">
        <v>107</v>
      </c>
      <c r="N89" s="325">
        <v>110</v>
      </c>
      <c r="O89" s="325">
        <v>113</v>
      </c>
      <c r="P89" s="325">
        <v>116</v>
      </c>
      <c r="Q89" s="325">
        <v>119</v>
      </c>
      <c r="R89" s="325">
        <v>123</v>
      </c>
      <c r="S89" s="325">
        <v>127</v>
      </c>
      <c r="T89" s="325">
        <v>132</v>
      </c>
      <c r="U89" s="325">
        <v>136</v>
      </c>
      <c r="V89" s="325">
        <v>137</v>
      </c>
      <c r="W89" s="325">
        <v>138</v>
      </c>
      <c r="X89" s="325">
        <v>139</v>
      </c>
      <c r="Y89" s="325">
        <v>141</v>
      </c>
      <c r="Z89" s="325">
        <v>144</v>
      </c>
      <c r="AA89" s="325">
        <v>146</v>
      </c>
      <c r="AB89" s="325">
        <v>149</v>
      </c>
      <c r="AC89" s="325">
        <v>152</v>
      </c>
      <c r="AD89" s="325">
        <v>156</v>
      </c>
      <c r="AE89" s="325">
        <v>159</v>
      </c>
      <c r="AF89" s="325">
        <v>160</v>
      </c>
      <c r="AG89" s="325">
        <v>161</v>
      </c>
      <c r="AH89" s="325">
        <v>162</v>
      </c>
      <c r="AI89" s="325">
        <v>165</v>
      </c>
      <c r="AJ89" s="325">
        <v>167</v>
      </c>
      <c r="AK89" s="325">
        <v>169</v>
      </c>
      <c r="AL89" s="325">
        <v>172</v>
      </c>
      <c r="AM89" s="325">
        <v>176</v>
      </c>
      <c r="AN89" s="325">
        <v>179</v>
      </c>
      <c r="AO89" s="325">
        <v>182</v>
      </c>
      <c r="AP89" s="325">
        <v>183</v>
      </c>
      <c r="AQ89" s="325">
        <v>184</v>
      </c>
      <c r="AR89" s="325">
        <v>185</v>
      </c>
      <c r="AS89" s="325">
        <v>187</v>
      </c>
      <c r="AT89" s="325">
        <v>188</v>
      </c>
      <c r="AU89" s="325">
        <v>190</v>
      </c>
      <c r="AV89" s="325">
        <v>192</v>
      </c>
      <c r="AW89" s="325">
        <v>194</v>
      </c>
      <c r="AX89" s="325">
        <v>196</v>
      </c>
      <c r="AY89" s="325">
        <v>199</v>
      </c>
      <c r="AZ89" s="325">
        <v>202</v>
      </c>
      <c r="BA89" s="325">
        <v>205</v>
      </c>
      <c r="BB89" s="325">
        <v>209</v>
      </c>
      <c r="BC89" s="325">
        <v>212</v>
      </c>
      <c r="BD89" s="325">
        <v>215</v>
      </c>
      <c r="BE89" s="325">
        <v>220</v>
      </c>
      <c r="BF89" s="325">
        <v>224</v>
      </c>
      <c r="BG89" s="325">
        <v>228</v>
      </c>
      <c r="BH89" s="325">
        <v>233</v>
      </c>
      <c r="BI89" s="325">
        <v>237</v>
      </c>
      <c r="BJ89" s="325">
        <v>238</v>
      </c>
      <c r="BK89" s="325">
        <v>239</v>
      </c>
      <c r="BL89" s="325">
        <v>240</v>
      </c>
      <c r="BM89" s="325">
        <v>242</v>
      </c>
      <c r="BN89" s="325">
        <v>244</v>
      </c>
      <c r="BO89" s="325">
        <v>246</v>
      </c>
      <c r="BP89" s="325">
        <v>248</v>
      </c>
      <c r="BQ89" s="325">
        <v>250</v>
      </c>
      <c r="BR89" s="325">
        <v>254</v>
      </c>
      <c r="BS89" s="325">
        <v>257</v>
      </c>
      <c r="BT89" s="325">
        <v>258</v>
      </c>
      <c r="BU89" s="325">
        <v>259</v>
      </c>
      <c r="BV89" s="325">
        <v>260</v>
      </c>
      <c r="BW89" s="325">
        <v>261</v>
      </c>
      <c r="BX89" s="325">
        <v>264</v>
      </c>
      <c r="BY89" s="325">
        <v>266</v>
      </c>
      <c r="BZ89" s="325">
        <v>268</v>
      </c>
      <c r="CA89" s="325">
        <v>270</v>
      </c>
      <c r="CB89" s="325">
        <v>273</v>
      </c>
      <c r="CC89" s="325">
        <v>277</v>
      </c>
      <c r="CD89" s="325">
        <v>278</v>
      </c>
      <c r="CE89" s="325">
        <v>279</v>
      </c>
      <c r="CF89" s="325">
        <v>280</v>
      </c>
      <c r="CG89" s="325">
        <v>281</v>
      </c>
      <c r="CH89" s="325">
        <v>283</v>
      </c>
      <c r="CI89" s="325">
        <v>286</v>
      </c>
      <c r="CJ89" s="325">
        <v>288</v>
      </c>
      <c r="CK89" s="325">
        <v>290</v>
      </c>
      <c r="CL89" s="325">
        <v>293</v>
      </c>
      <c r="CM89" s="325">
        <v>297</v>
      </c>
      <c r="CN89" s="325">
        <v>298</v>
      </c>
      <c r="CO89" s="325">
        <v>299</v>
      </c>
      <c r="CP89" s="325">
        <v>300</v>
      </c>
      <c r="CQ89" s="325">
        <v>301</v>
      </c>
      <c r="CR89" s="325">
        <v>303</v>
      </c>
      <c r="CS89" s="325">
        <v>305</v>
      </c>
      <c r="CT89" s="325">
        <v>308</v>
      </c>
      <c r="CU89" s="325">
        <v>310</v>
      </c>
      <c r="CV89" s="325">
        <v>313</v>
      </c>
      <c r="CW89" s="272"/>
    </row>
    <row r="90" spans="1:101" ht="12.75" x14ac:dyDescent="0.2">
      <c r="A90" s="49" t="str">
        <f ca="1">语言!$A$2301</f>
        <v>属性攻击力</v>
      </c>
      <c r="B90" s="326">
        <v>80</v>
      </c>
      <c r="C90" s="326">
        <v>81</v>
      </c>
      <c r="D90" s="326">
        <v>82</v>
      </c>
      <c r="E90" s="326">
        <v>84</v>
      </c>
      <c r="F90" s="326">
        <v>86</v>
      </c>
      <c r="G90" s="326">
        <v>88</v>
      </c>
      <c r="H90" s="326">
        <v>91</v>
      </c>
      <c r="I90" s="326">
        <v>92</v>
      </c>
      <c r="J90" s="326">
        <v>93</v>
      </c>
      <c r="K90" s="326">
        <v>94</v>
      </c>
      <c r="L90" s="326">
        <v>96</v>
      </c>
      <c r="M90" s="326">
        <v>98</v>
      </c>
      <c r="N90" s="326">
        <v>100</v>
      </c>
      <c r="O90" s="326">
        <v>103</v>
      </c>
      <c r="P90" s="326">
        <v>106</v>
      </c>
      <c r="Q90" s="326">
        <v>109</v>
      </c>
      <c r="R90" s="326">
        <v>112</v>
      </c>
      <c r="S90" s="326">
        <v>116</v>
      </c>
      <c r="T90" s="326">
        <v>120</v>
      </c>
      <c r="U90" s="326">
        <v>124</v>
      </c>
      <c r="V90" s="326">
        <v>125</v>
      </c>
      <c r="W90" s="326">
        <v>126</v>
      </c>
      <c r="X90" s="326">
        <v>127</v>
      </c>
      <c r="Y90" s="326">
        <v>129</v>
      </c>
      <c r="Z90" s="326">
        <v>131</v>
      </c>
      <c r="AA90" s="326">
        <v>133</v>
      </c>
      <c r="AB90" s="326">
        <v>136</v>
      </c>
      <c r="AC90" s="326">
        <v>139</v>
      </c>
      <c r="AD90" s="326">
        <v>142</v>
      </c>
      <c r="AE90" s="326">
        <v>145</v>
      </c>
      <c r="AF90" s="326">
        <v>146</v>
      </c>
      <c r="AG90" s="326">
        <v>147</v>
      </c>
      <c r="AH90" s="326">
        <v>148</v>
      </c>
      <c r="AI90" s="326">
        <v>150</v>
      </c>
      <c r="AJ90" s="326">
        <v>152</v>
      </c>
      <c r="AK90" s="326">
        <v>154</v>
      </c>
      <c r="AL90" s="326">
        <v>157</v>
      </c>
      <c r="AM90" s="326">
        <v>160</v>
      </c>
      <c r="AN90" s="326">
        <v>163</v>
      </c>
      <c r="AO90" s="326">
        <v>166</v>
      </c>
      <c r="AP90" s="326">
        <v>167</v>
      </c>
      <c r="AQ90" s="326">
        <v>168</v>
      </c>
      <c r="AR90" s="326">
        <v>169</v>
      </c>
      <c r="AS90" s="326">
        <v>170</v>
      </c>
      <c r="AT90" s="326">
        <v>171</v>
      </c>
      <c r="AU90" s="326">
        <v>173</v>
      </c>
      <c r="AV90" s="326">
        <v>175</v>
      </c>
      <c r="AW90" s="326">
        <v>177</v>
      </c>
      <c r="AX90" s="326">
        <v>179</v>
      </c>
      <c r="AY90" s="326">
        <v>181</v>
      </c>
      <c r="AZ90" s="326">
        <v>184</v>
      </c>
      <c r="BA90" s="326">
        <v>187</v>
      </c>
      <c r="BB90" s="326">
        <v>190</v>
      </c>
      <c r="BC90" s="326">
        <v>193</v>
      </c>
      <c r="BD90" s="326">
        <v>196</v>
      </c>
      <c r="BE90" s="326">
        <v>200</v>
      </c>
      <c r="BF90" s="326">
        <v>204</v>
      </c>
      <c r="BG90" s="326">
        <v>208</v>
      </c>
      <c r="BH90" s="326">
        <v>212</v>
      </c>
      <c r="BI90" s="326">
        <v>216</v>
      </c>
      <c r="BJ90" s="326">
        <v>217</v>
      </c>
      <c r="BK90" s="326">
        <v>218</v>
      </c>
      <c r="BL90" s="326">
        <v>219</v>
      </c>
      <c r="BM90" s="326">
        <v>220</v>
      </c>
      <c r="BN90" s="326">
        <v>222</v>
      </c>
      <c r="BO90" s="326">
        <v>224</v>
      </c>
      <c r="BP90" s="326">
        <v>226</v>
      </c>
      <c r="BQ90" s="326">
        <v>228</v>
      </c>
      <c r="BR90" s="326">
        <v>231</v>
      </c>
      <c r="BS90" s="326">
        <v>234</v>
      </c>
      <c r="BT90" s="326">
        <v>235</v>
      </c>
      <c r="BU90" s="326">
        <v>236</v>
      </c>
      <c r="BV90" s="326">
        <v>237</v>
      </c>
      <c r="BW90" s="326">
        <v>238</v>
      </c>
      <c r="BX90" s="326">
        <v>240</v>
      </c>
      <c r="BY90" s="326">
        <v>242</v>
      </c>
      <c r="BZ90" s="326">
        <v>244</v>
      </c>
      <c r="CA90" s="326">
        <v>246</v>
      </c>
      <c r="CB90" s="326">
        <v>249</v>
      </c>
      <c r="CC90" s="326">
        <v>252</v>
      </c>
      <c r="CD90" s="326">
        <v>253</v>
      </c>
      <c r="CE90" s="326">
        <v>254</v>
      </c>
      <c r="CF90" s="326">
        <v>255</v>
      </c>
      <c r="CG90" s="326">
        <v>256</v>
      </c>
      <c r="CH90" s="326">
        <v>258</v>
      </c>
      <c r="CI90" s="326">
        <v>260</v>
      </c>
      <c r="CJ90" s="326">
        <v>262</v>
      </c>
      <c r="CK90" s="326">
        <v>264</v>
      </c>
      <c r="CL90" s="326">
        <v>267</v>
      </c>
      <c r="CM90" s="326">
        <v>270</v>
      </c>
      <c r="CN90" s="326">
        <v>271</v>
      </c>
      <c r="CO90" s="326">
        <v>272</v>
      </c>
      <c r="CP90" s="326">
        <v>273</v>
      </c>
      <c r="CQ90" s="326">
        <v>274</v>
      </c>
      <c r="CR90" s="326">
        <v>276</v>
      </c>
      <c r="CS90" s="326">
        <v>278</v>
      </c>
      <c r="CT90" s="326">
        <v>280</v>
      </c>
      <c r="CU90" s="326">
        <v>282</v>
      </c>
      <c r="CV90" s="326">
        <v>285</v>
      </c>
      <c r="CW90" s="266"/>
    </row>
    <row r="91" spans="1:101" ht="12.75" x14ac:dyDescent="0.2">
      <c r="A91" s="323" t="str">
        <f ca="1">语言!$A$2302</f>
        <v>物理防御力</v>
      </c>
      <c r="B91" s="325">
        <v>80</v>
      </c>
      <c r="C91" s="325">
        <v>81</v>
      </c>
      <c r="D91" s="325">
        <v>82</v>
      </c>
      <c r="E91" s="325">
        <v>84</v>
      </c>
      <c r="F91" s="325">
        <v>86</v>
      </c>
      <c r="G91" s="325">
        <v>88</v>
      </c>
      <c r="H91" s="325">
        <v>91</v>
      </c>
      <c r="I91" s="325">
        <v>92</v>
      </c>
      <c r="J91" s="325">
        <v>93</v>
      </c>
      <c r="K91" s="325">
        <v>94</v>
      </c>
      <c r="L91" s="325">
        <v>96</v>
      </c>
      <c r="M91" s="325">
        <v>98</v>
      </c>
      <c r="N91" s="325">
        <v>100</v>
      </c>
      <c r="O91" s="325">
        <v>103</v>
      </c>
      <c r="P91" s="325">
        <v>106</v>
      </c>
      <c r="Q91" s="325">
        <v>109</v>
      </c>
      <c r="R91" s="325">
        <v>112</v>
      </c>
      <c r="S91" s="325">
        <v>116</v>
      </c>
      <c r="T91" s="325">
        <v>120</v>
      </c>
      <c r="U91" s="325">
        <v>124</v>
      </c>
      <c r="V91" s="325">
        <v>125</v>
      </c>
      <c r="W91" s="325">
        <v>126</v>
      </c>
      <c r="X91" s="325">
        <v>127</v>
      </c>
      <c r="Y91" s="325">
        <v>129</v>
      </c>
      <c r="Z91" s="325">
        <v>131</v>
      </c>
      <c r="AA91" s="325">
        <v>133</v>
      </c>
      <c r="AB91" s="325">
        <v>136</v>
      </c>
      <c r="AC91" s="325">
        <v>139</v>
      </c>
      <c r="AD91" s="325">
        <v>142</v>
      </c>
      <c r="AE91" s="325">
        <v>145</v>
      </c>
      <c r="AF91" s="325">
        <v>146</v>
      </c>
      <c r="AG91" s="325">
        <v>147</v>
      </c>
      <c r="AH91" s="325">
        <v>148</v>
      </c>
      <c r="AI91" s="325">
        <v>150</v>
      </c>
      <c r="AJ91" s="325">
        <v>152</v>
      </c>
      <c r="AK91" s="325">
        <v>154</v>
      </c>
      <c r="AL91" s="325">
        <v>157</v>
      </c>
      <c r="AM91" s="325">
        <v>160</v>
      </c>
      <c r="AN91" s="325">
        <v>163</v>
      </c>
      <c r="AO91" s="325">
        <v>166</v>
      </c>
      <c r="AP91" s="325">
        <v>167</v>
      </c>
      <c r="AQ91" s="325">
        <v>168</v>
      </c>
      <c r="AR91" s="325">
        <v>169</v>
      </c>
      <c r="AS91" s="325">
        <v>170</v>
      </c>
      <c r="AT91" s="325">
        <v>171</v>
      </c>
      <c r="AU91" s="325">
        <v>173</v>
      </c>
      <c r="AV91" s="325">
        <v>175</v>
      </c>
      <c r="AW91" s="325">
        <v>177</v>
      </c>
      <c r="AX91" s="325">
        <v>179</v>
      </c>
      <c r="AY91" s="325">
        <v>181</v>
      </c>
      <c r="AZ91" s="325">
        <v>184</v>
      </c>
      <c r="BA91" s="325">
        <v>187</v>
      </c>
      <c r="BB91" s="325">
        <v>190</v>
      </c>
      <c r="BC91" s="325">
        <v>193</v>
      </c>
      <c r="BD91" s="325">
        <v>196</v>
      </c>
      <c r="BE91" s="325">
        <v>200</v>
      </c>
      <c r="BF91" s="325">
        <v>204</v>
      </c>
      <c r="BG91" s="325">
        <v>208</v>
      </c>
      <c r="BH91" s="325">
        <v>212</v>
      </c>
      <c r="BI91" s="325">
        <v>216</v>
      </c>
      <c r="BJ91" s="325">
        <v>217</v>
      </c>
      <c r="BK91" s="325">
        <v>218</v>
      </c>
      <c r="BL91" s="325">
        <v>219</v>
      </c>
      <c r="BM91" s="325">
        <v>220</v>
      </c>
      <c r="BN91" s="325">
        <v>222</v>
      </c>
      <c r="BO91" s="325">
        <v>224</v>
      </c>
      <c r="BP91" s="325">
        <v>226</v>
      </c>
      <c r="BQ91" s="325">
        <v>228</v>
      </c>
      <c r="BR91" s="325">
        <v>231</v>
      </c>
      <c r="BS91" s="325">
        <v>234</v>
      </c>
      <c r="BT91" s="325">
        <v>235</v>
      </c>
      <c r="BU91" s="325">
        <v>236</v>
      </c>
      <c r="BV91" s="325">
        <v>237</v>
      </c>
      <c r="BW91" s="325">
        <v>238</v>
      </c>
      <c r="BX91" s="325">
        <v>240</v>
      </c>
      <c r="BY91" s="325">
        <v>242</v>
      </c>
      <c r="BZ91" s="325">
        <v>244</v>
      </c>
      <c r="CA91" s="325">
        <v>246</v>
      </c>
      <c r="CB91" s="325">
        <v>249</v>
      </c>
      <c r="CC91" s="325">
        <v>252</v>
      </c>
      <c r="CD91" s="325">
        <v>253</v>
      </c>
      <c r="CE91" s="325">
        <v>254</v>
      </c>
      <c r="CF91" s="325">
        <v>255</v>
      </c>
      <c r="CG91" s="325">
        <v>256</v>
      </c>
      <c r="CH91" s="325">
        <v>258</v>
      </c>
      <c r="CI91" s="325">
        <v>260</v>
      </c>
      <c r="CJ91" s="325">
        <v>262</v>
      </c>
      <c r="CK91" s="325">
        <v>264</v>
      </c>
      <c r="CL91" s="325">
        <v>267</v>
      </c>
      <c r="CM91" s="325">
        <v>270</v>
      </c>
      <c r="CN91" s="325">
        <v>271</v>
      </c>
      <c r="CO91" s="325">
        <v>272</v>
      </c>
      <c r="CP91" s="325">
        <v>273</v>
      </c>
      <c r="CQ91" s="325">
        <v>274</v>
      </c>
      <c r="CR91" s="325">
        <v>276</v>
      </c>
      <c r="CS91" s="325">
        <v>278</v>
      </c>
      <c r="CT91" s="325">
        <v>280</v>
      </c>
      <c r="CU91" s="325">
        <v>282</v>
      </c>
      <c r="CV91" s="325">
        <v>285</v>
      </c>
      <c r="CW91" s="272"/>
    </row>
    <row r="92" spans="1:101" ht="12.75" x14ac:dyDescent="0.2">
      <c r="A92" s="49" t="str">
        <f ca="1">语言!$A$2303</f>
        <v>属性防御力</v>
      </c>
      <c r="B92" s="326">
        <v>80</v>
      </c>
      <c r="C92" s="326">
        <v>81</v>
      </c>
      <c r="D92" s="326">
        <v>82</v>
      </c>
      <c r="E92" s="326">
        <v>84</v>
      </c>
      <c r="F92" s="326">
        <v>86</v>
      </c>
      <c r="G92" s="326">
        <v>88</v>
      </c>
      <c r="H92" s="326">
        <v>91</v>
      </c>
      <c r="I92" s="326">
        <v>92</v>
      </c>
      <c r="J92" s="326">
        <v>93</v>
      </c>
      <c r="K92" s="326">
        <v>94</v>
      </c>
      <c r="L92" s="326">
        <v>96</v>
      </c>
      <c r="M92" s="326">
        <v>98</v>
      </c>
      <c r="N92" s="326">
        <v>100</v>
      </c>
      <c r="O92" s="326">
        <v>103</v>
      </c>
      <c r="P92" s="326">
        <v>106</v>
      </c>
      <c r="Q92" s="326">
        <v>109</v>
      </c>
      <c r="R92" s="326">
        <v>112</v>
      </c>
      <c r="S92" s="326">
        <v>116</v>
      </c>
      <c r="T92" s="326">
        <v>120</v>
      </c>
      <c r="U92" s="326">
        <v>124</v>
      </c>
      <c r="V92" s="326">
        <v>125</v>
      </c>
      <c r="W92" s="326">
        <v>126</v>
      </c>
      <c r="X92" s="326">
        <v>127</v>
      </c>
      <c r="Y92" s="326">
        <v>129</v>
      </c>
      <c r="Z92" s="326">
        <v>131</v>
      </c>
      <c r="AA92" s="326">
        <v>133</v>
      </c>
      <c r="AB92" s="326">
        <v>136</v>
      </c>
      <c r="AC92" s="326">
        <v>139</v>
      </c>
      <c r="AD92" s="326">
        <v>142</v>
      </c>
      <c r="AE92" s="326">
        <v>145</v>
      </c>
      <c r="AF92" s="326">
        <v>146</v>
      </c>
      <c r="AG92" s="326">
        <v>147</v>
      </c>
      <c r="AH92" s="326">
        <v>148</v>
      </c>
      <c r="AI92" s="326">
        <v>150</v>
      </c>
      <c r="AJ92" s="326">
        <v>152</v>
      </c>
      <c r="AK92" s="326">
        <v>154</v>
      </c>
      <c r="AL92" s="326">
        <v>157</v>
      </c>
      <c r="AM92" s="326">
        <v>160</v>
      </c>
      <c r="AN92" s="326">
        <v>163</v>
      </c>
      <c r="AO92" s="326">
        <v>166</v>
      </c>
      <c r="AP92" s="326">
        <v>167</v>
      </c>
      <c r="AQ92" s="326">
        <v>168</v>
      </c>
      <c r="AR92" s="326">
        <v>169</v>
      </c>
      <c r="AS92" s="326">
        <v>170</v>
      </c>
      <c r="AT92" s="326">
        <v>171</v>
      </c>
      <c r="AU92" s="326">
        <v>173</v>
      </c>
      <c r="AV92" s="326">
        <v>175</v>
      </c>
      <c r="AW92" s="326">
        <v>177</v>
      </c>
      <c r="AX92" s="326">
        <v>179</v>
      </c>
      <c r="AY92" s="326">
        <v>181</v>
      </c>
      <c r="AZ92" s="326">
        <v>184</v>
      </c>
      <c r="BA92" s="326">
        <v>187</v>
      </c>
      <c r="BB92" s="326">
        <v>190</v>
      </c>
      <c r="BC92" s="326">
        <v>193</v>
      </c>
      <c r="BD92" s="326">
        <v>196</v>
      </c>
      <c r="BE92" s="326">
        <v>200</v>
      </c>
      <c r="BF92" s="326">
        <v>204</v>
      </c>
      <c r="BG92" s="326">
        <v>208</v>
      </c>
      <c r="BH92" s="326">
        <v>212</v>
      </c>
      <c r="BI92" s="326">
        <v>216</v>
      </c>
      <c r="BJ92" s="326">
        <v>217</v>
      </c>
      <c r="BK92" s="326">
        <v>218</v>
      </c>
      <c r="BL92" s="326">
        <v>219</v>
      </c>
      <c r="BM92" s="326">
        <v>220</v>
      </c>
      <c r="BN92" s="326">
        <v>222</v>
      </c>
      <c r="BO92" s="326">
        <v>224</v>
      </c>
      <c r="BP92" s="326">
        <v>226</v>
      </c>
      <c r="BQ92" s="326">
        <v>228</v>
      </c>
      <c r="BR92" s="326">
        <v>231</v>
      </c>
      <c r="BS92" s="326">
        <v>234</v>
      </c>
      <c r="BT92" s="326">
        <v>235</v>
      </c>
      <c r="BU92" s="326">
        <v>236</v>
      </c>
      <c r="BV92" s="326">
        <v>237</v>
      </c>
      <c r="BW92" s="326">
        <v>238</v>
      </c>
      <c r="BX92" s="326">
        <v>240</v>
      </c>
      <c r="BY92" s="326">
        <v>242</v>
      </c>
      <c r="BZ92" s="326">
        <v>244</v>
      </c>
      <c r="CA92" s="326">
        <v>246</v>
      </c>
      <c r="CB92" s="326">
        <v>249</v>
      </c>
      <c r="CC92" s="326">
        <v>252</v>
      </c>
      <c r="CD92" s="326">
        <v>253</v>
      </c>
      <c r="CE92" s="326">
        <v>254</v>
      </c>
      <c r="CF92" s="326">
        <v>255</v>
      </c>
      <c r="CG92" s="326">
        <v>256</v>
      </c>
      <c r="CH92" s="326">
        <v>258</v>
      </c>
      <c r="CI92" s="326">
        <v>260</v>
      </c>
      <c r="CJ92" s="326">
        <v>262</v>
      </c>
      <c r="CK92" s="326">
        <v>264</v>
      </c>
      <c r="CL92" s="326">
        <v>267</v>
      </c>
      <c r="CM92" s="326">
        <v>270</v>
      </c>
      <c r="CN92" s="326">
        <v>271</v>
      </c>
      <c r="CO92" s="326">
        <v>272</v>
      </c>
      <c r="CP92" s="326">
        <v>273</v>
      </c>
      <c r="CQ92" s="326">
        <v>274</v>
      </c>
      <c r="CR92" s="326">
        <v>276</v>
      </c>
      <c r="CS92" s="326">
        <v>278</v>
      </c>
      <c r="CT92" s="326">
        <v>280</v>
      </c>
      <c r="CU92" s="326">
        <v>282</v>
      </c>
      <c r="CV92" s="326">
        <v>285</v>
      </c>
      <c r="CW92" s="266"/>
    </row>
    <row r="93" spans="1:101" ht="12.75" x14ac:dyDescent="0.2">
      <c r="A93" s="323" t="str">
        <f ca="1">语言!$A$2304</f>
        <v>命中</v>
      </c>
      <c r="B93" s="325">
        <v>80</v>
      </c>
      <c r="C93" s="325">
        <v>81</v>
      </c>
      <c r="D93" s="325">
        <v>82</v>
      </c>
      <c r="E93" s="325">
        <v>84</v>
      </c>
      <c r="F93" s="325">
        <v>86</v>
      </c>
      <c r="G93" s="325">
        <v>88</v>
      </c>
      <c r="H93" s="325">
        <v>91</v>
      </c>
      <c r="I93" s="325">
        <v>92</v>
      </c>
      <c r="J93" s="325">
        <v>93</v>
      </c>
      <c r="K93" s="325">
        <v>94</v>
      </c>
      <c r="L93" s="325">
        <v>96</v>
      </c>
      <c r="M93" s="325">
        <v>98</v>
      </c>
      <c r="N93" s="325">
        <v>100</v>
      </c>
      <c r="O93" s="325">
        <v>103</v>
      </c>
      <c r="P93" s="325">
        <v>106</v>
      </c>
      <c r="Q93" s="325">
        <v>109</v>
      </c>
      <c r="R93" s="325">
        <v>112</v>
      </c>
      <c r="S93" s="325">
        <v>116</v>
      </c>
      <c r="T93" s="325">
        <v>120</v>
      </c>
      <c r="U93" s="325">
        <v>124</v>
      </c>
      <c r="V93" s="325">
        <v>125</v>
      </c>
      <c r="W93" s="325">
        <v>126</v>
      </c>
      <c r="X93" s="325">
        <v>127</v>
      </c>
      <c r="Y93" s="325">
        <v>129</v>
      </c>
      <c r="Z93" s="325">
        <v>131</v>
      </c>
      <c r="AA93" s="325">
        <v>133</v>
      </c>
      <c r="AB93" s="325">
        <v>136</v>
      </c>
      <c r="AC93" s="325">
        <v>139</v>
      </c>
      <c r="AD93" s="325">
        <v>142</v>
      </c>
      <c r="AE93" s="325">
        <v>145</v>
      </c>
      <c r="AF93" s="325">
        <v>146</v>
      </c>
      <c r="AG93" s="325">
        <v>147</v>
      </c>
      <c r="AH93" s="325">
        <v>148</v>
      </c>
      <c r="AI93" s="325">
        <v>150</v>
      </c>
      <c r="AJ93" s="325">
        <v>152</v>
      </c>
      <c r="AK93" s="325">
        <v>154</v>
      </c>
      <c r="AL93" s="325">
        <v>157</v>
      </c>
      <c r="AM93" s="325">
        <v>160</v>
      </c>
      <c r="AN93" s="325">
        <v>163</v>
      </c>
      <c r="AO93" s="325">
        <v>166</v>
      </c>
      <c r="AP93" s="325">
        <v>167</v>
      </c>
      <c r="AQ93" s="325">
        <v>168</v>
      </c>
      <c r="AR93" s="325">
        <v>169</v>
      </c>
      <c r="AS93" s="325">
        <v>170</v>
      </c>
      <c r="AT93" s="325">
        <v>171</v>
      </c>
      <c r="AU93" s="325">
        <v>173</v>
      </c>
      <c r="AV93" s="325">
        <v>175</v>
      </c>
      <c r="AW93" s="325">
        <v>177</v>
      </c>
      <c r="AX93" s="325">
        <v>179</v>
      </c>
      <c r="AY93" s="325">
        <v>181</v>
      </c>
      <c r="AZ93" s="325">
        <v>184</v>
      </c>
      <c r="BA93" s="325">
        <v>187</v>
      </c>
      <c r="BB93" s="325">
        <v>190</v>
      </c>
      <c r="BC93" s="325">
        <v>193</v>
      </c>
      <c r="BD93" s="325">
        <v>196</v>
      </c>
      <c r="BE93" s="325">
        <v>200</v>
      </c>
      <c r="BF93" s="325">
        <v>204</v>
      </c>
      <c r="BG93" s="325">
        <v>208</v>
      </c>
      <c r="BH93" s="325">
        <v>212</v>
      </c>
      <c r="BI93" s="325">
        <v>216</v>
      </c>
      <c r="BJ93" s="325">
        <v>217</v>
      </c>
      <c r="BK93" s="325">
        <v>218</v>
      </c>
      <c r="BL93" s="325">
        <v>219</v>
      </c>
      <c r="BM93" s="325">
        <v>220</v>
      </c>
      <c r="BN93" s="325">
        <v>222</v>
      </c>
      <c r="BO93" s="325">
        <v>224</v>
      </c>
      <c r="BP93" s="325">
        <v>226</v>
      </c>
      <c r="BQ93" s="325">
        <v>228</v>
      </c>
      <c r="BR93" s="325">
        <v>231</v>
      </c>
      <c r="BS93" s="325">
        <v>234</v>
      </c>
      <c r="BT93" s="325">
        <v>235</v>
      </c>
      <c r="BU93" s="325">
        <v>236</v>
      </c>
      <c r="BV93" s="325">
        <v>237</v>
      </c>
      <c r="BW93" s="325">
        <v>238</v>
      </c>
      <c r="BX93" s="325">
        <v>240</v>
      </c>
      <c r="BY93" s="325">
        <v>242</v>
      </c>
      <c r="BZ93" s="325">
        <v>244</v>
      </c>
      <c r="CA93" s="325">
        <v>246</v>
      </c>
      <c r="CB93" s="325">
        <v>249</v>
      </c>
      <c r="CC93" s="325">
        <v>252</v>
      </c>
      <c r="CD93" s="325">
        <v>253</v>
      </c>
      <c r="CE93" s="325">
        <v>254</v>
      </c>
      <c r="CF93" s="325">
        <v>255</v>
      </c>
      <c r="CG93" s="325">
        <v>256</v>
      </c>
      <c r="CH93" s="325">
        <v>258</v>
      </c>
      <c r="CI93" s="325">
        <v>260</v>
      </c>
      <c r="CJ93" s="325">
        <v>262</v>
      </c>
      <c r="CK93" s="325">
        <v>264</v>
      </c>
      <c r="CL93" s="325">
        <v>267</v>
      </c>
      <c r="CM93" s="325">
        <v>270</v>
      </c>
      <c r="CN93" s="325">
        <v>271</v>
      </c>
      <c r="CO93" s="325">
        <v>272</v>
      </c>
      <c r="CP93" s="325">
        <v>273</v>
      </c>
      <c r="CQ93" s="325">
        <v>274</v>
      </c>
      <c r="CR93" s="325">
        <v>276</v>
      </c>
      <c r="CS93" s="325">
        <v>278</v>
      </c>
      <c r="CT93" s="325">
        <v>280</v>
      </c>
      <c r="CU93" s="325">
        <v>282</v>
      </c>
      <c r="CV93" s="325">
        <v>285</v>
      </c>
      <c r="CW93" s="272"/>
    </row>
    <row r="94" spans="1:101" ht="12.75" x14ac:dyDescent="0.2">
      <c r="A94" s="49" t="str">
        <f ca="1">语言!$A$2305</f>
        <v>行动速度</v>
      </c>
      <c r="B94" s="326">
        <v>64</v>
      </c>
      <c r="C94" s="326">
        <v>64</v>
      </c>
      <c r="D94" s="326">
        <v>65</v>
      </c>
      <c r="E94" s="326">
        <v>67</v>
      </c>
      <c r="F94" s="326">
        <v>68</v>
      </c>
      <c r="G94" s="326">
        <v>70</v>
      </c>
      <c r="H94" s="326">
        <v>72</v>
      </c>
      <c r="I94" s="326">
        <v>73</v>
      </c>
      <c r="J94" s="326">
        <v>74</v>
      </c>
      <c r="K94" s="326">
        <v>75</v>
      </c>
      <c r="L94" s="326">
        <v>76</v>
      </c>
      <c r="M94" s="326">
        <v>78</v>
      </c>
      <c r="N94" s="326">
        <v>80</v>
      </c>
      <c r="O94" s="326">
        <v>82</v>
      </c>
      <c r="P94" s="326">
        <v>84</v>
      </c>
      <c r="Q94" s="326">
        <v>87</v>
      </c>
      <c r="R94" s="326">
        <v>89</v>
      </c>
      <c r="S94" s="326">
        <v>92</v>
      </c>
      <c r="T94" s="326">
        <v>96</v>
      </c>
      <c r="U94" s="326">
        <v>99</v>
      </c>
      <c r="V94" s="326">
        <v>100</v>
      </c>
      <c r="W94" s="326">
        <v>100</v>
      </c>
      <c r="X94" s="326">
        <v>101</v>
      </c>
      <c r="Y94" s="326">
        <v>103</v>
      </c>
      <c r="Z94" s="326">
        <v>104</v>
      </c>
      <c r="AA94" s="326">
        <v>106</v>
      </c>
      <c r="AB94" s="326">
        <v>108</v>
      </c>
      <c r="AC94" s="326">
        <v>111</v>
      </c>
      <c r="AD94" s="326">
        <v>113</v>
      </c>
      <c r="AE94" s="326">
        <v>116</v>
      </c>
      <c r="AF94" s="326">
        <v>116</v>
      </c>
      <c r="AG94" s="326">
        <v>117</v>
      </c>
      <c r="AH94" s="326">
        <v>118</v>
      </c>
      <c r="AI94" s="326">
        <v>120</v>
      </c>
      <c r="AJ94" s="326">
        <v>121</v>
      </c>
      <c r="AK94" s="326">
        <v>123</v>
      </c>
      <c r="AL94" s="326">
        <v>125</v>
      </c>
      <c r="AM94" s="326">
        <v>128</v>
      </c>
      <c r="AN94" s="326">
        <v>130</v>
      </c>
      <c r="AO94" s="326">
        <v>132</v>
      </c>
      <c r="AP94" s="326">
        <v>133</v>
      </c>
      <c r="AQ94" s="326">
        <v>134</v>
      </c>
      <c r="AR94" s="326">
        <v>135</v>
      </c>
      <c r="AS94" s="326">
        <v>136</v>
      </c>
      <c r="AT94" s="326">
        <v>136</v>
      </c>
      <c r="AU94" s="326">
        <v>138</v>
      </c>
      <c r="AV94" s="326">
        <v>140</v>
      </c>
      <c r="AW94" s="326">
        <v>141</v>
      </c>
      <c r="AX94" s="326">
        <v>143</v>
      </c>
      <c r="AY94" s="326">
        <v>144</v>
      </c>
      <c r="AZ94" s="326">
        <v>147</v>
      </c>
      <c r="BA94" s="326">
        <v>149</v>
      </c>
      <c r="BB94" s="326">
        <v>152</v>
      </c>
      <c r="BC94" s="326">
        <v>154</v>
      </c>
      <c r="BD94" s="326">
        <v>156</v>
      </c>
      <c r="BE94" s="326">
        <v>160</v>
      </c>
      <c r="BF94" s="326">
        <v>163</v>
      </c>
      <c r="BG94" s="326">
        <v>166</v>
      </c>
      <c r="BH94" s="326">
        <v>169</v>
      </c>
      <c r="BI94" s="326">
        <v>172</v>
      </c>
      <c r="BJ94" s="326">
        <v>173</v>
      </c>
      <c r="BK94" s="326">
        <v>174</v>
      </c>
      <c r="BL94" s="326">
        <v>175</v>
      </c>
      <c r="BM94" s="326">
        <v>176</v>
      </c>
      <c r="BN94" s="326">
        <v>177</v>
      </c>
      <c r="BO94" s="326">
        <v>179</v>
      </c>
      <c r="BP94" s="326">
        <v>180</v>
      </c>
      <c r="BQ94" s="326">
        <v>182</v>
      </c>
      <c r="BR94" s="326">
        <v>184</v>
      </c>
      <c r="BS94" s="326">
        <v>187</v>
      </c>
      <c r="BT94" s="326">
        <v>188</v>
      </c>
      <c r="BU94" s="326">
        <v>188</v>
      </c>
      <c r="BV94" s="326">
        <v>189</v>
      </c>
      <c r="BW94" s="326">
        <v>190</v>
      </c>
      <c r="BX94" s="326">
        <v>192</v>
      </c>
      <c r="BY94" s="326">
        <v>193</v>
      </c>
      <c r="BZ94" s="326">
        <v>195</v>
      </c>
      <c r="CA94" s="326">
        <v>196</v>
      </c>
      <c r="CB94" s="326">
        <v>199</v>
      </c>
      <c r="CC94" s="326">
        <v>201</v>
      </c>
      <c r="CD94" s="326">
        <v>202</v>
      </c>
      <c r="CE94" s="326">
        <v>203</v>
      </c>
      <c r="CF94" s="326">
        <v>204</v>
      </c>
      <c r="CG94" s="326">
        <v>204</v>
      </c>
      <c r="CH94" s="326">
        <v>206</v>
      </c>
      <c r="CI94" s="326">
        <v>208</v>
      </c>
      <c r="CJ94" s="326">
        <v>209</v>
      </c>
      <c r="CK94" s="326">
        <v>211</v>
      </c>
      <c r="CL94" s="326">
        <v>213</v>
      </c>
      <c r="CM94" s="326">
        <v>216</v>
      </c>
      <c r="CN94" s="326">
        <v>216</v>
      </c>
      <c r="CO94" s="326">
        <v>217</v>
      </c>
      <c r="CP94" s="326">
        <v>218</v>
      </c>
      <c r="CQ94" s="326">
        <v>219</v>
      </c>
      <c r="CR94" s="326">
        <v>220</v>
      </c>
      <c r="CS94" s="326">
        <v>222</v>
      </c>
      <c r="CT94" s="326">
        <v>224</v>
      </c>
      <c r="CU94" s="326">
        <v>225</v>
      </c>
      <c r="CV94" s="326">
        <v>228</v>
      </c>
      <c r="CW94" s="266"/>
    </row>
    <row r="95" spans="1:101" ht="12.75" x14ac:dyDescent="0.2">
      <c r="A95" s="323" t="str">
        <f ca="1">语言!$A$2306</f>
        <v>暴击</v>
      </c>
      <c r="B95" s="325">
        <v>80</v>
      </c>
      <c r="C95" s="325">
        <v>81</v>
      </c>
      <c r="D95" s="325">
        <v>82</v>
      </c>
      <c r="E95" s="325">
        <v>84</v>
      </c>
      <c r="F95" s="325">
        <v>86</v>
      </c>
      <c r="G95" s="325">
        <v>88</v>
      </c>
      <c r="H95" s="325">
        <v>91</v>
      </c>
      <c r="I95" s="325">
        <v>92</v>
      </c>
      <c r="J95" s="325">
        <v>93</v>
      </c>
      <c r="K95" s="325">
        <v>94</v>
      </c>
      <c r="L95" s="325">
        <v>96</v>
      </c>
      <c r="M95" s="325">
        <v>98</v>
      </c>
      <c r="N95" s="325">
        <v>100</v>
      </c>
      <c r="O95" s="325">
        <v>103</v>
      </c>
      <c r="P95" s="325">
        <v>106</v>
      </c>
      <c r="Q95" s="325">
        <v>109</v>
      </c>
      <c r="R95" s="325">
        <v>112</v>
      </c>
      <c r="S95" s="325">
        <v>116</v>
      </c>
      <c r="T95" s="325">
        <v>120</v>
      </c>
      <c r="U95" s="325">
        <v>124</v>
      </c>
      <c r="V95" s="325">
        <v>125</v>
      </c>
      <c r="W95" s="325">
        <v>126</v>
      </c>
      <c r="X95" s="325">
        <v>127</v>
      </c>
      <c r="Y95" s="325">
        <v>129</v>
      </c>
      <c r="Z95" s="325">
        <v>131</v>
      </c>
      <c r="AA95" s="325">
        <v>133</v>
      </c>
      <c r="AB95" s="325">
        <v>136</v>
      </c>
      <c r="AC95" s="325">
        <v>139</v>
      </c>
      <c r="AD95" s="325">
        <v>142</v>
      </c>
      <c r="AE95" s="325">
        <v>145</v>
      </c>
      <c r="AF95" s="325">
        <v>146</v>
      </c>
      <c r="AG95" s="325">
        <v>147</v>
      </c>
      <c r="AH95" s="325">
        <v>148</v>
      </c>
      <c r="AI95" s="325">
        <v>150</v>
      </c>
      <c r="AJ95" s="325">
        <v>152</v>
      </c>
      <c r="AK95" s="325">
        <v>154</v>
      </c>
      <c r="AL95" s="325">
        <v>157</v>
      </c>
      <c r="AM95" s="325">
        <v>160</v>
      </c>
      <c r="AN95" s="325">
        <v>163</v>
      </c>
      <c r="AO95" s="325">
        <v>166</v>
      </c>
      <c r="AP95" s="325">
        <v>167</v>
      </c>
      <c r="AQ95" s="325">
        <v>168</v>
      </c>
      <c r="AR95" s="325">
        <v>169</v>
      </c>
      <c r="AS95" s="325">
        <v>170</v>
      </c>
      <c r="AT95" s="325">
        <v>171</v>
      </c>
      <c r="AU95" s="325">
        <v>173</v>
      </c>
      <c r="AV95" s="325">
        <v>175</v>
      </c>
      <c r="AW95" s="325">
        <v>177</v>
      </c>
      <c r="AX95" s="325">
        <v>179</v>
      </c>
      <c r="AY95" s="325">
        <v>181</v>
      </c>
      <c r="AZ95" s="325">
        <v>184</v>
      </c>
      <c r="BA95" s="325">
        <v>187</v>
      </c>
      <c r="BB95" s="325">
        <v>190</v>
      </c>
      <c r="BC95" s="325">
        <v>193</v>
      </c>
      <c r="BD95" s="325">
        <v>196</v>
      </c>
      <c r="BE95" s="325">
        <v>200</v>
      </c>
      <c r="BF95" s="325">
        <v>204</v>
      </c>
      <c r="BG95" s="325">
        <v>208</v>
      </c>
      <c r="BH95" s="325">
        <v>212</v>
      </c>
      <c r="BI95" s="325">
        <v>216</v>
      </c>
      <c r="BJ95" s="325">
        <v>217</v>
      </c>
      <c r="BK95" s="325">
        <v>218</v>
      </c>
      <c r="BL95" s="325">
        <v>219</v>
      </c>
      <c r="BM95" s="325">
        <v>220</v>
      </c>
      <c r="BN95" s="325">
        <v>222</v>
      </c>
      <c r="BO95" s="325">
        <v>224</v>
      </c>
      <c r="BP95" s="325">
        <v>226</v>
      </c>
      <c r="BQ95" s="325">
        <v>228</v>
      </c>
      <c r="BR95" s="325">
        <v>231</v>
      </c>
      <c r="BS95" s="325">
        <v>234</v>
      </c>
      <c r="BT95" s="325">
        <v>235</v>
      </c>
      <c r="BU95" s="325">
        <v>236</v>
      </c>
      <c r="BV95" s="325">
        <v>237</v>
      </c>
      <c r="BW95" s="325">
        <v>238</v>
      </c>
      <c r="BX95" s="325">
        <v>240</v>
      </c>
      <c r="BY95" s="325">
        <v>242</v>
      </c>
      <c r="BZ95" s="325">
        <v>244</v>
      </c>
      <c r="CA95" s="325">
        <v>246</v>
      </c>
      <c r="CB95" s="325">
        <v>249</v>
      </c>
      <c r="CC95" s="325">
        <v>252</v>
      </c>
      <c r="CD95" s="325">
        <v>253</v>
      </c>
      <c r="CE95" s="325">
        <v>254</v>
      </c>
      <c r="CF95" s="325">
        <v>255</v>
      </c>
      <c r="CG95" s="325">
        <v>256</v>
      </c>
      <c r="CH95" s="325">
        <v>258</v>
      </c>
      <c r="CI95" s="325">
        <v>260</v>
      </c>
      <c r="CJ95" s="325">
        <v>262</v>
      </c>
      <c r="CK95" s="325">
        <v>264</v>
      </c>
      <c r="CL95" s="325">
        <v>267</v>
      </c>
      <c r="CM95" s="325">
        <v>270</v>
      </c>
      <c r="CN95" s="325">
        <v>271</v>
      </c>
      <c r="CO95" s="325">
        <v>272</v>
      </c>
      <c r="CP95" s="325">
        <v>273</v>
      </c>
      <c r="CQ95" s="325">
        <v>274</v>
      </c>
      <c r="CR95" s="325">
        <v>276</v>
      </c>
      <c r="CS95" s="325">
        <v>278</v>
      </c>
      <c r="CT95" s="325">
        <v>280</v>
      </c>
      <c r="CU95" s="325">
        <v>282</v>
      </c>
      <c r="CV95" s="325">
        <v>285</v>
      </c>
      <c r="CW95" s="272"/>
    </row>
    <row r="96" spans="1:101" ht="12.75" x14ac:dyDescent="0.2">
      <c r="A96" s="49" t="str">
        <f ca="1">语言!$A$2307</f>
        <v>回避</v>
      </c>
      <c r="B96" s="326">
        <v>72</v>
      </c>
      <c r="C96" s="326">
        <v>72</v>
      </c>
      <c r="D96" s="326">
        <v>73</v>
      </c>
      <c r="E96" s="326">
        <v>75</v>
      </c>
      <c r="F96" s="326">
        <v>77</v>
      </c>
      <c r="G96" s="326">
        <v>79</v>
      </c>
      <c r="H96" s="326">
        <v>81</v>
      </c>
      <c r="I96" s="326">
        <v>82</v>
      </c>
      <c r="J96" s="326">
        <v>83</v>
      </c>
      <c r="K96" s="326">
        <v>84</v>
      </c>
      <c r="L96" s="326">
        <v>86</v>
      </c>
      <c r="M96" s="326">
        <v>88</v>
      </c>
      <c r="N96" s="326">
        <v>90</v>
      </c>
      <c r="O96" s="326">
        <v>92</v>
      </c>
      <c r="P96" s="326">
        <v>95</v>
      </c>
      <c r="Q96" s="326">
        <v>98</v>
      </c>
      <c r="R96" s="326">
        <v>100</v>
      </c>
      <c r="S96" s="326">
        <v>104</v>
      </c>
      <c r="T96" s="326">
        <v>108</v>
      </c>
      <c r="U96" s="326">
        <v>111</v>
      </c>
      <c r="V96" s="326">
        <v>112</v>
      </c>
      <c r="W96" s="326">
        <v>113</v>
      </c>
      <c r="X96" s="326">
        <v>114</v>
      </c>
      <c r="Y96" s="326">
        <v>116</v>
      </c>
      <c r="Z96" s="326">
        <v>117</v>
      </c>
      <c r="AA96" s="326">
        <v>119</v>
      </c>
      <c r="AB96" s="326">
        <v>122</v>
      </c>
      <c r="AC96" s="326">
        <v>125</v>
      </c>
      <c r="AD96" s="326">
        <v>127</v>
      </c>
      <c r="AE96" s="326">
        <v>130</v>
      </c>
      <c r="AF96" s="326">
        <v>131</v>
      </c>
      <c r="AG96" s="326">
        <v>132</v>
      </c>
      <c r="AH96" s="326">
        <v>133</v>
      </c>
      <c r="AI96" s="326">
        <v>135</v>
      </c>
      <c r="AJ96" s="326">
        <v>136</v>
      </c>
      <c r="AK96" s="326">
        <v>138</v>
      </c>
      <c r="AL96" s="326">
        <v>141</v>
      </c>
      <c r="AM96" s="326">
        <v>144</v>
      </c>
      <c r="AN96" s="326">
        <v>146</v>
      </c>
      <c r="AO96" s="326">
        <v>149</v>
      </c>
      <c r="AP96" s="326">
        <v>150</v>
      </c>
      <c r="AQ96" s="326">
        <v>151</v>
      </c>
      <c r="AR96" s="326">
        <v>152</v>
      </c>
      <c r="AS96" s="326">
        <v>153</v>
      </c>
      <c r="AT96" s="326">
        <v>153</v>
      </c>
      <c r="AU96" s="326">
        <v>155</v>
      </c>
      <c r="AV96" s="326">
        <v>157</v>
      </c>
      <c r="AW96" s="326">
        <v>159</v>
      </c>
      <c r="AX96" s="326">
        <v>161</v>
      </c>
      <c r="AY96" s="326">
        <v>162</v>
      </c>
      <c r="AZ96" s="326">
        <v>165</v>
      </c>
      <c r="BA96" s="326">
        <v>168</v>
      </c>
      <c r="BB96" s="326">
        <v>171</v>
      </c>
      <c r="BC96" s="326">
        <v>173</v>
      </c>
      <c r="BD96" s="326">
        <v>176</v>
      </c>
      <c r="BE96" s="326">
        <v>180</v>
      </c>
      <c r="BF96" s="326">
        <v>183</v>
      </c>
      <c r="BG96" s="326">
        <v>187</v>
      </c>
      <c r="BH96" s="326">
        <v>190</v>
      </c>
      <c r="BI96" s="326">
        <v>194</v>
      </c>
      <c r="BJ96" s="326">
        <v>195</v>
      </c>
      <c r="BK96" s="326">
        <v>196</v>
      </c>
      <c r="BL96" s="326">
        <v>197</v>
      </c>
      <c r="BM96" s="326">
        <v>198</v>
      </c>
      <c r="BN96" s="326">
        <v>199</v>
      </c>
      <c r="BO96" s="326">
        <v>201</v>
      </c>
      <c r="BP96" s="326">
        <v>203</v>
      </c>
      <c r="BQ96" s="326">
        <v>205</v>
      </c>
      <c r="BR96" s="326">
        <v>207</v>
      </c>
      <c r="BS96" s="326">
        <v>210</v>
      </c>
      <c r="BT96" s="326">
        <v>211</v>
      </c>
      <c r="BU96" s="326">
        <v>212</v>
      </c>
      <c r="BV96" s="326">
        <v>213</v>
      </c>
      <c r="BW96" s="326">
        <v>214</v>
      </c>
      <c r="BX96" s="326">
        <v>216</v>
      </c>
      <c r="BY96" s="326">
        <v>217</v>
      </c>
      <c r="BZ96" s="326">
        <v>219</v>
      </c>
      <c r="CA96" s="326">
        <v>221</v>
      </c>
      <c r="CB96" s="326">
        <v>224</v>
      </c>
      <c r="CC96" s="326">
        <v>226</v>
      </c>
      <c r="CD96" s="326">
        <v>227</v>
      </c>
      <c r="CE96" s="326">
        <v>228</v>
      </c>
      <c r="CF96" s="326">
        <v>229</v>
      </c>
      <c r="CG96" s="326">
        <v>230</v>
      </c>
      <c r="CH96" s="326">
        <v>232</v>
      </c>
      <c r="CI96" s="326">
        <v>234</v>
      </c>
      <c r="CJ96" s="326">
        <v>235</v>
      </c>
      <c r="CK96" s="326">
        <v>237</v>
      </c>
      <c r="CL96" s="326">
        <v>240</v>
      </c>
      <c r="CM96" s="326">
        <v>243</v>
      </c>
      <c r="CN96" s="326">
        <v>243</v>
      </c>
      <c r="CO96" s="326">
        <v>244</v>
      </c>
      <c r="CP96" s="326">
        <v>245</v>
      </c>
      <c r="CQ96" s="326">
        <v>246</v>
      </c>
      <c r="CR96" s="326">
        <v>248</v>
      </c>
      <c r="CS96" s="326">
        <v>250</v>
      </c>
      <c r="CT96" s="326">
        <v>252</v>
      </c>
      <c r="CU96" s="326">
        <v>253</v>
      </c>
      <c r="CV96" s="326">
        <v>256</v>
      </c>
      <c r="CW96" s="266"/>
    </row>
    <row r="97" spans="1:101" ht="12.75" x14ac:dyDescent="0.2">
      <c r="A97" s="328"/>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c r="CA97" s="327"/>
      <c r="CB97" s="327"/>
      <c r="CC97" s="327"/>
      <c r="CD97" s="327"/>
      <c r="CE97" s="327"/>
      <c r="CF97" s="327"/>
      <c r="CG97" s="327"/>
      <c r="CH97" s="327"/>
      <c r="CI97" s="327"/>
      <c r="CJ97" s="327"/>
      <c r="CK97" s="327"/>
      <c r="CL97" s="327"/>
      <c r="CM97" s="327"/>
      <c r="CN97" s="327"/>
      <c r="CO97" s="327"/>
      <c r="CP97" s="327"/>
      <c r="CQ97" s="327"/>
      <c r="CR97" s="327"/>
      <c r="CS97" s="327"/>
      <c r="CT97" s="327"/>
      <c r="CU97" s="327"/>
      <c r="CV97" s="327"/>
      <c r="CW97" s="328"/>
    </row>
    <row r="98" spans="1:101" ht="18" x14ac:dyDescent="0.25">
      <c r="A98" s="47" t="str">
        <f ca="1">语言!$A$41</f>
        <v>泰里翁</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7"/>
      <c r="BG98" s="327"/>
      <c r="BH98" s="327"/>
      <c r="BI98" s="327"/>
      <c r="BJ98" s="327"/>
      <c r="BK98" s="327"/>
      <c r="BL98" s="327"/>
      <c r="BM98" s="327"/>
      <c r="BN98" s="327"/>
      <c r="BO98" s="327"/>
      <c r="BP98" s="327"/>
      <c r="BQ98" s="327"/>
      <c r="BR98" s="327"/>
      <c r="BS98" s="327"/>
      <c r="BT98" s="327"/>
      <c r="BU98" s="327"/>
      <c r="BV98" s="327"/>
      <c r="BW98" s="327"/>
      <c r="BX98" s="327"/>
      <c r="BY98" s="327"/>
      <c r="BZ98" s="327"/>
      <c r="CA98" s="327"/>
      <c r="CB98" s="327"/>
      <c r="CC98" s="327"/>
      <c r="CD98" s="327"/>
      <c r="CE98" s="327"/>
      <c r="CF98" s="327"/>
      <c r="CG98" s="327"/>
      <c r="CH98" s="327"/>
      <c r="CI98" s="327"/>
      <c r="CJ98" s="327"/>
      <c r="CK98" s="327"/>
      <c r="CL98" s="327"/>
      <c r="CM98" s="327"/>
      <c r="CN98" s="327"/>
      <c r="CO98" s="327"/>
      <c r="CP98" s="327"/>
      <c r="CQ98" s="327"/>
      <c r="CR98" s="327"/>
      <c r="CS98" s="327"/>
      <c r="CT98" s="327"/>
      <c r="CU98" s="327"/>
      <c r="CV98" s="327"/>
      <c r="CW98" s="328"/>
    </row>
    <row r="99" spans="1:101" ht="12.75" x14ac:dyDescent="0.2">
      <c r="A99" s="50" t="str">
        <f ca="1">语言!$A$2297</f>
        <v>等级</v>
      </c>
      <c r="B99" s="329">
        <v>1</v>
      </c>
      <c r="C99" s="329">
        <v>2</v>
      </c>
      <c r="D99" s="329">
        <v>3</v>
      </c>
      <c r="E99" s="329">
        <v>4</v>
      </c>
      <c r="F99" s="329">
        <v>5</v>
      </c>
      <c r="G99" s="329">
        <v>6</v>
      </c>
      <c r="H99" s="329">
        <v>7</v>
      </c>
      <c r="I99" s="329">
        <v>8</v>
      </c>
      <c r="J99" s="329">
        <v>9</v>
      </c>
      <c r="K99" s="329">
        <v>10</v>
      </c>
      <c r="L99" s="329">
        <v>11</v>
      </c>
      <c r="M99" s="329">
        <v>12</v>
      </c>
      <c r="N99" s="329">
        <v>13</v>
      </c>
      <c r="O99" s="329">
        <v>14</v>
      </c>
      <c r="P99" s="329">
        <v>15</v>
      </c>
      <c r="Q99" s="329">
        <v>16</v>
      </c>
      <c r="R99" s="329">
        <v>17</v>
      </c>
      <c r="S99" s="329">
        <v>18</v>
      </c>
      <c r="T99" s="329">
        <v>19</v>
      </c>
      <c r="U99" s="329">
        <v>20</v>
      </c>
      <c r="V99" s="329">
        <v>21</v>
      </c>
      <c r="W99" s="329">
        <v>22</v>
      </c>
      <c r="X99" s="329">
        <v>23</v>
      </c>
      <c r="Y99" s="329">
        <v>24</v>
      </c>
      <c r="Z99" s="329">
        <v>25</v>
      </c>
      <c r="AA99" s="329">
        <v>26</v>
      </c>
      <c r="AB99" s="329">
        <v>27</v>
      </c>
      <c r="AC99" s="329">
        <v>28</v>
      </c>
      <c r="AD99" s="329">
        <v>29</v>
      </c>
      <c r="AE99" s="329">
        <v>30</v>
      </c>
      <c r="AF99" s="329">
        <v>31</v>
      </c>
      <c r="AG99" s="329">
        <v>32</v>
      </c>
      <c r="AH99" s="329">
        <v>33</v>
      </c>
      <c r="AI99" s="329">
        <v>34</v>
      </c>
      <c r="AJ99" s="329">
        <v>35</v>
      </c>
      <c r="AK99" s="329">
        <v>36</v>
      </c>
      <c r="AL99" s="329">
        <v>37</v>
      </c>
      <c r="AM99" s="329">
        <v>38</v>
      </c>
      <c r="AN99" s="329">
        <v>39</v>
      </c>
      <c r="AO99" s="329">
        <v>40</v>
      </c>
      <c r="AP99" s="329">
        <v>41</v>
      </c>
      <c r="AQ99" s="329">
        <v>42</v>
      </c>
      <c r="AR99" s="329">
        <v>43</v>
      </c>
      <c r="AS99" s="329">
        <v>44</v>
      </c>
      <c r="AT99" s="329">
        <v>45</v>
      </c>
      <c r="AU99" s="329">
        <v>46</v>
      </c>
      <c r="AV99" s="329">
        <v>47</v>
      </c>
      <c r="AW99" s="329">
        <v>48</v>
      </c>
      <c r="AX99" s="329">
        <v>49</v>
      </c>
      <c r="AY99" s="329">
        <v>50</v>
      </c>
      <c r="AZ99" s="329">
        <v>51</v>
      </c>
      <c r="BA99" s="329">
        <v>52</v>
      </c>
      <c r="BB99" s="329">
        <v>53</v>
      </c>
      <c r="BC99" s="329">
        <v>54</v>
      </c>
      <c r="BD99" s="329">
        <v>55</v>
      </c>
      <c r="BE99" s="329">
        <v>56</v>
      </c>
      <c r="BF99" s="329">
        <v>57</v>
      </c>
      <c r="BG99" s="329">
        <v>58</v>
      </c>
      <c r="BH99" s="329">
        <v>59</v>
      </c>
      <c r="BI99" s="329">
        <v>60</v>
      </c>
      <c r="BJ99" s="329">
        <v>61</v>
      </c>
      <c r="BK99" s="329">
        <v>62</v>
      </c>
      <c r="BL99" s="329">
        <v>63</v>
      </c>
      <c r="BM99" s="329">
        <v>64</v>
      </c>
      <c r="BN99" s="329">
        <v>65</v>
      </c>
      <c r="BO99" s="329">
        <v>66</v>
      </c>
      <c r="BP99" s="329">
        <v>67</v>
      </c>
      <c r="BQ99" s="329">
        <v>68</v>
      </c>
      <c r="BR99" s="329">
        <v>69</v>
      </c>
      <c r="BS99" s="329">
        <v>70</v>
      </c>
      <c r="BT99" s="329">
        <v>71</v>
      </c>
      <c r="BU99" s="329">
        <v>72</v>
      </c>
      <c r="BV99" s="329">
        <v>73</v>
      </c>
      <c r="BW99" s="329">
        <v>74</v>
      </c>
      <c r="BX99" s="329">
        <v>75</v>
      </c>
      <c r="BY99" s="329">
        <v>76</v>
      </c>
      <c r="BZ99" s="329">
        <v>77</v>
      </c>
      <c r="CA99" s="329">
        <v>78</v>
      </c>
      <c r="CB99" s="329">
        <v>79</v>
      </c>
      <c r="CC99" s="329">
        <v>80</v>
      </c>
      <c r="CD99" s="329">
        <v>81</v>
      </c>
      <c r="CE99" s="329">
        <v>82</v>
      </c>
      <c r="CF99" s="329">
        <v>83</v>
      </c>
      <c r="CG99" s="329">
        <v>84</v>
      </c>
      <c r="CH99" s="329">
        <v>85</v>
      </c>
      <c r="CI99" s="329">
        <v>86</v>
      </c>
      <c r="CJ99" s="329">
        <v>87</v>
      </c>
      <c r="CK99" s="329">
        <v>88</v>
      </c>
      <c r="CL99" s="329">
        <v>89</v>
      </c>
      <c r="CM99" s="329">
        <v>90</v>
      </c>
      <c r="CN99" s="329">
        <v>91</v>
      </c>
      <c r="CO99" s="329">
        <v>92</v>
      </c>
      <c r="CP99" s="329">
        <v>93</v>
      </c>
      <c r="CQ99" s="329">
        <v>94</v>
      </c>
      <c r="CR99" s="329">
        <v>95</v>
      </c>
      <c r="CS99" s="329">
        <v>96</v>
      </c>
      <c r="CT99" s="329">
        <v>97</v>
      </c>
      <c r="CU99" s="329">
        <v>98</v>
      </c>
      <c r="CV99" s="329">
        <v>99</v>
      </c>
      <c r="CW99" s="49"/>
    </row>
    <row r="100" spans="1:101" ht="12.75" x14ac:dyDescent="0.2">
      <c r="A100" s="323" t="str">
        <f ca="1">语言!$A$2298</f>
        <v>最大ＨＰ</v>
      </c>
      <c r="B100" s="325">
        <v>250</v>
      </c>
      <c r="C100" s="325">
        <v>261</v>
      </c>
      <c r="D100" s="325">
        <v>282</v>
      </c>
      <c r="E100" s="325">
        <v>314</v>
      </c>
      <c r="F100" s="325">
        <v>356</v>
      </c>
      <c r="G100" s="325">
        <v>408</v>
      </c>
      <c r="H100" s="325">
        <v>471</v>
      </c>
      <c r="I100" s="325">
        <v>481</v>
      </c>
      <c r="J100" s="325">
        <v>500</v>
      </c>
      <c r="K100" s="325">
        <v>528</v>
      </c>
      <c r="L100" s="325">
        <v>565</v>
      </c>
      <c r="M100" s="325">
        <v>611</v>
      </c>
      <c r="N100" s="325">
        <v>666</v>
      </c>
      <c r="O100" s="325">
        <v>730</v>
      </c>
      <c r="P100" s="325">
        <v>803</v>
      </c>
      <c r="Q100" s="325">
        <v>885</v>
      </c>
      <c r="R100" s="325">
        <v>976</v>
      </c>
      <c r="S100" s="325">
        <v>1077</v>
      </c>
      <c r="T100" s="325">
        <v>1187</v>
      </c>
      <c r="U100" s="325">
        <v>1306</v>
      </c>
      <c r="V100" s="325">
        <v>1316</v>
      </c>
      <c r="W100" s="325">
        <v>1335</v>
      </c>
      <c r="X100" s="325">
        <v>1363</v>
      </c>
      <c r="Y100" s="325">
        <v>1400</v>
      </c>
      <c r="Z100" s="325">
        <v>1446</v>
      </c>
      <c r="AA100" s="325">
        <v>1501</v>
      </c>
      <c r="AB100" s="325">
        <v>1565</v>
      </c>
      <c r="AC100" s="325">
        <v>1638</v>
      </c>
      <c r="AD100" s="325">
        <v>1720</v>
      </c>
      <c r="AE100" s="325">
        <v>1811</v>
      </c>
      <c r="AF100" s="325">
        <v>1819</v>
      </c>
      <c r="AG100" s="325">
        <v>1835</v>
      </c>
      <c r="AH100" s="325">
        <v>1859</v>
      </c>
      <c r="AI100" s="325">
        <v>1891</v>
      </c>
      <c r="AJ100" s="325">
        <v>1930</v>
      </c>
      <c r="AK100" s="325">
        <v>1977</v>
      </c>
      <c r="AL100" s="325">
        <v>2032</v>
      </c>
      <c r="AM100" s="325">
        <v>2095</v>
      </c>
      <c r="AN100" s="325">
        <v>2166</v>
      </c>
      <c r="AO100" s="325">
        <v>2244</v>
      </c>
      <c r="AP100" s="325">
        <v>2248</v>
      </c>
      <c r="AQ100" s="325">
        <v>2256</v>
      </c>
      <c r="AR100" s="325">
        <v>2268</v>
      </c>
      <c r="AS100" s="325">
        <v>2284</v>
      </c>
      <c r="AT100" s="325">
        <v>2304</v>
      </c>
      <c r="AU100" s="325">
        <v>2328</v>
      </c>
      <c r="AV100" s="325">
        <v>2356</v>
      </c>
      <c r="AW100" s="325">
        <v>2388</v>
      </c>
      <c r="AX100" s="325">
        <v>2424</v>
      </c>
      <c r="AY100" s="325">
        <v>2463</v>
      </c>
      <c r="AZ100" s="325">
        <v>2506</v>
      </c>
      <c r="BA100" s="325">
        <v>2553</v>
      </c>
      <c r="BB100" s="325">
        <v>2604</v>
      </c>
      <c r="BC100" s="325">
        <v>2659</v>
      </c>
      <c r="BD100" s="325">
        <v>2718</v>
      </c>
      <c r="BE100" s="325">
        <v>2781</v>
      </c>
      <c r="BF100" s="325">
        <v>2848</v>
      </c>
      <c r="BG100" s="325">
        <v>2919</v>
      </c>
      <c r="BH100" s="325">
        <v>2994</v>
      </c>
      <c r="BI100" s="325">
        <v>3072</v>
      </c>
      <c r="BJ100" s="325">
        <v>3079</v>
      </c>
      <c r="BK100" s="325">
        <v>3092</v>
      </c>
      <c r="BL100" s="325">
        <v>3112</v>
      </c>
      <c r="BM100" s="325">
        <v>3138</v>
      </c>
      <c r="BN100" s="325">
        <v>3171</v>
      </c>
      <c r="BO100" s="325">
        <v>3210</v>
      </c>
      <c r="BP100" s="325">
        <v>3256</v>
      </c>
      <c r="BQ100" s="325">
        <v>3308</v>
      </c>
      <c r="BR100" s="325">
        <v>3367</v>
      </c>
      <c r="BS100" s="325">
        <v>3432</v>
      </c>
      <c r="BT100" s="325">
        <v>3439</v>
      </c>
      <c r="BU100" s="325">
        <v>3452</v>
      </c>
      <c r="BV100" s="325">
        <v>3472</v>
      </c>
      <c r="BW100" s="325">
        <v>3498</v>
      </c>
      <c r="BX100" s="325">
        <v>3531</v>
      </c>
      <c r="BY100" s="325">
        <v>3570</v>
      </c>
      <c r="BZ100" s="325">
        <v>3616</v>
      </c>
      <c r="CA100" s="325">
        <v>3668</v>
      </c>
      <c r="CB100" s="325">
        <v>3727</v>
      </c>
      <c r="CC100" s="325">
        <v>3792</v>
      </c>
      <c r="CD100" s="325">
        <v>3799</v>
      </c>
      <c r="CE100" s="325">
        <v>3812</v>
      </c>
      <c r="CF100" s="325">
        <v>3832</v>
      </c>
      <c r="CG100" s="325">
        <v>3858</v>
      </c>
      <c r="CH100" s="325">
        <v>3891</v>
      </c>
      <c r="CI100" s="325">
        <v>3930</v>
      </c>
      <c r="CJ100" s="325">
        <v>3976</v>
      </c>
      <c r="CK100" s="325">
        <v>4028</v>
      </c>
      <c r="CL100" s="325">
        <v>4087</v>
      </c>
      <c r="CM100" s="325">
        <v>4152</v>
      </c>
      <c r="CN100" s="325">
        <v>4159</v>
      </c>
      <c r="CO100" s="325">
        <v>4172</v>
      </c>
      <c r="CP100" s="325">
        <v>4192</v>
      </c>
      <c r="CQ100" s="325">
        <v>4218</v>
      </c>
      <c r="CR100" s="325">
        <v>4251</v>
      </c>
      <c r="CS100" s="325">
        <v>4290</v>
      </c>
      <c r="CT100" s="325">
        <v>4336</v>
      </c>
      <c r="CU100" s="325">
        <v>4388</v>
      </c>
      <c r="CV100" s="325">
        <v>4447</v>
      </c>
      <c r="CW100" s="272"/>
    </row>
    <row r="101" spans="1:101" ht="12.75" x14ac:dyDescent="0.2">
      <c r="A101" s="49" t="str">
        <f ca="1">语言!$A$2299</f>
        <v>最大ＳＰ</v>
      </c>
      <c r="B101" s="326">
        <v>40</v>
      </c>
      <c r="C101" s="326">
        <v>40</v>
      </c>
      <c r="D101" s="326">
        <v>41</v>
      </c>
      <c r="E101" s="326">
        <v>42</v>
      </c>
      <c r="F101" s="326">
        <v>43</v>
      </c>
      <c r="G101" s="326">
        <v>44</v>
      </c>
      <c r="H101" s="326">
        <v>45</v>
      </c>
      <c r="I101" s="326">
        <v>46</v>
      </c>
      <c r="J101" s="326">
        <v>47</v>
      </c>
      <c r="K101" s="326">
        <v>48</v>
      </c>
      <c r="L101" s="326">
        <v>48</v>
      </c>
      <c r="M101" s="326">
        <v>49</v>
      </c>
      <c r="N101" s="326">
        <v>51</v>
      </c>
      <c r="O101" s="326">
        <v>52</v>
      </c>
      <c r="P101" s="326">
        <v>54</v>
      </c>
      <c r="Q101" s="326">
        <v>56</v>
      </c>
      <c r="R101" s="326">
        <v>57</v>
      </c>
      <c r="S101" s="326">
        <v>59</v>
      </c>
      <c r="T101" s="326">
        <v>61</v>
      </c>
      <c r="U101" s="326">
        <v>64</v>
      </c>
      <c r="V101" s="326">
        <v>64</v>
      </c>
      <c r="W101" s="326">
        <v>65</v>
      </c>
      <c r="X101" s="326">
        <v>66</v>
      </c>
      <c r="Y101" s="326">
        <v>67</v>
      </c>
      <c r="Z101" s="326">
        <v>68</v>
      </c>
      <c r="AA101" s="326">
        <v>69</v>
      </c>
      <c r="AB101" s="326">
        <v>71</v>
      </c>
      <c r="AC101" s="326">
        <v>72</v>
      </c>
      <c r="AD101" s="326">
        <v>74</v>
      </c>
      <c r="AE101" s="326">
        <v>76</v>
      </c>
      <c r="AF101" s="326">
        <v>76</v>
      </c>
      <c r="AG101" s="326">
        <v>77</v>
      </c>
      <c r="AH101" s="326">
        <v>78</v>
      </c>
      <c r="AI101" s="326">
        <v>79</v>
      </c>
      <c r="AJ101" s="326">
        <v>80</v>
      </c>
      <c r="AK101" s="326">
        <v>80</v>
      </c>
      <c r="AL101" s="326">
        <v>82</v>
      </c>
      <c r="AM101" s="326">
        <v>84</v>
      </c>
      <c r="AN101" s="326">
        <v>85</v>
      </c>
      <c r="AO101" s="326">
        <v>87</v>
      </c>
      <c r="AP101" s="326">
        <v>88</v>
      </c>
      <c r="AQ101" s="326">
        <v>88</v>
      </c>
      <c r="AR101" s="326">
        <v>89</v>
      </c>
      <c r="AS101" s="326">
        <v>90</v>
      </c>
      <c r="AT101" s="326">
        <v>91</v>
      </c>
      <c r="AU101" s="326">
        <v>92</v>
      </c>
      <c r="AV101" s="326">
        <v>92</v>
      </c>
      <c r="AW101" s="326">
        <v>93</v>
      </c>
      <c r="AX101" s="326">
        <v>94</v>
      </c>
      <c r="AY101" s="326">
        <v>95</v>
      </c>
      <c r="AZ101" s="326">
        <v>96</v>
      </c>
      <c r="BA101" s="326">
        <v>96</v>
      </c>
      <c r="BB101" s="326">
        <v>97</v>
      </c>
      <c r="BC101" s="326">
        <v>99</v>
      </c>
      <c r="BD101" s="326">
        <v>100</v>
      </c>
      <c r="BE101" s="326">
        <v>102</v>
      </c>
      <c r="BF101" s="326">
        <v>104</v>
      </c>
      <c r="BG101" s="326">
        <v>105</v>
      </c>
      <c r="BH101" s="326">
        <v>107</v>
      </c>
      <c r="BI101" s="326">
        <v>108</v>
      </c>
      <c r="BJ101" s="326">
        <v>109</v>
      </c>
      <c r="BK101" s="326">
        <v>110</v>
      </c>
      <c r="BL101" s="326">
        <v>111</v>
      </c>
      <c r="BM101" s="326">
        <v>112</v>
      </c>
      <c r="BN101" s="326">
        <v>112</v>
      </c>
      <c r="BO101" s="326">
        <v>113</v>
      </c>
      <c r="BP101" s="326">
        <v>114</v>
      </c>
      <c r="BQ101" s="326">
        <v>115</v>
      </c>
      <c r="BR101" s="326">
        <v>116</v>
      </c>
      <c r="BS101" s="326">
        <v>118</v>
      </c>
      <c r="BT101" s="326">
        <v>119</v>
      </c>
      <c r="BU101" s="326">
        <v>120</v>
      </c>
      <c r="BV101" s="326">
        <v>120</v>
      </c>
      <c r="BW101" s="326">
        <v>121</v>
      </c>
      <c r="BX101" s="326">
        <v>122</v>
      </c>
      <c r="BY101" s="326">
        <v>123</v>
      </c>
      <c r="BZ101" s="326">
        <v>124</v>
      </c>
      <c r="CA101" s="326">
        <v>124</v>
      </c>
      <c r="CB101" s="326">
        <v>126</v>
      </c>
      <c r="CC101" s="326">
        <v>128</v>
      </c>
      <c r="CD101" s="326">
        <v>128</v>
      </c>
      <c r="CE101" s="326">
        <v>129</v>
      </c>
      <c r="CF101" s="326">
        <v>130</v>
      </c>
      <c r="CG101" s="326">
        <v>131</v>
      </c>
      <c r="CH101" s="326">
        <v>132</v>
      </c>
      <c r="CI101" s="326">
        <v>132</v>
      </c>
      <c r="CJ101" s="326">
        <v>133</v>
      </c>
      <c r="CK101" s="326">
        <v>134</v>
      </c>
      <c r="CL101" s="326">
        <v>136</v>
      </c>
      <c r="CM101" s="326">
        <v>137</v>
      </c>
      <c r="CN101" s="326">
        <v>138</v>
      </c>
      <c r="CO101" s="326">
        <v>139</v>
      </c>
      <c r="CP101" s="326">
        <v>140</v>
      </c>
      <c r="CQ101" s="326">
        <v>140</v>
      </c>
      <c r="CR101" s="326">
        <v>141</v>
      </c>
      <c r="CS101" s="326">
        <v>142</v>
      </c>
      <c r="CT101" s="326">
        <v>143</v>
      </c>
      <c r="CU101" s="326">
        <v>144</v>
      </c>
      <c r="CV101" s="326">
        <v>145</v>
      </c>
      <c r="CW101" s="266"/>
    </row>
    <row r="102" spans="1:101" ht="12.75" x14ac:dyDescent="0.2">
      <c r="A102" s="323" t="str">
        <f ca="1">语言!$A$2300</f>
        <v>物理攻击力</v>
      </c>
      <c r="B102" s="325">
        <v>88</v>
      </c>
      <c r="C102" s="325">
        <v>89</v>
      </c>
      <c r="D102" s="325">
        <v>90</v>
      </c>
      <c r="E102" s="325">
        <v>92</v>
      </c>
      <c r="F102" s="325">
        <v>94</v>
      </c>
      <c r="G102" s="325">
        <v>96</v>
      </c>
      <c r="H102" s="325">
        <v>100</v>
      </c>
      <c r="I102" s="325">
        <v>101</v>
      </c>
      <c r="J102" s="325">
        <v>102</v>
      </c>
      <c r="K102" s="325">
        <v>103</v>
      </c>
      <c r="L102" s="325">
        <v>105</v>
      </c>
      <c r="M102" s="325">
        <v>107</v>
      </c>
      <c r="N102" s="325">
        <v>110</v>
      </c>
      <c r="O102" s="325">
        <v>113</v>
      </c>
      <c r="P102" s="325">
        <v>116</v>
      </c>
      <c r="Q102" s="325">
        <v>119</v>
      </c>
      <c r="R102" s="325">
        <v>123</v>
      </c>
      <c r="S102" s="325">
        <v>127</v>
      </c>
      <c r="T102" s="325">
        <v>132</v>
      </c>
      <c r="U102" s="325">
        <v>136</v>
      </c>
      <c r="V102" s="325">
        <v>137</v>
      </c>
      <c r="W102" s="325">
        <v>138</v>
      </c>
      <c r="X102" s="325">
        <v>139</v>
      </c>
      <c r="Y102" s="325">
        <v>141</v>
      </c>
      <c r="Z102" s="325">
        <v>144</v>
      </c>
      <c r="AA102" s="325">
        <v>146</v>
      </c>
      <c r="AB102" s="325">
        <v>149</v>
      </c>
      <c r="AC102" s="325">
        <v>152</v>
      </c>
      <c r="AD102" s="325">
        <v>156</v>
      </c>
      <c r="AE102" s="325">
        <v>159</v>
      </c>
      <c r="AF102" s="325">
        <v>160</v>
      </c>
      <c r="AG102" s="325">
        <v>161</v>
      </c>
      <c r="AH102" s="325">
        <v>162</v>
      </c>
      <c r="AI102" s="325">
        <v>165</v>
      </c>
      <c r="AJ102" s="325">
        <v>167</v>
      </c>
      <c r="AK102" s="325">
        <v>169</v>
      </c>
      <c r="AL102" s="325">
        <v>172</v>
      </c>
      <c r="AM102" s="325">
        <v>176</v>
      </c>
      <c r="AN102" s="325">
        <v>179</v>
      </c>
      <c r="AO102" s="325">
        <v>182</v>
      </c>
      <c r="AP102" s="325">
        <v>183</v>
      </c>
      <c r="AQ102" s="325">
        <v>184</v>
      </c>
      <c r="AR102" s="325">
        <v>185</v>
      </c>
      <c r="AS102" s="325">
        <v>187</v>
      </c>
      <c r="AT102" s="325">
        <v>188</v>
      </c>
      <c r="AU102" s="325">
        <v>190</v>
      </c>
      <c r="AV102" s="325">
        <v>192</v>
      </c>
      <c r="AW102" s="325">
        <v>194</v>
      </c>
      <c r="AX102" s="325">
        <v>196</v>
      </c>
      <c r="AY102" s="325">
        <v>199</v>
      </c>
      <c r="AZ102" s="325">
        <v>202</v>
      </c>
      <c r="BA102" s="325">
        <v>205</v>
      </c>
      <c r="BB102" s="325">
        <v>209</v>
      </c>
      <c r="BC102" s="325">
        <v>212</v>
      </c>
      <c r="BD102" s="325">
        <v>215</v>
      </c>
      <c r="BE102" s="325">
        <v>220</v>
      </c>
      <c r="BF102" s="325">
        <v>224</v>
      </c>
      <c r="BG102" s="325">
        <v>228</v>
      </c>
      <c r="BH102" s="325">
        <v>233</v>
      </c>
      <c r="BI102" s="325">
        <v>237</v>
      </c>
      <c r="BJ102" s="325">
        <v>238</v>
      </c>
      <c r="BK102" s="325">
        <v>239</v>
      </c>
      <c r="BL102" s="325">
        <v>240</v>
      </c>
      <c r="BM102" s="325">
        <v>242</v>
      </c>
      <c r="BN102" s="325">
        <v>244</v>
      </c>
      <c r="BO102" s="325">
        <v>246</v>
      </c>
      <c r="BP102" s="325">
        <v>248</v>
      </c>
      <c r="BQ102" s="325">
        <v>250</v>
      </c>
      <c r="BR102" s="325">
        <v>254</v>
      </c>
      <c r="BS102" s="325">
        <v>257</v>
      </c>
      <c r="BT102" s="325">
        <v>258</v>
      </c>
      <c r="BU102" s="325">
        <v>259</v>
      </c>
      <c r="BV102" s="325">
        <v>260</v>
      </c>
      <c r="BW102" s="325">
        <v>261</v>
      </c>
      <c r="BX102" s="325">
        <v>264</v>
      </c>
      <c r="BY102" s="325">
        <v>266</v>
      </c>
      <c r="BZ102" s="325">
        <v>268</v>
      </c>
      <c r="CA102" s="325">
        <v>270</v>
      </c>
      <c r="CB102" s="325">
        <v>273</v>
      </c>
      <c r="CC102" s="325">
        <v>277</v>
      </c>
      <c r="CD102" s="325">
        <v>278</v>
      </c>
      <c r="CE102" s="325">
        <v>279</v>
      </c>
      <c r="CF102" s="325">
        <v>280</v>
      </c>
      <c r="CG102" s="325">
        <v>281</v>
      </c>
      <c r="CH102" s="325">
        <v>283</v>
      </c>
      <c r="CI102" s="325">
        <v>286</v>
      </c>
      <c r="CJ102" s="325">
        <v>288</v>
      </c>
      <c r="CK102" s="325">
        <v>290</v>
      </c>
      <c r="CL102" s="325">
        <v>293</v>
      </c>
      <c r="CM102" s="325">
        <v>297</v>
      </c>
      <c r="CN102" s="325">
        <v>298</v>
      </c>
      <c r="CO102" s="325">
        <v>299</v>
      </c>
      <c r="CP102" s="325">
        <v>300</v>
      </c>
      <c r="CQ102" s="325">
        <v>301</v>
      </c>
      <c r="CR102" s="325">
        <v>303</v>
      </c>
      <c r="CS102" s="325">
        <v>305</v>
      </c>
      <c r="CT102" s="325">
        <v>308</v>
      </c>
      <c r="CU102" s="325">
        <v>310</v>
      </c>
      <c r="CV102" s="325">
        <v>313</v>
      </c>
      <c r="CW102" s="272"/>
    </row>
    <row r="103" spans="1:101" ht="12.75" x14ac:dyDescent="0.2">
      <c r="A103" s="49" t="str">
        <f ca="1">语言!$A$2301</f>
        <v>属性攻击力</v>
      </c>
      <c r="B103" s="326">
        <v>80</v>
      </c>
      <c r="C103" s="326">
        <v>81</v>
      </c>
      <c r="D103" s="326">
        <v>82</v>
      </c>
      <c r="E103" s="326">
        <v>84</v>
      </c>
      <c r="F103" s="326">
        <v>86</v>
      </c>
      <c r="G103" s="326">
        <v>88</v>
      </c>
      <c r="H103" s="326">
        <v>91</v>
      </c>
      <c r="I103" s="326">
        <v>92</v>
      </c>
      <c r="J103" s="326">
        <v>93</v>
      </c>
      <c r="K103" s="326">
        <v>94</v>
      </c>
      <c r="L103" s="326">
        <v>96</v>
      </c>
      <c r="M103" s="326">
        <v>98</v>
      </c>
      <c r="N103" s="326">
        <v>100</v>
      </c>
      <c r="O103" s="326">
        <v>103</v>
      </c>
      <c r="P103" s="326">
        <v>106</v>
      </c>
      <c r="Q103" s="326">
        <v>109</v>
      </c>
      <c r="R103" s="326">
        <v>112</v>
      </c>
      <c r="S103" s="326">
        <v>116</v>
      </c>
      <c r="T103" s="326">
        <v>120</v>
      </c>
      <c r="U103" s="326">
        <v>124</v>
      </c>
      <c r="V103" s="326">
        <v>125</v>
      </c>
      <c r="W103" s="326">
        <v>126</v>
      </c>
      <c r="X103" s="326">
        <v>127</v>
      </c>
      <c r="Y103" s="326">
        <v>129</v>
      </c>
      <c r="Z103" s="326">
        <v>131</v>
      </c>
      <c r="AA103" s="326">
        <v>133</v>
      </c>
      <c r="AB103" s="326">
        <v>136</v>
      </c>
      <c r="AC103" s="326">
        <v>139</v>
      </c>
      <c r="AD103" s="326">
        <v>142</v>
      </c>
      <c r="AE103" s="326">
        <v>145</v>
      </c>
      <c r="AF103" s="326">
        <v>146</v>
      </c>
      <c r="AG103" s="326">
        <v>147</v>
      </c>
      <c r="AH103" s="326">
        <v>148</v>
      </c>
      <c r="AI103" s="326">
        <v>150</v>
      </c>
      <c r="AJ103" s="326">
        <v>152</v>
      </c>
      <c r="AK103" s="326">
        <v>154</v>
      </c>
      <c r="AL103" s="326">
        <v>157</v>
      </c>
      <c r="AM103" s="326">
        <v>160</v>
      </c>
      <c r="AN103" s="326">
        <v>163</v>
      </c>
      <c r="AO103" s="326">
        <v>166</v>
      </c>
      <c r="AP103" s="326">
        <v>167</v>
      </c>
      <c r="AQ103" s="326">
        <v>168</v>
      </c>
      <c r="AR103" s="326">
        <v>169</v>
      </c>
      <c r="AS103" s="326">
        <v>170</v>
      </c>
      <c r="AT103" s="326">
        <v>171</v>
      </c>
      <c r="AU103" s="326">
        <v>173</v>
      </c>
      <c r="AV103" s="326">
        <v>175</v>
      </c>
      <c r="AW103" s="326">
        <v>177</v>
      </c>
      <c r="AX103" s="326">
        <v>179</v>
      </c>
      <c r="AY103" s="326">
        <v>181</v>
      </c>
      <c r="AZ103" s="326">
        <v>184</v>
      </c>
      <c r="BA103" s="326">
        <v>187</v>
      </c>
      <c r="BB103" s="326">
        <v>190</v>
      </c>
      <c r="BC103" s="326">
        <v>193</v>
      </c>
      <c r="BD103" s="326">
        <v>196</v>
      </c>
      <c r="BE103" s="326">
        <v>200</v>
      </c>
      <c r="BF103" s="326">
        <v>204</v>
      </c>
      <c r="BG103" s="326">
        <v>208</v>
      </c>
      <c r="BH103" s="326">
        <v>212</v>
      </c>
      <c r="BI103" s="326">
        <v>216</v>
      </c>
      <c r="BJ103" s="326">
        <v>217</v>
      </c>
      <c r="BK103" s="326">
        <v>218</v>
      </c>
      <c r="BL103" s="326">
        <v>219</v>
      </c>
      <c r="BM103" s="326">
        <v>220</v>
      </c>
      <c r="BN103" s="326">
        <v>222</v>
      </c>
      <c r="BO103" s="326">
        <v>224</v>
      </c>
      <c r="BP103" s="326">
        <v>226</v>
      </c>
      <c r="BQ103" s="326">
        <v>228</v>
      </c>
      <c r="BR103" s="326">
        <v>231</v>
      </c>
      <c r="BS103" s="326">
        <v>234</v>
      </c>
      <c r="BT103" s="326">
        <v>235</v>
      </c>
      <c r="BU103" s="326">
        <v>236</v>
      </c>
      <c r="BV103" s="326">
        <v>237</v>
      </c>
      <c r="BW103" s="326">
        <v>238</v>
      </c>
      <c r="BX103" s="326">
        <v>240</v>
      </c>
      <c r="BY103" s="326">
        <v>242</v>
      </c>
      <c r="BZ103" s="326">
        <v>244</v>
      </c>
      <c r="CA103" s="326">
        <v>246</v>
      </c>
      <c r="CB103" s="326">
        <v>249</v>
      </c>
      <c r="CC103" s="326">
        <v>252</v>
      </c>
      <c r="CD103" s="326">
        <v>253</v>
      </c>
      <c r="CE103" s="326">
        <v>254</v>
      </c>
      <c r="CF103" s="326">
        <v>255</v>
      </c>
      <c r="CG103" s="326">
        <v>256</v>
      </c>
      <c r="CH103" s="326">
        <v>258</v>
      </c>
      <c r="CI103" s="326">
        <v>260</v>
      </c>
      <c r="CJ103" s="326">
        <v>262</v>
      </c>
      <c r="CK103" s="326">
        <v>264</v>
      </c>
      <c r="CL103" s="326">
        <v>267</v>
      </c>
      <c r="CM103" s="326">
        <v>270</v>
      </c>
      <c r="CN103" s="326">
        <v>271</v>
      </c>
      <c r="CO103" s="326">
        <v>272</v>
      </c>
      <c r="CP103" s="326">
        <v>273</v>
      </c>
      <c r="CQ103" s="326">
        <v>274</v>
      </c>
      <c r="CR103" s="326">
        <v>276</v>
      </c>
      <c r="CS103" s="326">
        <v>278</v>
      </c>
      <c r="CT103" s="326">
        <v>280</v>
      </c>
      <c r="CU103" s="326">
        <v>282</v>
      </c>
      <c r="CV103" s="326">
        <v>285</v>
      </c>
      <c r="CW103" s="266"/>
    </row>
    <row r="104" spans="1:101" ht="12.75" x14ac:dyDescent="0.2">
      <c r="A104" s="323" t="str">
        <f ca="1">语言!$A$2302</f>
        <v>物理防御力</v>
      </c>
      <c r="B104" s="325">
        <v>64</v>
      </c>
      <c r="C104" s="325">
        <v>64</v>
      </c>
      <c r="D104" s="325">
        <v>65</v>
      </c>
      <c r="E104" s="325">
        <v>67</v>
      </c>
      <c r="F104" s="325">
        <v>68</v>
      </c>
      <c r="G104" s="325">
        <v>70</v>
      </c>
      <c r="H104" s="325">
        <v>72</v>
      </c>
      <c r="I104" s="325">
        <v>73</v>
      </c>
      <c r="J104" s="325">
        <v>74</v>
      </c>
      <c r="K104" s="325">
        <v>75</v>
      </c>
      <c r="L104" s="325">
        <v>76</v>
      </c>
      <c r="M104" s="325">
        <v>78</v>
      </c>
      <c r="N104" s="325">
        <v>80</v>
      </c>
      <c r="O104" s="325">
        <v>82</v>
      </c>
      <c r="P104" s="325">
        <v>84</v>
      </c>
      <c r="Q104" s="325">
        <v>87</v>
      </c>
      <c r="R104" s="325">
        <v>89</v>
      </c>
      <c r="S104" s="325">
        <v>92</v>
      </c>
      <c r="T104" s="325">
        <v>96</v>
      </c>
      <c r="U104" s="325">
        <v>99</v>
      </c>
      <c r="V104" s="325">
        <v>100</v>
      </c>
      <c r="W104" s="325">
        <v>100</v>
      </c>
      <c r="X104" s="325">
        <v>101</v>
      </c>
      <c r="Y104" s="325">
        <v>103</v>
      </c>
      <c r="Z104" s="325">
        <v>104</v>
      </c>
      <c r="AA104" s="325">
        <v>106</v>
      </c>
      <c r="AB104" s="325">
        <v>108</v>
      </c>
      <c r="AC104" s="325">
        <v>111</v>
      </c>
      <c r="AD104" s="325">
        <v>113</v>
      </c>
      <c r="AE104" s="325">
        <v>116</v>
      </c>
      <c r="AF104" s="325">
        <v>116</v>
      </c>
      <c r="AG104" s="325">
        <v>117</v>
      </c>
      <c r="AH104" s="325">
        <v>118</v>
      </c>
      <c r="AI104" s="325">
        <v>120</v>
      </c>
      <c r="AJ104" s="325">
        <v>121</v>
      </c>
      <c r="AK104" s="325">
        <v>123</v>
      </c>
      <c r="AL104" s="325">
        <v>125</v>
      </c>
      <c r="AM104" s="325">
        <v>128</v>
      </c>
      <c r="AN104" s="325">
        <v>130</v>
      </c>
      <c r="AO104" s="325">
        <v>132</v>
      </c>
      <c r="AP104" s="325">
        <v>133</v>
      </c>
      <c r="AQ104" s="325">
        <v>134</v>
      </c>
      <c r="AR104" s="325">
        <v>135</v>
      </c>
      <c r="AS104" s="325">
        <v>136</v>
      </c>
      <c r="AT104" s="325">
        <v>136</v>
      </c>
      <c r="AU104" s="325">
        <v>138</v>
      </c>
      <c r="AV104" s="325">
        <v>140</v>
      </c>
      <c r="AW104" s="325">
        <v>141</v>
      </c>
      <c r="AX104" s="325">
        <v>143</v>
      </c>
      <c r="AY104" s="325">
        <v>144</v>
      </c>
      <c r="AZ104" s="325">
        <v>147</v>
      </c>
      <c r="BA104" s="325">
        <v>149</v>
      </c>
      <c r="BB104" s="325">
        <v>152</v>
      </c>
      <c r="BC104" s="325">
        <v>154</v>
      </c>
      <c r="BD104" s="325">
        <v>156</v>
      </c>
      <c r="BE104" s="325">
        <v>160</v>
      </c>
      <c r="BF104" s="325">
        <v>163</v>
      </c>
      <c r="BG104" s="325">
        <v>166</v>
      </c>
      <c r="BH104" s="325">
        <v>169</v>
      </c>
      <c r="BI104" s="325">
        <v>172</v>
      </c>
      <c r="BJ104" s="325">
        <v>173</v>
      </c>
      <c r="BK104" s="325">
        <v>174</v>
      </c>
      <c r="BL104" s="325">
        <v>175</v>
      </c>
      <c r="BM104" s="325">
        <v>176</v>
      </c>
      <c r="BN104" s="325">
        <v>177</v>
      </c>
      <c r="BO104" s="325">
        <v>179</v>
      </c>
      <c r="BP104" s="325">
        <v>180</v>
      </c>
      <c r="BQ104" s="325">
        <v>182</v>
      </c>
      <c r="BR104" s="325">
        <v>184</v>
      </c>
      <c r="BS104" s="325">
        <v>187</v>
      </c>
      <c r="BT104" s="325">
        <v>188</v>
      </c>
      <c r="BU104" s="325">
        <v>188</v>
      </c>
      <c r="BV104" s="325">
        <v>189</v>
      </c>
      <c r="BW104" s="325">
        <v>190</v>
      </c>
      <c r="BX104" s="325">
        <v>192</v>
      </c>
      <c r="BY104" s="325">
        <v>193</v>
      </c>
      <c r="BZ104" s="325">
        <v>195</v>
      </c>
      <c r="CA104" s="325">
        <v>196</v>
      </c>
      <c r="CB104" s="325">
        <v>199</v>
      </c>
      <c r="CC104" s="325">
        <v>201</v>
      </c>
      <c r="CD104" s="325">
        <v>202</v>
      </c>
      <c r="CE104" s="325">
        <v>203</v>
      </c>
      <c r="CF104" s="325">
        <v>204</v>
      </c>
      <c r="CG104" s="325">
        <v>204</v>
      </c>
      <c r="CH104" s="325">
        <v>206</v>
      </c>
      <c r="CI104" s="325">
        <v>208</v>
      </c>
      <c r="CJ104" s="325">
        <v>209</v>
      </c>
      <c r="CK104" s="325">
        <v>211</v>
      </c>
      <c r="CL104" s="325">
        <v>213</v>
      </c>
      <c r="CM104" s="325">
        <v>216</v>
      </c>
      <c r="CN104" s="325">
        <v>216</v>
      </c>
      <c r="CO104" s="325">
        <v>217</v>
      </c>
      <c r="CP104" s="325">
        <v>218</v>
      </c>
      <c r="CQ104" s="325">
        <v>219</v>
      </c>
      <c r="CR104" s="325">
        <v>220</v>
      </c>
      <c r="CS104" s="325">
        <v>222</v>
      </c>
      <c r="CT104" s="325">
        <v>224</v>
      </c>
      <c r="CU104" s="325">
        <v>225</v>
      </c>
      <c r="CV104" s="325">
        <v>228</v>
      </c>
      <c r="CW104" s="272"/>
    </row>
    <row r="105" spans="1:101" ht="12.75" x14ac:dyDescent="0.2">
      <c r="A105" s="49" t="str">
        <f ca="1">语言!$A$2303</f>
        <v>属性防御力</v>
      </c>
      <c r="B105" s="326">
        <v>64</v>
      </c>
      <c r="C105" s="326">
        <v>64</v>
      </c>
      <c r="D105" s="326">
        <v>65</v>
      </c>
      <c r="E105" s="326">
        <v>67</v>
      </c>
      <c r="F105" s="326">
        <v>68</v>
      </c>
      <c r="G105" s="326">
        <v>70</v>
      </c>
      <c r="H105" s="326">
        <v>72</v>
      </c>
      <c r="I105" s="326">
        <v>73</v>
      </c>
      <c r="J105" s="326">
        <v>74</v>
      </c>
      <c r="K105" s="326">
        <v>75</v>
      </c>
      <c r="L105" s="326">
        <v>76</v>
      </c>
      <c r="M105" s="326">
        <v>78</v>
      </c>
      <c r="N105" s="326">
        <v>80</v>
      </c>
      <c r="O105" s="326">
        <v>82</v>
      </c>
      <c r="P105" s="326">
        <v>84</v>
      </c>
      <c r="Q105" s="326">
        <v>87</v>
      </c>
      <c r="R105" s="326">
        <v>89</v>
      </c>
      <c r="S105" s="326">
        <v>92</v>
      </c>
      <c r="T105" s="326">
        <v>96</v>
      </c>
      <c r="U105" s="326">
        <v>99</v>
      </c>
      <c r="V105" s="326">
        <v>100</v>
      </c>
      <c r="W105" s="326">
        <v>100</v>
      </c>
      <c r="X105" s="326">
        <v>101</v>
      </c>
      <c r="Y105" s="326">
        <v>103</v>
      </c>
      <c r="Z105" s="326">
        <v>104</v>
      </c>
      <c r="AA105" s="326">
        <v>106</v>
      </c>
      <c r="AB105" s="326">
        <v>108</v>
      </c>
      <c r="AC105" s="326">
        <v>111</v>
      </c>
      <c r="AD105" s="326">
        <v>113</v>
      </c>
      <c r="AE105" s="326">
        <v>116</v>
      </c>
      <c r="AF105" s="326">
        <v>116</v>
      </c>
      <c r="AG105" s="326">
        <v>117</v>
      </c>
      <c r="AH105" s="326">
        <v>118</v>
      </c>
      <c r="AI105" s="326">
        <v>120</v>
      </c>
      <c r="AJ105" s="326">
        <v>121</v>
      </c>
      <c r="AK105" s="326">
        <v>123</v>
      </c>
      <c r="AL105" s="326">
        <v>125</v>
      </c>
      <c r="AM105" s="326">
        <v>128</v>
      </c>
      <c r="AN105" s="326">
        <v>130</v>
      </c>
      <c r="AO105" s="326">
        <v>132</v>
      </c>
      <c r="AP105" s="326">
        <v>133</v>
      </c>
      <c r="AQ105" s="326">
        <v>134</v>
      </c>
      <c r="AR105" s="326">
        <v>135</v>
      </c>
      <c r="AS105" s="326">
        <v>136</v>
      </c>
      <c r="AT105" s="326">
        <v>136</v>
      </c>
      <c r="AU105" s="326">
        <v>138</v>
      </c>
      <c r="AV105" s="326">
        <v>140</v>
      </c>
      <c r="AW105" s="326">
        <v>141</v>
      </c>
      <c r="AX105" s="326">
        <v>143</v>
      </c>
      <c r="AY105" s="326">
        <v>144</v>
      </c>
      <c r="AZ105" s="326">
        <v>147</v>
      </c>
      <c r="BA105" s="326">
        <v>149</v>
      </c>
      <c r="BB105" s="326">
        <v>152</v>
      </c>
      <c r="BC105" s="326">
        <v>154</v>
      </c>
      <c r="BD105" s="326">
        <v>156</v>
      </c>
      <c r="BE105" s="326">
        <v>160</v>
      </c>
      <c r="BF105" s="326">
        <v>163</v>
      </c>
      <c r="BG105" s="326">
        <v>166</v>
      </c>
      <c r="BH105" s="326">
        <v>169</v>
      </c>
      <c r="BI105" s="326">
        <v>172</v>
      </c>
      <c r="BJ105" s="326">
        <v>173</v>
      </c>
      <c r="BK105" s="326">
        <v>174</v>
      </c>
      <c r="BL105" s="326">
        <v>175</v>
      </c>
      <c r="BM105" s="326">
        <v>176</v>
      </c>
      <c r="BN105" s="326">
        <v>177</v>
      </c>
      <c r="BO105" s="326">
        <v>179</v>
      </c>
      <c r="BP105" s="326">
        <v>180</v>
      </c>
      <c r="BQ105" s="326">
        <v>182</v>
      </c>
      <c r="BR105" s="326">
        <v>184</v>
      </c>
      <c r="BS105" s="326">
        <v>187</v>
      </c>
      <c r="BT105" s="326">
        <v>188</v>
      </c>
      <c r="BU105" s="326">
        <v>188</v>
      </c>
      <c r="BV105" s="326">
        <v>189</v>
      </c>
      <c r="BW105" s="326">
        <v>190</v>
      </c>
      <c r="BX105" s="326">
        <v>192</v>
      </c>
      <c r="BY105" s="326">
        <v>193</v>
      </c>
      <c r="BZ105" s="326">
        <v>195</v>
      </c>
      <c r="CA105" s="326">
        <v>196</v>
      </c>
      <c r="CB105" s="326">
        <v>199</v>
      </c>
      <c r="CC105" s="326">
        <v>201</v>
      </c>
      <c r="CD105" s="326">
        <v>202</v>
      </c>
      <c r="CE105" s="326">
        <v>203</v>
      </c>
      <c r="CF105" s="326">
        <v>204</v>
      </c>
      <c r="CG105" s="326">
        <v>204</v>
      </c>
      <c r="CH105" s="326">
        <v>206</v>
      </c>
      <c r="CI105" s="326">
        <v>208</v>
      </c>
      <c r="CJ105" s="326">
        <v>209</v>
      </c>
      <c r="CK105" s="326">
        <v>211</v>
      </c>
      <c r="CL105" s="326">
        <v>213</v>
      </c>
      <c r="CM105" s="326">
        <v>216</v>
      </c>
      <c r="CN105" s="326">
        <v>216</v>
      </c>
      <c r="CO105" s="326">
        <v>217</v>
      </c>
      <c r="CP105" s="326">
        <v>218</v>
      </c>
      <c r="CQ105" s="326">
        <v>219</v>
      </c>
      <c r="CR105" s="326">
        <v>220</v>
      </c>
      <c r="CS105" s="326">
        <v>222</v>
      </c>
      <c r="CT105" s="326">
        <v>224</v>
      </c>
      <c r="CU105" s="326">
        <v>225</v>
      </c>
      <c r="CV105" s="326">
        <v>228</v>
      </c>
      <c r="CW105" s="266"/>
    </row>
    <row r="106" spans="1:101" ht="12.75" x14ac:dyDescent="0.2">
      <c r="A106" s="323" t="str">
        <f ca="1">语言!$A$2304</f>
        <v>命中</v>
      </c>
      <c r="B106" s="325">
        <v>88</v>
      </c>
      <c r="C106" s="325">
        <v>89</v>
      </c>
      <c r="D106" s="325">
        <v>90</v>
      </c>
      <c r="E106" s="325">
        <v>92</v>
      </c>
      <c r="F106" s="325">
        <v>94</v>
      </c>
      <c r="G106" s="325">
        <v>96</v>
      </c>
      <c r="H106" s="325">
        <v>100</v>
      </c>
      <c r="I106" s="325">
        <v>101</v>
      </c>
      <c r="J106" s="325">
        <v>102</v>
      </c>
      <c r="K106" s="325">
        <v>103</v>
      </c>
      <c r="L106" s="325">
        <v>105</v>
      </c>
      <c r="M106" s="325">
        <v>107</v>
      </c>
      <c r="N106" s="325">
        <v>110</v>
      </c>
      <c r="O106" s="325">
        <v>113</v>
      </c>
      <c r="P106" s="325">
        <v>116</v>
      </c>
      <c r="Q106" s="325">
        <v>119</v>
      </c>
      <c r="R106" s="325">
        <v>123</v>
      </c>
      <c r="S106" s="325">
        <v>127</v>
      </c>
      <c r="T106" s="325">
        <v>132</v>
      </c>
      <c r="U106" s="325">
        <v>136</v>
      </c>
      <c r="V106" s="325">
        <v>137</v>
      </c>
      <c r="W106" s="325">
        <v>138</v>
      </c>
      <c r="X106" s="325">
        <v>139</v>
      </c>
      <c r="Y106" s="325">
        <v>141</v>
      </c>
      <c r="Z106" s="325">
        <v>144</v>
      </c>
      <c r="AA106" s="325">
        <v>146</v>
      </c>
      <c r="AB106" s="325">
        <v>149</v>
      </c>
      <c r="AC106" s="325">
        <v>152</v>
      </c>
      <c r="AD106" s="325">
        <v>156</v>
      </c>
      <c r="AE106" s="325">
        <v>159</v>
      </c>
      <c r="AF106" s="325">
        <v>160</v>
      </c>
      <c r="AG106" s="325">
        <v>161</v>
      </c>
      <c r="AH106" s="325">
        <v>162</v>
      </c>
      <c r="AI106" s="325">
        <v>165</v>
      </c>
      <c r="AJ106" s="325">
        <v>167</v>
      </c>
      <c r="AK106" s="325">
        <v>169</v>
      </c>
      <c r="AL106" s="325">
        <v>172</v>
      </c>
      <c r="AM106" s="325">
        <v>176</v>
      </c>
      <c r="AN106" s="325">
        <v>179</v>
      </c>
      <c r="AO106" s="325">
        <v>182</v>
      </c>
      <c r="AP106" s="325">
        <v>183</v>
      </c>
      <c r="AQ106" s="325">
        <v>184</v>
      </c>
      <c r="AR106" s="325">
        <v>185</v>
      </c>
      <c r="AS106" s="325">
        <v>187</v>
      </c>
      <c r="AT106" s="325">
        <v>188</v>
      </c>
      <c r="AU106" s="325">
        <v>190</v>
      </c>
      <c r="AV106" s="325">
        <v>192</v>
      </c>
      <c r="AW106" s="325">
        <v>194</v>
      </c>
      <c r="AX106" s="325">
        <v>196</v>
      </c>
      <c r="AY106" s="325">
        <v>199</v>
      </c>
      <c r="AZ106" s="325">
        <v>202</v>
      </c>
      <c r="BA106" s="325">
        <v>205</v>
      </c>
      <c r="BB106" s="325">
        <v>209</v>
      </c>
      <c r="BC106" s="325">
        <v>212</v>
      </c>
      <c r="BD106" s="325">
        <v>215</v>
      </c>
      <c r="BE106" s="325">
        <v>220</v>
      </c>
      <c r="BF106" s="325">
        <v>224</v>
      </c>
      <c r="BG106" s="325">
        <v>228</v>
      </c>
      <c r="BH106" s="325">
        <v>233</v>
      </c>
      <c r="BI106" s="325">
        <v>237</v>
      </c>
      <c r="BJ106" s="325">
        <v>238</v>
      </c>
      <c r="BK106" s="325">
        <v>239</v>
      </c>
      <c r="BL106" s="325">
        <v>240</v>
      </c>
      <c r="BM106" s="325">
        <v>242</v>
      </c>
      <c r="BN106" s="325">
        <v>244</v>
      </c>
      <c r="BO106" s="325">
        <v>246</v>
      </c>
      <c r="BP106" s="325">
        <v>248</v>
      </c>
      <c r="BQ106" s="325">
        <v>250</v>
      </c>
      <c r="BR106" s="325">
        <v>254</v>
      </c>
      <c r="BS106" s="325">
        <v>257</v>
      </c>
      <c r="BT106" s="325">
        <v>258</v>
      </c>
      <c r="BU106" s="325">
        <v>259</v>
      </c>
      <c r="BV106" s="325">
        <v>260</v>
      </c>
      <c r="BW106" s="325">
        <v>261</v>
      </c>
      <c r="BX106" s="325">
        <v>264</v>
      </c>
      <c r="BY106" s="325">
        <v>266</v>
      </c>
      <c r="BZ106" s="325">
        <v>268</v>
      </c>
      <c r="CA106" s="325">
        <v>270</v>
      </c>
      <c r="CB106" s="325">
        <v>273</v>
      </c>
      <c r="CC106" s="325">
        <v>277</v>
      </c>
      <c r="CD106" s="325">
        <v>278</v>
      </c>
      <c r="CE106" s="325">
        <v>279</v>
      </c>
      <c r="CF106" s="325">
        <v>280</v>
      </c>
      <c r="CG106" s="325">
        <v>281</v>
      </c>
      <c r="CH106" s="325">
        <v>283</v>
      </c>
      <c r="CI106" s="325">
        <v>286</v>
      </c>
      <c r="CJ106" s="325">
        <v>288</v>
      </c>
      <c r="CK106" s="325">
        <v>290</v>
      </c>
      <c r="CL106" s="325">
        <v>293</v>
      </c>
      <c r="CM106" s="325">
        <v>297</v>
      </c>
      <c r="CN106" s="325">
        <v>298</v>
      </c>
      <c r="CO106" s="325">
        <v>299</v>
      </c>
      <c r="CP106" s="325">
        <v>300</v>
      </c>
      <c r="CQ106" s="325">
        <v>301</v>
      </c>
      <c r="CR106" s="325">
        <v>303</v>
      </c>
      <c r="CS106" s="325">
        <v>305</v>
      </c>
      <c r="CT106" s="325">
        <v>308</v>
      </c>
      <c r="CU106" s="325">
        <v>310</v>
      </c>
      <c r="CV106" s="325">
        <v>313</v>
      </c>
      <c r="CW106" s="272"/>
    </row>
    <row r="107" spans="1:101" ht="12.75" x14ac:dyDescent="0.2">
      <c r="A107" s="49" t="str">
        <f ca="1">语言!$A$2305</f>
        <v>行动速度</v>
      </c>
      <c r="B107" s="326">
        <v>96</v>
      </c>
      <c r="C107" s="326">
        <v>97</v>
      </c>
      <c r="D107" s="326">
        <v>98</v>
      </c>
      <c r="E107" s="326">
        <v>100</v>
      </c>
      <c r="F107" s="326">
        <v>103</v>
      </c>
      <c r="G107" s="326">
        <v>105</v>
      </c>
      <c r="H107" s="326">
        <v>109</v>
      </c>
      <c r="I107" s="326">
        <v>110</v>
      </c>
      <c r="J107" s="326">
        <v>111</v>
      </c>
      <c r="K107" s="326">
        <v>112</v>
      </c>
      <c r="L107" s="326">
        <v>115</v>
      </c>
      <c r="M107" s="326">
        <v>117</v>
      </c>
      <c r="N107" s="326">
        <v>120</v>
      </c>
      <c r="O107" s="326">
        <v>123</v>
      </c>
      <c r="P107" s="326">
        <v>127</v>
      </c>
      <c r="Q107" s="326">
        <v>130</v>
      </c>
      <c r="R107" s="326">
        <v>134</v>
      </c>
      <c r="S107" s="326">
        <v>139</v>
      </c>
      <c r="T107" s="326">
        <v>144</v>
      </c>
      <c r="U107" s="326">
        <v>148</v>
      </c>
      <c r="V107" s="326">
        <v>150</v>
      </c>
      <c r="W107" s="326">
        <v>151</v>
      </c>
      <c r="X107" s="326">
        <v>152</v>
      </c>
      <c r="Y107" s="326">
        <v>154</v>
      </c>
      <c r="Z107" s="326">
        <v>157</v>
      </c>
      <c r="AA107" s="326">
        <v>159</v>
      </c>
      <c r="AB107" s="326">
        <v>163</v>
      </c>
      <c r="AC107" s="326">
        <v>166</v>
      </c>
      <c r="AD107" s="326">
        <v>170</v>
      </c>
      <c r="AE107" s="326">
        <v>174</v>
      </c>
      <c r="AF107" s="326">
        <v>175</v>
      </c>
      <c r="AG107" s="326">
        <v>176</v>
      </c>
      <c r="AH107" s="326">
        <v>177</v>
      </c>
      <c r="AI107" s="326">
        <v>180</v>
      </c>
      <c r="AJ107" s="326">
        <v>182</v>
      </c>
      <c r="AK107" s="326">
        <v>184</v>
      </c>
      <c r="AL107" s="326">
        <v>188</v>
      </c>
      <c r="AM107" s="326">
        <v>192</v>
      </c>
      <c r="AN107" s="326">
        <v>195</v>
      </c>
      <c r="AO107" s="326">
        <v>199</v>
      </c>
      <c r="AP107" s="326">
        <v>200</v>
      </c>
      <c r="AQ107" s="326">
        <v>201</v>
      </c>
      <c r="AR107" s="326">
        <v>202</v>
      </c>
      <c r="AS107" s="326">
        <v>204</v>
      </c>
      <c r="AT107" s="326">
        <v>205</v>
      </c>
      <c r="AU107" s="326">
        <v>207</v>
      </c>
      <c r="AV107" s="326">
        <v>210</v>
      </c>
      <c r="AW107" s="326">
        <v>212</v>
      </c>
      <c r="AX107" s="326">
        <v>214</v>
      </c>
      <c r="AY107" s="326">
        <v>217</v>
      </c>
      <c r="AZ107" s="326">
        <v>220</v>
      </c>
      <c r="BA107" s="326">
        <v>224</v>
      </c>
      <c r="BB107" s="326">
        <v>228</v>
      </c>
      <c r="BC107" s="326">
        <v>231</v>
      </c>
      <c r="BD107" s="326">
        <v>235</v>
      </c>
      <c r="BE107" s="326">
        <v>240</v>
      </c>
      <c r="BF107" s="326">
        <v>244</v>
      </c>
      <c r="BG107" s="326">
        <v>249</v>
      </c>
      <c r="BH107" s="326">
        <v>254</v>
      </c>
      <c r="BI107" s="326">
        <v>259</v>
      </c>
      <c r="BJ107" s="326">
        <v>260</v>
      </c>
      <c r="BK107" s="326">
        <v>261</v>
      </c>
      <c r="BL107" s="326">
        <v>262</v>
      </c>
      <c r="BM107" s="326">
        <v>264</v>
      </c>
      <c r="BN107" s="326">
        <v>266</v>
      </c>
      <c r="BO107" s="326">
        <v>268</v>
      </c>
      <c r="BP107" s="326">
        <v>271</v>
      </c>
      <c r="BQ107" s="326">
        <v>273</v>
      </c>
      <c r="BR107" s="326">
        <v>277</v>
      </c>
      <c r="BS107" s="326">
        <v>280</v>
      </c>
      <c r="BT107" s="326">
        <v>282</v>
      </c>
      <c r="BU107" s="326">
        <v>283</v>
      </c>
      <c r="BV107" s="326">
        <v>284</v>
      </c>
      <c r="BW107" s="326">
        <v>285</v>
      </c>
      <c r="BX107" s="326">
        <v>288</v>
      </c>
      <c r="BY107" s="326">
        <v>290</v>
      </c>
      <c r="BZ107" s="326">
        <v>292</v>
      </c>
      <c r="CA107" s="326">
        <v>295</v>
      </c>
      <c r="CB107" s="326">
        <v>298</v>
      </c>
      <c r="CC107" s="326">
        <v>302</v>
      </c>
      <c r="CD107" s="326">
        <v>303</v>
      </c>
      <c r="CE107" s="326">
        <v>304</v>
      </c>
      <c r="CF107" s="326">
        <v>306</v>
      </c>
      <c r="CG107" s="326">
        <v>307</v>
      </c>
      <c r="CH107" s="326">
        <v>309</v>
      </c>
      <c r="CI107" s="326">
        <v>312</v>
      </c>
      <c r="CJ107" s="326">
        <v>314</v>
      </c>
      <c r="CK107" s="326">
        <v>316</v>
      </c>
      <c r="CL107" s="326">
        <v>320</v>
      </c>
      <c r="CM107" s="326">
        <v>324</v>
      </c>
      <c r="CN107" s="326">
        <v>325</v>
      </c>
      <c r="CO107" s="326">
        <v>326</v>
      </c>
      <c r="CP107" s="326">
        <v>327</v>
      </c>
      <c r="CQ107" s="326">
        <v>328</v>
      </c>
      <c r="CR107" s="326">
        <v>331</v>
      </c>
      <c r="CS107" s="326">
        <v>333</v>
      </c>
      <c r="CT107" s="326">
        <v>336</v>
      </c>
      <c r="CU107" s="326">
        <v>338</v>
      </c>
      <c r="CV107" s="326">
        <v>342</v>
      </c>
      <c r="CW107" s="266"/>
    </row>
    <row r="108" spans="1:101" ht="12.75" x14ac:dyDescent="0.2">
      <c r="A108" s="323" t="str">
        <f ca="1">语言!$A$2306</f>
        <v>暴击</v>
      </c>
      <c r="B108" s="325">
        <v>80</v>
      </c>
      <c r="C108" s="325">
        <v>81</v>
      </c>
      <c r="D108" s="325">
        <v>82</v>
      </c>
      <c r="E108" s="325">
        <v>84</v>
      </c>
      <c r="F108" s="325">
        <v>86</v>
      </c>
      <c r="G108" s="325">
        <v>88</v>
      </c>
      <c r="H108" s="325">
        <v>91</v>
      </c>
      <c r="I108" s="325">
        <v>92</v>
      </c>
      <c r="J108" s="325">
        <v>93</v>
      </c>
      <c r="K108" s="325">
        <v>94</v>
      </c>
      <c r="L108" s="325">
        <v>96</v>
      </c>
      <c r="M108" s="325">
        <v>98</v>
      </c>
      <c r="N108" s="325">
        <v>100</v>
      </c>
      <c r="O108" s="325">
        <v>103</v>
      </c>
      <c r="P108" s="325">
        <v>106</v>
      </c>
      <c r="Q108" s="325">
        <v>109</v>
      </c>
      <c r="R108" s="325">
        <v>112</v>
      </c>
      <c r="S108" s="325">
        <v>116</v>
      </c>
      <c r="T108" s="325">
        <v>120</v>
      </c>
      <c r="U108" s="325">
        <v>124</v>
      </c>
      <c r="V108" s="325">
        <v>125</v>
      </c>
      <c r="W108" s="325">
        <v>126</v>
      </c>
      <c r="X108" s="325">
        <v>127</v>
      </c>
      <c r="Y108" s="325">
        <v>129</v>
      </c>
      <c r="Z108" s="325">
        <v>131</v>
      </c>
      <c r="AA108" s="325">
        <v>133</v>
      </c>
      <c r="AB108" s="325">
        <v>136</v>
      </c>
      <c r="AC108" s="325">
        <v>139</v>
      </c>
      <c r="AD108" s="325">
        <v>142</v>
      </c>
      <c r="AE108" s="325">
        <v>145</v>
      </c>
      <c r="AF108" s="325">
        <v>146</v>
      </c>
      <c r="AG108" s="325">
        <v>147</v>
      </c>
      <c r="AH108" s="325">
        <v>148</v>
      </c>
      <c r="AI108" s="325">
        <v>150</v>
      </c>
      <c r="AJ108" s="325">
        <v>152</v>
      </c>
      <c r="AK108" s="325">
        <v>154</v>
      </c>
      <c r="AL108" s="325">
        <v>157</v>
      </c>
      <c r="AM108" s="325">
        <v>160</v>
      </c>
      <c r="AN108" s="325">
        <v>163</v>
      </c>
      <c r="AO108" s="325">
        <v>166</v>
      </c>
      <c r="AP108" s="325">
        <v>167</v>
      </c>
      <c r="AQ108" s="325">
        <v>168</v>
      </c>
      <c r="AR108" s="325">
        <v>169</v>
      </c>
      <c r="AS108" s="325">
        <v>170</v>
      </c>
      <c r="AT108" s="325">
        <v>171</v>
      </c>
      <c r="AU108" s="325">
        <v>173</v>
      </c>
      <c r="AV108" s="325">
        <v>175</v>
      </c>
      <c r="AW108" s="325">
        <v>177</v>
      </c>
      <c r="AX108" s="325">
        <v>179</v>
      </c>
      <c r="AY108" s="325">
        <v>181</v>
      </c>
      <c r="AZ108" s="325">
        <v>184</v>
      </c>
      <c r="BA108" s="325">
        <v>187</v>
      </c>
      <c r="BB108" s="325">
        <v>190</v>
      </c>
      <c r="BC108" s="325">
        <v>193</v>
      </c>
      <c r="BD108" s="325">
        <v>196</v>
      </c>
      <c r="BE108" s="325">
        <v>200</v>
      </c>
      <c r="BF108" s="325">
        <v>204</v>
      </c>
      <c r="BG108" s="325">
        <v>208</v>
      </c>
      <c r="BH108" s="325">
        <v>212</v>
      </c>
      <c r="BI108" s="325">
        <v>216</v>
      </c>
      <c r="BJ108" s="325">
        <v>217</v>
      </c>
      <c r="BK108" s="325">
        <v>218</v>
      </c>
      <c r="BL108" s="325">
        <v>219</v>
      </c>
      <c r="BM108" s="325">
        <v>220</v>
      </c>
      <c r="BN108" s="325">
        <v>222</v>
      </c>
      <c r="BO108" s="325">
        <v>224</v>
      </c>
      <c r="BP108" s="325">
        <v>226</v>
      </c>
      <c r="BQ108" s="325">
        <v>228</v>
      </c>
      <c r="BR108" s="325">
        <v>231</v>
      </c>
      <c r="BS108" s="325">
        <v>234</v>
      </c>
      <c r="BT108" s="325">
        <v>235</v>
      </c>
      <c r="BU108" s="325">
        <v>236</v>
      </c>
      <c r="BV108" s="325">
        <v>237</v>
      </c>
      <c r="BW108" s="325">
        <v>238</v>
      </c>
      <c r="BX108" s="325">
        <v>240</v>
      </c>
      <c r="BY108" s="325">
        <v>242</v>
      </c>
      <c r="BZ108" s="325">
        <v>244</v>
      </c>
      <c r="CA108" s="325">
        <v>246</v>
      </c>
      <c r="CB108" s="325">
        <v>249</v>
      </c>
      <c r="CC108" s="325">
        <v>252</v>
      </c>
      <c r="CD108" s="325">
        <v>253</v>
      </c>
      <c r="CE108" s="325">
        <v>254</v>
      </c>
      <c r="CF108" s="325">
        <v>255</v>
      </c>
      <c r="CG108" s="325">
        <v>256</v>
      </c>
      <c r="CH108" s="325">
        <v>258</v>
      </c>
      <c r="CI108" s="325">
        <v>260</v>
      </c>
      <c r="CJ108" s="325">
        <v>262</v>
      </c>
      <c r="CK108" s="325">
        <v>264</v>
      </c>
      <c r="CL108" s="325">
        <v>267</v>
      </c>
      <c r="CM108" s="325">
        <v>270</v>
      </c>
      <c r="CN108" s="325">
        <v>271</v>
      </c>
      <c r="CO108" s="325">
        <v>272</v>
      </c>
      <c r="CP108" s="325">
        <v>273</v>
      </c>
      <c r="CQ108" s="325">
        <v>274</v>
      </c>
      <c r="CR108" s="325">
        <v>276</v>
      </c>
      <c r="CS108" s="325">
        <v>278</v>
      </c>
      <c r="CT108" s="325">
        <v>280</v>
      </c>
      <c r="CU108" s="325">
        <v>282</v>
      </c>
      <c r="CV108" s="325">
        <v>285</v>
      </c>
      <c r="CW108" s="272"/>
    </row>
    <row r="109" spans="1:101" ht="12.75" x14ac:dyDescent="0.2">
      <c r="A109" s="49" t="str">
        <f ca="1">语言!$A$2307</f>
        <v>回避</v>
      </c>
      <c r="B109" s="326">
        <v>96</v>
      </c>
      <c r="C109" s="326">
        <v>97</v>
      </c>
      <c r="D109" s="326">
        <v>98</v>
      </c>
      <c r="E109" s="326">
        <v>100</v>
      </c>
      <c r="F109" s="326">
        <v>103</v>
      </c>
      <c r="G109" s="326">
        <v>105</v>
      </c>
      <c r="H109" s="326">
        <v>109</v>
      </c>
      <c r="I109" s="326">
        <v>110</v>
      </c>
      <c r="J109" s="326">
        <v>111</v>
      </c>
      <c r="K109" s="326">
        <v>112</v>
      </c>
      <c r="L109" s="326">
        <v>115</v>
      </c>
      <c r="M109" s="326">
        <v>117</v>
      </c>
      <c r="N109" s="326">
        <v>120</v>
      </c>
      <c r="O109" s="326">
        <v>123</v>
      </c>
      <c r="P109" s="326">
        <v>127</v>
      </c>
      <c r="Q109" s="326">
        <v>130</v>
      </c>
      <c r="R109" s="326">
        <v>134</v>
      </c>
      <c r="S109" s="326">
        <v>139</v>
      </c>
      <c r="T109" s="326">
        <v>144</v>
      </c>
      <c r="U109" s="326">
        <v>148</v>
      </c>
      <c r="V109" s="326">
        <v>150</v>
      </c>
      <c r="W109" s="326">
        <v>151</v>
      </c>
      <c r="X109" s="326">
        <v>152</v>
      </c>
      <c r="Y109" s="326">
        <v>154</v>
      </c>
      <c r="Z109" s="326">
        <v>157</v>
      </c>
      <c r="AA109" s="326">
        <v>159</v>
      </c>
      <c r="AB109" s="326">
        <v>163</v>
      </c>
      <c r="AC109" s="326">
        <v>166</v>
      </c>
      <c r="AD109" s="326">
        <v>170</v>
      </c>
      <c r="AE109" s="326">
        <v>174</v>
      </c>
      <c r="AF109" s="326">
        <v>175</v>
      </c>
      <c r="AG109" s="326">
        <v>176</v>
      </c>
      <c r="AH109" s="326">
        <v>177</v>
      </c>
      <c r="AI109" s="326">
        <v>180</v>
      </c>
      <c r="AJ109" s="326">
        <v>182</v>
      </c>
      <c r="AK109" s="326">
        <v>184</v>
      </c>
      <c r="AL109" s="326">
        <v>188</v>
      </c>
      <c r="AM109" s="326">
        <v>192</v>
      </c>
      <c r="AN109" s="326">
        <v>195</v>
      </c>
      <c r="AO109" s="326">
        <v>199</v>
      </c>
      <c r="AP109" s="326">
        <v>200</v>
      </c>
      <c r="AQ109" s="326">
        <v>201</v>
      </c>
      <c r="AR109" s="326">
        <v>202</v>
      </c>
      <c r="AS109" s="326">
        <v>204</v>
      </c>
      <c r="AT109" s="326">
        <v>205</v>
      </c>
      <c r="AU109" s="326">
        <v>207</v>
      </c>
      <c r="AV109" s="326">
        <v>210</v>
      </c>
      <c r="AW109" s="326">
        <v>212</v>
      </c>
      <c r="AX109" s="326">
        <v>214</v>
      </c>
      <c r="AY109" s="326">
        <v>217</v>
      </c>
      <c r="AZ109" s="326">
        <v>220</v>
      </c>
      <c r="BA109" s="326">
        <v>224</v>
      </c>
      <c r="BB109" s="326">
        <v>228</v>
      </c>
      <c r="BC109" s="326">
        <v>231</v>
      </c>
      <c r="BD109" s="326">
        <v>235</v>
      </c>
      <c r="BE109" s="326">
        <v>240</v>
      </c>
      <c r="BF109" s="326">
        <v>244</v>
      </c>
      <c r="BG109" s="326">
        <v>249</v>
      </c>
      <c r="BH109" s="326">
        <v>254</v>
      </c>
      <c r="BI109" s="326">
        <v>259</v>
      </c>
      <c r="BJ109" s="326">
        <v>260</v>
      </c>
      <c r="BK109" s="326">
        <v>261</v>
      </c>
      <c r="BL109" s="326">
        <v>262</v>
      </c>
      <c r="BM109" s="326">
        <v>264</v>
      </c>
      <c r="BN109" s="326">
        <v>266</v>
      </c>
      <c r="BO109" s="326">
        <v>268</v>
      </c>
      <c r="BP109" s="326">
        <v>271</v>
      </c>
      <c r="BQ109" s="326">
        <v>273</v>
      </c>
      <c r="BR109" s="326">
        <v>277</v>
      </c>
      <c r="BS109" s="326">
        <v>280</v>
      </c>
      <c r="BT109" s="326">
        <v>282</v>
      </c>
      <c r="BU109" s="326">
        <v>283</v>
      </c>
      <c r="BV109" s="326">
        <v>284</v>
      </c>
      <c r="BW109" s="326">
        <v>285</v>
      </c>
      <c r="BX109" s="326">
        <v>288</v>
      </c>
      <c r="BY109" s="326">
        <v>290</v>
      </c>
      <c r="BZ109" s="326">
        <v>292</v>
      </c>
      <c r="CA109" s="326">
        <v>295</v>
      </c>
      <c r="CB109" s="326">
        <v>298</v>
      </c>
      <c r="CC109" s="326">
        <v>302</v>
      </c>
      <c r="CD109" s="326">
        <v>303</v>
      </c>
      <c r="CE109" s="326">
        <v>304</v>
      </c>
      <c r="CF109" s="326">
        <v>306</v>
      </c>
      <c r="CG109" s="326">
        <v>307</v>
      </c>
      <c r="CH109" s="326">
        <v>309</v>
      </c>
      <c r="CI109" s="326">
        <v>312</v>
      </c>
      <c r="CJ109" s="326">
        <v>314</v>
      </c>
      <c r="CK109" s="326">
        <v>316</v>
      </c>
      <c r="CL109" s="326">
        <v>320</v>
      </c>
      <c r="CM109" s="326">
        <v>324</v>
      </c>
      <c r="CN109" s="326">
        <v>325</v>
      </c>
      <c r="CO109" s="326">
        <v>326</v>
      </c>
      <c r="CP109" s="326">
        <v>327</v>
      </c>
      <c r="CQ109" s="326">
        <v>328</v>
      </c>
      <c r="CR109" s="326">
        <v>331</v>
      </c>
      <c r="CS109" s="326">
        <v>333</v>
      </c>
      <c r="CT109" s="326">
        <v>336</v>
      </c>
      <c r="CU109" s="326">
        <v>338</v>
      </c>
      <c r="CV109" s="326">
        <v>342</v>
      </c>
      <c r="CW109" s="266"/>
    </row>
    <row r="110" spans="1:101" ht="12.75" x14ac:dyDescent="0.2">
      <c r="A110" s="328"/>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7"/>
      <c r="BG110" s="327"/>
      <c r="BH110" s="327"/>
      <c r="BI110" s="327"/>
      <c r="BJ110" s="327"/>
      <c r="BK110" s="327"/>
      <c r="BL110" s="327"/>
      <c r="BM110" s="327"/>
      <c r="BN110" s="327"/>
      <c r="BO110" s="327"/>
      <c r="BP110" s="327"/>
      <c r="BQ110" s="327"/>
      <c r="BR110" s="327"/>
      <c r="BS110" s="327"/>
      <c r="BT110" s="327"/>
      <c r="BU110" s="327"/>
      <c r="BV110" s="327"/>
      <c r="BW110" s="327"/>
      <c r="BX110" s="327"/>
      <c r="BY110" s="327"/>
      <c r="BZ110" s="327"/>
      <c r="CA110" s="327"/>
      <c r="CB110" s="327"/>
      <c r="CC110" s="327"/>
      <c r="CD110" s="327"/>
      <c r="CE110" s="327"/>
      <c r="CF110" s="327"/>
      <c r="CG110" s="327"/>
      <c r="CH110" s="327"/>
      <c r="CI110" s="327"/>
      <c r="CJ110" s="327"/>
      <c r="CK110" s="327"/>
      <c r="CL110" s="327"/>
      <c r="CM110" s="327"/>
      <c r="CN110" s="327"/>
      <c r="CO110" s="327"/>
      <c r="CP110" s="327"/>
      <c r="CQ110" s="327"/>
      <c r="CR110" s="327"/>
      <c r="CS110" s="327"/>
      <c r="CT110" s="327"/>
      <c r="CU110" s="327"/>
      <c r="CV110" s="327"/>
      <c r="CW110" s="328"/>
    </row>
    <row r="111" spans="1:101" ht="18" x14ac:dyDescent="0.25">
      <c r="A111" s="47" t="str">
        <f ca="1">语言!$A$42</f>
        <v>海茵特</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7"/>
      <c r="BG111" s="327"/>
      <c r="BH111" s="327"/>
      <c r="BI111" s="327"/>
      <c r="BJ111" s="327"/>
      <c r="BK111" s="327"/>
      <c r="BL111" s="327"/>
      <c r="BM111" s="327"/>
      <c r="BN111" s="327"/>
      <c r="BO111" s="327"/>
      <c r="BP111" s="327"/>
      <c r="BQ111" s="327"/>
      <c r="BR111" s="327"/>
      <c r="BS111" s="327"/>
      <c r="BT111" s="327"/>
      <c r="BU111" s="327"/>
      <c r="BV111" s="327"/>
      <c r="BW111" s="327"/>
      <c r="BX111" s="327"/>
      <c r="BY111" s="327"/>
      <c r="BZ111" s="327"/>
      <c r="CA111" s="327"/>
      <c r="CB111" s="327"/>
      <c r="CC111" s="327"/>
      <c r="CD111" s="327"/>
      <c r="CE111" s="327"/>
      <c r="CF111" s="327"/>
      <c r="CG111" s="327"/>
      <c r="CH111" s="327"/>
      <c r="CI111" s="327"/>
      <c r="CJ111" s="327"/>
      <c r="CK111" s="327"/>
      <c r="CL111" s="327"/>
      <c r="CM111" s="327"/>
      <c r="CN111" s="327"/>
      <c r="CO111" s="327"/>
      <c r="CP111" s="327"/>
      <c r="CQ111" s="327"/>
      <c r="CR111" s="327"/>
      <c r="CS111" s="327"/>
      <c r="CT111" s="327"/>
      <c r="CU111" s="327"/>
      <c r="CV111" s="327"/>
      <c r="CW111" s="328"/>
    </row>
    <row r="112" spans="1:101" ht="12.75" x14ac:dyDescent="0.2">
      <c r="A112" s="50" t="str">
        <f ca="1">语言!$A$2297</f>
        <v>等级</v>
      </c>
      <c r="B112" s="329">
        <v>1</v>
      </c>
      <c r="C112" s="329">
        <v>2</v>
      </c>
      <c r="D112" s="329">
        <v>3</v>
      </c>
      <c r="E112" s="329">
        <v>4</v>
      </c>
      <c r="F112" s="329">
        <v>5</v>
      </c>
      <c r="G112" s="329">
        <v>6</v>
      </c>
      <c r="H112" s="329">
        <v>7</v>
      </c>
      <c r="I112" s="329">
        <v>8</v>
      </c>
      <c r="J112" s="329">
        <v>9</v>
      </c>
      <c r="K112" s="329">
        <v>10</v>
      </c>
      <c r="L112" s="329">
        <v>11</v>
      </c>
      <c r="M112" s="329">
        <v>12</v>
      </c>
      <c r="N112" s="329">
        <v>13</v>
      </c>
      <c r="O112" s="329">
        <v>14</v>
      </c>
      <c r="P112" s="329">
        <v>15</v>
      </c>
      <c r="Q112" s="329">
        <v>16</v>
      </c>
      <c r="R112" s="329">
        <v>17</v>
      </c>
      <c r="S112" s="329">
        <v>18</v>
      </c>
      <c r="T112" s="329">
        <v>19</v>
      </c>
      <c r="U112" s="329">
        <v>20</v>
      </c>
      <c r="V112" s="329">
        <v>21</v>
      </c>
      <c r="W112" s="329">
        <v>22</v>
      </c>
      <c r="X112" s="329">
        <v>23</v>
      </c>
      <c r="Y112" s="329">
        <v>24</v>
      </c>
      <c r="Z112" s="329">
        <v>25</v>
      </c>
      <c r="AA112" s="329">
        <v>26</v>
      </c>
      <c r="AB112" s="329">
        <v>27</v>
      </c>
      <c r="AC112" s="329">
        <v>28</v>
      </c>
      <c r="AD112" s="329">
        <v>29</v>
      </c>
      <c r="AE112" s="329">
        <v>30</v>
      </c>
      <c r="AF112" s="329">
        <v>31</v>
      </c>
      <c r="AG112" s="329">
        <v>32</v>
      </c>
      <c r="AH112" s="329">
        <v>33</v>
      </c>
      <c r="AI112" s="329">
        <v>34</v>
      </c>
      <c r="AJ112" s="329">
        <v>35</v>
      </c>
      <c r="AK112" s="329">
        <v>36</v>
      </c>
      <c r="AL112" s="329">
        <v>37</v>
      </c>
      <c r="AM112" s="329">
        <v>38</v>
      </c>
      <c r="AN112" s="329">
        <v>39</v>
      </c>
      <c r="AO112" s="329">
        <v>40</v>
      </c>
      <c r="AP112" s="329">
        <v>41</v>
      </c>
      <c r="AQ112" s="329">
        <v>42</v>
      </c>
      <c r="AR112" s="329">
        <v>43</v>
      </c>
      <c r="AS112" s="329">
        <v>44</v>
      </c>
      <c r="AT112" s="329">
        <v>45</v>
      </c>
      <c r="AU112" s="329">
        <v>46</v>
      </c>
      <c r="AV112" s="329">
        <v>47</v>
      </c>
      <c r="AW112" s="329">
        <v>48</v>
      </c>
      <c r="AX112" s="329">
        <v>49</v>
      </c>
      <c r="AY112" s="329">
        <v>50</v>
      </c>
      <c r="AZ112" s="329">
        <v>51</v>
      </c>
      <c r="BA112" s="329">
        <v>52</v>
      </c>
      <c r="BB112" s="329">
        <v>53</v>
      </c>
      <c r="BC112" s="329">
        <v>54</v>
      </c>
      <c r="BD112" s="329">
        <v>55</v>
      </c>
      <c r="BE112" s="329">
        <v>56</v>
      </c>
      <c r="BF112" s="329">
        <v>57</v>
      </c>
      <c r="BG112" s="329">
        <v>58</v>
      </c>
      <c r="BH112" s="329">
        <v>59</v>
      </c>
      <c r="BI112" s="329">
        <v>60</v>
      </c>
      <c r="BJ112" s="329">
        <v>61</v>
      </c>
      <c r="BK112" s="329">
        <v>62</v>
      </c>
      <c r="BL112" s="329">
        <v>63</v>
      </c>
      <c r="BM112" s="329">
        <v>64</v>
      </c>
      <c r="BN112" s="329">
        <v>65</v>
      </c>
      <c r="BO112" s="329">
        <v>66</v>
      </c>
      <c r="BP112" s="329">
        <v>67</v>
      </c>
      <c r="BQ112" s="329">
        <v>68</v>
      </c>
      <c r="BR112" s="329">
        <v>69</v>
      </c>
      <c r="BS112" s="329">
        <v>70</v>
      </c>
      <c r="BT112" s="329">
        <v>71</v>
      </c>
      <c r="BU112" s="329">
        <v>72</v>
      </c>
      <c r="BV112" s="329">
        <v>73</v>
      </c>
      <c r="BW112" s="329">
        <v>74</v>
      </c>
      <c r="BX112" s="329">
        <v>75</v>
      </c>
      <c r="BY112" s="329">
        <v>76</v>
      </c>
      <c r="BZ112" s="329">
        <v>77</v>
      </c>
      <c r="CA112" s="329">
        <v>78</v>
      </c>
      <c r="CB112" s="329">
        <v>79</v>
      </c>
      <c r="CC112" s="329">
        <v>80</v>
      </c>
      <c r="CD112" s="329">
        <v>81</v>
      </c>
      <c r="CE112" s="329">
        <v>82</v>
      </c>
      <c r="CF112" s="329">
        <v>83</v>
      </c>
      <c r="CG112" s="329">
        <v>84</v>
      </c>
      <c r="CH112" s="329">
        <v>85</v>
      </c>
      <c r="CI112" s="329">
        <v>86</v>
      </c>
      <c r="CJ112" s="329">
        <v>87</v>
      </c>
      <c r="CK112" s="329">
        <v>88</v>
      </c>
      <c r="CL112" s="329">
        <v>89</v>
      </c>
      <c r="CM112" s="329">
        <v>90</v>
      </c>
      <c r="CN112" s="329">
        <v>91</v>
      </c>
      <c r="CO112" s="329">
        <v>92</v>
      </c>
      <c r="CP112" s="329">
        <v>93</v>
      </c>
      <c r="CQ112" s="329">
        <v>94</v>
      </c>
      <c r="CR112" s="329">
        <v>95</v>
      </c>
      <c r="CS112" s="329">
        <v>96</v>
      </c>
      <c r="CT112" s="329">
        <v>97</v>
      </c>
      <c r="CU112" s="329">
        <v>98</v>
      </c>
      <c r="CV112" s="329">
        <v>99</v>
      </c>
      <c r="CW112" s="49"/>
    </row>
    <row r="113" spans="1:101" ht="12.75" x14ac:dyDescent="0.2">
      <c r="A113" s="323" t="str">
        <f ca="1">语言!$A$2298</f>
        <v>最大ＨＰ</v>
      </c>
      <c r="B113" s="325">
        <v>250</v>
      </c>
      <c r="C113" s="325">
        <v>261</v>
      </c>
      <c r="D113" s="325">
        <v>282</v>
      </c>
      <c r="E113" s="325">
        <v>314</v>
      </c>
      <c r="F113" s="325">
        <v>356</v>
      </c>
      <c r="G113" s="325">
        <v>408</v>
      </c>
      <c r="H113" s="325">
        <v>471</v>
      </c>
      <c r="I113" s="325">
        <v>481</v>
      </c>
      <c r="J113" s="325">
        <v>500</v>
      </c>
      <c r="K113" s="325">
        <v>528</v>
      </c>
      <c r="L113" s="325">
        <v>565</v>
      </c>
      <c r="M113" s="325">
        <v>611</v>
      </c>
      <c r="N113" s="325">
        <v>666</v>
      </c>
      <c r="O113" s="325">
        <v>730</v>
      </c>
      <c r="P113" s="325">
        <v>803</v>
      </c>
      <c r="Q113" s="325">
        <v>885</v>
      </c>
      <c r="R113" s="325">
        <v>976</v>
      </c>
      <c r="S113" s="325">
        <v>1077</v>
      </c>
      <c r="T113" s="325">
        <v>1187</v>
      </c>
      <c r="U113" s="325">
        <v>1306</v>
      </c>
      <c r="V113" s="325">
        <v>1316</v>
      </c>
      <c r="W113" s="325">
        <v>1335</v>
      </c>
      <c r="X113" s="325">
        <v>1363</v>
      </c>
      <c r="Y113" s="325">
        <v>1400</v>
      </c>
      <c r="Z113" s="325">
        <v>1446</v>
      </c>
      <c r="AA113" s="325">
        <v>1501</v>
      </c>
      <c r="AB113" s="325">
        <v>1565</v>
      </c>
      <c r="AC113" s="325">
        <v>1638</v>
      </c>
      <c r="AD113" s="325">
        <v>1720</v>
      </c>
      <c r="AE113" s="325">
        <v>1811</v>
      </c>
      <c r="AF113" s="325">
        <v>1819</v>
      </c>
      <c r="AG113" s="325">
        <v>1835</v>
      </c>
      <c r="AH113" s="325">
        <v>1859</v>
      </c>
      <c r="AI113" s="325">
        <v>1891</v>
      </c>
      <c r="AJ113" s="325">
        <v>1930</v>
      </c>
      <c r="AK113" s="325">
        <v>1977</v>
      </c>
      <c r="AL113" s="325">
        <v>2032</v>
      </c>
      <c r="AM113" s="325">
        <v>2095</v>
      </c>
      <c r="AN113" s="325">
        <v>2166</v>
      </c>
      <c r="AO113" s="325">
        <v>2244</v>
      </c>
      <c r="AP113" s="325">
        <v>2248</v>
      </c>
      <c r="AQ113" s="325">
        <v>2256</v>
      </c>
      <c r="AR113" s="325">
        <v>2268</v>
      </c>
      <c r="AS113" s="325">
        <v>2284</v>
      </c>
      <c r="AT113" s="325">
        <v>2304</v>
      </c>
      <c r="AU113" s="325">
        <v>2328</v>
      </c>
      <c r="AV113" s="325">
        <v>2356</v>
      </c>
      <c r="AW113" s="325">
        <v>2388</v>
      </c>
      <c r="AX113" s="325">
        <v>2424</v>
      </c>
      <c r="AY113" s="325">
        <v>2463</v>
      </c>
      <c r="AZ113" s="325">
        <v>2506</v>
      </c>
      <c r="BA113" s="325">
        <v>2553</v>
      </c>
      <c r="BB113" s="325">
        <v>2604</v>
      </c>
      <c r="BC113" s="325">
        <v>2659</v>
      </c>
      <c r="BD113" s="325">
        <v>2718</v>
      </c>
      <c r="BE113" s="325">
        <v>2781</v>
      </c>
      <c r="BF113" s="325">
        <v>2848</v>
      </c>
      <c r="BG113" s="325">
        <v>2919</v>
      </c>
      <c r="BH113" s="325">
        <v>2994</v>
      </c>
      <c r="BI113" s="325">
        <v>3072</v>
      </c>
      <c r="BJ113" s="325">
        <v>3079</v>
      </c>
      <c r="BK113" s="325">
        <v>3092</v>
      </c>
      <c r="BL113" s="325">
        <v>3112</v>
      </c>
      <c r="BM113" s="325">
        <v>3138</v>
      </c>
      <c r="BN113" s="325">
        <v>3171</v>
      </c>
      <c r="BO113" s="325">
        <v>3210</v>
      </c>
      <c r="BP113" s="325">
        <v>3256</v>
      </c>
      <c r="BQ113" s="325">
        <v>3308</v>
      </c>
      <c r="BR113" s="325">
        <v>3367</v>
      </c>
      <c r="BS113" s="325">
        <v>3432</v>
      </c>
      <c r="BT113" s="325">
        <v>3439</v>
      </c>
      <c r="BU113" s="325">
        <v>3452</v>
      </c>
      <c r="BV113" s="325">
        <v>3472</v>
      </c>
      <c r="BW113" s="325">
        <v>3498</v>
      </c>
      <c r="BX113" s="325">
        <v>3531</v>
      </c>
      <c r="BY113" s="325">
        <v>3570</v>
      </c>
      <c r="BZ113" s="325">
        <v>3616</v>
      </c>
      <c r="CA113" s="325">
        <v>3668</v>
      </c>
      <c r="CB113" s="325">
        <v>3727</v>
      </c>
      <c r="CC113" s="325">
        <v>3792</v>
      </c>
      <c r="CD113" s="325">
        <v>3799</v>
      </c>
      <c r="CE113" s="325">
        <v>3812</v>
      </c>
      <c r="CF113" s="325">
        <v>3832</v>
      </c>
      <c r="CG113" s="325">
        <v>3858</v>
      </c>
      <c r="CH113" s="325">
        <v>3891</v>
      </c>
      <c r="CI113" s="325">
        <v>3930</v>
      </c>
      <c r="CJ113" s="325">
        <v>3976</v>
      </c>
      <c r="CK113" s="325">
        <v>4028</v>
      </c>
      <c r="CL113" s="325">
        <v>4087</v>
      </c>
      <c r="CM113" s="325">
        <v>4152</v>
      </c>
      <c r="CN113" s="325">
        <v>4159</v>
      </c>
      <c r="CO113" s="325">
        <v>4172</v>
      </c>
      <c r="CP113" s="325">
        <v>4192</v>
      </c>
      <c r="CQ113" s="325">
        <v>4218</v>
      </c>
      <c r="CR113" s="325">
        <v>4251</v>
      </c>
      <c r="CS113" s="325">
        <v>4290</v>
      </c>
      <c r="CT113" s="325">
        <v>4336</v>
      </c>
      <c r="CU113" s="325">
        <v>4388</v>
      </c>
      <c r="CV113" s="325">
        <v>4447</v>
      </c>
      <c r="CW113" s="272"/>
    </row>
    <row r="114" spans="1:101" ht="12.75" x14ac:dyDescent="0.2">
      <c r="A114" s="49" t="str">
        <f ca="1">语言!$A$2299</f>
        <v>最大ＳＰ</v>
      </c>
      <c r="B114" s="326">
        <v>40</v>
      </c>
      <c r="C114" s="326">
        <v>40</v>
      </c>
      <c r="D114" s="326">
        <v>41</v>
      </c>
      <c r="E114" s="326">
        <v>42</v>
      </c>
      <c r="F114" s="326">
        <v>43</v>
      </c>
      <c r="G114" s="326">
        <v>44</v>
      </c>
      <c r="H114" s="326">
        <v>45</v>
      </c>
      <c r="I114" s="326">
        <v>46</v>
      </c>
      <c r="J114" s="326">
        <v>47</v>
      </c>
      <c r="K114" s="326">
        <v>48</v>
      </c>
      <c r="L114" s="326">
        <v>48</v>
      </c>
      <c r="M114" s="326">
        <v>49</v>
      </c>
      <c r="N114" s="326">
        <v>51</v>
      </c>
      <c r="O114" s="326">
        <v>52</v>
      </c>
      <c r="P114" s="326">
        <v>54</v>
      </c>
      <c r="Q114" s="326">
        <v>56</v>
      </c>
      <c r="R114" s="326">
        <v>57</v>
      </c>
      <c r="S114" s="326">
        <v>59</v>
      </c>
      <c r="T114" s="326">
        <v>61</v>
      </c>
      <c r="U114" s="326">
        <v>64</v>
      </c>
      <c r="V114" s="326">
        <v>64</v>
      </c>
      <c r="W114" s="326">
        <v>65</v>
      </c>
      <c r="X114" s="326">
        <v>66</v>
      </c>
      <c r="Y114" s="326">
        <v>67</v>
      </c>
      <c r="Z114" s="326">
        <v>68</v>
      </c>
      <c r="AA114" s="326">
        <v>69</v>
      </c>
      <c r="AB114" s="326">
        <v>71</v>
      </c>
      <c r="AC114" s="326">
        <v>72</v>
      </c>
      <c r="AD114" s="326">
        <v>74</v>
      </c>
      <c r="AE114" s="326">
        <v>76</v>
      </c>
      <c r="AF114" s="326">
        <v>76</v>
      </c>
      <c r="AG114" s="326">
        <v>77</v>
      </c>
      <c r="AH114" s="326">
        <v>78</v>
      </c>
      <c r="AI114" s="326">
        <v>79</v>
      </c>
      <c r="AJ114" s="326">
        <v>80</v>
      </c>
      <c r="AK114" s="326">
        <v>80</v>
      </c>
      <c r="AL114" s="326">
        <v>82</v>
      </c>
      <c r="AM114" s="326">
        <v>84</v>
      </c>
      <c r="AN114" s="326">
        <v>85</v>
      </c>
      <c r="AO114" s="326">
        <v>87</v>
      </c>
      <c r="AP114" s="326">
        <v>88</v>
      </c>
      <c r="AQ114" s="326">
        <v>88</v>
      </c>
      <c r="AR114" s="326">
        <v>89</v>
      </c>
      <c r="AS114" s="326">
        <v>90</v>
      </c>
      <c r="AT114" s="326">
        <v>91</v>
      </c>
      <c r="AU114" s="326">
        <v>92</v>
      </c>
      <c r="AV114" s="326">
        <v>92</v>
      </c>
      <c r="AW114" s="326">
        <v>93</v>
      </c>
      <c r="AX114" s="326">
        <v>94</v>
      </c>
      <c r="AY114" s="326">
        <v>95</v>
      </c>
      <c r="AZ114" s="326">
        <v>96</v>
      </c>
      <c r="BA114" s="326">
        <v>96</v>
      </c>
      <c r="BB114" s="326">
        <v>97</v>
      </c>
      <c r="BC114" s="326">
        <v>99</v>
      </c>
      <c r="BD114" s="326">
        <v>100</v>
      </c>
      <c r="BE114" s="326">
        <v>102</v>
      </c>
      <c r="BF114" s="326">
        <v>104</v>
      </c>
      <c r="BG114" s="326">
        <v>105</v>
      </c>
      <c r="BH114" s="326">
        <v>107</v>
      </c>
      <c r="BI114" s="326">
        <v>108</v>
      </c>
      <c r="BJ114" s="326">
        <v>109</v>
      </c>
      <c r="BK114" s="326">
        <v>110</v>
      </c>
      <c r="BL114" s="326">
        <v>111</v>
      </c>
      <c r="BM114" s="326">
        <v>112</v>
      </c>
      <c r="BN114" s="326">
        <v>112</v>
      </c>
      <c r="BO114" s="326">
        <v>113</v>
      </c>
      <c r="BP114" s="326">
        <v>114</v>
      </c>
      <c r="BQ114" s="326">
        <v>115</v>
      </c>
      <c r="BR114" s="326">
        <v>116</v>
      </c>
      <c r="BS114" s="326">
        <v>118</v>
      </c>
      <c r="BT114" s="326">
        <v>119</v>
      </c>
      <c r="BU114" s="326">
        <v>120</v>
      </c>
      <c r="BV114" s="326">
        <v>120</v>
      </c>
      <c r="BW114" s="326">
        <v>121</v>
      </c>
      <c r="BX114" s="326">
        <v>122</v>
      </c>
      <c r="BY114" s="326">
        <v>123</v>
      </c>
      <c r="BZ114" s="326">
        <v>124</v>
      </c>
      <c r="CA114" s="326">
        <v>124</v>
      </c>
      <c r="CB114" s="326">
        <v>126</v>
      </c>
      <c r="CC114" s="326">
        <v>128</v>
      </c>
      <c r="CD114" s="326">
        <v>128</v>
      </c>
      <c r="CE114" s="326">
        <v>129</v>
      </c>
      <c r="CF114" s="326">
        <v>130</v>
      </c>
      <c r="CG114" s="326">
        <v>131</v>
      </c>
      <c r="CH114" s="326">
        <v>132</v>
      </c>
      <c r="CI114" s="326">
        <v>132</v>
      </c>
      <c r="CJ114" s="326">
        <v>133</v>
      </c>
      <c r="CK114" s="326">
        <v>134</v>
      </c>
      <c r="CL114" s="326">
        <v>136</v>
      </c>
      <c r="CM114" s="326">
        <v>137</v>
      </c>
      <c r="CN114" s="326">
        <v>138</v>
      </c>
      <c r="CO114" s="326">
        <v>139</v>
      </c>
      <c r="CP114" s="326">
        <v>140</v>
      </c>
      <c r="CQ114" s="326">
        <v>140</v>
      </c>
      <c r="CR114" s="326">
        <v>141</v>
      </c>
      <c r="CS114" s="326">
        <v>142</v>
      </c>
      <c r="CT114" s="326">
        <v>143</v>
      </c>
      <c r="CU114" s="326">
        <v>144</v>
      </c>
      <c r="CV114" s="326">
        <v>145</v>
      </c>
      <c r="CW114" s="266"/>
    </row>
    <row r="115" spans="1:101" ht="12.75" x14ac:dyDescent="0.2">
      <c r="A115" s="323" t="str">
        <f ca="1">语言!$A$2300</f>
        <v>物理攻击力</v>
      </c>
      <c r="B115" s="325">
        <v>96</v>
      </c>
      <c r="C115" s="325">
        <v>97</v>
      </c>
      <c r="D115" s="325">
        <v>98</v>
      </c>
      <c r="E115" s="325">
        <v>100</v>
      </c>
      <c r="F115" s="325">
        <v>103</v>
      </c>
      <c r="G115" s="325">
        <v>105</v>
      </c>
      <c r="H115" s="325">
        <v>109</v>
      </c>
      <c r="I115" s="325">
        <v>110</v>
      </c>
      <c r="J115" s="325">
        <v>111</v>
      </c>
      <c r="K115" s="325">
        <v>112</v>
      </c>
      <c r="L115" s="325">
        <v>115</v>
      </c>
      <c r="M115" s="325">
        <v>117</v>
      </c>
      <c r="N115" s="325">
        <v>120</v>
      </c>
      <c r="O115" s="325">
        <v>123</v>
      </c>
      <c r="P115" s="325">
        <v>127</v>
      </c>
      <c r="Q115" s="325">
        <v>130</v>
      </c>
      <c r="R115" s="325">
        <v>134</v>
      </c>
      <c r="S115" s="325">
        <v>139</v>
      </c>
      <c r="T115" s="325">
        <v>144</v>
      </c>
      <c r="U115" s="325">
        <v>148</v>
      </c>
      <c r="V115" s="325">
        <v>150</v>
      </c>
      <c r="W115" s="325">
        <v>151</v>
      </c>
      <c r="X115" s="325">
        <v>152</v>
      </c>
      <c r="Y115" s="325">
        <v>154</v>
      </c>
      <c r="Z115" s="325">
        <v>157</v>
      </c>
      <c r="AA115" s="325">
        <v>159</v>
      </c>
      <c r="AB115" s="325">
        <v>163</v>
      </c>
      <c r="AC115" s="325">
        <v>166</v>
      </c>
      <c r="AD115" s="325">
        <v>170</v>
      </c>
      <c r="AE115" s="325">
        <v>174</v>
      </c>
      <c r="AF115" s="325">
        <v>175</v>
      </c>
      <c r="AG115" s="325">
        <v>176</v>
      </c>
      <c r="AH115" s="325">
        <v>177</v>
      </c>
      <c r="AI115" s="325">
        <v>180</v>
      </c>
      <c r="AJ115" s="325">
        <v>182</v>
      </c>
      <c r="AK115" s="325">
        <v>184</v>
      </c>
      <c r="AL115" s="325">
        <v>188</v>
      </c>
      <c r="AM115" s="325">
        <v>192</v>
      </c>
      <c r="AN115" s="325">
        <v>195</v>
      </c>
      <c r="AO115" s="325">
        <v>199</v>
      </c>
      <c r="AP115" s="325">
        <v>200</v>
      </c>
      <c r="AQ115" s="325">
        <v>201</v>
      </c>
      <c r="AR115" s="325">
        <v>202</v>
      </c>
      <c r="AS115" s="325">
        <v>204</v>
      </c>
      <c r="AT115" s="325">
        <v>205</v>
      </c>
      <c r="AU115" s="325">
        <v>207</v>
      </c>
      <c r="AV115" s="325">
        <v>210</v>
      </c>
      <c r="AW115" s="325">
        <v>212</v>
      </c>
      <c r="AX115" s="325">
        <v>214</v>
      </c>
      <c r="AY115" s="325">
        <v>217</v>
      </c>
      <c r="AZ115" s="325">
        <v>220</v>
      </c>
      <c r="BA115" s="325">
        <v>224</v>
      </c>
      <c r="BB115" s="325">
        <v>228</v>
      </c>
      <c r="BC115" s="325">
        <v>231</v>
      </c>
      <c r="BD115" s="325">
        <v>235</v>
      </c>
      <c r="BE115" s="325">
        <v>240</v>
      </c>
      <c r="BF115" s="325">
        <v>244</v>
      </c>
      <c r="BG115" s="325">
        <v>249</v>
      </c>
      <c r="BH115" s="325">
        <v>254</v>
      </c>
      <c r="BI115" s="325">
        <v>259</v>
      </c>
      <c r="BJ115" s="325">
        <v>260</v>
      </c>
      <c r="BK115" s="325">
        <v>261</v>
      </c>
      <c r="BL115" s="325">
        <v>262</v>
      </c>
      <c r="BM115" s="325">
        <v>264</v>
      </c>
      <c r="BN115" s="325">
        <v>266</v>
      </c>
      <c r="BO115" s="325">
        <v>268</v>
      </c>
      <c r="BP115" s="325">
        <v>271</v>
      </c>
      <c r="BQ115" s="325">
        <v>273</v>
      </c>
      <c r="BR115" s="325">
        <v>277</v>
      </c>
      <c r="BS115" s="325">
        <v>280</v>
      </c>
      <c r="BT115" s="325">
        <v>282</v>
      </c>
      <c r="BU115" s="325">
        <v>283</v>
      </c>
      <c r="BV115" s="325">
        <v>284</v>
      </c>
      <c r="BW115" s="325">
        <v>285</v>
      </c>
      <c r="BX115" s="325">
        <v>288</v>
      </c>
      <c r="BY115" s="325">
        <v>290</v>
      </c>
      <c r="BZ115" s="325">
        <v>292</v>
      </c>
      <c r="CA115" s="325">
        <v>295</v>
      </c>
      <c r="CB115" s="325">
        <v>298</v>
      </c>
      <c r="CC115" s="325">
        <v>302</v>
      </c>
      <c r="CD115" s="325">
        <v>303</v>
      </c>
      <c r="CE115" s="325">
        <v>304</v>
      </c>
      <c r="CF115" s="325">
        <v>306</v>
      </c>
      <c r="CG115" s="325">
        <v>307</v>
      </c>
      <c r="CH115" s="325">
        <v>309</v>
      </c>
      <c r="CI115" s="325">
        <v>312</v>
      </c>
      <c r="CJ115" s="325">
        <v>314</v>
      </c>
      <c r="CK115" s="325">
        <v>316</v>
      </c>
      <c r="CL115" s="325">
        <v>320</v>
      </c>
      <c r="CM115" s="325">
        <v>324</v>
      </c>
      <c r="CN115" s="325">
        <v>325</v>
      </c>
      <c r="CO115" s="325">
        <v>326</v>
      </c>
      <c r="CP115" s="325">
        <v>327</v>
      </c>
      <c r="CQ115" s="325">
        <v>328</v>
      </c>
      <c r="CR115" s="325">
        <v>331</v>
      </c>
      <c r="CS115" s="325">
        <v>333</v>
      </c>
      <c r="CT115" s="325">
        <v>336</v>
      </c>
      <c r="CU115" s="325">
        <v>338</v>
      </c>
      <c r="CV115" s="325">
        <v>342</v>
      </c>
      <c r="CW115" s="272"/>
    </row>
    <row r="116" spans="1:101" ht="12.75" x14ac:dyDescent="0.2">
      <c r="A116" s="49" t="str">
        <f ca="1">语言!$A$2301</f>
        <v>属性攻击力</v>
      </c>
      <c r="B116" s="326">
        <v>80</v>
      </c>
      <c r="C116" s="326">
        <v>81</v>
      </c>
      <c r="D116" s="326">
        <v>82</v>
      </c>
      <c r="E116" s="326">
        <v>84</v>
      </c>
      <c r="F116" s="326">
        <v>86</v>
      </c>
      <c r="G116" s="326">
        <v>88</v>
      </c>
      <c r="H116" s="326">
        <v>91</v>
      </c>
      <c r="I116" s="326">
        <v>92</v>
      </c>
      <c r="J116" s="326">
        <v>93</v>
      </c>
      <c r="K116" s="326">
        <v>94</v>
      </c>
      <c r="L116" s="326">
        <v>96</v>
      </c>
      <c r="M116" s="326">
        <v>98</v>
      </c>
      <c r="N116" s="326">
        <v>100</v>
      </c>
      <c r="O116" s="326">
        <v>103</v>
      </c>
      <c r="P116" s="326">
        <v>106</v>
      </c>
      <c r="Q116" s="326">
        <v>109</v>
      </c>
      <c r="R116" s="326">
        <v>112</v>
      </c>
      <c r="S116" s="326">
        <v>116</v>
      </c>
      <c r="T116" s="326">
        <v>120</v>
      </c>
      <c r="U116" s="326">
        <v>124</v>
      </c>
      <c r="V116" s="326">
        <v>125</v>
      </c>
      <c r="W116" s="326">
        <v>126</v>
      </c>
      <c r="X116" s="326">
        <v>127</v>
      </c>
      <c r="Y116" s="326">
        <v>129</v>
      </c>
      <c r="Z116" s="326">
        <v>131</v>
      </c>
      <c r="AA116" s="326">
        <v>133</v>
      </c>
      <c r="AB116" s="326">
        <v>136</v>
      </c>
      <c r="AC116" s="326">
        <v>139</v>
      </c>
      <c r="AD116" s="326">
        <v>142</v>
      </c>
      <c r="AE116" s="326">
        <v>145</v>
      </c>
      <c r="AF116" s="326">
        <v>146</v>
      </c>
      <c r="AG116" s="326">
        <v>147</v>
      </c>
      <c r="AH116" s="326">
        <v>148</v>
      </c>
      <c r="AI116" s="326">
        <v>150</v>
      </c>
      <c r="AJ116" s="326">
        <v>152</v>
      </c>
      <c r="AK116" s="326">
        <v>154</v>
      </c>
      <c r="AL116" s="326">
        <v>157</v>
      </c>
      <c r="AM116" s="326">
        <v>160</v>
      </c>
      <c r="AN116" s="326">
        <v>163</v>
      </c>
      <c r="AO116" s="326">
        <v>166</v>
      </c>
      <c r="AP116" s="326">
        <v>167</v>
      </c>
      <c r="AQ116" s="326">
        <v>168</v>
      </c>
      <c r="AR116" s="326">
        <v>169</v>
      </c>
      <c r="AS116" s="326">
        <v>170</v>
      </c>
      <c r="AT116" s="326">
        <v>171</v>
      </c>
      <c r="AU116" s="326">
        <v>173</v>
      </c>
      <c r="AV116" s="326">
        <v>175</v>
      </c>
      <c r="AW116" s="326">
        <v>177</v>
      </c>
      <c r="AX116" s="326">
        <v>179</v>
      </c>
      <c r="AY116" s="326">
        <v>181</v>
      </c>
      <c r="AZ116" s="326">
        <v>184</v>
      </c>
      <c r="BA116" s="326">
        <v>187</v>
      </c>
      <c r="BB116" s="326">
        <v>190</v>
      </c>
      <c r="BC116" s="326">
        <v>193</v>
      </c>
      <c r="BD116" s="326">
        <v>196</v>
      </c>
      <c r="BE116" s="326">
        <v>200</v>
      </c>
      <c r="BF116" s="326">
        <v>204</v>
      </c>
      <c r="BG116" s="326">
        <v>208</v>
      </c>
      <c r="BH116" s="326">
        <v>212</v>
      </c>
      <c r="BI116" s="326">
        <v>216</v>
      </c>
      <c r="BJ116" s="326">
        <v>217</v>
      </c>
      <c r="BK116" s="326">
        <v>218</v>
      </c>
      <c r="BL116" s="326">
        <v>219</v>
      </c>
      <c r="BM116" s="326">
        <v>220</v>
      </c>
      <c r="BN116" s="326">
        <v>222</v>
      </c>
      <c r="BO116" s="326">
        <v>224</v>
      </c>
      <c r="BP116" s="326">
        <v>226</v>
      </c>
      <c r="BQ116" s="326">
        <v>228</v>
      </c>
      <c r="BR116" s="326">
        <v>231</v>
      </c>
      <c r="BS116" s="326">
        <v>234</v>
      </c>
      <c r="BT116" s="326">
        <v>235</v>
      </c>
      <c r="BU116" s="326">
        <v>236</v>
      </c>
      <c r="BV116" s="326">
        <v>237</v>
      </c>
      <c r="BW116" s="326">
        <v>238</v>
      </c>
      <c r="BX116" s="326">
        <v>240</v>
      </c>
      <c r="BY116" s="326">
        <v>242</v>
      </c>
      <c r="BZ116" s="326">
        <v>244</v>
      </c>
      <c r="CA116" s="326">
        <v>246</v>
      </c>
      <c r="CB116" s="326">
        <v>249</v>
      </c>
      <c r="CC116" s="326">
        <v>252</v>
      </c>
      <c r="CD116" s="326">
        <v>253</v>
      </c>
      <c r="CE116" s="326">
        <v>254</v>
      </c>
      <c r="CF116" s="326">
        <v>255</v>
      </c>
      <c r="CG116" s="326">
        <v>256</v>
      </c>
      <c r="CH116" s="326">
        <v>258</v>
      </c>
      <c r="CI116" s="326">
        <v>260</v>
      </c>
      <c r="CJ116" s="326">
        <v>262</v>
      </c>
      <c r="CK116" s="326">
        <v>264</v>
      </c>
      <c r="CL116" s="326">
        <v>267</v>
      </c>
      <c r="CM116" s="326">
        <v>270</v>
      </c>
      <c r="CN116" s="326">
        <v>271</v>
      </c>
      <c r="CO116" s="326">
        <v>272</v>
      </c>
      <c r="CP116" s="326">
        <v>273</v>
      </c>
      <c r="CQ116" s="326">
        <v>274</v>
      </c>
      <c r="CR116" s="326">
        <v>276</v>
      </c>
      <c r="CS116" s="326">
        <v>278</v>
      </c>
      <c r="CT116" s="326">
        <v>280</v>
      </c>
      <c r="CU116" s="326">
        <v>282</v>
      </c>
      <c r="CV116" s="326">
        <v>285</v>
      </c>
      <c r="CW116" s="266"/>
    </row>
    <row r="117" spans="1:101" ht="12.75" x14ac:dyDescent="0.2">
      <c r="A117" s="323" t="str">
        <f ca="1">语言!$A$2302</f>
        <v>物理防御力</v>
      </c>
      <c r="B117" s="325">
        <v>64</v>
      </c>
      <c r="C117" s="325">
        <v>64</v>
      </c>
      <c r="D117" s="325">
        <v>65</v>
      </c>
      <c r="E117" s="325">
        <v>67</v>
      </c>
      <c r="F117" s="325">
        <v>68</v>
      </c>
      <c r="G117" s="325">
        <v>70</v>
      </c>
      <c r="H117" s="325">
        <v>72</v>
      </c>
      <c r="I117" s="325">
        <v>73</v>
      </c>
      <c r="J117" s="325">
        <v>74</v>
      </c>
      <c r="K117" s="325">
        <v>75</v>
      </c>
      <c r="L117" s="325">
        <v>76</v>
      </c>
      <c r="M117" s="325">
        <v>78</v>
      </c>
      <c r="N117" s="325">
        <v>80</v>
      </c>
      <c r="O117" s="325">
        <v>82</v>
      </c>
      <c r="P117" s="325">
        <v>84</v>
      </c>
      <c r="Q117" s="325">
        <v>87</v>
      </c>
      <c r="R117" s="325">
        <v>89</v>
      </c>
      <c r="S117" s="325">
        <v>92</v>
      </c>
      <c r="T117" s="325">
        <v>96</v>
      </c>
      <c r="U117" s="325">
        <v>99</v>
      </c>
      <c r="V117" s="325">
        <v>100</v>
      </c>
      <c r="W117" s="325">
        <v>100</v>
      </c>
      <c r="X117" s="325">
        <v>101</v>
      </c>
      <c r="Y117" s="325">
        <v>103</v>
      </c>
      <c r="Z117" s="325">
        <v>104</v>
      </c>
      <c r="AA117" s="325">
        <v>106</v>
      </c>
      <c r="AB117" s="325">
        <v>108</v>
      </c>
      <c r="AC117" s="325">
        <v>111</v>
      </c>
      <c r="AD117" s="325">
        <v>113</v>
      </c>
      <c r="AE117" s="325">
        <v>116</v>
      </c>
      <c r="AF117" s="325">
        <v>116</v>
      </c>
      <c r="AG117" s="325">
        <v>117</v>
      </c>
      <c r="AH117" s="325">
        <v>118</v>
      </c>
      <c r="AI117" s="325">
        <v>120</v>
      </c>
      <c r="AJ117" s="325">
        <v>121</v>
      </c>
      <c r="AK117" s="325">
        <v>123</v>
      </c>
      <c r="AL117" s="325">
        <v>125</v>
      </c>
      <c r="AM117" s="325">
        <v>128</v>
      </c>
      <c r="AN117" s="325">
        <v>130</v>
      </c>
      <c r="AO117" s="325">
        <v>132</v>
      </c>
      <c r="AP117" s="325">
        <v>133</v>
      </c>
      <c r="AQ117" s="325">
        <v>134</v>
      </c>
      <c r="AR117" s="325">
        <v>135</v>
      </c>
      <c r="AS117" s="325">
        <v>136</v>
      </c>
      <c r="AT117" s="325">
        <v>136</v>
      </c>
      <c r="AU117" s="325">
        <v>138</v>
      </c>
      <c r="AV117" s="325">
        <v>140</v>
      </c>
      <c r="AW117" s="325">
        <v>141</v>
      </c>
      <c r="AX117" s="325">
        <v>143</v>
      </c>
      <c r="AY117" s="325">
        <v>144</v>
      </c>
      <c r="AZ117" s="325">
        <v>147</v>
      </c>
      <c r="BA117" s="325">
        <v>149</v>
      </c>
      <c r="BB117" s="325">
        <v>152</v>
      </c>
      <c r="BC117" s="325">
        <v>154</v>
      </c>
      <c r="BD117" s="325">
        <v>156</v>
      </c>
      <c r="BE117" s="325">
        <v>160</v>
      </c>
      <c r="BF117" s="325">
        <v>163</v>
      </c>
      <c r="BG117" s="325">
        <v>166</v>
      </c>
      <c r="BH117" s="325">
        <v>169</v>
      </c>
      <c r="BI117" s="325">
        <v>172</v>
      </c>
      <c r="BJ117" s="325">
        <v>173</v>
      </c>
      <c r="BK117" s="325">
        <v>174</v>
      </c>
      <c r="BL117" s="325">
        <v>175</v>
      </c>
      <c r="BM117" s="325">
        <v>176</v>
      </c>
      <c r="BN117" s="325">
        <v>177</v>
      </c>
      <c r="BO117" s="325">
        <v>179</v>
      </c>
      <c r="BP117" s="325">
        <v>180</v>
      </c>
      <c r="BQ117" s="325">
        <v>182</v>
      </c>
      <c r="BR117" s="325">
        <v>184</v>
      </c>
      <c r="BS117" s="325">
        <v>187</v>
      </c>
      <c r="BT117" s="325">
        <v>188</v>
      </c>
      <c r="BU117" s="325">
        <v>188</v>
      </c>
      <c r="BV117" s="325">
        <v>189</v>
      </c>
      <c r="BW117" s="325">
        <v>190</v>
      </c>
      <c r="BX117" s="325">
        <v>192</v>
      </c>
      <c r="BY117" s="325">
        <v>193</v>
      </c>
      <c r="BZ117" s="325">
        <v>195</v>
      </c>
      <c r="CA117" s="325">
        <v>196</v>
      </c>
      <c r="CB117" s="325">
        <v>199</v>
      </c>
      <c r="CC117" s="325">
        <v>201</v>
      </c>
      <c r="CD117" s="325">
        <v>202</v>
      </c>
      <c r="CE117" s="325">
        <v>203</v>
      </c>
      <c r="CF117" s="325">
        <v>204</v>
      </c>
      <c r="CG117" s="325">
        <v>204</v>
      </c>
      <c r="CH117" s="325">
        <v>206</v>
      </c>
      <c r="CI117" s="325">
        <v>208</v>
      </c>
      <c r="CJ117" s="325">
        <v>209</v>
      </c>
      <c r="CK117" s="325">
        <v>211</v>
      </c>
      <c r="CL117" s="325">
        <v>213</v>
      </c>
      <c r="CM117" s="325">
        <v>216</v>
      </c>
      <c r="CN117" s="325">
        <v>216</v>
      </c>
      <c r="CO117" s="325">
        <v>217</v>
      </c>
      <c r="CP117" s="325">
        <v>218</v>
      </c>
      <c r="CQ117" s="325">
        <v>219</v>
      </c>
      <c r="CR117" s="325">
        <v>220</v>
      </c>
      <c r="CS117" s="325">
        <v>222</v>
      </c>
      <c r="CT117" s="325">
        <v>224</v>
      </c>
      <c r="CU117" s="325">
        <v>225</v>
      </c>
      <c r="CV117" s="325">
        <v>228</v>
      </c>
      <c r="CW117" s="272"/>
    </row>
    <row r="118" spans="1:101" ht="12.75" x14ac:dyDescent="0.2">
      <c r="A118" s="49" t="str">
        <f ca="1">语言!$A$2303</f>
        <v>属性防御力</v>
      </c>
      <c r="B118" s="326">
        <v>64</v>
      </c>
      <c r="C118" s="326">
        <v>64</v>
      </c>
      <c r="D118" s="326">
        <v>65</v>
      </c>
      <c r="E118" s="326">
        <v>67</v>
      </c>
      <c r="F118" s="326">
        <v>68</v>
      </c>
      <c r="G118" s="326">
        <v>70</v>
      </c>
      <c r="H118" s="326">
        <v>72</v>
      </c>
      <c r="I118" s="326">
        <v>73</v>
      </c>
      <c r="J118" s="326">
        <v>74</v>
      </c>
      <c r="K118" s="326">
        <v>75</v>
      </c>
      <c r="L118" s="326">
        <v>76</v>
      </c>
      <c r="M118" s="326">
        <v>78</v>
      </c>
      <c r="N118" s="326">
        <v>80</v>
      </c>
      <c r="O118" s="326">
        <v>82</v>
      </c>
      <c r="P118" s="326">
        <v>84</v>
      </c>
      <c r="Q118" s="326">
        <v>87</v>
      </c>
      <c r="R118" s="326">
        <v>89</v>
      </c>
      <c r="S118" s="326">
        <v>92</v>
      </c>
      <c r="T118" s="326">
        <v>96</v>
      </c>
      <c r="U118" s="326">
        <v>99</v>
      </c>
      <c r="V118" s="326">
        <v>100</v>
      </c>
      <c r="W118" s="326">
        <v>100</v>
      </c>
      <c r="X118" s="326">
        <v>101</v>
      </c>
      <c r="Y118" s="326">
        <v>103</v>
      </c>
      <c r="Z118" s="326">
        <v>104</v>
      </c>
      <c r="AA118" s="326">
        <v>106</v>
      </c>
      <c r="AB118" s="326">
        <v>108</v>
      </c>
      <c r="AC118" s="326">
        <v>111</v>
      </c>
      <c r="AD118" s="326">
        <v>113</v>
      </c>
      <c r="AE118" s="326">
        <v>116</v>
      </c>
      <c r="AF118" s="326">
        <v>116</v>
      </c>
      <c r="AG118" s="326">
        <v>117</v>
      </c>
      <c r="AH118" s="326">
        <v>118</v>
      </c>
      <c r="AI118" s="326">
        <v>120</v>
      </c>
      <c r="AJ118" s="326">
        <v>121</v>
      </c>
      <c r="AK118" s="326">
        <v>123</v>
      </c>
      <c r="AL118" s="326">
        <v>125</v>
      </c>
      <c r="AM118" s="326">
        <v>128</v>
      </c>
      <c r="AN118" s="326">
        <v>130</v>
      </c>
      <c r="AO118" s="326">
        <v>132</v>
      </c>
      <c r="AP118" s="326">
        <v>133</v>
      </c>
      <c r="AQ118" s="326">
        <v>134</v>
      </c>
      <c r="AR118" s="326">
        <v>135</v>
      </c>
      <c r="AS118" s="326">
        <v>136</v>
      </c>
      <c r="AT118" s="326">
        <v>136</v>
      </c>
      <c r="AU118" s="326">
        <v>138</v>
      </c>
      <c r="AV118" s="326">
        <v>140</v>
      </c>
      <c r="AW118" s="326">
        <v>141</v>
      </c>
      <c r="AX118" s="326">
        <v>143</v>
      </c>
      <c r="AY118" s="326">
        <v>144</v>
      </c>
      <c r="AZ118" s="326">
        <v>147</v>
      </c>
      <c r="BA118" s="326">
        <v>149</v>
      </c>
      <c r="BB118" s="326">
        <v>152</v>
      </c>
      <c r="BC118" s="326">
        <v>154</v>
      </c>
      <c r="BD118" s="326">
        <v>156</v>
      </c>
      <c r="BE118" s="326">
        <v>160</v>
      </c>
      <c r="BF118" s="326">
        <v>163</v>
      </c>
      <c r="BG118" s="326">
        <v>166</v>
      </c>
      <c r="BH118" s="326">
        <v>169</v>
      </c>
      <c r="BI118" s="326">
        <v>172</v>
      </c>
      <c r="BJ118" s="326">
        <v>173</v>
      </c>
      <c r="BK118" s="326">
        <v>174</v>
      </c>
      <c r="BL118" s="326">
        <v>175</v>
      </c>
      <c r="BM118" s="326">
        <v>176</v>
      </c>
      <c r="BN118" s="326">
        <v>177</v>
      </c>
      <c r="BO118" s="326">
        <v>179</v>
      </c>
      <c r="BP118" s="326">
        <v>180</v>
      </c>
      <c r="BQ118" s="326">
        <v>182</v>
      </c>
      <c r="BR118" s="326">
        <v>184</v>
      </c>
      <c r="BS118" s="326">
        <v>187</v>
      </c>
      <c r="BT118" s="326">
        <v>188</v>
      </c>
      <c r="BU118" s="326">
        <v>188</v>
      </c>
      <c r="BV118" s="326">
        <v>189</v>
      </c>
      <c r="BW118" s="326">
        <v>190</v>
      </c>
      <c r="BX118" s="326">
        <v>192</v>
      </c>
      <c r="BY118" s="326">
        <v>193</v>
      </c>
      <c r="BZ118" s="326">
        <v>195</v>
      </c>
      <c r="CA118" s="326">
        <v>196</v>
      </c>
      <c r="CB118" s="326">
        <v>199</v>
      </c>
      <c r="CC118" s="326">
        <v>201</v>
      </c>
      <c r="CD118" s="326">
        <v>202</v>
      </c>
      <c r="CE118" s="326">
        <v>203</v>
      </c>
      <c r="CF118" s="326">
        <v>204</v>
      </c>
      <c r="CG118" s="326">
        <v>204</v>
      </c>
      <c r="CH118" s="326">
        <v>206</v>
      </c>
      <c r="CI118" s="326">
        <v>208</v>
      </c>
      <c r="CJ118" s="326">
        <v>209</v>
      </c>
      <c r="CK118" s="326">
        <v>211</v>
      </c>
      <c r="CL118" s="326">
        <v>213</v>
      </c>
      <c r="CM118" s="326">
        <v>216</v>
      </c>
      <c r="CN118" s="326">
        <v>216</v>
      </c>
      <c r="CO118" s="326">
        <v>217</v>
      </c>
      <c r="CP118" s="326">
        <v>218</v>
      </c>
      <c r="CQ118" s="326">
        <v>219</v>
      </c>
      <c r="CR118" s="326">
        <v>220</v>
      </c>
      <c r="CS118" s="326">
        <v>222</v>
      </c>
      <c r="CT118" s="326">
        <v>224</v>
      </c>
      <c r="CU118" s="326">
        <v>225</v>
      </c>
      <c r="CV118" s="326">
        <v>228</v>
      </c>
      <c r="CW118" s="266"/>
    </row>
    <row r="119" spans="1:101" ht="12.75" x14ac:dyDescent="0.2">
      <c r="A119" s="323" t="str">
        <f ca="1">语言!$A$2304</f>
        <v>命中</v>
      </c>
      <c r="B119" s="325">
        <v>96</v>
      </c>
      <c r="C119" s="325">
        <v>97</v>
      </c>
      <c r="D119" s="325">
        <v>98</v>
      </c>
      <c r="E119" s="325">
        <v>100</v>
      </c>
      <c r="F119" s="325">
        <v>103</v>
      </c>
      <c r="G119" s="325">
        <v>105</v>
      </c>
      <c r="H119" s="325">
        <v>109</v>
      </c>
      <c r="I119" s="325">
        <v>110</v>
      </c>
      <c r="J119" s="325">
        <v>111</v>
      </c>
      <c r="K119" s="325">
        <v>112</v>
      </c>
      <c r="L119" s="325">
        <v>115</v>
      </c>
      <c r="M119" s="325">
        <v>117</v>
      </c>
      <c r="N119" s="325">
        <v>120</v>
      </c>
      <c r="O119" s="325">
        <v>123</v>
      </c>
      <c r="P119" s="325">
        <v>127</v>
      </c>
      <c r="Q119" s="325">
        <v>130</v>
      </c>
      <c r="R119" s="325">
        <v>134</v>
      </c>
      <c r="S119" s="325">
        <v>139</v>
      </c>
      <c r="T119" s="325">
        <v>144</v>
      </c>
      <c r="U119" s="325">
        <v>148</v>
      </c>
      <c r="V119" s="325">
        <v>150</v>
      </c>
      <c r="W119" s="325">
        <v>151</v>
      </c>
      <c r="X119" s="325">
        <v>152</v>
      </c>
      <c r="Y119" s="325">
        <v>154</v>
      </c>
      <c r="Z119" s="325">
        <v>157</v>
      </c>
      <c r="AA119" s="325">
        <v>159</v>
      </c>
      <c r="AB119" s="325">
        <v>163</v>
      </c>
      <c r="AC119" s="325">
        <v>166</v>
      </c>
      <c r="AD119" s="325">
        <v>170</v>
      </c>
      <c r="AE119" s="325">
        <v>174</v>
      </c>
      <c r="AF119" s="325">
        <v>175</v>
      </c>
      <c r="AG119" s="325">
        <v>176</v>
      </c>
      <c r="AH119" s="325">
        <v>177</v>
      </c>
      <c r="AI119" s="325">
        <v>180</v>
      </c>
      <c r="AJ119" s="325">
        <v>182</v>
      </c>
      <c r="AK119" s="325">
        <v>184</v>
      </c>
      <c r="AL119" s="325">
        <v>188</v>
      </c>
      <c r="AM119" s="325">
        <v>192</v>
      </c>
      <c r="AN119" s="325">
        <v>195</v>
      </c>
      <c r="AO119" s="325">
        <v>199</v>
      </c>
      <c r="AP119" s="325">
        <v>200</v>
      </c>
      <c r="AQ119" s="325">
        <v>201</v>
      </c>
      <c r="AR119" s="325">
        <v>202</v>
      </c>
      <c r="AS119" s="325">
        <v>204</v>
      </c>
      <c r="AT119" s="325">
        <v>205</v>
      </c>
      <c r="AU119" s="325">
        <v>207</v>
      </c>
      <c r="AV119" s="325">
        <v>210</v>
      </c>
      <c r="AW119" s="325">
        <v>212</v>
      </c>
      <c r="AX119" s="325">
        <v>214</v>
      </c>
      <c r="AY119" s="325">
        <v>217</v>
      </c>
      <c r="AZ119" s="325">
        <v>220</v>
      </c>
      <c r="BA119" s="325">
        <v>224</v>
      </c>
      <c r="BB119" s="325">
        <v>228</v>
      </c>
      <c r="BC119" s="325">
        <v>231</v>
      </c>
      <c r="BD119" s="325">
        <v>235</v>
      </c>
      <c r="BE119" s="325">
        <v>240</v>
      </c>
      <c r="BF119" s="325">
        <v>244</v>
      </c>
      <c r="BG119" s="325">
        <v>249</v>
      </c>
      <c r="BH119" s="325">
        <v>254</v>
      </c>
      <c r="BI119" s="325">
        <v>259</v>
      </c>
      <c r="BJ119" s="325">
        <v>260</v>
      </c>
      <c r="BK119" s="325">
        <v>261</v>
      </c>
      <c r="BL119" s="325">
        <v>262</v>
      </c>
      <c r="BM119" s="325">
        <v>264</v>
      </c>
      <c r="BN119" s="325">
        <v>266</v>
      </c>
      <c r="BO119" s="325">
        <v>268</v>
      </c>
      <c r="BP119" s="325">
        <v>271</v>
      </c>
      <c r="BQ119" s="325">
        <v>273</v>
      </c>
      <c r="BR119" s="325">
        <v>277</v>
      </c>
      <c r="BS119" s="325">
        <v>280</v>
      </c>
      <c r="BT119" s="325">
        <v>282</v>
      </c>
      <c r="BU119" s="325">
        <v>283</v>
      </c>
      <c r="BV119" s="325">
        <v>284</v>
      </c>
      <c r="BW119" s="325">
        <v>285</v>
      </c>
      <c r="BX119" s="325">
        <v>288</v>
      </c>
      <c r="BY119" s="325">
        <v>290</v>
      </c>
      <c r="BZ119" s="325">
        <v>292</v>
      </c>
      <c r="CA119" s="325">
        <v>295</v>
      </c>
      <c r="CB119" s="325">
        <v>298</v>
      </c>
      <c r="CC119" s="325">
        <v>302</v>
      </c>
      <c r="CD119" s="325">
        <v>303</v>
      </c>
      <c r="CE119" s="325">
        <v>304</v>
      </c>
      <c r="CF119" s="325">
        <v>306</v>
      </c>
      <c r="CG119" s="325">
        <v>307</v>
      </c>
      <c r="CH119" s="325">
        <v>309</v>
      </c>
      <c r="CI119" s="325">
        <v>312</v>
      </c>
      <c r="CJ119" s="325">
        <v>314</v>
      </c>
      <c r="CK119" s="325">
        <v>316</v>
      </c>
      <c r="CL119" s="325">
        <v>320</v>
      </c>
      <c r="CM119" s="325">
        <v>324</v>
      </c>
      <c r="CN119" s="325">
        <v>325</v>
      </c>
      <c r="CO119" s="325">
        <v>326</v>
      </c>
      <c r="CP119" s="325">
        <v>327</v>
      </c>
      <c r="CQ119" s="325">
        <v>328</v>
      </c>
      <c r="CR119" s="325">
        <v>331</v>
      </c>
      <c r="CS119" s="325">
        <v>333</v>
      </c>
      <c r="CT119" s="325">
        <v>336</v>
      </c>
      <c r="CU119" s="325">
        <v>338</v>
      </c>
      <c r="CV119" s="325">
        <v>342</v>
      </c>
      <c r="CW119" s="272"/>
    </row>
    <row r="120" spans="1:101" ht="12.75" x14ac:dyDescent="0.2">
      <c r="A120" s="49" t="str">
        <f ca="1">语言!$A$2305</f>
        <v>行动速度</v>
      </c>
      <c r="B120" s="326">
        <v>80</v>
      </c>
      <c r="C120" s="326">
        <v>81</v>
      </c>
      <c r="D120" s="326">
        <v>82</v>
      </c>
      <c r="E120" s="326">
        <v>84</v>
      </c>
      <c r="F120" s="326">
        <v>86</v>
      </c>
      <c r="G120" s="326">
        <v>88</v>
      </c>
      <c r="H120" s="326">
        <v>91</v>
      </c>
      <c r="I120" s="326">
        <v>92</v>
      </c>
      <c r="J120" s="326">
        <v>93</v>
      </c>
      <c r="K120" s="326">
        <v>94</v>
      </c>
      <c r="L120" s="326">
        <v>96</v>
      </c>
      <c r="M120" s="326">
        <v>98</v>
      </c>
      <c r="N120" s="326">
        <v>100</v>
      </c>
      <c r="O120" s="326">
        <v>103</v>
      </c>
      <c r="P120" s="326">
        <v>106</v>
      </c>
      <c r="Q120" s="326">
        <v>109</v>
      </c>
      <c r="R120" s="326">
        <v>112</v>
      </c>
      <c r="S120" s="326">
        <v>116</v>
      </c>
      <c r="T120" s="326">
        <v>120</v>
      </c>
      <c r="U120" s="326">
        <v>124</v>
      </c>
      <c r="V120" s="326">
        <v>125</v>
      </c>
      <c r="W120" s="326">
        <v>126</v>
      </c>
      <c r="X120" s="326">
        <v>127</v>
      </c>
      <c r="Y120" s="326">
        <v>129</v>
      </c>
      <c r="Z120" s="326">
        <v>131</v>
      </c>
      <c r="AA120" s="326">
        <v>133</v>
      </c>
      <c r="AB120" s="326">
        <v>136</v>
      </c>
      <c r="AC120" s="326">
        <v>139</v>
      </c>
      <c r="AD120" s="326">
        <v>142</v>
      </c>
      <c r="AE120" s="326">
        <v>145</v>
      </c>
      <c r="AF120" s="326">
        <v>146</v>
      </c>
      <c r="AG120" s="326">
        <v>147</v>
      </c>
      <c r="AH120" s="326">
        <v>148</v>
      </c>
      <c r="AI120" s="326">
        <v>150</v>
      </c>
      <c r="AJ120" s="326">
        <v>152</v>
      </c>
      <c r="AK120" s="326">
        <v>154</v>
      </c>
      <c r="AL120" s="326">
        <v>157</v>
      </c>
      <c r="AM120" s="326">
        <v>160</v>
      </c>
      <c r="AN120" s="326">
        <v>163</v>
      </c>
      <c r="AO120" s="326">
        <v>166</v>
      </c>
      <c r="AP120" s="326">
        <v>167</v>
      </c>
      <c r="AQ120" s="326">
        <v>168</v>
      </c>
      <c r="AR120" s="326">
        <v>169</v>
      </c>
      <c r="AS120" s="326">
        <v>170</v>
      </c>
      <c r="AT120" s="326">
        <v>171</v>
      </c>
      <c r="AU120" s="326">
        <v>173</v>
      </c>
      <c r="AV120" s="326">
        <v>175</v>
      </c>
      <c r="AW120" s="326">
        <v>177</v>
      </c>
      <c r="AX120" s="326">
        <v>179</v>
      </c>
      <c r="AY120" s="326">
        <v>181</v>
      </c>
      <c r="AZ120" s="326">
        <v>184</v>
      </c>
      <c r="BA120" s="326">
        <v>187</v>
      </c>
      <c r="BB120" s="326">
        <v>190</v>
      </c>
      <c r="BC120" s="326">
        <v>193</v>
      </c>
      <c r="BD120" s="326">
        <v>196</v>
      </c>
      <c r="BE120" s="326">
        <v>200</v>
      </c>
      <c r="BF120" s="326">
        <v>204</v>
      </c>
      <c r="BG120" s="326">
        <v>208</v>
      </c>
      <c r="BH120" s="326">
        <v>212</v>
      </c>
      <c r="BI120" s="326">
        <v>216</v>
      </c>
      <c r="BJ120" s="326">
        <v>217</v>
      </c>
      <c r="BK120" s="326">
        <v>218</v>
      </c>
      <c r="BL120" s="326">
        <v>219</v>
      </c>
      <c r="BM120" s="326">
        <v>220</v>
      </c>
      <c r="BN120" s="326">
        <v>222</v>
      </c>
      <c r="BO120" s="326">
        <v>224</v>
      </c>
      <c r="BP120" s="326">
        <v>226</v>
      </c>
      <c r="BQ120" s="326">
        <v>228</v>
      </c>
      <c r="BR120" s="326">
        <v>231</v>
      </c>
      <c r="BS120" s="326">
        <v>234</v>
      </c>
      <c r="BT120" s="326">
        <v>235</v>
      </c>
      <c r="BU120" s="326">
        <v>236</v>
      </c>
      <c r="BV120" s="326">
        <v>237</v>
      </c>
      <c r="BW120" s="326">
        <v>238</v>
      </c>
      <c r="BX120" s="326">
        <v>240</v>
      </c>
      <c r="BY120" s="326">
        <v>242</v>
      </c>
      <c r="BZ120" s="326">
        <v>244</v>
      </c>
      <c r="CA120" s="326">
        <v>246</v>
      </c>
      <c r="CB120" s="326">
        <v>249</v>
      </c>
      <c r="CC120" s="326">
        <v>252</v>
      </c>
      <c r="CD120" s="326">
        <v>253</v>
      </c>
      <c r="CE120" s="326">
        <v>254</v>
      </c>
      <c r="CF120" s="326">
        <v>255</v>
      </c>
      <c r="CG120" s="326">
        <v>256</v>
      </c>
      <c r="CH120" s="326">
        <v>258</v>
      </c>
      <c r="CI120" s="326">
        <v>260</v>
      </c>
      <c r="CJ120" s="326">
        <v>262</v>
      </c>
      <c r="CK120" s="326">
        <v>264</v>
      </c>
      <c r="CL120" s="326">
        <v>267</v>
      </c>
      <c r="CM120" s="326">
        <v>270</v>
      </c>
      <c r="CN120" s="326">
        <v>271</v>
      </c>
      <c r="CO120" s="326">
        <v>272</v>
      </c>
      <c r="CP120" s="326">
        <v>273</v>
      </c>
      <c r="CQ120" s="326">
        <v>274</v>
      </c>
      <c r="CR120" s="326">
        <v>276</v>
      </c>
      <c r="CS120" s="326">
        <v>278</v>
      </c>
      <c r="CT120" s="326">
        <v>280</v>
      </c>
      <c r="CU120" s="326">
        <v>282</v>
      </c>
      <c r="CV120" s="326">
        <v>285</v>
      </c>
      <c r="CW120" s="266"/>
    </row>
    <row r="121" spans="1:101" ht="12.75" x14ac:dyDescent="0.2">
      <c r="A121" s="323" t="str">
        <f ca="1">语言!$A$2306</f>
        <v>暴击</v>
      </c>
      <c r="B121" s="325">
        <v>88</v>
      </c>
      <c r="C121" s="325">
        <v>89</v>
      </c>
      <c r="D121" s="325">
        <v>90</v>
      </c>
      <c r="E121" s="325">
        <v>92</v>
      </c>
      <c r="F121" s="325">
        <v>94</v>
      </c>
      <c r="G121" s="325">
        <v>96</v>
      </c>
      <c r="H121" s="325">
        <v>100</v>
      </c>
      <c r="I121" s="325">
        <v>101</v>
      </c>
      <c r="J121" s="325">
        <v>102</v>
      </c>
      <c r="K121" s="325">
        <v>103</v>
      </c>
      <c r="L121" s="325">
        <v>105</v>
      </c>
      <c r="M121" s="325">
        <v>107</v>
      </c>
      <c r="N121" s="325">
        <v>110</v>
      </c>
      <c r="O121" s="325">
        <v>113</v>
      </c>
      <c r="P121" s="325">
        <v>116</v>
      </c>
      <c r="Q121" s="325">
        <v>119</v>
      </c>
      <c r="R121" s="325">
        <v>123</v>
      </c>
      <c r="S121" s="325">
        <v>127</v>
      </c>
      <c r="T121" s="325">
        <v>132</v>
      </c>
      <c r="U121" s="325">
        <v>136</v>
      </c>
      <c r="V121" s="325">
        <v>137</v>
      </c>
      <c r="W121" s="325">
        <v>138</v>
      </c>
      <c r="X121" s="325">
        <v>139</v>
      </c>
      <c r="Y121" s="325">
        <v>141</v>
      </c>
      <c r="Z121" s="325">
        <v>144</v>
      </c>
      <c r="AA121" s="325">
        <v>146</v>
      </c>
      <c r="AB121" s="325">
        <v>149</v>
      </c>
      <c r="AC121" s="325">
        <v>152</v>
      </c>
      <c r="AD121" s="325">
        <v>156</v>
      </c>
      <c r="AE121" s="325">
        <v>159</v>
      </c>
      <c r="AF121" s="325">
        <v>160</v>
      </c>
      <c r="AG121" s="325">
        <v>161</v>
      </c>
      <c r="AH121" s="325">
        <v>162</v>
      </c>
      <c r="AI121" s="325">
        <v>165</v>
      </c>
      <c r="AJ121" s="325">
        <v>167</v>
      </c>
      <c r="AK121" s="325">
        <v>169</v>
      </c>
      <c r="AL121" s="325">
        <v>172</v>
      </c>
      <c r="AM121" s="325">
        <v>176</v>
      </c>
      <c r="AN121" s="325">
        <v>179</v>
      </c>
      <c r="AO121" s="325">
        <v>182</v>
      </c>
      <c r="AP121" s="325">
        <v>183</v>
      </c>
      <c r="AQ121" s="325">
        <v>184</v>
      </c>
      <c r="AR121" s="325">
        <v>185</v>
      </c>
      <c r="AS121" s="325">
        <v>187</v>
      </c>
      <c r="AT121" s="325">
        <v>188</v>
      </c>
      <c r="AU121" s="325">
        <v>190</v>
      </c>
      <c r="AV121" s="325">
        <v>192</v>
      </c>
      <c r="AW121" s="325">
        <v>194</v>
      </c>
      <c r="AX121" s="325">
        <v>196</v>
      </c>
      <c r="AY121" s="325">
        <v>199</v>
      </c>
      <c r="AZ121" s="325">
        <v>202</v>
      </c>
      <c r="BA121" s="325">
        <v>205</v>
      </c>
      <c r="BB121" s="325">
        <v>209</v>
      </c>
      <c r="BC121" s="325">
        <v>212</v>
      </c>
      <c r="BD121" s="325">
        <v>215</v>
      </c>
      <c r="BE121" s="325">
        <v>220</v>
      </c>
      <c r="BF121" s="325">
        <v>224</v>
      </c>
      <c r="BG121" s="325">
        <v>228</v>
      </c>
      <c r="BH121" s="325">
        <v>233</v>
      </c>
      <c r="BI121" s="325">
        <v>237</v>
      </c>
      <c r="BJ121" s="325">
        <v>238</v>
      </c>
      <c r="BK121" s="325">
        <v>239</v>
      </c>
      <c r="BL121" s="325">
        <v>240</v>
      </c>
      <c r="BM121" s="325">
        <v>242</v>
      </c>
      <c r="BN121" s="325">
        <v>244</v>
      </c>
      <c r="BO121" s="325">
        <v>246</v>
      </c>
      <c r="BP121" s="325">
        <v>248</v>
      </c>
      <c r="BQ121" s="325">
        <v>250</v>
      </c>
      <c r="BR121" s="325">
        <v>254</v>
      </c>
      <c r="BS121" s="325">
        <v>257</v>
      </c>
      <c r="BT121" s="325">
        <v>258</v>
      </c>
      <c r="BU121" s="325">
        <v>259</v>
      </c>
      <c r="BV121" s="325">
        <v>260</v>
      </c>
      <c r="BW121" s="325">
        <v>261</v>
      </c>
      <c r="BX121" s="325">
        <v>264</v>
      </c>
      <c r="BY121" s="325">
        <v>266</v>
      </c>
      <c r="BZ121" s="325">
        <v>268</v>
      </c>
      <c r="CA121" s="325">
        <v>270</v>
      </c>
      <c r="CB121" s="325">
        <v>273</v>
      </c>
      <c r="CC121" s="325">
        <v>277</v>
      </c>
      <c r="CD121" s="325">
        <v>278</v>
      </c>
      <c r="CE121" s="325">
        <v>279</v>
      </c>
      <c r="CF121" s="325">
        <v>280</v>
      </c>
      <c r="CG121" s="325">
        <v>281</v>
      </c>
      <c r="CH121" s="325">
        <v>283</v>
      </c>
      <c r="CI121" s="325">
        <v>286</v>
      </c>
      <c r="CJ121" s="325">
        <v>288</v>
      </c>
      <c r="CK121" s="325">
        <v>290</v>
      </c>
      <c r="CL121" s="325">
        <v>293</v>
      </c>
      <c r="CM121" s="325">
        <v>297</v>
      </c>
      <c r="CN121" s="325">
        <v>298</v>
      </c>
      <c r="CO121" s="325">
        <v>299</v>
      </c>
      <c r="CP121" s="325">
        <v>300</v>
      </c>
      <c r="CQ121" s="325">
        <v>301</v>
      </c>
      <c r="CR121" s="325">
        <v>303</v>
      </c>
      <c r="CS121" s="325">
        <v>305</v>
      </c>
      <c r="CT121" s="325">
        <v>308</v>
      </c>
      <c r="CU121" s="325">
        <v>310</v>
      </c>
      <c r="CV121" s="325">
        <v>313</v>
      </c>
      <c r="CW121" s="272"/>
    </row>
    <row r="122" spans="1:101" ht="12.75" x14ac:dyDescent="0.2">
      <c r="A122" s="49" t="str">
        <f ca="1">语言!$A$2307</f>
        <v>回避</v>
      </c>
      <c r="B122" s="326">
        <v>88</v>
      </c>
      <c r="C122" s="326">
        <v>89</v>
      </c>
      <c r="D122" s="326">
        <v>90</v>
      </c>
      <c r="E122" s="326">
        <v>92</v>
      </c>
      <c r="F122" s="326">
        <v>94</v>
      </c>
      <c r="G122" s="326">
        <v>96</v>
      </c>
      <c r="H122" s="326">
        <v>100</v>
      </c>
      <c r="I122" s="326">
        <v>101</v>
      </c>
      <c r="J122" s="326">
        <v>102</v>
      </c>
      <c r="K122" s="326">
        <v>103</v>
      </c>
      <c r="L122" s="326">
        <v>105</v>
      </c>
      <c r="M122" s="326">
        <v>107</v>
      </c>
      <c r="N122" s="326">
        <v>110</v>
      </c>
      <c r="O122" s="326">
        <v>113</v>
      </c>
      <c r="P122" s="326">
        <v>116</v>
      </c>
      <c r="Q122" s="326">
        <v>119</v>
      </c>
      <c r="R122" s="326">
        <v>123</v>
      </c>
      <c r="S122" s="326">
        <v>127</v>
      </c>
      <c r="T122" s="326">
        <v>132</v>
      </c>
      <c r="U122" s="326">
        <v>136</v>
      </c>
      <c r="V122" s="326">
        <v>137</v>
      </c>
      <c r="W122" s="326">
        <v>138</v>
      </c>
      <c r="X122" s="326">
        <v>139</v>
      </c>
      <c r="Y122" s="326">
        <v>141</v>
      </c>
      <c r="Z122" s="326">
        <v>144</v>
      </c>
      <c r="AA122" s="326">
        <v>146</v>
      </c>
      <c r="AB122" s="326">
        <v>149</v>
      </c>
      <c r="AC122" s="326">
        <v>152</v>
      </c>
      <c r="AD122" s="326">
        <v>156</v>
      </c>
      <c r="AE122" s="326">
        <v>159</v>
      </c>
      <c r="AF122" s="326">
        <v>160</v>
      </c>
      <c r="AG122" s="326">
        <v>161</v>
      </c>
      <c r="AH122" s="326">
        <v>162</v>
      </c>
      <c r="AI122" s="326">
        <v>165</v>
      </c>
      <c r="AJ122" s="326">
        <v>167</v>
      </c>
      <c r="AK122" s="326">
        <v>169</v>
      </c>
      <c r="AL122" s="326">
        <v>172</v>
      </c>
      <c r="AM122" s="326">
        <v>176</v>
      </c>
      <c r="AN122" s="326">
        <v>179</v>
      </c>
      <c r="AO122" s="326">
        <v>182</v>
      </c>
      <c r="AP122" s="326">
        <v>183</v>
      </c>
      <c r="AQ122" s="326">
        <v>184</v>
      </c>
      <c r="AR122" s="326">
        <v>185</v>
      </c>
      <c r="AS122" s="326">
        <v>187</v>
      </c>
      <c r="AT122" s="326">
        <v>188</v>
      </c>
      <c r="AU122" s="326">
        <v>190</v>
      </c>
      <c r="AV122" s="326">
        <v>192</v>
      </c>
      <c r="AW122" s="326">
        <v>194</v>
      </c>
      <c r="AX122" s="326">
        <v>196</v>
      </c>
      <c r="AY122" s="326">
        <v>199</v>
      </c>
      <c r="AZ122" s="326">
        <v>202</v>
      </c>
      <c r="BA122" s="326">
        <v>205</v>
      </c>
      <c r="BB122" s="326">
        <v>209</v>
      </c>
      <c r="BC122" s="326">
        <v>212</v>
      </c>
      <c r="BD122" s="326">
        <v>215</v>
      </c>
      <c r="BE122" s="326">
        <v>220</v>
      </c>
      <c r="BF122" s="326">
        <v>224</v>
      </c>
      <c r="BG122" s="326">
        <v>228</v>
      </c>
      <c r="BH122" s="326">
        <v>233</v>
      </c>
      <c r="BI122" s="326">
        <v>237</v>
      </c>
      <c r="BJ122" s="326">
        <v>238</v>
      </c>
      <c r="BK122" s="326">
        <v>239</v>
      </c>
      <c r="BL122" s="326">
        <v>240</v>
      </c>
      <c r="BM122" s="326">
        <v>242</v>
      </c>
      <c r="BN122" s="326">
        <v>244</v>
      </c>
      <c r="BO122" s="326">
        <v>246</v>
      </c>
      <c r="BP122" s="326">
        <v>248</v>
      </c>
      <c r="BQ122" s="326">
        <v>250</v>
      </c>
      <c r="BR122" s="326">
        <v>254</v>
      </c>
      <c r="BS122" s="326">
        <v>257</v>
      </c>
      <c r="BT122" s="326">
        <v>258</v>
      </c>
      <c r="BU122" s="326">
        <v>259</v>
      </c>
      <c r="BV122" s="326">
        <v>260</v>
      </c>
      <c r="BW122" s="326">
        <v>261</v>
      </c>
      <c r="BX122" s="326">
        <v>264</v>
      </c>
      <c r="BY122" s="326">
        <v>266</v>
      </c>
      <c r="BZ122" s="326">
        <v>268</v>
      </c>
      <c r="CA122" s="326">
        <v>270</v>
      </c>
      <c r="CB122" s="326">
        <v>273</v>
      </c>
      <c r="CC122" s="326">
        <v>277</v>
      </c>
      <c r="CD122" s="326">
        <v>278</v>
      </c>
      <c r="CE122" s="326">
        <v>279</v>
      </c>
      <c r="CF122" s="326">
        <v>280</v>
      </c>
      <c r="CG122" s="326">
        <v>281</v>
      </c>
      <c r="CH122" s="326">
        <v>283</v>
      </c>
      <c r="CI122" s="326">
        <v>286</v>
      </c>
      <c r="CJ122" s="326">
        <v>288</v>
      </c>
      <c r="CK122" s="326">
        <v>290</v>
      </c>
      <c r="CL122" s="326">
        <v>293</v>
      </c>
      <c r="CM122" s="326">
        <v>297</v>
      </c>
      <c r="CN122" s="326">
        <v>298</v>
      </c>
      <c r="CO122" s="326">
        <v>299</v>
      </c>
      <c r="CP122" s="326">
        <v>300</v>
      </c>
      <c r="CQ122" s="326">
        <v>301</v>
      </c>
      <c r="CR122" s="326">
        <v>303</v>
      </c>
      <c r="CS122" s="326">
        <v>305</v>
      </c>
      <c r="CT122" s="326">
        <v>308</v>
      </c>
      <c r="CU122" s="326">
        <v>310</v>
      </c>
      <c r="CV122" s="326">
        <v>313</v>
      </c>
      <c r="CW122" s="266"/>
    </row>
    <row r="123" spans="1:101" ht="12.75" x14ac:dyDescent="0.2">
      <c r="A123" s="328"/>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U123" s="328"/>
      <c r="BV123" s="328"/>
      <c r="BW123" s="328"/>
      <c r="BX123" s="328"/>
      <c r="BY123" s="328"/>
      <c r="BZ123" s="328"/>
      <c r="CA123" s="328"/>
      <c r="CB123" s="328"/>
      <c r="CC123" s="328"/>
      <c r="CD123" s="328"/>
      <c r="CE123" s="328"/>
      <c r="CF123" s="328"/>
      <c r="CG123" s="328"/>
      <c r="CH123" s="328"/>
      <c r="CI123" s="328"/>
      <c r="CJ123" s="328"/>
      <c r="CK123" s="328"/>
      <c r="CL123" s="328"/>
      <c r="CM123" s="328"/>
      <c r="CN123" s="328"/>
      <c r="CO123" s="328"/>
      <c r="CP123" s="328"/>
      <c r="CQ123" s="328"/>
      <c r="CR123" s="328"/>
      <c r="CS123" s="328"/>
      <c r="CT123" s="328"/>
      <c r="CU123" s="328"/>
      <c r="CV123" s="328"/>
      <c r="CW123" s="328"/>
    </row>
  </sheetData>
  <mergeCells count="2">
    <mergeCell ref="B2:P2"/>
    <mergeCell ref="B6:C6"/>
  </mergeCells>
  <phoneticPr fontId="6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清单</vt:lpstr>
      <vt:lpstr>敌人</vt:lpstr>
      <vt:lpstr>NPC</vt:lpstr>
      <vt:lpstr>支线</vt:lpstr>
      <vt:lpstr>商店</vt:lpstr>
      <vt:lpstr>装备</vt:lpstr>
      <vt:lpstr>道具</vt:lpstr>
      <vt:lpstr>Summon</vt:lpstr>
      <vt:lpstr>角色</vt:lpstr>
      <vt:lpstr>信息</vt:lpstr>
      <vt:lpstr>语言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韩庚成</cp:lastModifiedBy>
  <dcterms:modified xsi:type="dcterms:W3CDTF">2024-01-01T17:59:36Z</dcterms:modified>
</cp:coreProperties>
</file>